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5.xml" ContentType="application/vnd.openxmlformats-officedocument.spreadsheetml.comments+xml"/>
  <Override PartName="/xl/drawings/drawing3.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6.xml" ContentType="application/vnd.openxmlformats-officedocument.spreadsheetml.comments+xml"/>
  <Override PartName="/xl/tables/table26.xml" ContentType="application/vnd.openxmlformats-officedocument.spreadsheetml.tab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mc:AlternateContent xmlns:mc="http://schemas.openxmlformats.org/markup-compatibility/2006">
    <mc:Choice Requires="x15">
      <x15ac:absPath xmlns:x15ac="http://schemas.microsoft.com/office/spreadsheetml/2010/11/ac" url="/Users/gautam_prajapati/Downloads/"/>
    </mc:Choice>
  </mc:AlternateContent>
  <xr:revisionPtr revIDLastSave="0" documentId="8_{72A7D2C5-9F24-FC48-96DB-3B20D141DCDC}" xr6:coauthVersionLast="47" xr6:coauthVersionMax="47" xr10:uidLastSave="{00000000-0000-0000-0000-000000000000}"/>
  <bookViews>
    <workbookView xWindow="0" yWindow="680" windowWidth="29920" windowHeight="18660" activeTab="11" xr2:uid="{34634248-734D-41B7-BA5E-25C25973DB57}"/>
  </bookViews>
  <sheets>
    <sheet name="ProjectBoundary" sheetId="1" r:id="rId1"/>
    <sheet name="QuantificationApproach" sheetId="7" r:id="rId2"/>
    <sheet name="IndividualParameters + UI Req" sheetId="8" r:id="rId3"/>
    <sheet name="FireReductionPremium + UI Req" sheetId="21" state="hidden" r:id="rId4"/>
    <sheet name="StratumLevelInput + UI Req" sheetId="11" r:id="rId5"/>
    <sheet name="IF Wood Product Is Included" sheetId="20" state="hidden" r:id="rId6"/>
    <sheet name="MonitoringPeriodInputs + UI Req" sheetId="19" r:id="rId7"/>
    <sheet name="AnnualInputUIRequirements" sheetId="23" state="hidden" r:id="rId8"/>
    <sheet name="AnnualInput" sheetId="18" r:id="rId9"/>
    <sheet name="5.1_TemporalBoundary" sheetId="3" state="hidden" r:id="rId10"/>
    <sheet name="5.2.4_Ineligible wetland areas " sheetId="4" state="hidden" r:id="rId11"/>
    <sheet name="ERR" sheetId="15" r:id="rId12"/>
    <sheet name="8.2ProjectEmissions" sheetId="6" r:id="rId13"/>
    <sheet name="8.1BaselineEmissions" sheetId="5" r:id="rId14"/>
    <sheet name="8.5NetERR" sheetId="10" r:id="rId15"/>
  </sheets>
  <definedNames>
    <definedName name="baseline_abground_nontree">ProjectBoundary!$D$3</definedName>
    <definedName name="baseline_burning">ProjectBoundary!$D$11</definedName>
    <definedName name="baseline_ff_CO2">ProjectBoundary!$D$12</definedName>
    <definedName name="baseline_soil_CH4">ProjectBoundary!$D$9</definedName>
    <definedName name="baseline_soil_N2O">ProjectBoundary!$D$10</definedName>
    <definedName name="baseline_soil_SOC">ProjectBoundary!$D$7</definedName>
    <definedName name="crediting_period">'IndividualParameters + UI Req'!$B$10</definedName>
    <definedName name="EF_CH4_burn">'IndividualParameters + UI Req'!$B$5</definedName>
    <definedName name="EF_N2O_burn">'IndividualParameters + UI Req'!$B$4</definedName>
    <definedName name="Emission_reduction_from_stock_loss?">QuantificationApproach!$B$6</definedName>
    <definedName name="ERR_Calculation_Type">QuantificationApproach!#REF!</definedName>
    <definedName name="Fire_reduction_premium">QuantificationApproach!$B$8</definedName>
    <definedName name="GWP_CH4">'IndividualParameters + UI Req'!$B$2</definedName>
    <definedName name="GWP_H4">'IndividualParameters + UI Req'!#REF!</definedName>
    <definedName name="GWP_N2O">'IndividualParameters + UI Req'!$B$3</definedName>
    <definedName name="NERRWE_Cap">QuantificationApproach!$B$7</definedName>
    <definedName name="NERRWE_Max">'IndividualParameters + UI Req'!$B$8</definedName>
    <definedName name="project_aboveground_nontree">ProjectBoundary!$D$16</definedName>
    <definedName name="project_aboveground_tree">ProjectBoundary!$D$15</definedName>
    <definedName name="project_ff_CO2">ProjectBoundary!$D$25</definedName>
    <definedName name="project_prescribed_burning">ProjectBoundary!$D$24</definedName>
    <definedName name="project_soil_CH4">ProjectBoundary!$D$22</definedName>
    <definedName name="project_soil_N2O">ProjectBoundary!$D$23</definedName>
    <definedName name="project_soil_SOC">ProjectBoundary!$D$20</definedName>
    <definedName name="SOC_Cap_Approach">QuantificationApproach!$B$5</definedName>
    <definedName name="SOC_Max">'5.2.4_Ineligible wetland areas '!$E$5</definedName>
    <definedName name="soil_CH4_approach">QuantificationApproach!$B$3</definedName>
    <definedName name="soil_erosion_approach">QuantificationApproach!#REF!</definedName>
    <definedName name="soil_excavation_approach">QuantificationApproach!#REF!</definedName>
    <definedName name="soil_insitu_approach">QuantificationApproach!$B$2</definedName>
    <definedName name="soil_N2O_approach">QuantificationApproach!$B$4</definedName>
    <definedName name="subsidence_approach">QuantificationApproach!#REF!</definedName>
    <definedName name="wood_product">ProjectBoundary!$D$21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5" i="5" l="1" a="1"/>
  <c r="BO5" i="5" s="1"/>
  <c r="BP5" i="5" s="1"/>
  <c r="M5" i="6" l="1" a="1"/>
  <c r="M5" i="6" s="1"/>
  <c r="M6" i="6" a="1"/>
  <c r="M6" i="6" s="1"/>
  <c r="M7" i="6" a="1"/>
  <c r="M7" i="6" s="1"/>
  <c r="M8" i="6" a="1"/>
  <c r="M8" i="6" s="1"/>
  <c r="M9" i="6" a="1"/>
  <c r="M9" i="6" s="1"/>
  <c r="M10" i="6" a="1"/>
  <c r="M10" i="6" s="1"/>
  <c r="M11" i="6" a="1"/>
  <c r="M11" i="6" s="1"/>
  <c r="M12" i="6" a="1"/>
  <c r="M12" i="6" s="1"/>
  <c r="M13" i="6" a="1"/>
  <c r="M13" i="6" s="1"/>
  <c r="M14" i="6" a="1"/>
  <c r="M14" i="6" s="1"/>
  <c r="M15" i="6" a="1"/>
  <c r="M15" i="6" s="1"/>
  <c r="M16" i="6" a="1"/>
  <c r="M16" i="6" s="1"/>
  <c r="M17" i="6" a="1"/>
  <c r="M17" i="6" s="1"/>
  <c r="M18" i="6" a="1"/>
  <c r="M18" i="6" s="1"/>
  <c r="M19" i="6" a="1"/>
  <c r="M19" i="6" s="1"/>
  <c r="M20" i="6" a="1"/>
  <c r="M20" i="6" s="1"/>
  <c r="M21" i="6" a="1"/>
  <c r="M21" i="6" s="1"/>
  <c r="M22" i="6" a="1"/>
  <c r="M22" i="6" s="1"/>
  <c r="M23" i="6" a="1"/>
  <c r="M23" i="6" s="1"/>
  <c r="M24" i="6" a="1"/>
  <c r="M24" i="6" s="1"/>
  <c r="M25" i="6" a="1"/>
  <c r="M25" i="6" s="1"/>
  <c r="M26" i="6" a="1"/>
  <c r="M26" i="6" s="1"/>
  <c r="M27" i="6" a="1"/>
  <c r="M27" i="6" s="1"/>
  <c r="M28" i="6" a="1"/>
  <c r="M28" i="6" s="1"/>
  <c r="M29" i="6" a="1"/>
  <c r="M29" i="6" s="1"/>
  <c r="M30" i="6" a="1"/>
  <c r="M30" i="6" s="1"/>
  <c r="M31" i="6" a="1"/>
  <c r="M31" i="6" s="1"/>
  <c r="M32" i="6" a="1"/>
  <c r="M32" i="6" s="1"/>
  <c r="M33" i="6" a="1"/>
  <c r="M33" i="6" s="1"/>
  <c r="M34" i="6" a="1"/>
  <c r="M34" i="6" s="1"/>
  <c r="M35" i="6" a="1"/>
  <c r="M35" i="6" s="1"/>
  <c r="M36" i="6" a="1"/>
  <c r="M36" i="6" s="1"/>
  <c r="M37" i="6" a="1"/>
  <c r="M37" i="6" s="1"/>
  <c r="M38" i="6" a="1"/>
  <c r="M38" i="6" s="1"/>
  <c r="M39" i="6" a="1"/>
  <c r="M39" i="6" s="1"/>
  <c r="M40" i="6" a="1"/>
  <c r="M40" i="6" s="1"/>
  <c r="M41" i="6" a="1"/>
  <c r="M41" i="6" s="1"/>
  <c r="M42" i="6" a="1"/>
  <c r="M42" i="6" s="1"/>
  <c r="M43" i="6" a="1"/>
  <c r="M43" i="6" s="1"/>
  <c r="M44" i="6" a="1"/>
  <c r="M44" i="6" s="1"/>
  <c r="M45" i="6" a="1"/>
  <c r="M45" i="6" s="1"/>
  <c r="M46" i="6" a="1"/>
  <c r="M46" i="6" s="1"/>
  <c r="M47" i="6" a="1"/>
  <c r="M47" i="6" s="1"/>
  <c r="M48" i="6" a="1"/>
  <c r="M48" i="6" s="1"/>
  <c r="M49" i="6" a="1"/>
  <c r="M49" i="6" s="1"/>
  <c r="M50" i="6" a="1"/>
  <c r="M50" i="6" s="1"/>
  <c r="M51" i="6" a="1"/>
  <c r="M51" i="6" s="1"/>
  <c r="M52" i="6" a="1"/>
  <c r="M52" i="6" s="1"/>
  <c r="M53" i="6" a="1"/>
  <c r="M53" i="6" s="1"/>
  <c r="M54" i="6" a="1"/>
  <c r="M54" i="6" s="1"/>
  <c r="M55" i="6" a="1"/>
  <c r="M55" i="6" s="1"/>
  <c r="M56" i="6" a="1"/>
  <c r="M56" i="6" s="1"/>
  <c r="M57" i="6" a="1"/>
  <c r="M57" i="6" s="1"/>
  <c r="M58" i="6" a="1"/>
  <c r="M58" i="6" s="1"/>
  <c r="M59" i="6" a="1"/>
  <c r="M59" i="6" s="1"/>
  <c r="M60" i="6" a="1"/>
  <c r="M60" i="6" s="1"/>
  <c r="M61" i="6" a="1"/>
  <c r="M61" i="6" s="1"/>
  <c r="M62" i="6" a="1"/>
  <c r="M62" i="6" s="1"/>
  <c r="M63" i="6" a="1"/>
  <c r="M63" i="6" s="1"/>
  <c r="M64" i="6" a="1"/>
  <c r="M64" i="6" s="1"/>
  <c r="M65" i="6" a="1"/>
  <c r="M65" i="6" s="1"/>
  <c r="M66" i="6" a="1"/>
  <c r="M66" i="6" s="1"/>
  <c r="M67" i="6" a="1"/>
  <c r="M67" i="6" s="1"/>
  <c r="M68" i="6" a="1"/>
  <c r="M68" i="6" s="1"/>
  <c r="M69" i="6" a="1"/>
  <c r="M69" i="6" s="1"/>
  <c r="M70" i="6" a="1"/>
  <c r="M70" i="6" s="1"/>
  <c r="M71" i="6" a="1"/>
  <c r="M71" i="6" s="1"/>
  <c r="M72" i="6" a="1"/>
  <c r="M72" i="6" s="1"/>
  <c r="M73" i="6" a="1"/>
  <c r="M73" i="6" s="1"/>
  <c r="M74" i="6" a="1"/>
  <c r="M74" i="6" s="1"/>
  <c r="M75" i="6" a="1"/>
  <c r="M75" i="6" s="1"/>
  <c r="M76" i="6" a="1"/>
  <c r="M76" i="6" s="1"/>
  <c r="M77" i="6" a="1"/>
  <c r="M77" i="6" s="1"/>
  <c r="M78" i="6" a="1"/>
  <c r="M78" i="6" s="1"/>
  <c r="M79" i="6" a="1"/>
  <c r="M79" i="6" s="1"/>
  <c r="M80" i="6" a="1"/>
  <c r="M80" i="6" s="1"/>
  <c r="M81" i="6" a="1"/>
  <c r="M81" i="6" s="1"/>
  <c r="M82" i="6" a="1"/>
  <c r="M82" i="6" s="1"/>
  <c r="M83" i="6" a="1"/>
  <c r="M83" i="6" s="1"/>
  <c r="M84" i="6" a="1"/>
  <c r="M84" i="6" s="1"/>
  <c r="M85" i="6" a="1"/>
  <c r="M85" i="6" s="1"/>
  <c r="M86" i="6" a="1"/>
  <c r="M86" i="6" s="1"/>
  <c r="M87" i="6" a="1"/>
  <c r="M87" i="6" s="1"/>
  <c r="M88" i="6" a="1"/>
  <c r="M88" i="6" s="1"/>
  <c r="M89" i="6" a="1"/>
  <c r="M89" i="6" s="1"/>
  <c r="M90" i="6" a="1"/>
  <c r="M90" i="6" s="1"/>
  <c r="M91" i="6" a="1"/>
  <c r="M91" i="6" s="1"/>
  <c r="M92" i="6" a="1"/>
  <c r="M92" i="6" s="1"/>
  <c r="M93" i="6" a="1"/>
  <c r="M93" i="6" s="1"/>
  <c r="M94" i="6" a="1"/>
  <c r="M94" i="6" s="1"/>
  <c r="M95" i="6" a="1"/>
  <c r="M95" i="6" s="1"/>
  <c r="M96" i="6" a="1"/>
  <c r="M96" i="6" s="1"/>
  <c r="M97" i="6" a="1"/>
  <c r="M97" i="6" s="1"/>
  <c r="M98" i="6" a="1"/>
  <c r="M98" i="6" s="1"/>
  <c r="M99" i="6" a="1"/>
  <c r="M99" i="6" s="1"/>
  <c r="M100" i="6" a="1"/>
  <c r="M100" i="6" s="1"/>
  <c r="M101" i="6" a="1"/>
  <c r="M101" i="6" s="1"/>
  <c r="M102" i="6" a="1"/>
  <c r="M102" i="6" s="1"/>
  <c r="M103" i="6" a="1"/>
  <c r="M103" i="6" s="1"/>
  <c r="M104" i="6" a="1"/>
  <c r="M104" i="6" s="1"/>
  <c r="M105" i="6" a="1"/>
  <c r="M105" i="6" s="1"/>
  <c r="M106" i="6" a="1"/>
  <c r="M106" i="6" s="1"/>
  <c r="M107" i="6" a="1"/>
  <c r="M107" i="6" s="1"/>
  <c r="M108" i="6" a="1"/>
  <c r="M108" i="6" s="1"/>
  <c r="M109" i="6" a="1"/>
  <c r="M109" i="6" s="1"/>
  <c r="M110" i="6" a="1"/>
  <c r="M110" i="6" s="1"/>
  <c r="M111" i="6" a="1"/>
  <c r="M111" i="6" s="1"/>
  <c r="M112" i="6" a="1"/>
  <c r="M112" i="6" s="1"/>
  <c r="M113" i="6" a="1"/>
  <c r="M113" i="6" s="1"/>
  <c r="M114" i="6" a="1"/>
  <c r="M114" i="6" s="1"/>
  <c r="M115" i="6" a="1"/>
  <c r="M115" i="6" s="1"/>
  <c r="M116" i="6" a="1"/>
  <c r="M116" i="6" s="1"/>
  <c r="M117" i="6" a="1"/>
  <c r="M117" i="6" s="1"/>
  <c r="M118" i="6" a="1"/>
  <c r="M118" i="6" s="1"/>
  <c r="M119" i="6" a="1"/>
  <c r="M119" i="6" s="1"/>
  <c r="M120" i="6" a="1"/>
  <c r="M120" i="6" s="1"/>
  <c r="M121" i="6" a="1"/>
  <c r="M121" i="6" s="1"/>
  <c r="M122" i="6" a="1"/>
  <c r="M122" i="6" s="1"/>
  <c r="M123" i="6" a="1"/>
  <c r="M123" i="6" s="1"/>
  <c r="M124" i="6" a="1"/>
  <c r="M124" i="6" s="1"/>
  <c r="M125" i="6" a="1"/>
  <c r="M125" i="6" s="1"/>
  <c r="M126" i="6" a="1"/>
  <c r="M126" i="6" s="1"/>
  <c r="M127" i="6" a="1"/>
  <c r="M127" i="6" s="1"/>
  <c r="M128" i="6" a="1"/>
  <c r="M128" i="6" s="1"/>
  <c r="M129" i="6" a="1"/>
  <c r="M129" i="6" s="1"/>
  <c r="M130" i="6" a="1"/>
  <c r="M130" i="6" s="1"/>
  <c r="M131" i="6" a="1"/>
  <c r="M131" i="6" s="1"/>
  <c r="M132" i="6" a="1"/>
  <c r="M132" i="6" s="1"/>
  <c r="M133" i="6" a="1"/>
  <c r="M133" i="6" s="1"/>
  <c r="M134" i="6" a="1"/>
  <c r="M134" i="6" s="1"/>
  <c r="M135" i="6" a="1"/>
  <c r="M135" i="6" s="1"/>
  <c r="M136" i="6" a="1"/>
  <c r="M136" i="6" s="1"/>
  <c r="M137" i="6" a="1"/>
  <c r="M137" i="6" s="1"/>
  <c r="M138" i="6" a="1"/>
  <c r="M138" i="6" s="1"/>
  <c r="M139" i="6" a="1"/>
  <c r="M139" i="6" s="1"/>
  <c r="M140" i="6" a="1"/>
  <c r="M140" i="6" s="1"/>
  <c r="M141" i="6" a="1"/>
  <c r="M141" i="6" s="1"/>
  <c r="M142" i="6" a="1"/>
  <c r="M142" i="6" s="1"/>
  <c r="M143" i="6" a="1"/>
  <c r="M143" i="6" s="1"/>
  <c r="M144" i="6" a="1"/>
  <c r="M144" i="6" s="1"/>
  <c r="M145" i="6" a="1"/>
  <c r="M145" i="6" s="1"/>
  <c r="M146" i="6" a="1"/>
  <c r="M146" i="6" s="1"/>
  <c r="M147" i="6" a="1"/>
  <c r="M147" i="6" s="1"/>
  <c r="M148" i="6" a="1"/>
  <c r="M148" i="6" s="1"/>
  <c r="M149" i="6" a="1"/>
  <c r="M149" i="6" s="1"/>
  <c r="M150" i="6" a="1"/>
  <c r="M150" i="6" s="1"/>
  <c r="M151" i="6" a="1"/>
  <c r="M151" i="6" s="1"/>
  <c r="M152" i="6" a="1"/>
  <c r="M152" i="6" s="1"/>
  <c r="M153" i="6" a="1"/>
  <c r="M153" i="6" s="1"/>
  <c r="M154" i="6" a="1"/>
  <c r="M154" i="6" s="1"/>
  <c r="M155" i="6" a="1"/>
  <c r="M155" i="6" s="1"/>
  <c r="M156" i="6" a="1"/>
  <c r="M156" i="6" s="1"/>
  <c r="M157" i="6" a="1"/>
  <c r="M157" i="6" s="1"/>
  <c r="M158" i="6" a="1"/>
  <c r="M158" i="6" s="1"/>
  <c r="D45" i="15"/>
  <c r="G45" i="15"/>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9" i="10"/>
  <c r="U40" i="10"/>
  <c r="U41" i="10"/>
  <c r="U42" i="10"/>
  <c r="U43" i="10"/>
  <c r="U44" i="10"/>
  <c r="AI5" i="6"/>
  <c r="AJ5" i="6"/>
  <c r="AI6" i="6"/>
  <c r="AJ6" i="6"/>
  <c r="AI7" i="6"/>
  <c r="AJ7" i="6"/>
  <c r="AI8" i="6"/>
  <c r="AJ8" i="6"/>
  <c r="AI9" i="6"/>
  <c r="AJ9" i="6"/>
  <c r="AI10" i="6"/>
  <c r="AJ10" i="6"/>
  <c r="AI11" i="6"/>
  <c r="AJ11" i="6"/>
  <c r="AI12" i="6"/>
  <c r="AJ12" i="6"/>
  <c r="AI13" i="6"/>
  <c r="AJ13" i="6"/>
  <c r="AI14" i="6"/>
  <c r="AJ14" i="6"/>
  <c r="AI15" i="6"/>
  <c r="AJ15" i="6"/>
  <c r="AI16" i="6"/>
  <c r="AJ16" i="6"/>
  <c r="AI17" i="6"/>
  <c r="AJ17" i="6"/>
  <c r="AI18" i="6"/>
  <c r="AJ18" i="6"/>
  <c r="AI19" i="6"/>
  <c r="AJ19" i="6"/>
  <c r="AI20" i="6"/>
  <c r="AJ20" i="6"/>
  <c r="AI21" i="6"/>
  <c r="AJ21" i="6"/>
  <c r="AI22" i="6"/>
  <c r="AJ22" i="6"/>
  <c r="AI23" i="6"/>
  <c r="AJ23" i="6"/>
  <c r="AI24" i="6"/>
  <c r="AJ24" i="6"/>
  <c r="AI25" i="6"/>
  <c r="AJ25" i="6"/>
  <c r="AI26" i="6"/>
  <c r="AJ26" i="6"/>
  <c r="AI27" i="6"/>
  <c r="AJ27" i="6"/>
  <c r="AI28" i="6"/>
  <c r="AJ28" i="6"/>
  <c r="AI29" i="6"/>
  <c r="AJ29" i="6"/>
  <c r="AI30" i="6"/>
  <c r="AJ30" i="6"/>
  <c r="AI31" i="6"/>
  <c r="AJ31" i="6"/>
  <c r="AI32" i="6"/>
  <c r="AJ32" i="6"/>
  <c r="AI33" i="6"/>
  <c r="AJ33" i="6"/>
  <c r="AI34" i="6"/>
  <c r="AJ34" i="6"/>
  <c r="AI35" i="6"/>
  <c r="AJ35" i="6"/>
  <c r="AI36" i="6"/>
  <c r="AJ36" i="6"/>
  <c r="AI37" i="6"/>
  <c r="AJ37" i="6"/>
  <c r="AI38" i="6"/>
  <c r="AJ38" i="6"/>
  <c r="AI39" i="6"/>
  <c r="AJ39" i="6"/>
  <c r="G13" i="15"/>
  <c r="G14" i="15" s="1"/>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BD26" i="6" a="1"/>
  <c r="BD26" i="6" s="1"/>
  <c r="BD27" i="6" a="1"/>
  <c r="BD27" i="6" s="1"/>
  <c r="BD28" i="6" a="1"/>
  <c r="BD28" i="6" s="1"/>
  <c r="BE28" i="6" s="1"/>
  <c r="AK28" i="6" s="1" a="1"/>
  <c r="AK28" i="6" s="1"/>
  <c r="BD29" i="6" a="1"/>
  <c r="BD29" i="6" s="1"/>
  <c r="BE29" i="6" s="1"/>
  <c r="AK29" i="6" s="1" a="1"/>
  <c r="AK29" i="6" s="1"/>
  <c r="BD30" i="6" a="1"/>
  <c r="BD30" i="6" s="1"/>
  <c r="BE30" i="6" s="1"/>
  <c r="AK30" i="6" s="1" a="1"/>
  <c r="AK30" i="6" s="1"/>
  <c r="BD31" i="6" a="1"/>
  <c r="BD31" i="6" s="1"/>
  <c r="BD32" i="6" a="1"/>
  <c r="BD32" i="6" s="1"/>
  <c r="BE32" i="6" s="1"/>
  <c r="AK32" i="6" s="1" a="1"/>
  <c r="AK32" i="6" s="1"/>
  <c r="BD33" i="6" a="1"/>
  <c r="BD33" i="6" s="1"/>
  <c r="BD34" i="6" a="1"/>
  <c r="BD34" i="6" s="1"/>
  <c r="BD35" i="6" a="1"/>
  <c r="BD35" i="6" s="1"/>
  <c r="BE35" i="6" s="1"/>
  <c r="AK35" i="6" s="1" a="1"/>
  <c r="AK35" i="6" s="1"/>
  <c r="BD36" i="6" a="1"/>
  <c r="BD36" i="6" s="1"/>
  <c r="BE36" i="6" s="1"/>
  <c r="AK36" i="6" s="1" a="1"/>
  <c r="AK36" i="6" s="1"/>
  <c r="BD37" i="6" a="1"/>
  <c r="BD37" i="6" s="1"/>
  <c r="BD38" i="6" a="1"/>
  <c r="BD38" i="6" s="1"/>
  <c r="BD39" i="6" a="1"/>
  <c r="BD39" i="6" s="1"/>
  <c r="BD40" i="6" a="1"/>
  <c r="BD40" i="6" s="1"/>
  <c r="BD41" i="6" a="1"/>
  <c r="BD41" i="6" s="1"/>
  <c r="BD42" i="6" a="1"/>
  <c r="BD42" i="6" s="1"/>
  <c r="BE42" i="6" s="1"/>
  <c r="AK42" i="6" s="1" a="1"/>
  <c r="AK42" i="6" s="1"/>
  <c r="BD43" i="6" a="1"/>
  <c r="BD43" i="6" s="1"/>
  <c r="BD44" i="6" a="1"/>
  <c r="BD44" i="6" s="1"/>
  <c r="BD45" i="6" a="1"/>
  <c r="BD45" i="6" s="1"/>
  <c r="BD46" i="6" a="1"/>
  <c r="BD46" i="6" s="1"/>
  <c r="BE46" i="6" s="1"/>
  <c r="AK46" i="6" s="1" a="1"/>
  <c r="AK46" i="6" s="1"/>
  <c r="BD47" i="6" a="1"/>
  <c r="BD47" i="6" s="1"/>
  <c r="BE47" i="6" s="1"/>
  <c r="AK47" i="6" s="1" a="1"/>
  <c r="AK47" i="6" s="1"/>
  <c r="BD48" i="6" a="1"/>
  <c r="BD48" i="6" s="1"/>
  <c r="BE48" i="6" s="1"/>
  <c r="AK48" i="6" s="1" a="1"/>
  <c r="AK48" i="6" s="1"/>
  <c r="BD49" i="6" a="1"/>
  <c r="BD49" i="6" s="1"/>
  <c r="BD50" i="6" a="1"/>
  <c r="BD50" i="6" s="1"/>
  <c r="BD51" i="6" a="1"/>
  <c r="BD51" i="6" s="1"/>
  <c r="BD52" i="6" a="1"/>
  <c r="BD52" i="6" s="1"/>
  <c r="BE52" i="6" s="1"/>
  <c r="AK52" i="6" s="1" a="1"/>
  <c r="AK52" i="6" s="1"/>
  <c r="BD53" i="6" a="1"/>
  <c r="BD53" i="6" s="1"/>
  <c r="BE53" i="6" s="1"/>
  <c r="AK53" i="6" s="1" a="1"/>
  <c r="AK53" i="6" s="1"/>
  <c r="BD54" i="6" a="1"/>
  <c r="BD54" i="6" s="1"/>
  <c r="BD55" i="6" a="1"/>
  <c r="BD55" i="6" s="1"/>
  <c r="BD56" i="6" a="1"/>
  <c r="BD56" i="6" s="1"/>
  <c r="BD57" i="6" a="1"/>
  <c r="BD57" i="6" s="1"/>
  <c r="BD58" i="6" a="1"/>
  <c r="BD58" i="6" s="1"/>
  <c r="BD59" i="6" a="1"/>
  <c r="BD59" i="6" s="1"/>
  <c r="BE59" i="6" s="1"/>
  <c r="AK59" i="6" s="1" a="1"/>
  <c r="AK59" i="6" s="1"/>
  <c r="BD60" i="6" a="1"/>
  <c r="BD60" i="6" s="1"/>
  <c r="BE60" i="6" s="1"/>
  <c r="AK60" i="6" s="1" a="1"/>
  <c r="AK60" i="6" s="1"/>
  <c r="BD61" i="6" a="1"/>
  <c r="BD61" i="6" s="1"/>
  <c r="BD62" i="6" a="1"/>
  <c r="BD62" i="6" s="1"/>
  <c r="BE62" i="6" s="1"/>
  <c r="AK62" i="6" s="1" a="1"/>
  <c r="AK62" i="6" s="1"/>
  <c r="BD63" i="6" a="1"/>
  <c r="BD63" i="6" s="1"/>
  <c r="BD64" i="6" a="1"/>
  <c r="BD64" i="6" s="1"/>
  <c r="BE64" i="6" s="1"/>
  <c r="AK64" i="6" s="1" a="1"/>
  <c r="AK64" i="6" s="1"/>
  <c r="BD65" i="6" a="1"/>
  <c r="BD65" i="6" s="1"/>
  <c r="BD66" i="6" a="1"/>
  <c r="BD66" i="6" s="1"/>
  <c r="BD67" i="6" a="1"/>
  <c r="BD67" i="6" s="1"/>
  <c r="BD68" i="6" a="1"/>
  <c r="BD68" i="6" s="1"/>
  <c r="BD69" i="6" a="1"/>
  <c r="BD69" i="6" s="1"/>
  <c r="BD70" i="6" a="1"/>
  <c r="BD70" i="6" s="1"/>
  <c r="BD71" i="6" a="1"/>
  <c r="BD71" i="6" s="1"/>
  <c r="BD72" i="6" a="1"/>
  <c r="BD72" i="6" s="1"/>
  <c r="BE72" i="6" s="1"/>
  <c r="AK72" i="6" s="1" a="1"/>
  <c r="AK72" i="6" s="1"/>
  <c r="BD73" i="6" a="1"/>
  <c r="BD73" i="6" s="1"/>
  <c r="BD74" i="6" a="1"/>
  <c r="BD74" i="6" s="1"/>
  <c r="BD75" i="6" a="1"/>
  <c r="BD75" i="6" s="1"/>
  <c r="BD76" i="6" a="1"/>
  <c r="BD76" i="6" s="1"/>
  <c r="BD77" i="6" a="1"/>
  <c r="BD77" i="6" s="1"/>
  <c r="BE77" i="6" s="1"/>
  <c r="AK77" i="6" s="1" a="1"/>
  <c r="AK77" i="6" s="1"/>
  <c r="BD78" i="6" a="1"/>
  <c r="BD78" i="6" s="1"/>
  <c r="BE78" i="6" s="1"/>
  <c r="AK78" i="6" s="1" a="1"/>
  <c r="AK78" i="6" s="1"/>
  <c r="BD79" i="6" a="1"/>
  <c r="BD79" i="6" s="1"/>
  <c r="BD80" i="6" a="1"/>
  <c r="BD80" i="6" s="1"/>
  <c r="BE80" i="6" s="1"/>
  <c r="AK80" i="6" s="1" a="1"/>
  <c r="AK80" i="6" s="1"/>
  <c r="BD81" i="6" a="1"/>
  <c r="BD81" i="6" s="1"/>
  <c r="BD82" i="6" a="1"/>
  <c r="BD82" i="6" s="1"/>
  <c r="BD83" i="6" a="1"/>
  <c r="BD83" i="6" s="1"/>
  <c r="BE83" i="6" s="1"/>
  <c r="AK83" i="6" s="1" a="1"/>
  <c r="AK83" i="6" s="1"/>
  <c r="BD84" i="6" a="1"/>
  <c r="BD84" i="6" s="1"/>
  <c r="BE84" i="6" s="1"/>
  <c r="AK84" i="6" s="1" a="1"/>
  <c r="AK84" i="6" s="1"/>
  <c r="BD85" i="6" a="1"/>
  <c r="BD85" i="6" s="1"/>
  <c r="BD86" i="6" a="1"/>
  <c r="BD86" i="6" s="1"/>
  <c r="BD87" i="6" a="1"/>
  <c r="BD87" i="6" s="1"/>
  <c r="BD88" i="6" a="1"/>
  <c r="BD88" i="6" s="1"/>
  <c r="BD89" i="6" a="1"/>
  <c r="BD89" i="6" s="1"/>
  <c r="BD90" i="6" a="1"/>
  <c r="BD90" i="6" s="1"/>
  <c r="BD91" i="6" a="1"/>
  <c r="BD91" i="6" s="1"/>
  <c r="BD92" i="6" a="1"/>
  <c r="BD92" i="6" s="1"/>
  <c r="BD93" i="6" a="1"/>
  <c r="BD93" i="6" s="1"/>
  <c r="BD94" i="6" a="1"/>
  <c r="BD94" i="6" s="1"/>
  <c r="BE94" i="6" s="1"/>
  <c r="AK94" i="6" s="1" a="1"/>
  <c r="AK94" i="6" s="1"/>
  <c r="BD95" i="6" a="1"/>
  <c r="BD95" i="6" s="1"/>
  <c r="BE95" i="6" s="1"/>
  <c r="AK95" i="6" s="1" a="1"/>
  <c r="AK95" i="6" s="1"/>
  <c r="BD96" i="6" a="1"/>
  <c r="BD96" i="6" s="1"/>
  <c r="BD97" i="6" a="1"/>
  <c r="BD97" i="6" s="1"/>
  <c r="BD98" i="6" a="1"/>
  <c r="BD98" i="6" s="1"/>
  <c r="BD99" i="6" a="1"/>
  <c r="BD99" i="6" s="1"/>
  <c r="BE99" i="6" s="1"/>
  <c r="AK99" i="6" s="1" a="1"/>
  <c r="AK99" i="6" s="1"/>
  <c r="BD100" i="6" a="1"/>
  <c r="BD100" i="6" s="1"/>
  <c r="BD101" i="6" a="1"/>
  <c r="BD101" i="6" s="1"/>
  <c r="BE101" i="6" s="1"/>
  <c r="AK101" i="6" s="1" a="1"/>
  <c r="AK101" i="6" s="1"/>
  <c r="BD102" i="6" a="1"/>
  <c r="BD102" i="6" s="1"/>
  <c r="BE102" i="6" s="1"/>
  <c r="AK102" i="6" s="1" a="1"/>
  <c r="AK102" i="6" s="1"/>
  <c r="BD103" i="6" a="1"/>
  <c r="BD103" i="6" s="1"/>
  <c r="BE103" i="6" s="1"/>
  <c r="AK103" i="6" s="1" a="1"/>
  <c r="AK103" i="6" s="1"/>
  <c r="BD104" i="6" a="1"/>
  <c r="BD104" i="6" s="1"/>
  <c r="BD105" i="6" a="1"/>
  <c r="BD105" i="6" s="1"/>
  <c r="BD106" i="6" a="1"/>
  <c r="BD106" i="6" s="1"/>
  <c r="BD107" i="6" a="1"/>
  <c r="BD107" i="6" s="1"/>
  <c r="BE107" i="6" s="1"/>
  <c r="AK107" i="6" s="1" a="1"/>
  <c r="AK107" i="6" s="1"/>
  <c r="BD108" i="6" a="1"/>
  <c r="BD108" i="6" s="1"/>
  <c r="BE108" i="6" s="1"/>
  <c r="AK108" i="6" s="1" a="1"/>
  <c r="AK108" i="6" s="1"/>
  <c r="BD109" i="6" a="1"/>
  <c r="BD109" i="6" s="1"/>
  <c r="BD110" i="6" a="1"/>
  <c r="BD110" i="6" s="1"/>
  <c r="BD111" i="6" a="1"/>
  <c r="BD111" i="6" s="1"/>
  <c r="BE111" i="6" s="1"/>
  <c r="AK111" i="6" s="1" a="1"/>
  <c r="AK111" i="6" s="1"/>
  <c r="BD112" i="6" a="1"/>
  <c r="BD112" i="6" s="1"/>
  <c r="BD113" i="6" a="1"/>
  <c r="BD113" i="6" s="1"/>
  <c r="BD114" i="6" a="1"/>
  <c r="BD114" i="6" s="1"/>
  <c r="BD115" i="6" a="1"/>
  <c r="BD115" i="6" s="1"/>
  <c r="BE115" i="6" s="1"/>
  <c r="AK115" i="6" s="1" a="1"/>
  <c r="AK115" i="6" s="1"/>
  <c r="BD116" i="6" a="1"/>
  <c r="BD116" i="6" s="1"/>
  <c r="BE116" i="6" s="1"/>
  <c r="AK116" i="6" s="1" a="1"/>
  <c r="AK116" i="6" s="1"/>
  <c r="BD117" i="6" a="1"/>
  <c r="BD117" i="6" s="1"/>
  <c r="BD118" i="6" a="1"/>
  <c r="BD118" i="6" s="1"/>
  <c r="BD119" i="6" a="1"/>
  <c r="BD119" i="6" s="1"/>
  <c r="BE119" i="6" s="1"/>
  <c r="AK119" i="6" s="1" a="1"/>
  <c r="AK119" i="6" s="1"/>
  <c r="BD120" i="6" a="1"/>
  <c r="BD120" i="6" s="1"/>
  <c r="BE120" i="6" s="1"/>
  <c r="AK120" i="6" s="1" a="1"/>
  <c r="AK120" i="6" s="1"/>
  <c r="BD121" i="6" a="1"/>
  <c r="BD121" i="6" s="1"/>
  <c r="BE121" i="6" s="1"/>
  <c r="AK121" i="6" s="1" a="1"/>
  <c r="AK121" i="6" s="1"/>
  <c r="BD122" i="6" a="1"/>
  <c r="BD122" i="6" s="1"/>
  <c r="BD123" i="6" a="1"/>
  <c r="BD123" i="6" s="1"/>
  <c r="BE123" i="6" s="1"/>
  <c r="AK123" i="6" s="1" a="1"/>
  <c r="AK123" i="6" s="1"/>
  <c r="BD124" i="6" a="1"/>
  <c r="BD124" i="6" s="1"/>
  <c r="BD125" i="6" a="1"/>
  <c r="BD125" i="6" s="1"/>
  <c r="BE125" i="6" s="1"/>
  <c r="AK125" i="6" s="1" a="1"/>
  <c r="AK125" i="6" s="1"/>
  <c r="BD126" i="6" a="1"/>
  <c r="BD126" i="6" s="1"/>
  <c r="BD127" i="6" a="1"/>
  <c r="BD127" i="6" s="1"/>
  <c r="BD128" i="6" a="1"/>
  <c r="BD128" i="6" s="1"/>
  <c r="BD129" i="6" a="1"/>
  <c r="BD129" i="6" s="1"/>
  <c r="BD130" i="6" a="1"/>
  <c r="BD130" i="6" s="1"/>
  <c r="BD131" i="6" a="1"/>
  <c r="BD131" i="6" s="1"/>
  <c r="BE131" i="6" s="1"/>
  <c r="AK131" i="6" s="1" a="1"/>
  <c r="AK131" i="6" s="1"/>
  <c r="BD132" i="6" a="1"/>
  <c r="BD132" i="6" s="1"/>
  <c r="BE132" i="6" s="1"/>
  <c r="AK132" i="6" s="1" a="1"/>
  <c r="AK132" i="6" s="1"/>
  <c r="BD133" i="6" a="1"/>
  <c r="BD133" i="6" s="1"/>
  <c r="BD134" i="6" a="1"/>
  <c r="BD134" i="6" s="1"/>
  <c r="BD135" i="6" a="1"/>
  <c r="BD135" i="6" s="1"/>
  <c r="BE135" i="6" s="1"/>
  <c r="AK135" i="6" s="1" a="1"/>
  <c r="AK135" i="6" s="1"/>
  <c r="BD136" i="6" a="1"/>
  <c r="BD136" i="6" s="1"/>
  <c r="BD137" i="6" a="1"/>
  <c r="BD137" i="6" s="1"/>
  <c r="BD138" i="6" a="1"/>
  <c r="BD138" i="6" s="1"/>
  <c r="BD139" i="6" a="1"/>
  <c r="BD139" i="6" s="1"/>
  <c r="BE139" i="6" s="1"/>
  <c r="AK139" i="6" s="1" a="1"/>
  <c r="AK139" i="6" s="1"/>
  <c r="BD140" i="6" a="1"/>
  <c r="BD140" i="6" s="1"/>
  <c r="BD141" i="6" a="1"/>
  <c r="BD141" i="6" s="1"/>
  <c r="BE141" i="6" s="1"/>
  <c r="AK141" i="6" s="1" a="1"/>
  <c r="AK141" i="6" s="1"/>
  <c r="BD142" i="6" a="1"/>
  <c r="BD142" i="6" s="1"/>
  <c r="BD143" i="6" a="1"/>
  <c r="BD143" i="6" s="1"/>
  <c r="BE143" i="6" s="1"/>
  <c r="AK143" i="6" s="1" a="1"/>
  <c r="AK143" i="6" s="1"/>
  <c r="BD144" i="6" a="1"/>
  <c r="BD144" i="6" s="1"/>
  <c r="BE144" i="6" s="1"/>
  <c r="AK144" i="6" s="1" a="1"/>
  <c r="AK144" i="6" s="1"/>
  <c r="BD145" i="6" a="1"/>
  <c r="BD145" i="6" s="1"/>
  <c r="BE145" i="6" s="1"/>
  <c r="AK145" i="6" s="1" a="1"/>
  <c r="AK145" i="6" s="1"/>
  <c r="BD146" i="6" a="1"/>
  <c r="BD146" i="6" s="1"/>
  <c r="BD147" i="6" a="1"/>
  <c r="BD147" i="6" s="1"/>
  <c r="BE147" i="6" s="1"/>
  <c r="AK147" i="6" s="1" a="1"/>
  <c r="AK147" i="6" s="1"/>
  <c r="BD148" i="6" a="1"/>
  <c r="BD148" i="6" s="1"/>
  <c r="BD149" i="6" a="1"/>
  <c r="BD149" i="6" s="1"/>
  <c r="BE149" i="6" s="1"/>
  <c r="AK149" i="6" s="1" a="1"/>
  <c r="AK149" i="6" s="1"/>
  <c r="BD150" i="6" a="1"/>
  <c r="BD150" i="6" s="1"/>
  <c r="BD151" i="6" a="1"/>
  <c r="BD151" i="6" s="1"/>
  <c r="BD152" i="6" a="1"/>
  <c r="BD152" i="6" s="1"/>
  <c r="BD153" i="6" a="1"/>
  <c r="BD153" i="6" s="1"/>
  <c r="BD154" i="6" a="1"/>
  <c r="BD154" i="6" s="1"/>
  <c r="BD155" i="6" a="1"/>
  <c r="BD155" i="6" s="1"/>
  <c r="BE155" i="6" s="1"/>
  <c r="AK155" i="6" s="1" a="1"/>
  <c r="AK155" i="6" s="1"/>
  <c r="BD156" i="6" a="1"/>
  <c r="BD156" i="6" s="1"/>
  <c r="BE156" i="6" s="1"/>
  <c r="AK156" i="6" s="1" a="1"/>
  <c r="AK156" i="6" s="1"/>
  <c r="BD157" i="6" a="1"/>
  <c r="BD157" i="6" s="1"/>
  <c r="BD158" i="6" a="1"/>
  <c r="BD158" i="6" s="1"/>
  <c r="AG40" i="6" a="1"/>
  <c r="AG40" i="6" s="1"/>
  <c r="AG41" i="6" a="1"/>
  <c r="AG41" i="6" s="1"/>
  <c r="AG42" i="6" a="1"/>
  <c r="AG42" i="6" s="1"/>
  <c r="AG43" i="6" a="1"/>
  <c r="AG43" i="6" s="1"/>
  <c r="AG44" i="6" a="1"/>
  <c r="AG44" i="6" s="1"/>
  <c r="AG45" i="6" a="1"/>
  <c r="AG45" i="6" s="1"/>
  <c r="AG46" i="6" a="1"/>
  <c r="AG46" i="6" s="1"/>
  <c r="AG47" i="6" a="1"/>
  <c r="AG47" i="6" s="1"/>
  <c r="AG48" i="6" a="1"/>
  <c r="AG48" i="6" s="1"/>
  <c r="AG49" i="6" a="1"/>
  <c r="AG49" i="6" s="1"/>
  <c r="AG50" i="6" a="1"/>
  <c r="AG50" i="6" s="1"/>
  <c r="AG51" i="6" a="1"/>
  <c r="AG51" i="6" s="1"/>
  <c r="AG52" i="6" a="1"/>
  <c r="AG52" i="6" s="1"/>
  <c r="AG53" i="6" a="1"/>
  <c r="AG53" i="6" s="1"/>
  <c r="AG54" i="6" a="1"/>
  <c r="AG54" i="6" s="1"/>
  <c r="AG55" i="6" a="1"/>
  <c r="AG55" i="6" s="1"/>
  <c r="AG56" i="6" a="1"/>
  <c r="AG56" i="6" s="1"/>
  <c r="AG57" i="6" a="1"/>
  <c r="AG57" i="6" s="1"/>
  <c r="AG58" i="6" a="1"/>
  <c r="AG58" i="6" s="1"/>
  <c r="AG59" i="6" a="1"/>
  <c r="AG59" i="6" s="1"/>
  <c r="AG60" i="6" a="1"/>
  <c r="AG60" i="6" s="1"/>
  <c r="AG61" i="6" a="1"/>
  <c r="AG61" i="6" s="1"/>
  <c r="AG62" i="6" a="1"/>
  <c r="AG62" i="6" s="1"/>
  <c r="AG63" i="6" a="1"/>
  <c r="AG63" i="6" s="1"/>
  <c r="AG64" i="6" a="1"/>
  <c r="AG64" i="6" s="1"/>
  <c r="AG65" i="6" a="1"/>
  <c r="AG65" i="6" s="1"/>
  <c r="AG66" i="6" a="1"/>
  <c r="AG66" i="6" s="1"/>
  <c r="AG67" i="6" a="1"/>
  <c r="AG67" i="6" s="1"/>
  <c r="AG68" i="6" a="1"/>
  <c r="AG68" i="6" s="1"/>
  <c r="AG69" i="6" a="1"/>
  <c r="AG69" i="6" s="1"/>
  <c r="AG70" i="6" a="1"/>
  <c r="AG70" i="6" s="1"/>
  <c r="AG71" i="6" a="1"/>
  <c r="AG71" i="6" s="1"/>
  <c r="AG72" i="6" a="1"/>
  <c r="AG72" i="6" s="1"/>
  <c r="AG73" i="6" a="1"/>
  <c r="AG73" i="6" s="1"/>
  <c r="AG74" i="6" a="1"/>
  <c r="AG74" i="6" s="1"/>
  <c r="AG75" i="6" a="1"/>
  <c r="AG75" i="6" s="1"/>
  <c r="AG76" i="6" a="1"/>
  <c r="AG76" i="6" s="1"/>
  <c r="AG77" i="6" a="1"/>
  <c r="AG77" i="6" s="1"/>
  <c r="AG78" i="6" a="1"/>
  <c r="AG78" i="6" s="1"/>
  <c r="AG79" i="6" a="1"/>
  <c r="AG79" i="6" s="1"/>
  <c r="AG80" i="6" a="1"/>
  <c r="AG80" i="6" s="1"/>
  <c r="AG81" i="6" a="1"/>
  <c r="AG81" i="6" s="1"/>
  <c r="AG82" i="6" a="1"/>
  <c r="AG82" i="6" s="1"/>
  <c r="AG83" i="6" a="1"/>
  <c r="AG83" i="6" s="1"/>
  <c r="AG84" i="6" a="1"/>
  <c r="AG84" i="6" s="1"/>
  <c r="AG85" i="6" a="1"/>
  <c r="AG85" i="6" s="1"/>
  <c r="AG86" i="6" a="1"/>
  <c r="AG86" i="6" s="1"/>
  <c r="AG87" i="6" a="1"/>
  <c r="AG87" i="6" s="1"/>
  <c r="AG88" i="6" a="1"/>
  <c r="AG88" i="6" s="1"/>
  <c r="AG89" i="6" a="1"/>
  <c r="AG89" i="6" s="1"/>
  <c r="AG90" i="6" a="1"/>
  <c r="AG90" i="6" s="1"/>
  <c r="AG91" i="6" a="1"/>
  <c r="AG91" i="6" s="1"/>
  <c r="AG92" i="6" a="1"/>
  <c r="AG92" i="6" s="1"/>
  <c r="AG93" i="6" a="1"/>
  <c r="AG93" i="6" s="1"/>
  <c r="AG94" i="6" a="1"/>
  <c r="AG94" i="6" s="1"/>
  <c r="AG95" i="6" a="1"/>
  <c r="AG95" i="6" s="1"/>
  <c r="AG96" i="6" a="1"/>
  <c r="AG96" i="6" s="1"/>
  <c r="AG97" i="6" a="1"/>
  <c r="AG97" i="6" s="1"/>
  <c r="AG98" i="6" a="1"/>
  <c r="AG98" i="6" s="1"/>
  <c r="AG99" i="6" a="1"/>
  <c r="AG99" i="6" s="1"/>
  <c r="AG100" i="6" a="1"/>
  <c r="AG100" i="6" s="1"/>
  <c r="AG101" i="6" a="1"/>
  <c r="AG101" i="6" s="1"/>
  <c r="AG102" i="6" a="1"/>
  <c r="AG102" i="6" s="1"/>
  <c r="AG103" i="6" a="1"/>
  <c r="AG103" i="6" s="1"/>
  <c r="AG104" i="6" a="1"/>
  <c r="AG104" i="6" s="1"/>
  <c r="AG105" i="6" a="1"/>
  <c r="AG105" i="6" s="1"/>
  <c r="AG106" i="6" a="1"/>
  <c r="AG106" i="6" s="1"/>
  <c r="AG107" i="6" a="1"/>
  <c r="AG107" i="6" s="1"/>
  <c r="AG108" i="6" a="1"/>
  <c r="AG108" i="6" s="1"/>
  <c r="AG109" i="6" a="1"/>
  <c r="AG109" i="6" s="1"/>
  <c r="AG110" i="6" a="1"/>
  <c r="AG110" i="6" s="1"/>
  <c r="AG111" i="6" a="1"/>
  <c r="AG111" i="6" s="1"/>
  <c r="AG112" i="6" a="1"/>
  <c r="AG112" i="6" s="1"/>
  <c r="AG113" i="6" a="1"/>
  <c r="AG113" i="6" s="1"/>
  <c r="AG114" i="6" a="1"/>
  <c r="AG114" i="6" s="1"/>
  <c r="AG115" i="6" a="1"/>
  <c r="AG115" i="6" s="1"/>
  <c r="AG116" i="6" a="1"/>
  <c r="AG116" i="6" s="1"/>
  <c r="AG117" i="6" a="1"/>
  <c r="AG117" i="6" s="1"/>
  <c r="AG118" i="6" a="1"/>
  <c r="AG118" i="6" s="1"/>
  <c r="AG119" i="6" a="1"/>
  <c r="AG119" i="6" s="1"/>
  <c r="AG120" i="6" a="1"/>
  <c r="AG120" i="6" s="1"/>
  <c r="AG121" i="6" a="1"/>
  <c r="AG121" i="6" s="1"/>
  <c r="AG122" i="6" a="1"/>
  <c r="AG122" i="6" s="1"/>
  <c r="AG123" i="6" a="1"/>
  <c r="AG123" i="6" s="1"/>
  <c r="AG124" i="6" a="1"/>
  <c r="AG124" i="6" s="1"/>
  <c r="AG125" i="6" a="1"/>
  <c r="AG125" i="6" s="1"/>
  <c r="AG126" i="6" a="1"/>
  <c r="AG126" i="6" s="1"/>
  <c r="AG127" i="6" a="1"/>
  <c r="AG127" i="6" s="1"/>
  <c r="AG128" i="6" a="1"/>
  <c r="AG128" i="6" s="1"/>
  <c r="AG129" i="6" a="1"/>
  <c r="AG129" i="6" s="1"/>
  <c r="AG130" i="6" a="1"/>
  <c r="AG130" i="6" s="1"/>
  <c r="AG131" i="6" a="1"/>
  <c r="AG131" i="6" s="1"/>
  <c r="AG132" i="6" a="1"/>
  <c r="AG132" i="6" s="1"/>
  <c r="AG133" i="6" a="1"/>
  <c r="AG133" i="6" s="1"/>
  <c r="AG134" i="6" a="1"/>
  <c r="AG134" i="6" s="1"/>
  <c r="AG135" i="6" a="1"/>
  <c r="AG135" i="6" s="1"/>
  <c r="AG136" i="6" a="1"/>
  <c r="AG136" i="6" s="1"/>
  <c r="AG137" i="6" a="1"/>
  <c r="AG137" i="6" s="1"/>
  <c r="AG138" i="6" a="1"/>
  <c r="AG138" i="6" s="1"/>
  <c r="AG139" i="6" a="1"/>
  <c r="AG139" i="6" s="1"/>
  <c r="AG140" i="6" a="1"/>
  <c r="AG140" i="6" s="1"/>
  <c r="AG141" i="6" a="1"/>
  <c r="AG141" i="6" s="1"/>
  <c r="AG142" i="6" a="1"/>
  <c r="AG142" i="6" s="1"/>
  <c r="AG143" i="6" a="1"/>
  <c r="AG143" i="6" s="1"/>
  <c r="AG144" i="6" a="1"/>
  <c r="AG144" i="6" s="1"/>
  <c r="AG145" i="6" a="1"/>
  <c r="AG145" i="6" s="1"/>
  <c r="AG146" i="6" a="1"/>
  <c r="AG146" i="6" s="1"/>
  <c r="AG147" i="6" a="1"/>
  <c r="AG147" i="6" s="1"/>
  <c r="AG148" i="6" a="1"/>
  <c r="AG148" i="6" s="1"/>
  <c r="AG149" i="6" a="1"/>
  <c r="AG149" i="6" s="1"/>
  <c r="AG150" i="6" a="1"/>
  <c r="AG150" i="6" s="1"/>
  <c r="AG151" i="6" a="1"/>
  <c r="AG151" i="6" s="1"/>
  <c r="AG152" i="6" a="1"/>
  <c r="AG152" i="6" s="1"/>
  <c r="AG153" i="6" a="1"/>
  <c r="AG153" i="6" s="1"/>
  <c r="AG154" i="6" a="1"/>
  <c r="AG154" i="6" s="1"/>
  <c r="AG155" i="6" a="1"/>
  <c r="AG155" i="6" s="1"/>
  <c r="AG156" i="6" a="1"/>
  <c r="AG156" i="6" s="1"/>
  <c r="AG157" i="6" a="1"/>
  <c r="AG157" i="6" s="1"/>
  <c r="AG158" i="6" a="1"/>
  <c r="AG158" i="6" s="1"/>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H149" i="6"/>
  <c r="AH150" i="6"/>
  <c r="AH151" i="6"/>
  <c r="AH152" i="6"/>
  <c r="AH153" i="6"/>
  <c r="AH154" i="6"/>
  <c r="AH155" i="6"/>
  <c r="AH156" i="6"/>
  <c r="AH157" i="6"/>
  <c r="AH158" i="6"/>
  <c r="AI40" i="6"/>
  <c r="AI41" i="6"/>
  <c r="AI42" i="6"/>
  <c r="AI43" i="6"/>
  <c r="AI44" i="6"/>
  <c r="AI45" i="6"/>
  <c r="AI46" i="6"/>
  <c r="AI47" i="6"/>
  <c r="AI48" i="6"/>
  <c r="AI49" i="6"/>
  <c r="AI50" i="6"/>
  <c r="AI51" i="6"/>
  <c r="AI52" i="6"/>
  <c r="AI53" i="6"/>
  <c r="AI54" i="6"/>
  <c r="AI55" i="6"/>
  <c r="AI56" i="6"/>
  <c r="AI57" i="6"/>
  <c r="AI58" i="6"/>
  <c r="AI59" i="6"/>
  <c r="AI60" i="6"/>
  <c r="AI61" i="6"/>
  <c r="AI62" i="6"/>
  <c r="AI63" i="6"/>
  <c r="AI64" i="6"/>
  <c r="AI65" i="6"/>
  <c r="AI66" i="6"/>
  <c r="AI67" i="6"/>
  <c r="AI68" i="6"/>
  <c r="AI69" i="6"/>
  <c r="AI70" i="6"/>
  <c r="AI71" i="6"/>
  <c r="AI72" i="6"/>
  <c r="AI73" i="6"/>
  <c r="AI74" i="6"/>
  <c r="AI75" i="6"/>
  <c r="AI76" i="6"/>
  <c r="AI77" i="6"/>
  <c r="AI78" i="6"/>
  <c r="AI79" i="6"/>
  <c r="AI80" i="6"/>
  <c r="AI81" i="6"/>
  <c r="AI82" i="6"/>
  <c r="AI83" i="6"/>
  <c r="AI84" i="6"/>
  <c r="AI85" i="6"/>
  <c r="AI86" i="6"/>
  <c r="AI87" i="6"/>
  <c r="AI88" i="6"/>
  <c r="AI89" i="6"/>
  <c r="AI90" i="6"/>
  <c r="AI91" i="6"/>
  <c r="AI92" i="6"/>
  <c r="AI93" i="6"/>
  <c r="AI94" i="6"/>
  <c r="AI95" i="6"/>
  <c r="AI96" i="6"/>
  <c r="AI97" i="6"/>
  <c r="AI98" i="6"/>
  <c r="AI99" i="6"/>
  <c r="AI100" i="6"/>
  <c r="AI101" i="6"/>
  <c r="AI102" i="6"/>
  <c r="AI103" i="6"/>
  <c r="AI104" i="6"/>
  <c r="AI105" i="6"/>
  <c r="AI106" i="6"/>
  <c r="AI107" i="6"/>
  <c r="AI108" i="6"/>
  <c r="AI109" i="6"/>
  <c r="AI110" i="6"/>
  <c r="AI111" i="6"/>
  <c r="AI112" i="6"/>
  <c r="AI113" i="6"/>
  <c r="AI114" i="6"/>
  <c r="AI115" i="6"/>
  <c r="AI116" i="6"/>
  <c r="AI117" i="6"/>
  <c r="AI118" i="6"/>
  <c r="AI119" i="6"/>
  <c r="AI120" i="6"/>
  <c r="AI121" i="6"/>
  <c r="AI122" i="6"/>
  <c r="AI123" i="6"/>
  <c r="AI124" i="6"/>
  <c r="AI125" i="6"/>
  <c r="AI126" i="6"/>
  <c r="AI127" i="6"/>
  <c r="AI128" i="6"/>
  <c r="AI129" i="6"/>
  <c r="AI130" i="6"/>
  <c r="AI131" i="6"/>
  <c r="AI132" i="6"/>
  <c r="AI133" i="6"/>
  <c r="AI134" i="6"/>
  <c r="AI135" i="6"/>
  <c r="AI136" i="6"/>
  <c r="AI137" i="6"/>
  <c r="AI138" i="6"/>
  <c r="AI139" i="6"/>
  <c r="AI140" i="6"/>
  <c r="AI141" i="6"/>
  <c r="AI142" i="6"/>
  <c r="AI143" i="6"/>
  <c r="AI144" i="6"/>
  <c r="AI145" i="6"/>
  <c r="AI146" i="6"/>
  <c r="AI147" i="6"/>
  <c r="AI148" i="6"/>
  <c r="AI149" i="6"/>
  <c r="AI150" i="6"/>
  <c r="AI151" i="6"/>
  <c r="AI152" i="6"/>
  <c r="AI153" i="6"/>
  <c r="AI154" i="6"/>
  <c r="AI155" i="6"/>
  <c r="AI156" i="6"/>
  <c r="AI157" i="6"/>
  <c r="AI158"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80" i="6"/>
  <c r="AJ81" i="6"/>
  <c r="AJ82" i="6"/>
  <c r="AJ83" i="6"/>
  <c r="AJ84" i="6"/>
  <c r="AJ85" i="6"/>
  <c r="AJ86" i="6"/>
  <c r="AJ87" i="6"/>
  <c r="AJ88" i="6"/>
  <c r="AJ89" i="6"/>
  <c r="AJ90" i="6"/>
  <c r="AJ91" i="6"/>
  <c r="AJ92" i="6"/>
  <c r="AJ93" i="6"/>
  <c r="AJ94" i="6"/>
  <c r="AJ95" i="6"/>
  <c r="AJ96" i="6"/>
  <c r="AJ97" i="6"/>
  <c r="AJ98" i="6"/>
  <c r="AJ99" i="6"/>
  <c r="AJ100" i="6"/>
  <c r="AJ101" i="6"/>
  <c r="AJ102" i="6"/>
  <c r="AJ103" i="6"/>
  <c r="AJ104" i="6"/>
  <c r="AJ105" i="6"/>
  <c r="AJ106" i="6"/>
  <c r="AJ107" i="6"/>
  <c r="AJ108" i="6"/>
  <c r="AJ109" i="6"/>
  <c r="AJ110" i="6"/>
  <c r="AJ111" i="6"/>
  <c r="AJ112" i="6"/>
  <c r="AJ113" i="6"/>
  <c r="AJ114" i="6"/>
  <c r="AJ115" i="6"/>
  <c r="AJ116" i="6"/>
  <c r="AJ117" i="6"/>
  <c r="AJ118" i="6"/>
  <c r="AJ119" i="6"/>
  <c r="AJ120" i="6"/>
  <c r="AJ121" i="6"/>
  <c r="AJ122" i="6"/>
  <c r="AJ123" i="6"/>
  <c r="AJ124" i="6"/>
  <c r="AJ125" i="6"/>
  <c r="AJ126" i="6"/>
  <c r="AJ127" i="6"/>
  <c r="AJ128" i="6"/>
  <c r="AJ129" i="6"/>
  <c r="AJ130" i="6"/>
  <c r="AJ131" i="6"/>
  <c r="AJ132" i="6"/>
  <c r="AJ133" i="6"/>
  <c r="AJ134" i="6"/>
  <c r="AJ135" i="6"/>
  <c r="AJ136" i="6"/>
  <c r="AJ137" i="6"/>
  <c r="AJ138" i="6"/>
  <c r="AJ139" i="6"/>
  <c r="AJ140" i="6"/>
  <c r="AJ141" i="6"/>
  <c r="AJ142" i="6"/>
  <c r="AJ143" i="6"/>
  <c r="AJ144" i="6"/>
  <c r="AJ145" i="6"/>
  <c r="AJ146" i="6"/>
  <c r="AJ147" i="6"/>
  <c r="AJ148" i="6"/>
  <c r="AJ149" i="6"/>
  <c r="AJ150" i="6"/>
  <c r="AJ151" i="6"/>
  <c r="AJ152" i="6"/>
  <c r="AJ153" i="6"/>
  <c r="AJ154" i="6"/>
  <c r="AJ155" i="6"/>
  <c r="AJ156" i="6"/>
  <c r="AJ157" i="6"/>
  <c r="AJ158" i="6"/>
  <c r="AL40" i="6" a="1"/>
  <c r="AL40" i="6" s="1"/>
  <c r="AL41" i="6" a="1"/>
  <c r="AL41" i="6" s="1"/>
  <c r="AL42" i="6" a="1"/>
  <c r="AL42" i="6" s="1"/>
  <c r="AL43" i="6" a="1"/>
  <c r="AL43" i="6" s="1"/>
  <c r="AL44" i="6" a="1"/>
  <c r="AL44" i="6" s="1"/>
  <c r="AL45" i="6" a="1"/>
  <c r="AL45" i="6" s="1"/>
  <c r="AL46" i="6" a="1"/>
  <c r="AL46" i="6" s="1"/>
  <c r="AL47" i="6" a="1"/>
  <c r="AL47" i="6" s="1"/>
  <c r="AL48" i="6" a="1"/>
  <c r="AL48" i="6" s="1"/>
  <c r="AL49" i="6" a="1"/>
  <c r="AL49" i="6" s="1"/>
  <c r="AL50" i="6" a="1"/>
  <c r="AL50" i="6" s="1"/>
  <c r="AL51" i="6" a="1"/>
  <c r="AL51" i="6" s="1"/>
  <c r="AL52" i="6" a="1"/>
  <c r="AL52" i="6" s="1"/>
  <c r="AL53" i="6" a="1"/>
  <c r="AL53" i="6" s="1"/>
  <c r="AL54" i="6" a="1"/>
  <c r="AL54" i="6" s="1"/>
  <c r="AL55" i="6" a="1"/>
  <c r="AL55" i="6" s="1"/>
  <c r="AL56" i="6" a="1"/>
  <c r="AL56" i="6" s="1"/>
  <c r="AL57" i="6" a="1"/>
  <c r="AL57" i="6" s="1"/>
  <c r="AL58" i="6" a="1"/>
  <c r="AL58" i="6" s="1"/>
  <c r="AL59" i="6" a="1"/>
  <c r="AL59" i="6" s="1"/>
  <c r="AL60" i="6" a="1"/>
  <c r="AL60" i="6" s="1"/>
  <c r="AL61" i="6" a="1"/>
  <c r="AL61" i="6" s="1"/>
  <c r="AL62" i="6" a="1"/>
  <c r="AL62" i="6" s="1"/>
  <c r="AL63" i="6" a="1"/>
  <c r="AL63" i="6" s="1"/>
  <c r="AL64" i="6" a="1"/>
  <c r="AL64" i="6" s="1"/>
  <c r="AL65" i="6" a="1"/>
  <c r="AL65" i="6" s="1"/>
  <c r="AL66" i="6" a="1"/>
  <c r="AL66" i="6" s="1"/>
  <c r="AL67" i="6" a="1"/>
  <c r="AL67" i="6" s="1"/>
  <c r="AL68" i="6" a="1"/>
  <c r="AL68" i="6" s="1"/>
  <c r="AL69" i="6" a="1"/>
  <c r="AL69" i="6" s="1"/>
  <c r="AL70" i="6" a="1"/>
  <c r="AL70" i="6" s="1"/>
  <c r="AL71" i="6" a="1"/>
  <c r="AL71" i="6" s="1"/>
  <c r="AL72" i="6" a="1"/>
  <c r="AL72" i="6" s="1"/>
  <c r="AL73" i="6" a="1"/>
  <c r="AL73" i="6" s="1"/>
  <c r="AL74" i="6" a="1"/>
  <c r="AL74" i="6" s="1"/>
  <c r="AL75" i="6" a="1"/>
  <c r="AL75" i="6" s="1"/>
  <c r="AL76" i="6" a="1"/>
  <c r="AL76" i="6" s="1"/>
  <c r="AL77" i="6" a="1"/>
  <c r="AL77" i="6" s="1"/>
  <c r="AL78" i="6" a="1"/>
  <c r="AL78" i="6" s="1"/>
  <c r="AL79" i="6" a="1"/>
  <c r="AL79" i="6" s="1"/>
  <c r="AL80" i="6" a="1"/>
  <c r="AL80" i="6" s="1"/>
  <c r="AL81" i="6" a="1"/>
  <c r="AL81" i="6" s="1"/>
  <c r="AL82" i="6" a="1"/>
  <c r="AL82" i="6" s="1"/>
  <c r="AL83" i="6" a="1"/>
  <c r="AL83" i="6" s="1"/>
  <c r="AL84" i="6" a="1"/>
  <c r="AL84" i="6" s="1"/>
  <c r="AL85" i="6" a="1"/>
  <c r="AL85" i="6" s="1"/>
  <c r="AL86" i="6" a="1"/>
  <c r="AL86" i="6" s="1"/>
  <c r="AL87" i="6" a="1"/>
  <c r="AL87" i="6" s="1"/>
  <c r="AL88" i="6" a="1"/>
  <c r="AL88" i="6" s="1"/>
  <c r="AL89" i="6" a="1"/>
  <c r="AL89" i="6" s="1"/>
  <c r="AL90" i="6" a="1"/>
  <c r="AL90" i="6" s="1"/>
  <c r="AL91" i="6" a="1"/>
  <c r="AL91" i="6" s="1"/>
  <c r="AL92" i="6" a="1"/>
  <c r="AL92" i="6" s="1"/>
  <c r="AL93" i="6" a="1"/>
  <c r="AL93" i="6" s="1"/>
  <c r="AL94" i="6" a="1"/>
  <c r="AL94" i="6" s="1"/>
  <c r="AL95" i="6" a="1"/>
  <c r="AL95" i="6" s="1"/>
  <c r="AL96" i="6" a="1"/>
  <c r="AL96" i="6" s="1"/>
  <c r="AL97" i="6" a="1"/>
  <c r="AL97" i="6" s="1"/>
  <c r="AL98" i="6" a="1"/>
  <c r="AL98" i="6" s="1"/>
  <c r="AL99" i="6" a="1"/>
  <c r="AL99" i="6" s="1"/>
  <c r="AL100" i="6" a="1"/>
  <c r="AL100" i="6" s="1"/>
  <c r="AL101" i="6" a="1"/>
  <c r="AL101" i="6" s="1"/>
  <c r="AL102" i="6" a="1"/>
  <c r="AL102" i="6" s="1"/>
  <c r="AL103" i="6" a="1"/>
  <c r="AL103" i="6" s="1"/>
  <c r="AL104" i="6" a="1"/>
  <c r="AL104" i="6" s="1"/>
  <c r="AL105" i="6" a="1"/>
  <c r="AL105" i="6" s="1"/>
  <c r="AL106" i="6" a="1"/>
  <c r="AL106" i="6" s="1"/>
  <c r="AL107" i="6" a="1"/>
  <c r="AL107" i="6" s="1"/>
  <c r="AL108" i="6" a="1"/>
  <c r="AL108" i="6" s="1"/>
  <c r="AL109" i="6" a="1"/>
  <c r="AL109" i="6" s="1"/>
  <c r="AL110" i="6" a="1"/>
  <c r="AL110" i="6" s="1"/>
  <c r="AL111" i="6" a="1"/>
  <c r="AL111" i="6" s="1"/>
  <c r="AL112" i="6" a="1"/>
  <c r="AL112" i="6" s="1"/>
  <c r="AL113" i="6" a="1"/>
  <c r="AL113" i="6" s="1"/>
  <c r="AL114" i="6" a="1"/>
  <c r="AL114" i="6" s="1"/>
  <c r="AL115" i="6" a="1"/>
  <c r="AL115" i="6" s="1"/>
  <c r="AL116" i="6" a="1"/>
  <c r="AL116" i="6" s="1"/>
  <c r="AL117" i="6" a="1"/>
  <c r="AL117" i="6" s="1"/>
  <c r="AL118" i="6" a="1"/>
  <c r="AL118" i="6" s="1"/>
  <c r="AL119" i="6" a="1"/>
  <c r="AL119" i="6" s="1"/>
  <c r="AL120" i="6" a="1"/>
  <c r="AL120" i="6" s="1"/>
  <c r="AL121" i="6" a="1"/>
  <c r="AL121" i="6" s="1"/>
  <c r="AL122" i="6" a="1"/>
  <c r="AL122" i="6" s="1"/>
  <c r="AL123" i="6" a="1"/>
  <c r="AL123" i="6" s="1"/>
  <c r="AL124" i="6" a="1"/>
  <c r="AL124" i="6" s="1"/>
  <c r="AL125" i="6" a="1"/>
  <c r="AL125" i="6" s="1"/>
  <c r="AL126" i="6" a="1"/>
  <c r="AL126" i="6" s="1"/>
  <c r="AL127" i="6" a="1"/>
  <c r="AL127" i="6" s="1"/>
  <c r="AL128" i="6" a="1"/>
  <c r="AL128" i="6" s="1"/>
  <c r="AL129" i="6" a="1"/>
  <c r="AL129" i="6" s="1"/>
  <c r="AL130" i="6" a="1"/>
  <c r="AL130" i="6" s="1"/>
  <c r="AL131" i="6" a="1"/>
  <c r="AL131" i="6" s="1"/>
  <c r="AL132" i="6" a="1"/>
  <c r="AL132" i="6" s="1"/>
  <c r="AL133" i="6" a="1"/>
  <c r="AL133" i="6" s="1"/>
  <c r="AL134" i="6" a="1"/>
  <c r="AL134" i="6" s="1"/>
  <c r="AL135" i="6" a="1"/>
  <c r="AL135" i="6" s="1"/>
  <c r="AL136" i="6" a="1"/>
  <c r="AL136" i="6" s="1"/>
  <c r="AL137" i="6" a="1"/>
  <c r="AL137" i="6" s="1"/>
  <c r="AL138" i="6" a="1"/>
  <c r="AL138" i="6" s="1"/>
  <c r="AL139" i="6" a="1"/>
  <c r="AL139" i="6" s="1"/>
  <c r="AL140" i="6" a="1"/>
  <c r="AL140" i="6" s="1"/>
  <c r="AL141" i="6" a="1"/>
  <c r="AL141" i="6" s="1"/>
  <c r="AL142" i="6" a="1"/>
  <c r="AL142" i="6" s="1"/>
  <c r="AL143" i="6" a="1"/>
  <c r="AL143" i="6" s="1"/>
  <c r="AL144" i="6" a="1"/>
  <c r="AL144" i="6" s="1"/>
  <c r="AL145" i="6" a="1"/>
  <c r="AL145" i="6" s="1"/>
  <c r="AL146" i="6" a="1"/>
  <c r="AL146" i="6" s="1"/>
  <c r="AL147" i="6" a="1"/>
  <c r="AL147" i="6" s="1"/>
  <c r="AL148" i="6" a="1"/>
  <c r="AL148" i="6" s="1"/>
  <c r="AL149" i="6" a="1"/>
  <c r="AL149" i="6" s="1"/>
  <c r="AL150" i="6" a="1"/>
  <c r="AL150" i="6" s="1"/>
  <c r="AL151" i="6" a="1"/>
  <c r="AL151" i="6" s="1"/>
  <c r="AL152" i="6" a="1"/>
  <c r="AL152" i="6" s="1"/>
  <c r="AL153" i="6" a="1"/>
  <c r="AL153" i="6" s="1"/>
  <c r="AL154" i="6" a="1"/>
  <c r="AL154" i="6" s="1"/>
  <c r="AL155" i="6" a="1"/>
  <c r="AL155" i="6" s="1"/>
  <c r="AL156" i="6" a="1"/>
  <c r="AL156" i="6" s="1"/>
  <c r="AL157" i="6" a="1"/>
  <c r="AL157" i="6" s="1"/>
  <c r="AL158" i="6" a="1"/>
  <c r="AL158" i="6" s="1"/>
  <c r="AO40" i="6" a="1"/>
  <c r="AO40" i="6" s="1"/>
  <c r="AO41" i="6" a="1"/>
  <c r="AO41" i="6" s="1"/>
  <c r="AO42" i="6" a="1"/>
  <c r="AO42" i="6" s="1"/>
  <c r="AO43" i="6" a="1"/>
  <c r="AO43" i="6" s="1"/>
  <c r="AO44" i="6" a="1"/>
  <c r="AO44" i="6" s="1"/>
  <c r="AO45" i="6" a="1"/>
  <c r="AO45" i="6" s="1"/>
  <c r="AO46" i="6" a="1"/>
  <c r="AO46" i="6" s="1"/>
  <c r="AO47" i="6" a="1"/>
  <c r="AO47" i="6" s="1"/>
  <c r="AO48" i="6" a="1"/>
  <c r="AO48" i="6" s="1"/>
  <c r="AO49" i="6" a="1"/>
  <c r="AO49" i="6" s="1"/>
  <c r="AO50" i="6" a="1"/>
  <c r="AO50" i="6" s="1"/>
  <c r="AO51" i="6" a="1"/>
  <c r="AO51" i="6" s="1"/>
  <c r="AO52" i="6" a="1"/>
  <c r="AO52" i="6" s="1"/>
  <c r="AO53" i="6" a="1"/>
  <c r="AO53" i="6" s="1"/>
  <c r="AO54" i="6" a="1"/>
  <c r="AO54" i="6" s="1"/>
  <c r="AO55" i="6" a="1"/>
  <c r="AO55" i="6" s="1"/>
  <c r="AO56" i="6" a="1"/>
  <c r="AO56" i="6" s="1"/>
  <c r="AO57" i="6" a="1"/>
  <c r="AO57" i="6" s="1"/>
  <c r="AO58" i="6" a="1"/>
  <c r="AO58" i="6" s="1"/>
  <c r="AO59" i="6" a="1"/>
  <c r="AO59" i="6" s="1"/>
  <c r="AO60" i="6" a="1"/>
  <c r="AO60" i="6" s="1"/>
  <c r="AO61" i="6" a="1"/>
  <c r="AO61" i="6" s="1"/>
  <c r="AO62" i="6" a="1"/>
  <c r="AO62" i="6" s="1"/>
  <c r="AO63" i="6" a="1"/>
  <c r="AO63" i="6" s="1"/>
  <c r="AO64" i="6" a="1"/>
  <c r="AO64" i="6" s="1"/>
  <c r="AO65" i="6" a="1"/>
  <c r="AO65" i="6" s="1"/>
  <c r="AO66" i="6" a="1"/>
  <c r="AO66" i="6" s="1"/>
  <c r="AO67" i="6" a="1"/>
  <c r="AO67" i="6" s="1"/>
  <c r="AO68" i="6" a="1"/>
  <c r="AO68" i="6" s="1"/>
  <c r="AO69" i="6" a="1"/>
  <c r="AO69" i="6" s="1"/>
  <c r="AO70" i="6" a="1"/>
  <c r="AO70" i="6" s="1"/>
  <c r="AO71" i="6" a="1"/>
  <c r="AO71" i="6" s="1"/>
  <c r="AO72" i="6" a="1"/>
  <c r="AO72" i="6" s="1"/>
  <c r="AO73" i="6" a="1"/>
  <c r="AO73" i="6" s="1"/>
  <c r="AO74" i="6" a="1"/>
  <c r="AO74" i="6" s="1"/>
  <c r="AO75" i="6" a="1"/>
  <c r="AO75" i="6" s="1"/>
  <c r="AO76" i="6" a="1"/>
  <c r="AO76" i="6" s="1"/>
  <c r="AO77" i="6" a="1"/>
  <c r="AO77" i="6" s="1"/>
  <c r="AO78" i="6" a="1"/>
  <c r="AO78" i="6" s="1"/>
  <c r="AO79" i="6" a="1"/>
  <c r="AO79" i="6" s="1"/>
  <c r="AO80" i="6" a="1"/>
  <c r="AO80" i="6" s="1"/>
  <c r="AO81" i="6" a="1"/>
  <c r="AO81" i="6" s="1"/>
  <c r="AO82" i="6" a="1"/>
  <c r="AO82" i="6" s="1"/>
  <c r="AO83" i="6" a="1"/>
  <c r="AO83" i="6" s="1"/>
  <c r="AO84" i="6" a="1"/>
  <c r="AO84" i="6" s="1"/>
  <c r="AO85" i="6" a="1"/>
  <c r="AO85" i="6" s="1"/>
  <c r="AO86" i="6" a="1"/>
  <c r="AO86" i="6" s="1"/>
  <c r="AO87" i="6" a="1"/>
  <c r="AO87" i="6" s="1"/>
  <c r="AO88" i="6" a="1"/>
  <c r="AO88" i="6" s="1"/>
  <c r="AO89" i="6" a="1"/>
  <c r="AO89" i="6" s="1"/>
  <c r="AO90" i="6" a="1"/>
  <c r="AO90" i="6" s="1"/>
  <c r="AO91" i="6" a="1"/>
  <c r="AO91" i="6" s="1"/>
  <c r="AO92" i="6" a="1"/>
  <c r="AO92" i="6" s="1"/>
  <c r="AO93" i="6" a="1"/>
  <c r="AO93" i="6" s="1"/>
  <c r="AO94" i="6" a="1"/>
  <c r="AO94" i="6" s="1"/>
  <c r="AO95" i="6" a="1"/>
  <c r="AO95" i="6" s="1"/>
  <c r="AO96" i="6" a="1"/>
  <c r="AO96" i="6" s="1"/>
  <c r="AO97" i="6" a="1"/>
  <c r="AO97" i="6" s="1"/>
  <c r="AO98" i="6" a="1"/>
  <c r="AO98" i="6" s="1"/>
  <c r="AO99" i="6" a="1"/>
  <c r="AO99" i="6" s="1"/>
  <c r="AO100" i="6" a="1"/>
  <c r="AO100" i="6" s="1"/>
  <c r="AO101" i="6" a="1"/>
  <c r="AO101" i="6" s="1"/>
  <c r="AO102" i="6" a="1"/>
  <c r="AO102" i="6" s="1"/>
  <c r="AO103" i="6" a="1"/>
  <c r="AO103" i="6" s="1"/>
  <c r="AO104" i="6" a="1"/>
  <c r="AO104" i="6" s="1"/>
  <c r="AO105" i="6" a="1"/>
  <c r="AO105" i="6" s="1"/>
  <c r="AO106" i="6" a="1"/>
  <c r="AO106" i="6" s="1"/>
  <c r="AO107" i="6" a="1"/>
  <c r="AO107" i="6" s="1"/>
  <c r="AO108" i="6" a="1"/>
  <c r="AO108" i="6" s="1"/>
  <c r="AO109" i="6" a="1"/>
  <c r="AO109" i="6" s="1"/>
  <c r="AO110" i="6" a="1"/>
  <c r="AO110" i="6" s="1"/>
  <c r="AO111" i="6" a="1"/>
  <c r="AO111" i="6" s="1"/>
  <c r="AO112" i="6" a="1"/>
  <c r="AO112" i="6" s="1"/>
  <c r="AO113" i="6" a="1"/>
  <c r="AO113" i="6" s="1"/>
  <c r="AO114" i="6" a="1"/>
  <c r="AO114" i="6" s="1"/>
  <c r="AO115" i="6" a="1"/>
  <c r="AO115" i="6" s="1"/>
  <c r="AO116" i="6" a="1"/>
  <c r="AO116" i="6" s="1"/>
  <c r="AO117" i="6" a="1"/>
  <c r="AO117" i="6" s="1"/>
  <c r="AO118" i="6" a="1"/>
  <c r="AO118" i="6" s="1"/>
  <c r="AO119" i="6" a="1"/>
  <c r="AO119" i="6" s="1"/>
  <c r="AO120" i="6" a="1"/>
  <c r="AO120" i="6" s="1"/>
  <c r="AO121" i="6" a="1"/>
  <c r="AO121" i="6" s="1"/>
  <c r="AO122" i="6" a="1"/>
  <c r="AO122" i="6" s="1"/>
  <c r="AO123" i="6" a="1"/>
  <c r="AO123" i="6" s="1"/>
  <c r="AO124" i="6" a="1"/>
  <c r="AO124" i="6" s="1"/>
  <c r="AO125" i="6" a="1"/>
  <c r="AO125" i="6" s="1"/>
  <c r="AO126" i="6" a="1"/>
  <c r="AO126" i="6" s="1"/>
  <c r="AO127" i="6" a="1"/>
  <c r="AO127" i="6" s="1"/>
  <c r="AO128" i="6" a="1"/>
  <c r="AO128" i="6" s="1"/>
  <c r="AO129" i="6" a="1"/>
  <c r="AO129" i="6" s="1"/>
  <c r="AO130" i="6" a="1"/>
  <c r="AO130" i="6" s="1"/>
  <c r="AO131" i="6" a="1"/>
  <c r="AO131" i="6" s="1"/>
  <c r="AO132" i="6" a="1"/>
  <c r="AO132" i="6" s="1"/>
  <c r="AO133" i="6" a="1"/>
  <c r="AO133" i="6" s="1"/>
  <c r="AO134" i="6" a="1"/>
  <c r="AO134" i="6" s="1"/>
  <c r="AO135" i="6" a="1"/>
  <c r="AO135" i="6" s="1"/>
  <c r="AO136" i="6" a="1"/>
  <c r="AO136" i="6" s="1"/>
  <c r="AO137" i="6" a="1"/>
  <c r="AO137" i="6" s="1"/>
  <c r="AO138" i="6" a="1"/>
  <c r="AO138" i="6" s="1"/>
  <c r="AO139" i="6" a="1"/>
  <c r="AO139" i="6" s="1"/>
  <c r="AO140" i="6" a="1"/>
  <c r="AO140" i="6" s="1"/>
  <c r="AO141" i="6" a="1"/>
  <c r="AO141" i="6" s="1"/>
  <c r="AO142" i="6" a="1"/>
  <c r="AO142" i="6" s="1"/>
  <c r="AO143" i="6" a="1"/>
  <c r="AO143" i="6" s="1"/>
  <c r="AO144" i="6" a="1"/>
  <c r="AO144" i="6" s="1"/>
  <c r="AO145" i="6" a="1"/>
  <c r="AO145" i="6" s="1"/>
  <c r="AO146" i="6" a="1"/>
  <c r="AO146" i="6" s="1"/>
  <c r="AO147" i="6" a="1"/>
  <c r="AO147" i="6" s="1"/>
  <c r="AO148" i="6" a="1"/>
  <c r="AO148" i="6" s="1"/>
  <c r="AO149" i="6" a="1"/>
  <c r="AO149" i="6" s="1"/>
  <c r="AO150" i="6" a="1"/>
  <c r="AO150" i="6" s="1"/>
  <c r="AO151" i="6" a="1"/>
  <c r="AO151" i="6" s="1"/>
  <c r="AO152" i="6" a="1"/>
  <c r="AO152" i="6" s="1"/>
  <c r="AO153" i="6" a="1"/>
  <c r="AO153" i="6" s="1"/>
  <c r="AO154" i="6" a="1"/>
  <c r="AO154" i="6" s="1"/>
  <c r="AO155" i="6" a="1"/>
  <c r="AO155" i="6" s="1"/>
  <c r="AO156" i="6" a="1"/>
  <c r="AO156" i="6" s="1"/>
  <c r="AO157" i="6" a="1"/>
  <c r="AO157" i="6" s="1"/>
  <c r="AO158" i="6" a="1"/>
  <c r="AO158" i="6" s="1"/>
  <c r="AP40" i="6" a="1"/>
  <c r="AP40" i="6" s="1"/>
  <c r="AP41" i="6" a="1"/>
  <c r="AP41" i="6" s="1"/>
  <c r="AP42" i="6" a="1"/>
  <c r="AP42" i="6" s="1"/>
  <c r="AP43" i="6" a="1"/>
  <c r="AP43" i="6" s="1"/>
  <c r="AP44" i="6" a="1"/>
  <c r="AP44" i="6" s="1"/>
  <c r="AP45" i="6" a="1"/>
  <c r="AP45" i="6" s="1"/>
  <c r="AP46" i="6" a="1"/>
  <c r="AP46" i="6" s="1"/>
  <c r="AP47" i="6" a="1"/>
  <c r="AP47" i="6" s="1"/>
  <c r="AP48" i="6" a="1"/>
  <c r="AP48" i="6" s="1"/>
  <c r="AP49" i="6" a="1"/>
  <c r="AP49" i="6" s="1"/>
  <c r="AP50" i="6" a="1"/>
  <c r="AP50" i="6" s="1"/>
  <c r="AP51" i="6" a="1"/>
  <c r="AP51" i="6" s="1"/>
  <c r="AP52" i="6" a="1"/>
  <c r="AP52" i="6" s="1"/>
  <c r="AP53" i="6" a="1"/>
  <c r="AP53" i="6" s="1"/>
  <c r="AP54" i="6" a="1"/>
  <c r="AP54" i="6" s="1"/>
  <c r="AP55" i="6" a="1"/>
  <c r="AP55" i="6" s="1"/>
  <c r="AP56" i="6" a="1"/>
  <c r="AP56" i="6" s="1"/>
  <c r="AP57" i="6" a="1"/>
  <c r="AP57" i="6" s="1"/>
  <c r="AP58" i="6" a="1"/>
  <c r="AP58" i="6" s="1"/>
  <c r="AP59" i="6" a="1"/>
  <c r="AP59" i="6" s="1"/>
  <c r="AP60" i="6" a="1"/>
  <c r="AP60" i="6" s="1"/>
  <c r="AP61" i="6" a="1"/>
  <c r="AP61" i="6" s="1"/>
  <c r="AP62" i="6" a="1"/>
  <c r="AP62" i="6" s="1"/>
  <c r="AP63" i="6" a="1"/>
  <c r="AP63" i="6" s="1"/>
  <c r="AP64" i="6" a="1"/>
  <c r="AP64" i="6" s="1"/>
  <c r="AP65" i="6" a="1"/>
  <c r="AP65" i="6" s="1"/>
  <c r="AP66" i="6" a="1"/>
  <c r="AP66" i="6" s="1"/>
  <c r="AP67" i="6" a="1"/>
  <c r="AP67" i="6" s="1"/>
  <c r="AP68" i="6" a="1"/>
  <c r="AP68" i="6" s="1"/>
  <c r="AP69" i="6" a="1"/>
  <c r="AP69" i="6" s="1"/>
  <c r="AP70" i="6" a="1"/>
  <c r="AP70" i="6" s="1"/>
  <c r="AP71" i="6" a="1"/>
  <c r="AP71" i="6" s="1"/>
  <c r="AP72" i="6" a="1"/>
  <c r="AP72" i="6" s="1"/>
  <c r="AP73" i="6" a="1"/>
  <c r="AP73" i="6" s="1"/>
  <c r="AP74" i="6" a="1"/>
  <c r="AP74" i="6" s="1"/>
  <c r="AP75" i="6" a="1"/>
  <c r="AP75" i="6" s="1"/>
  <c r="AP76" i="6" a="1"/>
  <c r="AP76" i="6" s="1"/>
  <c r="AP77" i="6" a="1"/>
  <c r="AP77" i="6" s="1"/>
  <c r="AP78" i="6" a="1"/>
  <c r="AP78" i="6" s="1"/>
  <c r="AP79" i="6" a="1"/>
  <c r="AP79" i="6" s="1"/>
  <c r="AP80" i="6" a="1"/>
  <c r="AP80" i="6" s="1"/>
  <c r="AP81" i="6" a="1"/>
  <c r="AP81" i="6" s="1"/>
  <c r="AP82" i="6" a="1"/>
  <c r="AP82" i="6" s="1"/>
  <c r="AP83" i="6" a="1"/>
  <c r="AP83" i="6" s="1"/>
  <c r="AP84" i="6" a="1"/>
  <c r="AP84" i="6" s="1"/>
  <c r="AP85" i="6" a="1"/>
  <c r="AP85" i="6" s="1"/>
  <c r="AP86" i="6" a="1"/>
  <c r="AP86" i="6" s="1"/>
  <c r="AP87" i="6" a="1"/>
  <c r="AP87" i="6" s="1"/>
  <c r="AP88" i="6" a="1"/>
  <c r="AP88" i="6" s="1"/>
  <c r="AP89" i="6" a="1"/>
  <c r="AP89" i="6" s="1"/>
  <c r="AP90" i="6" a="1"/>
  <c r="AP90" i="6" s="1"/>
  <c r="AP91" i="6" a="1"/>
  <c r="AP91" i="6" s="1"/>
  <c r="AP92" i="6" a="1"/>
  <c r="AP92" i="6" s="1"/>
  <c r="AP93" i="6" a="1"/>
  <c r="AP93" i="6" s="1"/>
  <c r="AP94" i="6" a="1"/>
  <c r="AP94" i="6" s="1"/>
  <c r="AP95" i="6" a="1"/>
  <c r="AP95" i="6" s="1"/>
  <c r="AP96" i="6" a="1"/>
  <c r="AP96" i="6" s="1"/>
  <c r="AP97" i="6" a="1"/>
  <c r="AP97" i="6" s="1"/>
  <c r="AP98" i="6" a="1"/>
  <c r="AP98" i="6" s="1"/>
  <c r="AP99" i="6" a="1"/>
  <c r="AP99" i="6" s="1"/>
  <c r="AP100" i="6" a="1"/>
  <c r="AP100" i="6" s="1"/>
  <c r="AP101" i="6" a="1"/>
  <c r="AP101" i="6" s="1"/>
  <c r="AP102" i="6" a="1"/>
  <c r="AP102" i="6" s="1"/>
  <c r="AP103" i="6" a="1"/>
  <c r="AP103" i="6" s="1"/>
  <c r="AP104" i="6" a="1"/>
  <c r="AP104" i="6" s="1"/>
  <c r="AP105" i="6" a="1"/>
  <c r="AP105" i="6" s="1"/>
  <c r="AP106" i="6" a="1"/>
  <c r="AP106" i="6" s="1"/>
  <c r="AP107" i="6" a="1"/>
  <c r="AP107" i="6" s="1"/>
  <c r="AP108" i="6" a="1"/>
  <c r="AP108" i="6" s="1"/>
  <c r="AP109" i="6" a="1"/>
  <c r="AP109" i="6" s="1"/>
  <c r="AP110" i="6" a="1"/>
  <c r="AP110" i="6" s="1"/>
  <c r="AP111" i="6" a="1"/>
  <c r="AP111" i="6" s="1"/>
  <c r="AP112" i="6" a="1"/>
  <c r="AP112" i="6" s="1"/>
  <c r="AP113" i="6" a="1"/>
  <c r="AP113" i="6" s="1"/>
  <c r="AP114" i="6" a="1"/>
  <c r="AP114" i="6" s="1"/>
  <c r="AP115" i="6" a="1"/>
  <c r="AP115" i="6" s="1"/>
  <c r="AP116" i="6" a="1"/>
  <c r="AP116" i="6" s="1"/>
  <c r="AP117" i="6" a="1"/>
  <c r="AP117" i="6" s="1"/>
  <c r="AP118" i="6" a="1"/>
  <c r="AP118" i="6" s="1"/>
  <c r="AP119" i="6" a="1"/>
  <c r="AP119" i="6" s="1"/>
  <c r="AP120" i="6" a="1"/>
  <c r="AP120" i="6" s="1"/>
  <c r="AP121" i="6" a="1"/>
  <c r="AP121" i="6" s="1"/>
  <c r="AP122" i="6" a="1"/>
  <c r="AP122" i="6" s="1"/>
  <c r="AP123" i="6" a="1"/>
  <c r="AP123" i="6" s="1"/>
  <c r="AP124" i="6" a="1"/>
  <c r="AP124" i="6" s="1"/>
  <c r="AP125" i="6" a="1"/>
  <c r="AP125" i="6" s="1"/>
  <c r="AP126" i="6" a="1"/>
  <c r="AP126" i="6" s="1"/>
  <c r="AP127" i="6" a="1"/>
  <c r="AP127" i="6" s="1"/>
  <c r="AP128" i="6" a="1"/>
  <c r="AP128" i="6" s="1"/>
  <c r="AP129" i="6" a="1"/>
  <c r="AP129" i="6" s="1"/>
  <c r="AP130" i="6" a="1"/>
  <c r="AP130" i="6" s="1"/>
  <c r="AP131" i="6" a="1"/>
  <c r="AP131" i="6" s="1"/>
  <c r="AP132" i="6" a="1"/>
  <c r="AP132" i="6" s="1"/>
  <c r="AP133" i="6" a="1"/>
  <c r="AP133" i="6" s="1"/>
  <c r="AP134" i="6" a="1"/>
  <c r="AP134" i="6" s="1"/>
  <c r="AP135" i="6" a="1"/>
  <c r="AP135" i="6" s="1"/>
  <c r="AP136" i="6" a="1"/>
  <c r="AP136" i="6" s="1"/>
  <c r="AP137" i="6" a="1"/>
  <c r="AP137" i="6" s="1"/>
  <c r="AP138" i="6" a="1"/>
  <c r="AP138" i="6" s="1"/>
  <c r="AP139" i="6" a="1"/>
  <c r="AP139" i="6" s="1"/>
  <c r="AP140" i="6" a="1"/>
  <c r="AP140" i="6" s="1"/>
  <c r="AP141" i="6" a="1"/>
  <c r="AP141" i="6" s="1"/>
  <c r="AP142" i="6" a="1"/>
  <c r="AP142" i="6" s="1"/>
  <c r="AP143" i="6" a="1"/>
  <c r="AP143" i="6" s="1"/>
  <c r="AP144" i="6" a="1"/>
  <c r="AP144" i="6" s="1"/>
  <c r="AP145" i="6" a="1"/>
  <c r="AP145" i="6" s="1"/>
  <c r="AP146" i="6" a="1"/>
  <c r="AP146" i="6" s="1"/>
  <c r="AP147" i="6" a="1"/>
  <c r="AP147" i="6" s="1"/>
  <c r="AP148" i="6" a="1"/>
  <c r="AP148" i="6" s="1"/>
  <c r="AP149" i="6" a="1"/>
  <c r="AP149" i="6" s="1"/>
  <c r="AP150" i="6" a="1"/>
  <c r="AP150" i="6" s="1"/>
  <c r="AP151" i="6" a="1"/>
  <c r="AP151" i="6" s="1"/>
  <c r="AP152" i="6" a="1"/>
  <c r="AP152" i="6" s="1"/>
  <c r="AP153" i="6" a="1"/>
  <c r="AP153" i="6" s="1"/>
  <c r="AP154" i="6" a="1"/>
  <c r="AP154" i="6" s="1"/>
  <c r="AP155" i="6" a="1"/>
  <c r="AP155" i="6" s="1"/>
  <c r="AP156" i="6" a="1"/>
  <c r="AP156" i="6" s="1"/>
  <c r="AP157" i="6" a="1"/>
  <c r="AP157" i="6" s="1"/>
  <c r="AP158" i="6" a="1"/>
  <c r="AP158" i="6" s="1"/>
  <c r="AS151" i="6" a="1"/>
  <c r="AS151" i="6" s="1"/>
  <c r="AT61" i="6" a="1"/>
  <c r="AT61" i="6" s="1"/>
  <c r="AT74" i="6" a="1"/>
  <c r="AT74" i="6" s="1"/>
  <c r="AT91" i="6" a="1"/>
  <c r="AT91" i="6" s="1"/>
  <c r="AT109" i="6" a="1"/>
  <c r="AT109" i="6" s="1"/>
  <c r="AU84" i="6" a="1"/>
  <c r="AU84" i="6" s="1"/>
  <c r="AU142" i="6" a="1"/>
  <c r="AU142" i="6" s="1"/>
  <c r="N40" i="6" a="1"/>
  <c r="N40" i="6" s="1"/>
  <c r="N41" i="6" a="1"/>
  <c r="N41" i="6" s="1"/>
  <c r="N42" i="6" a="1"/>
  <c r="N42" i="6" s="1"/>
  <c r="N43" i="6" a="1"/>
  <c r="N43" i="6" s="1"/>
  <c r="N44" i="6" a="1"/>
  <c r="N44" i="6" s="1"/>
  <c r="N45" i="6" a="1"/>
  <c r="N45" i="6" s="1"/>
  <c r="N46" i="6" a="1"/>
  <c r="N46" i="6" s="1"/>
  <c r="N47" i="6" a="1"/>
  <c r="N47" i="6" s="1"/>
  <c r="N48" i="6" a="1"/>
  <c r="N48" i="6" s="1"/>
  <c r="N49" i="6" a="1"/>
  <c r="N49" i="6" s="1"/>
  <c r="N50" i="6" a="1"/>
  <c r="N50" i="6" s="1"/>
  <c r="N51" i="6" a="1"/>
  <c r="N51" i="6" s="1"/>
  <c r="N52" i="6" a="1"/>
  <c r="N52" i="6" s="1"/>
  <c r="N53" i="6" a="1"/>
  <c r="N53" i="6" s="1"/>
  <c r="N54" i="6" a="1"/>
  <c r="N54" i="6" s="1"/>
  <c r="N55" i="6" a="1"/>
  <c r="N55" i="6" s="1"/>
  <c r="N56" i="6" a="1"/>
  <c r="N56" i="6" s="1"/>
  <c r="N57" i="6" a="1"/>
  <c r="N57" i="6" s="1"/>
  <c r="N58" i="6" a="1"/>
  <c r="N58" i="6" s="1"/>
  <c r="N59" i="6" a="1"/>
  <c r="N59" i="6" s="1"/>
  <c r="N60" i="6" a="1"/>
  <c r="N60" i="6" s="1"/>
  <c r="N61" i="6" a="1"/>
  <c r="N61" i="6" s="1"/>
  <c r="N62" i="6" a="1"/>
  <c r="N62" i="6" s="1"/>
  <c r="N63" i="6" a="1"/>
  <c r="N63" i="6" s="1"/>
  <c r="N64" i="6" a="1"/>
  <c r="N64" i="6" s="1"/>
  <c r="N65" i="6" a="1"/>
  <c r="N65" i="6" s="1"/>
  <c r="N66" i="6" a="1"/>
  <c r="N66" i="6" s="1"/>
  <c r="N67" i="6" a="1"/>
  <c r="N67" i="6" s="1"/>
  <c r="N68" i="6" a="1"/>
  <c r="N68" i="6" s="1"/>
  <c r="N69" i="6" a="1"/>
  <c r="N69" i="6" s="1"/>
  <c r="N70" i="6" a="1"/>
  <c r="N70" i="6" s="1"/>
  <c r="N71" i="6" a="1"/>
  <c r="N71" i="6" s="1"/>
  <c r="N72" i="6" a="1"/>
  <c r="N72" i="6" s="1"/>
  <c r="N73" i="6" a="1"/>
  <c r="N73" i="6" s="1"/>
  <c r="N74" i="6" a="1"/>
  <c r="N74" i="6" s="1"/>
  <c r="N75" i="6" a="1"/>
  <c r="N75" i="6" s="1"/>
  <c r="N76" i="6" a="1"/>
  <c r="N76" i="6" s="1"/>
  <c r="N77" i="6" a="1"/>
  <c r="N77" i="6" s="1"/>
  <c r="N78" i="6" a="1"/>
  <c r="N78" i="6" s="1"/>
  <c r="N79" i="6" a="1"/>
  <c r="N79" i="6" s="1"/>
  <c r="N80" i="6" a="1"/>
  <c r="N80" i="6" s="1"/>
  <c r="N81" i="6" a="1"/>
  <c r="N81" i="6" s="1"/>
  <c r="N82" i="6" a="1"/>
  <c r="N82" i="6" s="1"/>
  <c r="N83" i="6" a="1"/>
  <c r="N83" i="6" s="1"/>
  <c r="N84" i="6" a="1"/>
  <c r="N84" i="6" s="1"/>
  <c r="N85" i="6" a="1"/>
  <c r="N85" i="6" s="1"/>
  <c r="N86" i="6" a="1"/>
  <c r="N86" i="6" s="1"/>
  <c r="N87" i="6" a="1"/>
  <c r="N87" i="6" s="1"/>
  <c r="N88" i="6" a="1"/>
  <c r="N88" i="6" s="1"/>
  <c r="N89" i="6" a="1"/>
  <c r="N89" i="6" s="1"/>
  <c r="N90" i="6" a="1"/>
  <c r="N90" i="6" s="1"/>
  <c r="N91" i="6" a="1"/>
  <c r="N91" i="6" s="1"/>
  <c r="N92" i="6" a="1"/>
  <c r="N92" i="6" s="1"/>
  <c r="N93" i="6" a="1"/>
  <c r="N93" i="6" s="1"/>
  <c r="N94" i="6" a="1"/>
  <c r="N94" i="6" s="1"/>
  <c r="N95" i="6" a="1"/>
  <c r="N95" i="6" s="1"/>
  <c r="N96" i="6" a="1"/>
  <c r="N96" i="6" s="1"/>
  <c r="N97" i="6" a="1"/>
  <c r="N97" i="6" s="1"/>
  <c r="N98" i="6" a="1"/>
  <c r="N98" i="6" s="1"/>
  <c r="N99" i="6" a="1"/>
  <c r="N99" i="6" s="1"/>
  <c r="N100" i="6" a="1"/>
  <c r="N100" i="6" s="1"/>
  <c r="N101" i="6" a="1"/>
  <c r="N101" i="6" s="1"/>
  <c r="N102" i="6" a="1"/>
  <c r="N102" i="6" s="1"/>
  <c r="N103" i="6" a="1"/>
  <c r="N103" i="6" s="1"/>
  <c r="N104" i="6" a="1"/>
  <c r="N104" i="6" s="1"/>
  <c r="N105" i="6" a="1"/>
  <c r="N105" i="6" s="1"/>
  <c r="N106" i="6" a="1"/>
  <c r="N106" i="6" s="1"/>
  <c r="N107" i="6" a="1"/>
  <c r="N107" i="6" s="1"/>
  <c r="N108" i="6" a="1"/>
  <c r="N108" i="6" s="1"/>
  <c r="N109" i="6" a="1"/>
  <c r="N109" i="6" s="1"/>
  <c r="N110" i="6" a="1"/>
  <c r="N110" i="6" s="1"/>
  <c r="N111" i="6" a="1"/>
  <c r="N111" i="6" s="1"/>
  <c r="N112" i="6" a="1"/>
  <c r="N112" i="6" s="1"/>
  <c r="N113" i="6" a="1"/>
  <c r="N113" i="6" s="1"/>
  <c r="N114" i="6" a="1"/>
  <c r="N114" i="6" s="1"/>
  <c r="N115" i="6" a="1"/>
  <c r="N115" i="6" s="1"/>
  <c r="N116" i="6" a="1"/>
  <c r="N116" i="6" s="1"/>
  <c r="N117" i="6" a="1"/>
  <c r="N117" i="6" s="1"/>
  <c r="N118" i="6" a="1"/>
  <c r="N118" i="6" s="1"/>
  <c r="N119" i="6" a="1"/>
  <c r="N119" i="6" s="1"/>
  <c r="N120" i="6" a="1"/>
  <c r="N120" i="6" s="1"/>
  <c r="N121" i="6" a="1"/>
  <c r="N121" i="6" s="1"/>
  <c r="N122" i="6" a="1"/>
  <c r="N122" i="6" s="1"/>
  <c r="N123" i="6" a="1"/>
  <c r="N123" i="6" s="1"/>
  <c r="N124" i="6" a="1"/>
  <c r="N124" i="6" s="1"/>
  <c r="N125" i="6" a="1"/>
  <c r="N125" i="6" s="1"/>
  <c r="N126" i="6" a="1"/>
  <c r="N126" i="6" s="1"/>
  <c r="N127" i="6" a="1"/>
  <c r="N127" i="6" s="1"/>
  <c r="N128" i="6" a="1"/>
  <c r="N128" i="6" s="1"/>
  <c r="N129" i="6" a="1"/>
  <c r="N129" i="6" s="1"/>
  <c r="N130" i="6" a="1"/>
  <c r="N130" i="6" s="1"/>
  <c r="N131" i="6" a="1"/>
  <c r="N131" i="6" s="1"/>
  <c r="N132" i="6" a="1"/>
  <c r="N132" i="6" s="1"/>
  <c r="N133" i="6" a="1"/>
  <c r="N133" i="6" s="1"/>
  <c r="N134" i="6" a="1"/>
  <c r="N134" i="6" s="1"/>
  <c r="N135" i="6" a="1"/>
  <c r="N135" i="6" s="1"/>
  <c r="N136" i="6" a="1"/>
  <c r="N136" i="6" s="1"/>
  <c r="N137" i="6" a="1"/>
  <c r="N137" i="6" s="1"/>
  <c r="N138" i="6" a="1"/>
  <c r="N138" i="6" s="1"/>
  <c r="N139" i="6" a="1"/>
  <c r="N139" i="6" s="1"/>
  <c r="N140" i="6" a="1"/>
  <c r="N140" i="6" s="1"/>
  <c r="N141" i="6" a="1"/>
  <c r="N141" i="6" s="1"/>
  <c r="N142" i="6" a="1"/>
  <c r="N142" i="6" s="1"/>
  <c r="N143" i="6" a="1"/>
  <c r="N143" i="6" s="1"/>
  <c r="N144" i="6" a="1"/>
  <c r="N144" i="6" s="1"/>
  <c r="N145" i="6" a="1"/>
  <c r="N145" i="6" s="1"/>
  <c r="N146" i="6" a="1"/>
  <c r="N146" i="6" s="1"/>
  <c r="N147" i="6" a="1"/>
  <c r="N147" i="6" s="1"/>
  <c r="N148" i="6" a="1"/>
  <c r="N148" i="6" s="1"/>
  <c r="N149" i="6" a="1"/>
  <c r="N149" i="6" s="1"/>
  <c r="N150" i="6" a="1"/>
  <c r="N150" i="6" s="1"/>
  <c r="N151" i="6" a="1"/>
  <c r="N151" i="6" s="1"/>
  <c r="N152" i="6" a="1"/>
  <c r="N152" i="6" s="1"/>
  <c r="N153" i="6" a="1"/>
  <c r="N153" i="6" s="1"/>
  <c r="N154" i="6" a="1"/>
  <c r="N154" i="6" s="1"/>
  <c r="N155" i="6" a="1"/>
  <c r="N155" i="6" s="1"/>
  <c r="N156" i="6" a="1"/>
  <c r="N156" i="6" s="1"/>
  <c r="N157" i="6" a="1"/>
  <c r="N157" i="6" s="1"/>
  <c r="N158" i="6" a="1"/>
  <c r="N158" i="6" s="1"/>
  <c r="P40" i="6" a="1"/>
  <c r="P40" i="6" s="1"/>
  <c r="P41" i="6" a="1"/>
  <c r="P41" i="6" s="1"/>
  <c r="P42" i="6" a="1"/>
  <c r="P42" i="6" s="1"/>
  <c r="P43" i="6" a="1"/>
  <c r="P43" i="6" s="1"/>
  <c r="P44" i="6" a="1"/>
  <c r="P44" i="6" s="1"/>
  <c r="P45" i="6" a="1"/>
  <c r="P45" i="6" s="1"/>
  <c r="P46" i="6" a="1"/>
  <c r="P46" i="6" s="1"/>
  <c r="P47" i="6" a="1"/>
  <c r="P47" i="6" s="1"/>
  <c r="P48" i="6" a="1"/>
  <c r="P48" i="6" s="1"/>
  <c r="P49" i="6" a="1"/>
  <c r="P49" i="6" s="1"/>
  <c r="P50" i="6" a="1"/>
  <c r="P50" i="6" s="1"/>
  <c r="P51" i="6" a="1"/>
  <c r="P51" i="6" s="1"/>
  <c r="P52" i="6" a="1"/>
  <c r="P52" i="6" s="1"/>
  <c r="P53" i="6" a="1"/>
  <c r="P53" i="6" s="1"/>
  <c r="P54" i="6" a="1"/>
  <c r="P54" i="6" s="1"/>
  <c r="P55" i="6" a="1"/>
  <c r="P55" i="6" s="1"/>
  <c r="P56" i="6" a="1"/>
  <c r="P56" i="6" s="1"/>
  <c r="P57" i="6" a="1"/>
  <c r="P57" i="6" s="1"/>
  <c r="P58" i="6" a="1"/>
  <c r="P58" i="6" s="1"/>
  <c r="P59" i="6" a="1"/>
  <c r="P59" i="6" s="1"/>
  <c r="P60" i="6" a="1"/>
  <c r="P60" i="6" s="1"/>
  <c r="P61" i="6" a="1"/>
  <c r="P61" i="6" s="1"/>
  <c r="P62" i="6" a="1"/>
  <c r="P62" i="6" s="1"/>
  <c r="P63" i="6" a="1"/>
  <c r="P63" i="6" s="1"/>
  <c r="P64" i="6" a="1"/>
  <c r="P64" i="6" s="1"/>
  <c r="P65" i="6" a="1"/>
  <c r="P65" i="6" s="1"/>
  <c r="P66" i="6" a="1"/>
  <c r="P66" i="6" s="1"/>
  <c r="P67" i="6" a="1"/>
  <c r="P67" i="6" s="1"/>
  <c r="P68" i="6" a="1"/>
  <c r="P68" i="6" s="1"/>
  <c r="P69" i="6" a="1"/>
  <c r="P69" i="6" s="1"/>
  <c r="P70" i="6" a="1"/>
  <c r="P70" i="6" s="1"/>
  <c r="P71" i="6" a="1"/>
  <c r="P71" i="6" s="1"/>
  <c r="P72" i="6" a="1"/>
  <c r="P72" i="6" s="1"/>
  <c r="P73" i="6" a="1"/>
  <c r="P73" i="6" s="1"/>
  <c r="P74" i="6" a="1"/>
  <c r="P74" i="6" s="1"/>
  <c r="P75" i="6" a="1"/>
  <c r="P75" i="6" s="1"/>
  <c r="P76" i="6" a="1"/>
  <c r="P76" i="6" s="1"/>
  <c r="P77" i="6" a="1"/>
  <c r="P77" i="6" s="1"/>
  <c r="P78" i="6" a="1"/>
  <c r="P78" i="6" s="1"/>
  <c r="P79" i="6" a="1"/>
  <c r="P79" i="6" s="1"/>
  <c r="P80" i="6" a="1"/>
  <c r="P80" i="6" s="1"/>
  <c r="P81" i="6" a="1"/>
  <c r="P81" i="6" s="1"/>
  <c r="P82" i="6" a="1"/>
  <c r="P82" i="6" s="1"/>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T40" i="6" a="1"/>
  <c r="T40" i="6" s="1"/>
  <c r="T41" i="6" a="1"/>
  <c r="T41" i="6" s="1"/>
  <c r="T42" i="6" a="1"/>
  <c r="T42" i="6" s="1"/>
  <c r="T43" i="6" a="1"/>
  <c r="T43" i="6" s="1"/>
  <c r="T44" i="6" a="1"/>
  <c r="T44" i="6" s="1"/>
  <c r="T45" i="6" a="1"/>
  <c r="T45" i="6" s="1"/>
  <c r="T46" i="6" a="1"/>
  <c r="T46" i="6" s="1"/>
  <c r="T47" i="6" a="1"/>
  <c r="T47" i="6" s="1"/>
  <c r="T48" i="6" a="1"/>
  <c r="T48" i="6" s="1"/>
  <c r="T49" i="6" a="1"/>
  <c r="T49" i="6" s="1"/>
  <c r="T50" i="6" a="1"/>
  <c r="T50" i="6" s="1"/>
  <c r="T51" i="6" a="1"/>
  <c r="T51" i="6" s="1"/>
  <c r="T52" i="6" a="1"/>
  <c r="T52" i="6" s="1"/>
  <c r="T53" i="6" a="1"/>
  <c r="T53" i="6" s="1"/>
  <c r="T54" i="6" a="1"/>
  <c r="T54" i="6" s="1"/>
  <c r="T55" i="6" a="1"/>
  <c r="T55" i="6" s="1"/>
  <c r="T56" i="6" a="1"/>
  <c r="T56" i="6" s="1"/>
  <c r="T57" i="6" a="1"/>
  <c r="T57" i="6" s="1"/>
  <c r="T58" i="6" a="1"/>
  <c r="T58" i="6" s="1"/>
  <c r="T59" i="6" a="1"/>
  <c r="T59" i="6" s="1"/>
  <c r="T60" i="6" a="1"/>
  <c r="T60" i="6" s="1"/>
  <c r="T61" i="6" a="1"/>
  <c r="T61" i="6" s="1"/>
  <c r="T62" i="6" a="1"/>
  <c r="T62" i="6" s="1"/>
  <c r="T63" i="6" a="1"/>
  <c r="T63" i="6" s="1"/>
  <c r="T64" i="6" a="1"/>
  <c r="T64" i="6" s="1"/>
  <c r="T65" i="6" a="1"/>
  <c r="T65" i="6" s="1"/>
  <c r="T66" i="6" a="1"/>
  <c r="T66" i="6" s="1"/>
  <c r="T67" i="6" a="1"/>
  <c r="T67" i="6" s="1"/>
  <c r="T68" i="6" a="1"/>
  <c r="T68" i="6" s="1"/>
  <c r="T69" i="6" a="1"/>
  <c r="T69" i="6" s="1"/>
  <c r="T70" i="6" a="1"/>
  <c r="T70" i="6" s="1"/>
  <c r="T71" i="6" a="1"/>
  <c r="T71" i="6" s="1"/>
  <c r="T72" i="6" a="1"/>
  <c r="T72" i="6" s="1"/>
  <c r="T73" i="6" a="1"/>
  <c r="T73" i="6" s="1"/>
  <c r="T74" i="6" a="1"/>
  <c r="T74" i="6" s="1"/>
  <c r="T75" i="6" a="1"/>
  <c r="T75" i="6" s="1"/>
  <c r="T76" i="6" a="1"/>
  <c r="T76" i="6" s="1"/>
  <c r="T77" i="6" a="1"/>
  <c r="T77" i="6" s="1"/>
  <c r="T78" i="6" a="1"/>
  <c r="T78" i="6" s="1"/>
  <c r="T79" i="6" a="1"/>
  <c r="T79" i="6" s="1"/>
  <c r="T80" i="6" a="1"/>
  <c r="T80" i="6" s="1"/>
  <c r="T81" i="6" a="1"/>
  <c r="T81" i="6" s="1"/>
  <c r="T82" i="6" a="1"/>
  <c r="T82" i="6" s="1"/>
  <c r="T83" i="6" a="1"/>
  <c r="T83" i="6" s="1"/>
  <c r="T84" i="6" a="1"/>
  <c r="T84" i="6" s="1"/>
  <c r="T85" i="6" a="1"/>
  <c r="T85" i="6" s="1"/>
  <c r="T86" i="6" a="1"/>
  <c r="T86" i="6" s="1"/>
  <c r="T87" i="6" a="1"/>
  <c r="T87" i="6" s="1"/>
  <c r="T88" i="6" a="1"/>
  <c r="T88" i="6" s="1"/>
  <c r="T89" i="6" a="1"/>
  <c r="T89" i="6" s="1"/>
  <c r="T90" i="6" a="1"/>
  <c r="T90" i="6" s="1"/>
  <c r="T91" i="6" a="1"/>
  <c r="T91" i="6" s="1"/>
  <c r="T92" i="6" a="1"/>
  <c r="T92" i="6" s="1"/>
  <c r="T93" i="6" a="1"/>
  <c r="T93" i="6" s="1"/>
  <c r="T94" i="6" a="1"/>
  <c r="T94" i="6" s="1"/>
  <c r="T95" i="6" a="1"/>
  <c r="T95" i="6" s="1"/>
  <c r="T96" i="6" a="1"/>
  <c r="T96" i="6" s="1"/>
  <c r="T97" i="6" a="1"/>
  <c r="T97" i="6" s="1"/>
  <c r="T98" i="6" a="1"/>
  <c r="T98" i="6" s="1"/>
  <c r="T99" i="6" a="1"/>
  <c r="T99" i="6" s="1"/>
  <c r="T100" i="6" a="1"/>
  <c r="T100" i="6" s="1"/>
  <c r="T101" i="6" a="1"/>
  <c r="T101" i="6" s="1"/>
  <c r="T102" i="6" a="1"/>
  <c r="T102" i="6" s="1"/>
  <c r="T103" i="6" a="1"/>
  <c r="T103" i="6" s="1"/>
  <c r="T104" i="6" a="1"/>
  <c r="T104" i="6" s="1"/>
  <c r="T105" i="6" a="1"/>
  <c r="T105" i="6" s="1"/>
  <c r="T106" i="6" a="1"/>
  <c r="T106" i="6" s="1"/>
  <c r="T107" i="6" a="1"/>
  <c r="T107" i="6" s="1"/>
  <c r="T108" i="6" a="1"/>
  <c r="T108" i="6" s="1"/>
  <c r="T109" i="6" a="1"/>
  <c r="T109" i="6" s="1"/>
  <c r="T110" i="6" a="1"/>
  <c r="T110" i="6" s="1"/>
  <c r="T111" i="6" a="1"/>
  <c r="T111" i="6" s="1"/>
  <c r="T112" i="6" a="1"/>
  <c r="T112" i="6" s="1"/>
  <c r="T113" i="6" a="1"/>
  <c r="T113" i="6" s="1"/>
  <c r="T114" i="6" a="1"/>
  <c r="T114" i="6" s="1"/>
  <c r="T115" i="6" a="1"/>
  <c r="T115" i="6" s="1"/>
  <c r="T116" i="6" a="1"/>
  <c r="T116" i="6" s="1"/>
  <c r="T117" i="6" a="1"/>
  <c r="T117" i="6" s="1"/>
  <c r="T118" i="6" a="1"/>
  <c r="T118" i="6" s="1"/>
  <c r="T119" i="6" a="1"/>
  <c r="T119" i="6" s="1"/>
  <c r="T120" i="6" a="1"/>
  <c r="T120" i="6" s="1"/>
  <c r="T121" i="6" a="1"/>
  <c r="T121" i="6" s="1"/>
  <c r="T122" i="6" a="1"/>
  <c r="T122" i="6" s="1"/>
  <c r="T123" i="6" a="1"/>
  <c r="T123" i="6" s="1"/>
  <c r="T124" i="6" a="1"/>
  <c r="T124" i="6" s="1"/>
  <c r="T125" i="6" a="1"/>
  <c r="T125" i="6" s="1"/>
  <c r="T126" i="6" a="1"/>
  <c r="T126" i="6" s="1"/>
  <c r="T127" i="6" a="1"/>
  <c r="T127" i="6" s="1"/>
  <c r="T128" i="6" a="1"/>
  <c r="T128" i="6" s="1"/>
  <c r="T129" i="6" a="1"/>
  <c r="T129" i="6" s="1"/>
  <c r="T130" i="6" a="1"/>
  <c r="T130" i="6" s="1"/>
  <c r="T131" i="6" a="1"/>
  <c r="T131" i="6" s="1"/>
  <c r="T132" i="6" a="1"/>
  <c r="T132" i="6" s="1"/>
  <c r="T133" i="6" a="1"/>
  <c r="T133" i="6" s="1"/>
  <c r="T134" i="6" a="1"/>
  <c r="T134" i="6" s="1"/>
  <c r="T135" i="6" a="1"/>
  <c r="T135" i="6" s="1"/>
  <c r="T136" i="6" a="1"/>
  <c r="T136" i="6" s="1"/>
  <c r="T137" i="6" a="1"/>
  <c r="T137" i="6" s="1"/>
  <c r="T138" i="6" a="1"/>
  <c r="T138" i="6" s="1"/>
  <c r="T139" i="6" a="1"/>
  <c r="T139" i="6" s="1"/>
  <c r="T140" i="6" a="1"/>
  <c r="T140" i="6" s="1"/>
  <c r="T141" i="6" a="1"/>
  <c r="T141" i="6" s="1"/>
  <c r="T142" i="6" a="1"/>
  <c r="T142" i="6" s="1"/>
  <c r="T143" i="6" a="1"/>
  <c r="T143" i="6" s="1"/>
  <c r="T144" i="6" a="1"/>
  <c r="T144" i="6" s="1"/>
  <c r="T145" i="6" a="1"/>
  <c r="T145" i="6" s="1"/>
  <c r="T146" i="6" a="1"/>
  <c r="T146" i="6" s="1"/>
  <c r="T147" i="6" a="1"/>
  <c r="T147" i="6" s="1"/>
  <c r="T148" i="6" a="1"/>
  <c r="T148" i="6" s="1"/>
  <c r="T149" i="6" a="1"/>
  <c r="T149" i="6" s="1"/>
  <c r="T150" i="6" a="1"/>
  <c r="T150" i="6" s="1"/>
  <c r="T151" i="6" a="1"/>
  <c r="T151" i="6" s="1"/>
  <c r="T152" i="6" a="1"/>
  <c r="T152" i="6" s="1"/>
  <c r="T153" i="6" a="1"/>
  <c r="T153" i="6" s="1"/>
  <c r="T154" i="6" a="1"/>
  <c r="T154" i="6" s="1"/>
  <c r="T155" i="6" a="1"/>
  <c r="T155" i="6" s="1"/>
  <c r="T156" i="6" a="1"/>
  <c r="T156" i="6" s="1"/>
  <c r="T157" i="6" a="1"/>
  <c r="T157" i="6" s="1"/>
  <c r="T158" i="6" a="1"/>
  <c r="T158" i="6" s="1"/>
  <c r="BO26" i="5" a="1"/>
  <c r="BO26" i="5" s="1"/>
  <c r="BP26" i="5" s="1"/>
  <c r="BO27" i="5" a="1"/>
  <c r="BO27" i="5" s="1"/>
  <c r="BP27" i="5" s="1"/>
  <c r="BO28" i="5" a="1"/>
  <c r="BO28" i="5" s="1"/>
  <c r="BP28" i="5" s="1"/>
  <c r="BO29" i="5" a="1"/>
  <c r="BO29" i="5" s="1"/>
  <c r="BP29" i="5" s="1"/>
  <c r="BO30" i="5" a="1"/>
  <c r="BO30" i="5" s="1"/>
  <c r="BP30" i="5" s="1"/>
  <c r="BO31" i="5" a="1"/>
  <c r="BO31" i="5" s="1"/>
  <c r="BP31" i="5" s="1"/>
  <c r="BO32" i="5" a="1"/>
  <c r="BO32" i="5" s="1"/>
  <c r="BP32" i="5" s="1"/>
  <c r="BO33" i="5" a="1"/>
  <c r="BO33" i="5" s="1"/>
  <c r="BP33" i="5" s="1"/>
  <c r="BO34" i="5" a="1"/>
  <c r="BO34" i="5" s="1"/>
  <c r="BP34" i="5" s="1"/>
  <c r="BO35" i="5" a="1"/>
  <c r="BO35" i="5" s="1"/>
  <c r="BP35" i="5" s="1"/>
  <c r="BO36" i="5" a="1"/>
  <c r="BO36" i="5" s="1"/>
  <c r="BP36" i="5" s="1"/>
  <c r="BO37" i="5" a="1"/>
  <c r="BO37" i="5" s="1"/>
  <c r="BP37" i="5" s="1"/>
  <c r="BO38" i="5" a="1"/>
  <c r="BO38" i="5" s="1"/>
  <c r="BP38" i="5" s="1"/>
  <c r="BO39" i="5" a="1"/>
  <c r="BO39" i="5" s="1"/>
  <c r="BP39" i="5" s="1"/>
  <c r="BO40" i="5" a="1"/>
  <c r="BO40" i="5" s="1"/>
  <c r="BP40" i="5" s="1"/>
  <c r="BO41" i="5" a="1"/>
  <c r="BO41" i="5" s="1"/>
  <c r="BP41" i="5" s="1"/>
  <c r="BO42" i="5" a="1"/>
  <c r="BO42" i="5" s="1"/>
  <c r="BP42" i="5" s="1"/>
  <c r="BO43" i="5" a="1"/>
  <c r="BO43" i="5" s="1"/>
  <c r="BP43" i="5" s="1"/>
  <c r="BO44" i="5" a="1"/>
  <c r="BO44" i="5" s="1"/>
  <c r="BP44" i="5" s="1"/>
  <c r="BO45" i="5" a="1"/>
  <c r="BO45" i="5" s="1"/>
  <c r="BP45" i="5" s="1"/>
  <c r="BO46" i="5" a="1"/>
  <c r="BO46" i="5" s="1"/>
  <c r="BP46" i="5" s="1"/>
  <c r="BO47" i="5" a="1"/>
  <c r="BO47" i="5" s="1"/>
  <c r="BP47" i="5" s="1"/>
  <c r="BO48" i="5" a="1"/>
  <c r="BO48" i="5" s="1"/>
  <c r="BP48" i="5" s="1"/>
  <c r="BO49" i="5" a="1"/>
  <c r="BO49" i="5" s="1"/>
  <c r="BP49" i="5" s="1"/>
  <c r="BO50" i="5" a="1"/>
  <c r="BO50" i="5" s="1"/>
  <c r="BP50" i="5" s="1"/>
  <c r="BO51" i="5" a="1"/>
  <c r="BO51" i="5" s="1"/>
  <c r="BP51" i="5" s="1"/>
  <c r="BO52" i="5" a="1"/>
  <c r="BO52" i="5" s="1"/>
  <c r="BP52" i="5" s="1"/>
  <c r="BO53" i="5" a="1"/>
  <c r="BO53" i="5" s="1"/>
  <c r="BP53" i="5" s="1"/>
  <c r="BO54" i="5" a="1"/>
  <c r="BO54" i="5" s="1"/>
  <c r="BP54" i="5" s="1"/>
  <c r="BO55" i="5" a="1"/>
  <c r="BO55" i="5" s="1"/>
  <c r="BP55" i="5" s="1"/>
  <c r="BO56" i="5" a="1"/>
  <c r="BO56" i="5" s="1"/>
  <c r="BP56" i="5" s="1"/>
  <c r="BO57" i="5" a="1"/>
  <c r="BO57" i="5" s="1"/>
  <c r="BP57" i="5" s="1"/>
  <c r="BO58" i="5" a="1"/>
  <c r="BO58" i="5" s="1"/>
  <c r="BP58" i="5" s="1"/>
  <c r="BO59" i="5" a="1"/>
  <c r="BO59" i="5" s="1"/>
  <c r="BP59" i="5" s="1"/>
  <c r="BO60" i="5" a="1"/>
  <c r="BO60" i="5" s="1"/>
  <c r="BP60" i="5" s="1"/>
  <c r="BO61" i="5" a="1"/>
  <c r="BO61" i="5" s="1"/>
  <c r="BP61" i="5" s="1"/>
  <c r="BO62" i="5" a="1"/>
  <c r="BO62" i="5" s="1"/>
  <c r="BP62" i="5" s="1"/>
  <c r="BO63" i="5" a="1"/>
  <c r="BO63" i="5" s="1"/>
  <c r="BP63" i="5" s="1"/>
  <c r="BO64" i="5" a="1"/>
  <c r="BO64" i="5" s="1"/>
  <c r="BP64" i="5" s="1"/>
  <c r="BO65" i="5" a="1"/>
  <c r="BO65" i="5" s="1"/>
  <c r="BP65" i="5" s="1"/>
  <c r="BO66" i="5" a="1"/>
  <c r="BO66" i="5" s="1"/>
  <c r="BP66" i="5" s="1"/>
  <c r="BO67" i="5" a="1"/>
  <c r="BO67" i="5" s="1"/>
  <c r="BP67" i="5" s="1"/>
  <c r="BO68" i="5" a="1"/>
  <c r="BO68" i="5" s="1"/>
  <c r="BP68" i="5" s="1"/>
  <c r="BO69" i="5" a="1"/>
  <c r="BO69" i="5" s="1"/>
  <c r="BP69" i="5" s="1"/>
  <c r="BO70" i="5" a="1"/>
  <c r="BO70" i="5" s="1"/>
  <c r="BP70" i="5" s="1"/>
  <c r="BO71" i="5" a="1"/>
  <c r="BO71" i="5" s="1"/>
  <c r="BP71" i="5" s="1"/>
  <c r="BO72" i="5" a="1"/>
  <c r="BO72" i="5" s="1"/>
  <c r="BP72" i="5" s="1"/>
  <c r="BO73" i="5" a="1"/>
  <c r="BO73" i="5" s="1"/>
  <c r="BP73" i="5" s="1"/>
  <c r="BO74" i="5" a="1"/>
  <c r="BO74" i="5" s="1"/>
  <c r="BP74" i="5" s="1"/>
  <c r="BO75" i="5" a="1"/>
  <c r="BO75" i="5" s="1"/>
  <c r="BP75" i="5" s="1"/>
  <c r="BO76" i="5" a="1"/>
  <c r="BO76" i="5" s="1"/>
  <c r="BP76" i="5" s="1"/>
  <c r="BO77" i="5" a="1"/>
  <c r="BO77" i="5" s="1"/>
  <c r="BP77" i="5" s="1"/>
  <c r="BO78" i="5" a="1"/>
  <c r="BO78" i="5" s="1"/>
  <c r="BP78" i="5" s="1"/>
  <c r="BO79" i="5" a="1"/>
  <c r="BO79" i="5" s="1"/>
  <c r="BP79" i="5" s="1"/>
  <c r="BO80" i="5" a="1"/>
  <c r="BO80" i="5" s="1"/>
  <c r="BP80" i="5" s="1"/>
  <c r="BO81" i="5" a="1"/>
  <c r="BO81" i="5" s="1"/>
  <c r="BP81" i="5" s="1"/>
  <c r="BO82" i="5" a="1"/>
  <c r="BO82" i="5" s="1"/>
  <c r="BP82" i="5" s="1"/>
  <c r="BO83" i="5" a="1"/>
  <c r="BO83" i="5" s="1"/>
  <c r="BP83" i="5" s="1"/>
  <c r="BO84" i="5" a="1"/>
  <c r="BO84" i="5" s="1"/>
  <c r="BP84" i="5" s="1"/>
  <c r="BO85" i="5" a="1"/>
  <c r="BO85" i="5" s="1"/>
  <c r="BP85" i="5" s="1"/>
  <c r="BO86" i="5" a="1"/>
  <c r="BO86" i="5" s="1"/>
  <c r="BP86" i="5" s="1"/>
  <c r="BO87" i="5" a="1"/>
  <c r="BO87" i="5" s="1"/>
  <c r="BP87" i="5" s="1"/>
  <c r="BO88" i="5" a="1"/>
  <c r="BO88" i="5" s="1"/>
  <c r="BP88" i="5" s="1"/>
  <c r="BO89" i="5" a="1"/>
  <c r="BO89" i="5" s="1"/>
  <c r="BP89" i="5" s="1"/>
  <c r="BO90" i="5" a="1"/>
  <c r="BO90" i="5" s="1"/>
  <c r="BP90" i="5" s="1"/>
  <c r="BO91" i="5" a="1"/>
  <c r="BO91" i="5" s="1"/>
  <c r="BP91" i="5" s="1"/>
  <c r="BO92" i="5" a="1"/>
  <c r="BO92" i="5" s="1"/>
  <c r="BP92" i="5" s="1"/>
  <c r="BO93" i="5" a="1"/>
  <c r="BO93" i="5" s="1"/>
  <c r="BP93" i="5" s="1"/>
  <c r="BO94" i="5" a="1"/>
  <c r="BO94" i="5" s="1"/>
  <c r="BP94" i="5" s="1"/>
  <c r="BO95" i="5" a="1"/>
  <c r="BO95" i="5" s="1"/>
  <c r="BP95" i="5" s="1"/>
  <c r="BO96" i="5" a="1"/>
  <c r="BO96" i="5" s="1"/>
  <c r="BP96" i="5" s="1"/>
  <c r="BO97" i="5" a="1"/>
  <c r="BO97" i="5" s="1"/>
  <c r="BP97" i="5" s="1"/>
  <c r="BO98" i="5" a="1"/>
  <c r="BO98" i="5" s="1"/>
  <c r="BP98" i="5" s="1"/>
  <c r="BO99" i="5" a="1"/>
  <c r="BO99" i="5" s="1"/>
  <c r="BP99" i="5" s="1"/>
  <c r="BO100" i="5" a="1"/>
  <c r="BO100" i="5" s="1"/>
  <c r="BP100" i="5" s="1"/>
  <c r="BO101" i="5" a="1"/>
  <c r="BO101" i="5" s="1"/>
  <c r="BP101" i="5" s="1"/>
  <c r="BO102" i="5" a="1"/>
  <c r="BO102" i="5" s="1"/>
  <c r="BP102" i="5" s="1"/>
  <c r="BO103" i="5" a="1"/>
  <c r="BO103" i="5" s="1"/>
  <c r="BP103" i="5" s="1"/>
  <c r="BO104" i="5" a="1"/>
  <c r="BO104" i="5" s="1"/>
  <c r="BP104" i="5" s="1"/>
  <c r="BO105" i="5" a="1"/>
  <c r="BO105" i="5" s="1"/>
  <c r="BP105" i="5" s="1"/>
  <c r="BO106" i="5" a="1"/>
  <c r="BO106" i="5" s="1"/>
  <c r="BP106" i="5" s="1"/>
  <c r="BO107" i="5" a="1"/>
  <c r="BO107" i="5" s="1"/>
  <c r="BP107" i="5" s="1"/>
  <c r="BO108" i="5" a="1"/>
  <c r="BO108" i="5" s="1"/>
  <c r="BP108" i="5" s="1"/>
  <c r="BO109" i="5" a="1"/>
  <c r="BO109" i="5" s="1"/>
  <c r="BP109" i="5" s="1"/>
  <c r="BO110" i="5" a="1"/>
  <c r="BO110" i="5" s="1"/>
  <c r="BP110" i="5" s="1"/>
  <c r="BO111" i="5" a="1"/>
  <c r="BO111" i="5" s="1"/>
  <c r="BP111" i="5" s="1"/>
  <c r="BO112" i="5" a="1"/>
  <c r="BO112" i="5" s="1"/>
  <c r="BP112" i="5" s="1"/>
  <c r="BO113" i="5" a="1"/>
  <c r="BO113" i="5" s="1"/>
  <c r="BP113" i="5" s="1"/>
  <c r="BO114" i="5" a="1"/>
  <c r="BO114" i="5" s="1"/>
  <c r="BP114" i="5" s="1"/>
  <c r="BO115" i="5" a="1"/>
  <c r="BO115" i="5" s="1"/>
  <c r="BP115" i="5" s="1"/>
  <c r="BO116" i="5" a="1"/>
  <c r="BO116" i="5" s="1"/>
  <c r="BP116" i="5" s="1"/>
  <c r="BO117" i="5" a="1"/>
  <c r="BO117" i="5" s="1"/>
  <c r="BP117" i="5" s="1"/>
  <c r="BO118" i="5" a="1"/>
  <c r="BO118" i="5" s="1"/>
  <c r="BP118" i="5" s="1"/>
  <c r="BO119" i="5" a="1"/>
  <c r="BO119" i="5" s="1"/>
  <c r="BP119" i="5" s="1"/>
  <c r="BO120" i="5" a="1"/>
  <c r="BO120" i="5" s="1"/>
  <c r="BP120" i="5" s="1"/>
  <c r="BO121" i="5" a="1"/>
  <c r="BO121" i="5" s="1"/>
  <c r="BP121" i="5" s="1"/>
  <c r="BO122" i="5" a="1"/>
  <c r="BO122" i="5" s="1"/>
  <c r="BP122" i="5" s="1"/>
  <c r="BO123" i="5" a="1"/>
  <c r="BO123" i="5" s="1"/>
  <c r="BP123" i="5" s="1"/>
  <c r="BO124" i="5" a="1"/>
  <c r="BO124" i="5" s="1"/>
  <c r="BP124" i="5" s="1"/>
  <c r="BO125" i="5" a="1"/>
  <c r="BO125" i="5" s="1"/>
  <c r="BP125" i="5" s="1"/>
  <c r="BO126" i="5" a="1"/>
  <c r="BO126" i="5" s="1"/>
  <c r="BP126" i="5" s="1"/>
  <c r="BO127" i="5" a="1"/>
  <c r="BO127" i="5" s="1"/>
  <c r="BP127" i="5" s="1"/>
  <c r="BO128" i="5" a="1"/>
  <c r="BO128" i="5" s="1"/>
  <c r="BP128" i="5" s="1"/>
  <c r="BO129" i="5" a="1"/>
  <c r="BO129" i="5" s="1"/>
  <c r="BP129" i="5" s="1"/>
  <c r="BO130" i="5" a="1"/>
  <c r="BO130" i="5" s="1"/>
  <c r="BP130" i="5" s="1"/>
  <c r="BO131" i="5" a="1"/>
  <c r="BO131" i="5" s="1"/>
  <c r="BP131" i="5" s="1"/>
  <c r="BO132" i="5" a="1"/>
  <c r="BO132" i="5" s="1"/>
  <c r="BP132" i="5" s="1"/>
  <c r="BO133" i="5" a="1"/>
  <c r="BO133" i="5" s="1"/>
  <c r="BP133" i="5" s="1"/>
  <c r="BO134" i="5" a="1"/>
  <c r="BO134" i="5" s="1"/>
  <c r="BP134" i="5" s="1"/>
  <c r="BO135" i="5" a="1"/>
  <c r="BO135" i="5" s="1"/>
  <c r="BP135" i="5" s="1"/>
  <c r="BO136" i="5" a="1"/>
  <c r="BO136" i="5" s="1"/>
  <c r="BP136" i="5" s="1"/>
  <c r="BO137" i="5" a="1"/>
  <c r="BO137" i="5" s="1"/>
  <c r="BP137" i="5" s="1"/>
  <c r="BO138" i="5" a="1"/>
  <c r="BO138" i="5" s="1"/>
  <c r="BP138" i="5" s="1"/>
  <c r="BO139" i="5" a="1"/>
  <c r="BO139" i="5" s="1"/>
  <c r="BP139" i="5" s="1"/>
  <c r="BO140" i="5" a="1"/>
  <c r="BO140" i="5" s="1"/>
  <c r="BP140" i="5" s="1"/>
  <c r="BO141" i="5" a="1"/>
  <c r="BO141" i="5" s="1"/>
  <c r="BP141" i="5" s="1"/>
  <c r="BO142" i="5" a="1"/>
  <c r="BO142" i="5" s="1"/>
  <c r="BP142" i="5" s="1"/>
  <c r="BO143" i="5" a="1"/>
  <c r="BO143" i="5" s="1"/>
  <c r="BP143" i="5" s="1"/>
  <c r="BO144" i="5" a="1"/>
  <c r="BO144" i="5" s="1"/>
  <c r="BP144" i="5" s="1"/>
  <c r="BO145" i="5" a="1"/>
  <c r="BO145" i="5" s="1"/>
  <c r="BP145" i="5" s="1"/>
  <c r="BO146" i="5" a="1"/>
  <c r="BO146" i="5" s="1"/>
  <c r="BP146" i="5" s="1"/>
  <c r="BO147" i="5" a="1"/>
  <c r="BO147" i="5" s="1"/>
  <c r="BP147" i="5" s="1"/>
  <c r="BO148" i="5" a="1"/>
  <c r="BO148" i="5" s="1"/>
  <c r="BP148" i="5" s="1"/>
  <c r="BO149" i="5" a="1"/>
  <c r="BO149" i="5" s="1"/>
  <c r="BP149" i="5" s="1"/>
  <c r="BO150" i="5" a="1"/>
  <c r="BO150" i="5" s="1"/>
  <c r="BP150" i="5" s="1"/>
  <c r="BO151" i="5" a="1"/>
  <c r="BO151" i="5" s="1"/>
  <c r="BP151" i="5" s="1"/>
  <c r="BO152" i="5" a="1"/>
  <c r="BO152" i="5" s="1"/>
  <c r="BP152" i="5" s="1"/>
  <c r="BO153" i="5" a="1"/>
  <c r="BO153" i="5" s="1"/>
  <c r="BP153" i="5" s="1"/>
  <c r="BO154" i="5" a="1"/>
  <c r="BO154" i="5" s="1"/>
  <c r="BP154" i="5" s="1"/>
  <c r="BO155" i="5" a="1"/>
  <c r="BO155" i="5" s="1"/>
  <c r="BP155" i="5" s="1"/>
  <c r="BO156" i="5" a="1"/>
  <c r="BO156" i="5" s="1"/>
  <c r="BP156" i="5" s="1"/>
  <c r="BO157" i="5" a="1"/>
  <c r="BO157" i="5" s="1"/>
  <c r="BP157" i="5" s="1"/>
  <c r="BO158" i="5" a="1"/>
  <c r="BO158" i="5" s="1"/>
  <c r="BP158" i="5" s="1"/>
  <c r="AQ40" i="5" a="1"/>
  <c r="AQ40" i="5" s="1"/>
  <c r="AQ41" i="5" a="1"/>
  <c r="AQ41" i="5" s="1"/>
  <c r="AQ42" i="5" a="1"/>
  <c r="AQ42" i="5" s="1"/>
  <c r="AQ43" i="5" a="1"/>
  <c r="AQ43" i="5" s="1"/>
  <c r="AQ44" i="5" a="1"/>
  <c r="AQ44" i="5" s="1"/>
  <c r="AQ45" i="5" a="1"/>
  <c r="AQ45" i="5" s="1"/>
  <c r="AQ46" i="5" a="1"/>
  <c r="AQ46" i="5" s="1"/>
  <c r="AQ47" i="5" a="1"/>
  <c r="AQ47" i="5" s="1"/>
  <c r="AQ48" i="5" a="1"/>
  <c r="AQ48" i="5" s="1"/>
  <c r="AQ49" i="5" a="1"/>
  <c r="AQ49" i="5" s="1"/>
  <c r="AQ50" i="5" a="1"/>
  <c r="AQ50" i="5" s="1"/>
  <c r="AQ51" i="5" a="1"/>
  <c r="AQ51" i="5" s="1"/>
  <c r="AQ52" i="5" a="1"/>
  <c r="AQ52" i="5" s="1"/>
  <c r="AQ53" i="5" a="1"/>
  <c r="AQ53" i="5" s="1"/>
  <c r="AQ54" i="5" a="1"/>
  <c r="AQ54" i="5" s="1"/>
  <c r="AQ55" i="5" a="1"/>
  <c r="AQ55" i="5" s="1"/>
  <c r="AQ56" i="5" a="1"/>
  <c r="AQ56" i="5" s="1"/>
  <c r="AQ57" i="5" a="1"/>
  <c r="AQ57" i="5" s="1"/>
  <c r="AQ58" i="5" a="1"/>
  <c r="AQ58" i="5" s="1"/>
  <c r="AQ59" i="5" a="1"/>
  <c r="AQ59" i="5" s="1"/>
  <c r="AQ60" i="5" a="1"/>
  <c r="AQ60" i="5" s="1"/>
  <c r="AQ61" i="5" a="1"/>
  <c r="AQ61" i="5" s="1"/>
  <c r="AQ62" i="5" a="1"/>
  <c r="AQ62" i="5" s="1"/>
  <c r="AQ63" i="5" a="1"/>
  <c r="AQ63" i="5" s="1"/>
  <c r="AQ64" i="5" a="1"/>
  <c r="AQ64" i="5" s="1"/>
  <c r="AQ65" i="5" a="1"/>
  <c r="AQ65" i="5" s="1"/>
  <c r="AQ66" i="5" a="1"/>
  <c r="AQ66" i="5" s="1"/>
  <c r="AQ67" i="5" a="1"/>
  <c r="AQ67" i="5" s="1"/>
  <c r="AQ68" i="5" a="1"/>
  <c r="AQ68" i="5" s="1"/>
  <c r="AQ69" i="5" a="1"/>
  <c r="AQ69" i="5" s="1"/>
  <c r="AQ70" i="5" a="1"/>
  <c r="AQ70" i="5" s="1"/>
  <c r="AQ71" i="5" a="1"/>
  <c r="AQ71" i="5" s="1"/>
  <c r="AQ72" i="5" a="1"/>
  <c r="AQ72" i="5" s="1"/>
  <c r="AQ73" i="5" a="1"/>
  <c r="AQ73" i="5" s="1"/>
  <c r="AQ74" i="5" a="1"/>
  <c r="AQ74" i="5" s="1"/>
  <c r="AQ75" i="5" a="1"/>
  <c r="AQ75" i="5" s="1"/>
  <c r="AQ76" i="5" a="1"/>
  <c r="AQ76" i="5" s="1"/>
  <c r="AQ77" i="5" a="1"/>
  <c r="AQ77" i="5" s="1"/>
  <c r="AQ78" i="5" a="1"/>
  <c r="AQ78" i="5" s="1"/>
  <c r="AQ79" i="5" a="1"/>
  <c r="AQ79" i="5" s="1"/>
  <c r="AQ80" i="5" a="1"/>
  <c r="AQ80" i="5" s="1"/>
  <c r="AQ81" i="5" a="1"/>
  <c r="AQ81" i="5" s="1"/>
  <c r="AQ82" i="5" a="1"/>
  <c r="AQ82" i="5" s="1"/>
  <c r="AQ83" i="5" a="1"/>
  <c r="AQ83" i="5" s="1"/>
  <c r="AQ84" i="5" a="1"/>
  <c r="AQ84" i="5" s="1"/>
  <c r="AQ85" i="5" a="1"/>
  <c r="AQ85" i="5" s="1"/>
  <c r="AQ86" i="5" a="1"/>
  <c r="AQ86" i="5" s="1"/>
  <c r="AQ87" i="5" a="1"/>
  <c r="AQ87" i="5" s="1"/>
  <c r="AQ88" i="5" a="1"/>
  <c r="AQ88" i="5" s="1"/>
  <c r="AQ89" i="5" a="1"/>
  <c r="AQ89" i="5" s="1"/>
  <c r="AQ90" i="5" a="1"/>
  <c r="AQ90" i="5" s="1"/>
  <c r="AQ91" i="5" a="1"/>
  <c r="AQ91" i="5" s="1"/>
  <c r="AQ92" i="5" a="1"/>
  <c r="AQ92" i="5" s="1"/>
  <c r="AQ93" i="5" a="1"/>
  <c r="AQ93" i="5" s="1"/>
  <c r="AQ94" i="5" a="1"/>
  <c r="AQ94" i="5" s="1"/>
  <c r="AQ95" i="5" a="1"/>
  <c r="AQ95" i="5" s="1"/>
  <c r="AQ96" i="5" a="1"/>
  <c r="AQ96" i="5" s="1"/>
  <c r="AQ97" i="5" a="1"/>
  <c r="AQ97" i="5" s="1"/>
  <c r="AQ98" i="5" a="1"/>
  <c r="AQ98" i="5" s="1"/>
  <c r="AQ99" i="5" a="1"/>
  <c r="AQ99" i="5" s="1"/>
  <c r="AQ100" i="5" a="1"/>
  <c r="AQ100" i="5" s="1"/>
  <c r="AQ101" i="5" a="1"/>
  <c r="AQ101" i="5" s="1"/>
  <c r="AQ102" i="5" a="1"/>
  <c r="AQ102" i="5" s="1"/>
  <c r="AQ103" i="5" a="1"/>
  <c r="AQ103" i="5" s="1"/>
  <c r="AQ104" i="5" a="1"/>
  <c r="AQ104" i="5" s="1"/>
  <c r="AQ105" i="5" a="1"/>
  <c r="AQ105" i="5" s="1"/>
  <c r="AQ106" i="5" a="1"/>
  <c r="AQ106" i="5" s="1"/>
  <c r="AQ107" i="5" a="1"/>
  <c r="AQ107" i="5" s="1"/>
  <c r="AQ108" i="5" a="1"/>
  <c r="AQ108" i="5" s="1"/>
  <c r="AQ109" i="5" a="1"/>
  <c r="AQ109" i="5" s="1"/>
  <c r="AQ110" i="5" a="1"/>
  <c r="AQ110" i="5" s="1"/>
  <c r="AQ111" i="5" a="1"/>
  <c r="AQ111" i="5" s="1"/>
  <c r="AQ112" i="5" a="1"/>
  <c r="AQ112" i="5" s="1"/>
  <c r="AQ113" i="5" a="1"/>
  <c r="AQ113" i="5" s="1"/>
  <c r="AQ114" i="5" a="1"/>
  <c r="AQ114" i="5" s="1"/>
  <c r="AQ115" i="5" a="1"/>
  <c r="AQ115" i="5" s="1"/>
  <c r="AQ116" i="5" a="1"/>
  <c r="AQ116" i="5" s="1"/>
  <c r="AQ117" i="5" a="1"/>
  <c r="AQ117" i="5" s="1"/>
  <c r="AQ118" i="5" a="1"/>
  <c r="AQ118" i="5" s="1"/>
  <c r="AQ119" i="5" a="1"/>
  <c r="AQ119" i="5" s="1"/>
  <c r="AQ120" i="5" a="1"/>
  <c r="AQ120" i="5" s="1"/>
  <c r="AQ121" i="5" a="1"/>
  <c r="AQ121" i="5" s="1"/>
  <c r="AQ122" i="5" a="1"/>
  <c r="AQ122" i="5" s="1"/>
  <c r="AQ123" i="5" a="1"/>
  <c r="AQ123" i="5" s="1"/>
  <c r="AQ124" i="5" a="1"/>
  <c r="AQ124" i="5" s="1"/>
  <c r="AQ125" i="5" a="1"/>
  <c r="AQ125" i="5" s="1"/>
  <c r="AQ126" i="5" a="1"/>
  <c r="AQ126" i="5" s="1"/>
  <c r="AQ127" i="5" a="1"/>
  <c r="AQ127" i="5" s="1"/>
  <c r="AQ128" i="5" a="1"/>
  <c r="AQ128" i="5" s="1"/>
  <c r="AQ129" i="5" a="1"/>
  <c r="AQ129" i="5" s="1"/>
  <c r="AQ130" i="5" a="1"/>
  <c r="AQ130" i="5" s="1"/>
  <c r="AQ131" i="5" a="1"/>
  <c r="AQ131" i="5" s="1"/>
  <c r="AQ132" i="5" a="1"/>
  <c r="AQ132" i="5" s="1"/>
  <c r="AQ133" i="5" a="1"/>
  <c r="AQ133" i="5" s="1"/>
  <c r="AQ134" i="5" a="1"/>
  <c r="AQ134" i="5" s="1"/>
  <c r="AQ135" i="5" a="1"/>
  <c r="AQ135" i="5" s="1"/>
  <c r="AQ136" i="5" a="1"/>
  <c r="AQ136" i="5" s="1"/>
  <c r="AQ137" i="5" a="1"/>
  <c r="AQ137" i="5" s="1"/>
  <c r="AQ138" i="5" a="1"/>
  <c r="AQ138" i="5" s="1"/>
  <c r="AQ139" i="5" a="1"/>
  <c r="AQ139" i="5" s="1"/>
  <c r="AQ140" i="5" a="1"/>
  <c r="AQ140" i="5" s="1"/>
  <c r="AQ141" i="5" a="1"/>
  <c r="AQ141" i="5" s="1"/>
  <c r="AQ142" i="5" a="1"/>
  <c r="AQ142" i="5" s="1"/>
  <c r="AQ143" i="5" a="1"/>
  <c r="AQ143" i="5" s="1"/>
  <c r="AQ144" i="5" a="1"/>
  <c r="AQ144" i="5" s="1"/>
  <c r="AQ145" i="5" a="1"/>
  <c r="AQ145" i="5" s="1"/>
  <c r="AQ146" i="5" a="1"/>
  <c r="AQ146" i="5" s="1"/>
  <c r="AQ147" i="5" a="1"/>
  <c r="AQ147" i="5" s="1"/>
  <c r="AQ148" i="5" a="1"/>
  <c r="AQ148" i="5" s="1"/>
  <c r="AQ149" i="5" a="1"/>
  <c r="AQ149" i="5" s="1"/>
  <c r="AQ150" i="5" a="1"/>
  <c r="AQ150" i="5" s="1"/>
  <c r="AQ151" i="5" a="1"/>
  <c r="AQ151" i="5" s="1"/>
  <c r="AQ152" i="5" a="1"/>
  <c r="AQ152" i="5" s="1"/>
  <c r="AQ153" i="5" a="1"/>
  <c r="AQ153" i="5" s="1"/>
  <c r="AQ154" i="5" a="1"/>
  <c r="AQ154" i="5" s="1"/>
  <c r="AQ155" i="5" a="1"/>
  <c r="AQ155" i="5" s="1"/>
  <c r="AQ156" i="5" a="1"/>
  <c r="AQ156" i="5" s="1"/>
  <c r="AQ157" i="5" a="1"/>
  <c r="AQ157" i="5" s="1"/>
  <c r="AQ158" i="5" a="1"/>
  <c r="AQ158" i="5" s="1"/>
  <c r="AR115" i="5"/>
  <c r="AR117" i="5"/>
  <c r="AS40" i="5"/>
  <c r="AR40" i="5" s="1"/>
  <c r="AS41" i="5"/>
  <c r="AR41" i="5" s="1"/>
  <c r="AS42" i="5"/>
  <c r="AR42" i="5" s="1"/>
  <c r="AS43" i="5"/>
  <c r="AS44" i="5"/>
  <c r="AS45" i="5"/>
  <c r="AS46" i="5"/>
  <c r="AR46" i="5" s="1"/>
  <c r="AS47" i="5"/>
  <c r="AR47" i="5" s="1"/>
  <c r="AS48" i="5"/>
  <c r="AR48" i="5" s="1"/>
  <c r="AS49" i="5"/>
  <c r="AS50" i="5"/>
  <c r="AR50" i="5" s="1"/>
  <c r="AS51" i="5"/>
  <c r="AR51" i="5" s="1"/>
  <c r="AS52" i="5"/>
  <c r="AS53" i="5"/>
  <c r="AR53" i="5" s="1"/>
  <c r="AS54" i="5"/>
  <c r="AR54" i="5" s="1"/>
  <c r="AS55" i="5"/>
  <c r="AS56" i="5"/>
  <c r="AS57" i="5"/>
  <c r="AS58" i="5"/>
  <c r="AR58" i="5" s="1"/>
  <c r="AS59" i="5"/>
  <c r="AR59" i="5" s="1"/>
  <c r="AS60" i="5"/>
  <c r="AR60" i="5" s="1"/>
  <c r="AS61" i="5"/>
  <c r="AR61" i="5" s="1"/>
  <c r="AS62" i="5"/>
  <c r="AR62" i="5" s="1"/>
  <c r="AS63" i="5"/>
  <c r="AS64" i="5"/>
  <c r="AS65" i="5"/>
  <c r="AR65" i="5" s="1"/>
  <c r="AS66" i="5"/>
  <c r="AS67" i="5"/>
  <c r="AS68" i="5"/>
  <c r="AR68" i="5" s="1"/>
  <c r="AS69" i="5"/>
  <c r="AS70" i="5"/>
  <c r="AR70" i="5" s="1"/>
  <c r="AS71" i="5"/>
  <c r="AR71" i="5" s="1"/>
  <c r="AS72" i="5"/>
  <c r="AS73" i="5"/>
  <c r="AS74" i="5"/>
  <c r="AR74" i="5" s="1"/>
  <c r="AS75" i="5"/>
  <c r="AR75" i="5" s="1"/>
  <c r="AS76" i="5"/>
  <c r="AR76" i="5" s="1"/>
  <c r="AS77" i="5"/>
  <c r="AR77" i="5" s="1"/>
  <c r="AS78" i="5"/>
  <c r="AR78" i="5" s="1"/>
  <c r="AS79" i="5"/>
  <c r="AS80" i="5"/>
  <c r="AR80" i="5" s="1"/>
  <c r="AS81" i="5"/>
  <c r="AR81" i="5" s="1"/>
  <c r="AS82" i="5"/>
  <c r="AR82" i="5" s="1"/>
  <c r="AS83" i="5"/>
  <c r="AR83" i="5" s="1"/>
  <c r="AS84" i="5"/>
  <c r="AR84" i="5" s="1"/>
  <c r="AS85" i="5"/>
  <c r="AS86" i="5"/>
  <c r="AS87" i="5"/>
  <c r="AS88" i="5"/>
  <c r="AS89" i="5"/>
  <c r="AR89" i="5" s="1"/>
  <c r="AS90" i="5"/>
  <c r="AR90" i="5" s="1"/>
  <c r="AS91" i="5"/>
  <c r="AS92" i="5"/>
  <c r="AR92" i="5" s="1"/>
  <c r="AS93" i="5"/>
  <c r="AR93" i="5" s="1"/>
  <c r="AS94" i="5"/>
  <c r="AR94" i="5" s="1"/>
  <c r="AS95" i="5"/>
  <c r="AR95" i="5" s="1"/>
  <c r="AS96" i="5"/>
  <c r="AR96" i="5" s="1"/>
  <c r="AS97" i="5"/>
  <c r="AR97" i="5" s="1"/>
  <c r="AS98" i="5"/>
  <c r="AR98" i="5" s="1"/>
  <c r="AS99" i="5"/>
  <c r="AR99" i="5" s="1"/>
  <c r="AS100" i="5"/>
  <c r="AS101" i="5"/>
  <c r="AR101" i="5" s="1"/>
  <c r="AS102" i="5"/>
  <c r="AR102" i="5" s="1"/>
  <c r="AS103" i="5"/>
  <c r="AS104" i="5"/>
  <c r="AS105" i="5"/>
  <c r="AS106" i="5"/>
  <c r="AR106" i="5" s="1"/>
  <c r="AS107" i="5"/>
  <c r="AS108" i="5"/>
  <c r="AR108" i="5" s="1"/>
  <c r="AS109" i="5"/>
  <c r="AR109" i="5" s="1"/>
  <c r="AS110" i="5"/>
  <c r="AR110" i="5" s="1"/>
  <c r="AS111" i="5"/>
  <c r="AS112" i="5"/>
  <c r="AR112" i="5" s="1"/>
  <c r="AS113" i="5"/>
  <c r="AR113" i="5" s="1"/>
  <c r="AS114" i="5"/>
  <c r="AS115" i="5"/>
  <c r="AS116" i="5"/>
  <c r="AR116" i="5" s="1"/>
  <c r="AS117" i="5"/>
  <c r="AS118" i="5"/>
  <c r="AR118" i="5" s="1"/>
  <c r="AS119" i="5"/>
  <c r="AR119" i="5" s="1"/>
  <c r="AS120" i="5"/>
  <c r="AR120" i="5" s="1"/>
  <c r="AS121" i="5"/>
  <c r="AR121" i="5" s="1"/>
  <c r="AS122" i="5"/>
  <c r="AR122" i="5" s="1"/>
  <c r="AS123" i="5"/>
  <c r="AR123" i="5" s="1"/>
  <c r="AS124" i="5"/>
  <c r="AS125" i="5"/>
  <c r="AR125" i="5" s="1"/>
  <c r="AS126" i="5"/>
  <c r="AS127" i="5"/>
  <c r="AS128" i="5"/>
  <c r="AR128" i="5" s="1"/>
  <c r="AS129" i="5"/>
  <c r="AR129" i="5" s="1"/>
  <c r="AS130" i="5"/>
  <c r="AR130" i="5" s="1"/>
  <c r="AS131" i="5"/>
  <c r="AS132" i="5"/>
  <c r="AR132" i="5" s="1"/>
  <c r="AS133" i="5"/>
  <c r="AS134" i="5"/>
  <c r="AR134" i="5" s="1"/>
  <c r="AS135" i="5"/>
  <c r="AR135" i="5" s="1"/>
  <c r="AS136" i="5"/>
  <c r="AS137" i="5"/>
  <c r="AR137" i="5" s="1"/>
  <c r="AS138" i="5"/>
  <c r="AR138" i="5" s="1"/>
  <c r="AS139" i="5"/>
  <c r="AR139" i="5" s="1"/>
  <c r="AS140" i="5"/>
  <c r="AS141" i="5"/>
  <c r="AS142" i="5"/>
  <c r="AR142" i="5" s="1"/>
  <c r="AS143" i="5"/>
  <c r="AS144" i="5"/>
  <c r="AS145" i="5"/>
  <c r="AR145" i="5" s="1"/>
  <c r="AS146" i="5"/>
  <c r="AR146" i="5" s="1"/>
  <c r="AS147" i="5"/>
  <c r="AR147" i="5" s="1"/>
  <c r="AS148" i="5"/>
  <c r="AR148" i="5" s="1"/>
  <c r="AS149" i="5"/>
  <c r="AR149" i="5" s="1"/>
  <c r="AS150" i="5"/>
  <c r="AR150" i="5" s="1"/>
  <c r="AS151" i="5"/>
  <c r="AS152" i="5"/>
  <c r="AR152" i="5" s="1"/>
  <c r="AS153" i="5"/>
  <c r="AR153" i="5" s="1"/>
  <c r="AS154" i="5"/>
  <c r="AS155" i="5"/>
  <c r="AS156" i="5"/>
  <c r="AR156" i="5" s="1"/>
  <c r="AS157" i="5"/>
  <c r="AS158" i="5"/>
  <c r="AT40" i="5"/>
  <c r="AT41" i="5"/>
  <c r="AT42" i="5"/>
  <c r="AT43" i="5"/>
  <c r="AT44" i="5"/>
  <c r="AT45" i="5"/>
  <c r="AT46" i="5"/>
  <c r="AT47" i="5"/>
  <c r="AT48" i="5"/>
  <c r="AT49" i="5"/>
  <c r="AT50" i="5"/>
  <c r="AT51" i="5"/>
  <c r="AT52" i="5"/>
  <c r="AT53" i="5"/>
  <c r="AT54" i="5"/>
  <c r="AT55" i="5"/>
  <c r="AT56" i="5"/>
  <c r="AT57" i="5"/>
  <c r="AT58" i="5"/>
  <c r="AT59" i="5"/>
  <c r="AT60" i="5"/>
  <c r="AT61" i="5"/>
  <c r="AT62" i="5"/>
  <c r="AT63" i="5"/>
  <c r="AT64" i="5"/>
  <c r="AT65" i="5"/>
  <c r="AT66" i="5"/>
  <c r="AT67" i="5"/>
  <c r="AT68" i="5"/>
  <c r="AT69" i="5"/>
  <c r="AT70" i="5"/>
  <c r="AT71" i="5"/>
  <c r="AT72" i="5"/>
  <c r="AT73" i="5"/>
  <c r="AT74" i="5"/>
  <c r="AT75" i="5"/>
  <c r="AT76" i="5"/>
  <c r="AT77" i="5"/>
  <c r="AT78" i="5"/>
  <c r="AT79" i="5"/>
  <c r="AT80" i="5"/>
  <c r="AT81" i="5"/>
  <c r="AT82" i="5"/>
  <c r="AT83" i="5"/>
  <c r="AT84" i="5"/>
  <c r="AT85" i="5"/>
  <c r="AT86" i="5"/>
  <c r="AT87" i="5"/>
  <c r="AT88" i="5"/>
  <c r="AT89" i="5"/>
  <c r="AT90" i="5"/>
  <c r="AT91" i="5"/>
  <c r="AT92" i="5"/>
  <c r="AT93" i="5"/>
  <c r="AT94" i="5"/>
  <c r="AT95" i="5"/>
  <c r="AT96" i="5"/>
  <c r="AT97" i="5"/>
  <c r="AT98" i="5"/>
  <c r="AT99" i="5"/>
  <c r="AT100" i="5"/>
  <c r="AT101" i="5"/>
  <c r="AT102" i="5"/>
  <c r="AT103" i="5"/>
  <c r="AT104" i="5"/>
  <c r="AT105" i="5"/>
  <c r="AT106" i="5"/>
  <c r="AT107" i="5"/>
  <c r="AT108" i="5"/>
  <c r="AT109" i="5"/>
  <c r="AT110" i="5"/>
  <c r="AT111" i="5"/>
  <c r="AT112" i="5"/>
  <c r="AT113" i="5"/>
  <c r="AT114" i="5"/>
  <c r="AT115" i="5"/>
  <c r="AT116" i="5"/>
  <c r="AT117" i="5"/>
  <c r="AT118" i="5"/>
  <c r="AT119" i="5"/>
  <c r="AT120" i="5"/>
  <c r="AT121" i="5"/>
  <c r="AT122" i="5"/>
  <c r="AT123" i="5"/>
  <c r="AT124" i="5"/>
  <c r="AT125" i="5"/>
  <c r="AT126" i="5"/>
  <c r="AT127" i="5"/>
  <c r="AT128" i="5"/>
  <c r="AT129" i="5"/>
  <c r="AT130" i="5"/>
  <c r="AT131" i="5"/>
  <c r="AT132" i="5"/>
  <c r="AT133" i="5"/>
  <c r="AT134" i="5"/>
  <c r="AT135" i="5"/>
  <c r="AT136" i="5"/>
  <c r="AT137" i="5"/>
  <c r="AT138" i="5"/>
  <c r="AT139" i="5"/>
  <c r="AT140" i="5"/>
  <c r="AT141" i="5"/>
  <c r="AT142" i="5"/>
  <c r="AT143" i="5"/>
  <c r="AT144" i="5"/>
  <c r="AT145" i="5"/>
  <c r="AT146" i="5"/>
  <c r="AT147" i="5"/>
  <c r="AT148" i="5"/>
  <c r="AT149" i="5"/>
  <c r="AT150" i="5"/>
  <c r="AT151" i="5"/>
  <c r="AT152" i="5"/>
  <c r="AT153" i="5"/>
  <c r="AT154" i="5"/>
  <c r="AT155" i="5"/>
  <c r="AT156" i="5"/>
  <c r="AT157" i="5"/>
  <c r="AT158" i="5"/>
  <c r="AU40" i="5" a="1"/>
  <c r="AU40" i="5" s="1"/>
  <c r="AU41" i="5" a="1"/>
  <c r="AU41" i="5" s="1"/>
  <c r="AU42" i="5" a="1"/>
  <c r="AU42" i="5" s="1"/>
  <c r="AU43" i="5" a="1"/>
  <c r="AU43" i="5" s="1"/>
  <c r="AU44" i="5" a="1"/>
  <c r="AU44" i="5" s="1"/>
  <c r="AU45" i="5" a="1"/>
  <c r="AU45" i="5" s="1"/>
  <c r="AU46" i="5" a="1"/>
  <c r="AU46" i="5" s="1"/>
  <c r="AU47" i="5" a="1"/>
  <c r="AU47" i="5" s="1"/>
  <c r="AU48" i="5" a="1"/>
  <c r="AU48" i="5" s="1"/>
  <c r="AU49" i="5" a="1"/>
  <c r="AU49" i="5" s="1"/>
  <c r="AU50" i="5" a="1"/>
  <c r="AU50" i="5" s="1"/>
  <c r="AU51" i="5" a="1"/>
  <c r="AU51" i="5" s="1"/>
  <c r="AU52" i="5" a="1"/>
  <c r="AU52" i="5" s="1"/>
  <c r="AU53" i="5" a="1"/>
  <c r="AU53" i="5" s="1"/>
  <c r="AU54" i="5" a="1"/>
  <c r="AU54" i="5" s="1"/>
  <c r="AU55" i="5" a="1"/>
  <c r="AU55" i="5" s="1"/>
  <c r="AU56" i="5" a="1"/>
  <c r="AU56" i="5" s="1"/>
  <c r="AU57" i="5" a="1"/>
  <c r="AU57" i="5" s="1"/>
  <c r="AU58" i="5" a="1"/>
  <c r="AU58" i="5" s="1"/>
  <c r="AU59" i="5" a="1"/>
  <c r="AU59" i="5" s="1"/>
  <c r="AU60" i="5" a="1"/>
  <c r="AU60" i="5" s="1"/>
  <c r="AU61" i="5" a="1"/>
  <c r="AU61" i="5" s="1"/>
  <c r="AU62" i="5" a="1"/>
  <c r="AU62" i="5" s="1"/>
  <c r="AU63" i="5" a="1"/>
  <c r="AU63" i="5" s="1"/>
  <c r="AU64" i="5" a="1"/>
  <c r="AU64" i="5" s="1"/>
  <c r="AU65" i="5" a="1"/>
  <c r="AU65" i="5" s="1"/>
  <c r="AU66" i="5" a="1"/>
  <c r="AU66" i="5" s="1"/>
  <c r="AU67" i="5" a="1"/>
  <c r="AU67" i="5" s="1"/>
  <c r="AU68" i="5" a="1"/>
  <c r="AU68" i="5" s="1"/>
  <c r="AU69" i="5" a="1"/>
  <c r="AU69" i="5" s="1"/>
  <c r="AU70" i="5" a="1"/>
  <c r="AU70" i="5" s="1"/>
  <c r="AU71" i="5" a="1"/>
  <c r="AU71" i="5" s="1"/>
  <c r="AU72" i="5" a="1"/>
  <c r="AU72" i="5" s="1"/>
  <c r="AU73" i="5" a="1"/>
  <c r="AU73" i="5" s="1"/>
  <c r="AU74" i="5" a="1"/>
  <c r="AU74" i="5" s="1"/>
  <c r="AU75" i="5" a="1"/>
  <c r="AU75" i="5" s="1"/>
  <c r="AU76" i="5" a="1"/>
  <c r="AU76" i="5" s="1"/>
  <c r="AU77" i="5" a="1"/>
  <c r="AU77" i="5" s="1"/>
  <c r="AU78" i="5" a="1"/>
  <c r="AU78" i="5" s="1"/>
  <c r="AU79" i="5" a="1"/>
  <c r="AU79" i="5" s="1"/>
  <c r="AU80" i="5" a="1"/>
  <c r="AU80" i="5" s="1"/>
  <c r="AU81" i="5" a="1"/>
  <c r="AU81" i="5" s="1"/>
  <c r="AU82" i="5" a="1"/>
  <c r="AU82" i="5" s="1"/>
  <c r="AU83" i="5" a="1"/>
  <c r="AU83" i="5" s="1"/>
  <c r="AU84" i="5" a="1"/>
  <c r="AU84" i="5" s="1"/>
  <c r="AU85" i="5" a="1"/>
  <c r="AU85" i="5" s="1"/>
  <c r="AU86" i="5" a="1"/>
  <c r="AU86" i="5" s="1"/>
  <c r="AU87" i="5" a="1"/>
  <c r="AU87" i="5" s="1"/>
  <c r="AU88" i="5" a="1"/>
  <c r="AU88" i="5" s="1"/>
  <c r="AU89" i="5" a="1"/>
  <c r="AU89" i="5" s="1"/>
  <c r="AU90" i="5" a="1"/>
  <c r="AU90" i="5" s="1"/>
  <c r="AU91" i="5" a="1"/>
  <c r="AU91" i="5" s="1"/>
  <c r="AU92" i="5" a="1"/>
  <c r="AU92" i="5" s="1"/>
  <c r="AU93" i="5" a="1"/>
  <c r="AU93" i="5" s="1"/>
  <c r="AU94" i="5" a="1"/>
  <c r="AU94" i="5" s="1"/>
  <c r="AU95" i="5" a="1"/>
  <c r="AU95" i="5" s="1"/>
  <c r="AU96" i="5" a="1"/>
  <c r="AU96" i="5" s="1"/>
  <c r="AU97" i="5" a="1"/>
  <c r="AU97" i="5" s="1"/>
  <c r="AU98" i="5" a="1"/>
  <c r="AU98" i="5" s="1"/>
  <c r="AU99" i="5" a="1"/>
  <c r="AU99" i="5" s="1"/>
  <c r="AU100" i="5" a="1"/>
  <c r="AU100" i="5" s="1"/>
  <c r="AU101" i="5" a="1"/>
  <c r="AU101" i="5" s="1"/>
  <c r="AU102" i="5" a="1"/>
  <c r="AU102" i="5" s="1"/>
  <c r="AU103" i="5" a="1"/>
  <c r="AU103" i="5" s="1"/>
  <c r="AU104" i="5" a="1"/>
  <c r="AU104" i="5" s="1"/>
  <c r="AU105" i="5" a="1"/>
  <c r="AU105" i="5" s="1"/>
  <c r="AU106" i="5" a="1"/>
  <c r="AU106" i="5" s="1"/>
  <c r="AU107" i="5" a="1"/>
  <c r="AU107" i="5" s="1"/>
  <c r="AU108" i="5" a="1"/>
  <c r="AU108" i="5" s="1"/>
  <c r="AU109" i="5" a="1"/>
  <c r="AU109" i="5" s="1"/>
  <c r="AU110" i="5" a="1"/>
  <c r="AU110" i="5" s="1"/>
  <c r="AU111" i="5" a="1"/>
  <c r="AU111" i="5" s="1"/>
  <c r="AU112" i="5" a="1"/>
  <c r="AU112" i="5" s="1"/>
  <c r="AU113" i="5" a="1"/>
  <c r="AU113" i="5" s="1"/>
  <c r="AU114" i="5" a="1"/>
  <c r="AU114" i="5" s="1"/>
  <c r="AU115" i="5" a="1"/>
  <c r="AU115" i="5" s="1"/>
  <c r="AU116" i="5" a="1"/>
  <c r="AU116" i="5" s="1"/>
  <c r="AU117" i="5" a="1"/>
  <c r="AU117" i="5" s="1"/>
  <c r="AU118" i="5" a="1"/>
  <c r="AU118" i="5" s="1"/>
  <c r="AU119" i="5" a="1"/>
  <c r="AU119" i="5" s="1"/>
  <c r="AU120" i="5" a="1"/>
  <c r="AU120" i="5" s="1"/>
  <c r="AU121" i="5" a="1"/>
  <c r="AU121" i="5" s="1"/>
  <c r="AU122" i="5" a="1"/>
  <c r="AU122" i="5" s="1"/>
  <c r="AU123" i="5" a="1"/>
  <c r="AU123" i="5" s="1"/>
  <c r="AU124" i="5" a="1"/>
  <c r="AU124" i="5" s="1"/>
  <c r="AU125" i="5" a="1"/>
  <c r="AU125" i="5" s="1"/>
  <c r="AU126" i="5" a="1"/>
  <c r="AU126" i="5" s="1"/>
  <c r="AU127" i="5" a="1"/>
  <c r="AU127" i="5" s="1"/>
  <c r="AU128" i="5" a="1"/>
  <c r="AU128" i="5" s="1"/>
  <c r="AU129" i="5" a="1"/>
  <c r="AU129" i="5" s="1"/>
  <c r="AU130" i="5" a="1"/>
  <c r="AU130" i="5" s="1"/>
  <c r="AU131" i="5" a="1"/>
  <c r="AU131" i="5" s="1"/>
  <c r="AU132" i="5" a="1"/>
  <c r="AU132" i="5" s="1"/>
  <c r="AU133" i="5" a="1"/>
  <c r="AU133" i="5" s="1"/>
  <c r="AU134" i="5" a="1"/>
  <c r="AU134" i="5" s="1"/>
  <c r="AU135" i="5" a="1"/>
  <c r="AU135" i="5" s="1"/>
  <c r="AU136" i="5" a="1"/>
  <c r="AU136" i="5" s="1"/>
  <c r="AU137" i="5" a="1"/>
  <c r="AU137" i="5" s="1"/>
  <c r="AU138" i="5" a="1"/>
  <c r="AU138" i="5" s="1"/>
  <c r="AU139" i="5" a="1"/>
  <c r="AU139" i="5" s="1"/>
  <c r="AU140" i="5" a="1"/>
  <c r="AU140" i="5" s="1"/>
  <c r="AU141" i="5" a="1"/>
  <c r="AU141" i="5" s="1"/>
  <c r="AU142" i="5" a="1"/>
  <c r="AU142" i="5" s="1"/>
  <c r="AU143" i="5" a="1"/>
  <c r="AU143" i="5" s="1"/>
  <c r="AU144" i="5" a="1"/>
  <c r="AU144" i="5" s="1"/>
  <c r="AU145" i="5" a="1"/>
  <c r="AU145" i="5" s="1"/>
  <c r="AU146" i="5" a="1"/>
  <c r="AU146" i="5" s="1"/>
  <c r="AU147" i="5" a="1"/>
  <c r="AU147" i="5" s="1"/>
  <c r="AU148" i="5" a="1"/>
  <c r="AU148" i="5" s="1"/>
  <c r="AU149" i="5" a="1"/>
  <c r="AU149" i="5" s="1"/>
  <c r="AU150" i="5" a="1"/>
  <c r="AU150" i="5" s="1"/>
  <c r="AU151" i="5" a="1"/>
  <c r="AU151" i="5" s="1"/>
  <c r="AU152" i="5" a="1"/>
  <c r="AU152" i="5" s="1"/>
  <c r="AU153" i="5" a="1"/>
  <c r="AU153" i="5" s="1"/>
  <c r="AU154" i="5" a="1"/>
  <c r="AU154" i="5" s="1"/>
  <c r="AU155" i="5" a="1"/>
  <c r="AU155" i="5" s="1"/>
  <c r="AU156" i="5" a="1"/>
  <c r="AU156" i="5" s="1"/>
  <c r="AU157" i="5" a="1"/>
  <c r="AU157" i="5" s="1"/>
  <c r="AU158" i="5" a="1"/>
  <c r="AU158" i="5" s="1"/>
  <c r="AV40" i="5" a="1"/>
  <c r="AV40" i="5" s="1"/>
  <c r="AV41" i="5" a="1"/>
  <c r="AV41" i="5" s="1"/>
  <c r="AV42" i="5" a="1"/>
  <c r="AV42" i="5" s="1"/>
  <c r="AV43" i="5" a="1"/>
  <c r="AV43" i="5" s="1"/>
  <c r="AV44" i="5" a="1"/>
  <c r="AV44" i="5" s="1"/>
  <c r="AV45" i="5" a="1"/>
  <c r="AV45" i="5" s="1"/>
  <c r="AV46" i="5" a="1"/>
  <c r="AV46" i="5" s="1"/>
  <c r="AV47" i="5" a="1"/>
  <c r="AV47" i="5" s="1"/>
  <c r="AV48" i="5" a="1"/>
  <c r="AV48" i="5" s="1"/>
  <c r="AV49" i="5" a="1"/>
  <c r="AV49" i="5" s="1"/>
  <c r="AV50" i="5" a="1"/>
  <c r="AV50" i="5" s="1"/>
  <c r="AV51" i="5" a="1"/>
  <c r="AV51" i="5" s="1"/>
  <c r="AV52" i="5" a="1"/>
  <c r="AV52" i="5" s="1"/>
  <c r="AV53" i="5" a="1"/>
  <c r="AV53" i="5" s="1"/>
  <c r="AV54" i="5" a="1"/>
  <c r="AV54" i="5" s="1"/>
  <c r="AV55" i="5" a="1"/>
  <c r="AV55" i="5" s="1"/>
  <c r="AV56" i="5" a="1"/>
  <c r="AV56" i="5" s="1"/>
  <c r="AV57" i="5" a="1"/>
  <c r="AV57" i="5" s="1"/>
  <c r="AV58" i="5" a="1"/>
  <c r="AV58" i="5" s="1"/>
  <c r="AV59" i="5" a="1"/>
  <c r="AV59" i="5" s="1"/>
  <c r="AV60" i="5" a="1"/>
  <c r="AV60" i="5" s="1"/>
  <c r="AV61" i="5" a="1"/>
  <c r="AV61" i="5" s="1"/>
  <c r="AV62" i="5" a="1"/>
  <c r="AV62" i="5" s="1"/>
  <c r="AV63" i="5" a="1"/>
  <c r="AV63" i="5" s="1"/>
  <c r="AV64" i="5" a="1"/>
  <c r="AV64" i="5" s="1"/>
  <c r="AV65" i="5" a="1"/>
  <c r="AV65" i="5" s="1"/>
  <c r="AV66" i="5" a="1"/>
  <c r="AV66" i="5" s="1"/>
  <c r="AV67" i="5" a="1"/>
  <c r="AV67" i="5" s="1"/>
  <c r="AV68" i="5" a="1"/>
  <c r="AV68" i="5" s="1"/>
  <c r="AV69" i="5" a="1"/>
  <c r="AV69" i="5" s="1"/>
  <c r="AV70" i="5" a="1"/>
  <c r="AV70" i="5" s="1"/>
  <c r="AV71" i="5" a="1"/>
  <c r="AV71" i="5" s="1"/>
  <c r="AV72" i="5" a="1"/>
  <c r="AV72" i="5" s="1"/>
  <c r="AV73" i="5" a="1"/>
  <c r="AV73" i="5" s="1"/>
  <c r="AV74" i="5" a="1"/>
  <c r="AV74" i="5" s="1"/>
  <c r="AV75" i="5" a="1"/>
  <c r="AV75" i="5" s="1"/>
  <c r="AV76" i="5" a="1"/>
  <c r="AV76" i="5" s="1"/>
  <c r="AV77" i="5" a="1"/>
  <c r="AV77" i="5" s="1"/>
  <c r="AV78" i="5" a="1"/>
  <c r="AV78" i="5" s="1"/>
  <c r="AV79" i="5" a="1"/>
  <c r="AV79" i="5" s="1"/>
  <c r="AV80" i="5" a="1"/>
  <c r="AV80" i="5" s="1"/>
  <c r="AV81" i="5" a="1"/>
  <c r="AV81" i="5" s="1"/>
  <c r="AV82" i="5" a="1"/>
  <c r="AV82" i="5" s="1"/>
  <c r="AV83" i="5" a="1"/>
  <c r="AV83" i="5" s="1"/>
  <c r="AV84" i="5" a="1"/>
  <c r="AV84" i="5" s="1"/>
  <c r="AV85" i="5" a="1"/>
  <c r="AV85" i="5" s="1"/>
  <c r="AV86" i="5" a="1"/>
  <c r="AV86" i="5" s="1"/>
  <c r="AV87" i="5" a="1"/>
  <c r="AV87" i="5" s="1"/>
  <c r="AV88" i="5" a="1"/>
  <c r="AV88" i="5" s="1"/>
  <c r="AV89" i="5" a="1"/>
  <c r="AV89" i="5" s="1"/>
  <c r="AV90" i="5" a="1"/>
  <c r="AV90" i="5" s="1"/>
  <c r="AV91" i="5" a="1"/>
  <c r="AV91" i="5" s="1"/>
  <c r="AV92" i="5" a="1"/>
  <c r="AV92" i="5" s="1"/>
  <c r="AV93" i="5" a="1"/>
  <c r="AV93" i="5" s="1"/>
  <c r="AV94" i="5" a="1"/>
  <c r="AV94" i="5" s="1"/>
  <c r="AV95" i="5" a="1"/>
  <c r="AV95" i="5" s="1"/>
  <c r="AV96" i="5" a="1"/>
  <c r="AV96" i="5" s="1"/>
  <c r="AV97" i="5" a="1"/>
  <c r="AV97" i="5" s="1"/>
  <c r="AV98" i="5" a="1"/>
  <c r="AV98" i="5" s="1"/>
  <c r="AV99" i="5" a="1"/>
  <c r="AV99" i="5" s="1"/>
  <c r="AV100" i="5" a="1"/>
  <c r="AV100" i="5" s="1"/>
  <c r="AV101" i="5" a="1"/>
  <c r="AV101" i="5" s="1"/>
  <c r="AV102" i="5" a="1"/>
  <c r="AV102" i="5" s="1"/>
  <c r="AV103" i="5" a="1"/>
  <c r="AV103" i="5" s="1"/>
  <c r="AV104" i="5" a="1"/>
  <c r="AV104" i="5" s="1"/>
  <c r="AV105" i="5" a="1"/>
  <c r="AV105" i="5" s="1"/>
  <c r="AV106" i="5" a="1"/>
  <c r="AV106" i="5" s="1"/>
  <c r="AV107" i="5" a="1"/>
  <c r="AV107" i="5" s="1"/>
  <c r="AV108" i="5" a="1"/>
  <c r="AV108" i="5" s="1"/>
  <c r="AV109" i="5" a="1"/>
  <c r="AV109" i="5" s="1"/>
  <c r="AV110" i="5" a="1"/>
  <c r="AV110" i="5" s="1"/>
  <c r="AV111" i="5" a="1"/>
  <c r="AV111" i="5" s="1"/>
  <c r="AV112" i="5" a="1"/>
  <c r="AV112" i="5" s="1"/>
  <c r="AV113" i="5" a="1"/>
  <c r="AV113" i="5" s="1"/>
  <c r="AV114" i="5" a="1"/>
  <c r="AV114" i="5" s="1"/>
  <c r="AV115" i="5" a="1"/>
  <c r="AV115" i="5" s="1"/>
  <c r="AV116" i="5" a="1"/>
  <c r="AV116" i="5" s="1"/>
  <c r="AV117" i="5" a="1"/>
  <c r="AV117" i="5" s="1"/>
  <c r="AV118" i="5" a="1"/>
  <c r="AV118" i="5" s="1"/>
  <c r="AV119" i="5" a="1"/>
  <c r="AV119" i="5" s="1"/>
  <c r="AV120" i="5" a="1"/>
  <c r="AV120" i="5" s="1"/>
  <c r="AV121" i="5" a="1"/>
  <c r="AV121" i="5" s="1"/>
  <c r="AV122" i="5" a="1"/>
  <c r="AV122" i="5" s="1"/>
  <c r="AV123" i="5" a="1"/>
  <c r="AV123" i="5" s="1"/>
  <c r="AV124" i="5" a="1"/>
  <c r="AV124" i="5" s="1"/>
  <c r="AV125" i="5" a="1"/>
  <c r="AV125" i="5" s="1"/>
  <c r="AV126" i="5" a="1"/>
  <c r="AV126" i="5" s="1"/>
  <c r="AV127" i="5" a="1"/>
  <c r="AV127" i="5" s="1"/>
  <c r="AV128" i="5" a="1"/>
  <c r="AV128" i="5" s="1"/>
  <c r="AV129" i="5" a="1"/>
  <c r="AV129" i="5" s="1"/>
  <c r="AV130" i="5" a="1"/>
  <c r="AV130" i="5" s="1"/>
  <c r="AV131" i="5" a="1"/>
  <c r="AV131" i="5" s="1"/>
  <c r="AV132" i="5" a="1"/>
  <c r="AV132" i="5" s="1"/>
  <c r="AV133" i="5" a="1"/>
  <c r="AV133" i="5" s="1"/>
  <c r="AV134" i="5" a="1"/>
  <c r="AV134" i="5" s="1"/>
  <c r="AV135" i="5" a="1"/>
  <c r="AV135" i="5" s="1"/>
  <c r="AV136" i="5" a="1"/>
  <c r="AV136" i="5" s="1"/>
  <c r="AV137" i="5" a="1"/>
  <c r="AV137" i="5" s="1"/>
  <c r="AV138" i="5" a="1"/>
  <c r="AV138" i="5" s="1"/>
  <c r="AV139" i="5" a="1"/>
  <c r="AV139" i="5" s="1"/>
  <c r="AV140" i="5" a="1"/>
  <c r="AV140" i="5" s="1"/>
  <c r="AV141" i="5" a="1"/>
  <c r="AV141" i="5" s="1"/>
  <c r="AV142" i="5" a="1"/>
  <c r="AV142" i="5" s="1"/>
  <c r="AV143" i="5" a="1"/>
  <c r="AV143" i="5" s="1"/>
  <c r="AV144" i="5" a="1"/>
  <c r="AV144" i="5" s="1"/>
  <c r="AV145" i="5" a="1"/>
  <c r="AV145" i="5" s="1"/>
  <c r="AV146" i="5" a="1"/>
  <c r="AV146" i="5" s="1"/>
  <c r="AV147" i="5" a="1"/>
  <c r="AV147" i="5" s="1"/>
  <c r="AV148" i="5" a="1"/>
  <c r="AV148" i="5" s="1"/>
  <c r="AV149" i="5" a="1"/>
  <c r="AV149" i="5" s="1"/>
  <c r="AV150" i="5" a="1"/>
  <c r="AV150" i="5" s="1"/>
  <c r="AV151" i="5" a="1"/>
  <c r="AV151" i="5" s="1"/>
  <c r="AV152" i="5" a="1"/>
  <c r="AV152" i="5" s="1"/>
  <c r="AV153" i="5" a="1"/>
  <c r="AV153" i="5" s="1"/>
  <c r="AV154" i="5" a="1"/>
  <c r="AV154" i="5" s="1"/>
  <c r="AV155" i="5" a="1"/>
  <c r="AV155" i="5" s="1"/>
  <c r="AV156" i="5" a="1"/>
  <c r="AV156" i="5" s="1"/>
  <c r="AV157" i="5" a="1"/>
  <c r="AV157" i="5" s="1"/>
  <c r="AV158" i="5" a="1"/>
  <c r="AV158" i="5" s="1"/>
  <c r="AY40" i="5" a="1"/>
  <c r="AY40" i="5" s="1"/>
  <c r="AY41" i="5" a="1"/>
  <c r="AY41" i="5" s="1"/>
  <c r="AY42" i="5" a="1"/>
  <c r="AY42" i="5" s="1"/>
  <c r="AY43" i="5" a="1"/>
  <c r="AY43" i="5" s="1"/>
  <c r="AY44" i="5" a="1"/>
  <c r="AY44" i="5" s="1"/>
  <c r="AY45" i="5" a="1"/>
  <c r="AY45" i="5" s="1"/>
  <c r="AY46" i="5" a="1"/>
  <c r="AY46" i="5" s="1"/>
  <c r="AY47" i="5" a="1"/>
  <c r="AY47" i="5" s="1"/>
  <c r="AY48" i="5" a="1"/>
  <c r="AY48" i="5" s="1"/>
  <c r="AY49" i="5" a="1"/>
  <c r="AY49" i="5" s="1"/>
  <c r="AY50" i="5" a="1"/>
  <c r="AY50" i="5" s="1"/>
  <c r="AY51" i="5" a="1"/>
  <c r="AY51" i="5" s="1"/>
  <c r="AY52" i="5" a="1"/>
  <c r="AY52" i="5" s="1"/>
  <c r="AY53" i="5" a="1"/>
  <c r="AY53" i="5" s="1"/>
  <c r="AY54" i="5" a="1"/>
  <c r="AY54" i="5" s="1"/>
  <c r="AY55" i="5" a="1"/>
  <c r="AY55" i="5" s="1"/>
  <c r="AY56" i="5" a="1"/>
  <c r="AY56" i="5" s="1"/>
  <c r="AY57" i="5" a="1"/>
  <c r="AY57" i="5" s="1"/>
  <c r="AY58" i="5" a="1"/>
  <c r="AY58" i="5" s="1"/>
  <c r="AY59" i="5" a="1"/>
  <c r="AY59" i="5" s="1"/>
  <c r="AY60" i="5" a="1"/>
  <c r="AY60" i="5" s="1"/>
  <c r="AY61" i="5" a="1"/>
  <c r="AY61" i="5" s="1"/>
  <c r="AY62" i="5" a="1"/>
  <c r="AY62" i="5" s="1"/>
  <c r="AY63" i="5" a="1"/>
  <c r="AY63" i="5" s="1"/>
  <c r="AY64" i="5" a="1"/>
  <c r="AY64" i="5" s="1"/>
  <c r="AY65" i="5" a="1"/>
  <c r="AY65" i="5" s="1"/>
  <c r="AY66" i="5" a="1"/>
  <c r="AY66" i="5" s="1"/>
  <c r="AY67" i="5" a="1"/>
  <c r="AY67" i="5" s="1"/>
  <c r="AY68" i="5" a="1"/>
  <c r="AY68" i="5" s="1"/>
  <c r="AY69" i="5" a="1"/>
  <c r="AY69" i="5" s="1"/>
  <c r="AY70" i="5" a="1"/>
  <c r="AY70" i="5" s="1"/>
  <c r="AY71" i="5" a="1"/>
  <c r="AY71" i="5" s="1"/>
  <c r="AY72" i="5" a="1"/>
  <c r="AY72" i="5" s="1"/>
  <c r="AY73" i="5" a="1"/>
  <c r="AY73" i="5" s="1"/>
  <c r="AY74" i="5" a="1"/>
  <c r="AY74" i="5" s="1"/>
  <c r="AY75" i="5" a="1"/>
  <c r="AY75" i="5" s="1"/>
  <c r="AY76" i="5" a="1"/>
  <c r="AY76" i="5" s="1"/>
  <c r="AY77" i="5" a="1"/>
  <c r="AY77" i="5" s="1"/>
  <c r="AY78" i="5" a="1"/>
  <c r="AY78" i="5" s="1"/>
  <c r="AY79" i="5" a="1"/>
  <c r="AY79" i="5" s="1"/>
  <c r="AY80" i="5" a="1"/>
  <c r="AY80" i="5" s="1"/>
  <c r="AY81" i="5" a="1"/>
  <c r="AY81" i="5" s="1"/>
  <c r="AY82" i="5" a="1"/>
  <c r="AY82" i="5" s="1"/>
  <c r="AY83" i="5" a="1"/>
  <c r="AY83" i="5" s="1"/>
  <c r="AY84" i="5" a="1"/>
  <c r="AY84" i="5" s="1"/>
  <c r="AY85" i="5" a="1"/>
  <c r="AY85" i="5" s="1"/>
  <c r="AY86" i="5" a="1"/>
  <c r="AY86" i="5" s="1"/>
  <c r="AY87" i="5" a="1"/>
  <c r="AY87" i="5" s="1"/>
  <c r="AY88" i="5" a="1"/>
  <c r="AY88" i="5" s="1"/>
  <c r="AY89" i="5" a="1"/>
  <c r="AY89" i="5" s="1"/>
  <c r="AY90" i="5" a="1"/>
  <c r="AY90" i="5" s="1"/>
  <c r="AY91" i="5" a="1"/>
  <c r="AY91" i="5" s="1"/>
  <c r="AY92" i="5" a="1"/>
  <c r="AY92" i="5" s="1"/>
  <c r="AY93" i="5" a="1"/>
  <c r="AY93" i="5" s="1"/>
  <c r="AY94" i="5" a="1"/>
  <c r="AY94" i="5" s="1"/>
  <c r="AY95" i="5" a="1"/>
  <c r="AY95" i="5" s="1"/>
  <c r="AY96" i="5" a="1"/>
  <c r="AY96" i="5" s="1"/>
  <c r="AY97" i="5" a="1"/>
  <c r="AY97" i="5" s="1"/>
  <c r="AY98" i="5" a="1"/>
  <c r="AY98" i="5" s="1"/>
  <c r="AY99" i="5" a="1"/>
  <c r="AY99" i="5" s="1"/>
  <c r="AY100" i="5" a="1"/>
  <c r="AY100" i="5" s="1"/>
  <c r="AY101" i="5" a="1"/>
  <c r="AY101" i="5" s="1"/>
  <c r="AY102" i="5" a="1"/>
  <c r="AY102" i="5" s="1"/>
  <c r="AY103" i="5" a="1"/>
  <c r="AY103" i="5" s="1"/>
  <c r="AY104" i="5" a="1"/>
  <c r="AY104" i="5" s="1"/>
  <c r="AY105" i="5" a="1"/>
  <c r="AY105" i="5" s="1"/>
  <c r="AY106" i="5" a="1"/>
  <c r="AY106" i="5" s="1"/>
  <c r="AY107" i="5" a="1"/>
  <c r="AY107" i="5" s="1"/>
  <c r="AY108" i="5" a="1"/>
  <c r="AY108" i="5" s="1"/>
  <c r="AY109" i="5" a="1"/>
  <c r="AY109" i="5" s="1"/>
  <c r="AY110" i="5" a="1"/>
  <c r="AY110" i="5" s="1"/>
  <c r="AY111" i="5" a="1"/>
  <c r="AY111" i="5" s="1"/>
  <c r="AY112" i="5" a="1"/>
  <c r="AY112" i="5" s="1"/>
  <c r="AY113" i="5" a="1"/>
  <c r="AY113" i="5" s="1"/>
  <c r="AY114" i="5" a="1"/>
  <c r="AY114" i="5" s="1"/>
  <c r="AY115" i="5" a="1"/>
  <c r="AY115" i="5" s="1"/>
  <c r="AY116" i="5" a="1"/>
  <c r="AY116" i="5" s="1"/>
  <c r="AY117" i="5" a="1"/>
  <c r="AY117" i="5" s="1"/>
  <c r="AY118" i="5" a="1"/>
  <c r="AY118" i="5" s="1"/>
  <c r="AY119" i="5" a="1"/>
  <c r="AY119" i="5" s="1"/>
  <c r="AY120" i="5" a="1"/>
  <c r="AY120" i="5" s="1"/>
  <c r="AY121" i="5" a="1"/>
  <c r="AY121" i="5" s="1"/>
  <c r="AY122" i="5" a="1"/>
  <c r="AY122" i="5" s="1"/>
  <c r="AY123" i="5" a="1"/>
  <c r="AY123" i="5" s="1"/>
  <c r="AY124" i="5" a="1"/>
  <c r="AY124" i="5" s="1"/>
  <c r="AY125" i="5" a="1"/>
  <c r="AY125" i="5" s="1"/>
  <c r="AY126" i="5" a="1"/>
  <c r="AY126" i="5" s="1"/>
  <c r="AY127" i="5" a="1"/>
  <c r="AY127" i="5" s="1"/>
  <c r="AY128" i="5" a="1"/>
  <c r="AY128" i="5" s="1"/>
  <c r="AY129" i="5" a="1"/>
  <c r="AY129" i="5" s="1"/>
  <c r="AY130" i="5" a="1"/>
  <c r="AY130" i="5" s="1"/>
  <c r="AY131" i="5" a="1"/>
  <c r="AY131" i="5" s="1"/>
  <c r="AY132" i="5" a="1"/>
  <c r="AY132" i="5" s="1"/>
  <c r="AY133" i="5" a="1"/>
  <c r="AY133" i="5" s="1"/>
  <c r="AY134" i="5" a="1"/>
  <c r="AY134" i="5" s="1"/>
  <c r="AY135" i="5" a="1"/>
  <c r="AY135" i="5" s="1"/>
  <c r="AY136" i="5" a="1"/>
  <c r="AY136" i="5" s="1"/>
  <c r="AY137" i="5" a="1"/>
  <c r="AY137" i="5" s="1"/>
  <c r="AY138" i="5" a="1"/>
  <c r="AY138" i="5" s="1"/>
  <c r="AY139" i="5" a="1"/>
  <c r="AY139" i="5" s="1"/>
  <c r="AY140" i="5" a="1"/>
  <c r="AY140" i="5" s="1"/>
  <c r="AY141" i="5" a="1"/>
  <c r="AY141" i="5" s="1"/>
  <c r="AY142" i="5" a="1"/>
  <c r="AY142" i="5" s="1"/>
  <c r="AY143" i="5" a="1"/>
  <c r="AY143" i="5" s="1"/>
  <c r="AY144" i="5" a="1"/>
  <c r="AY144" i="5" s="1"/>
  <c r="AY145" i="5" a="1"/>
  <c r="AY145" i="5" s="1"/>
  <c r="AY146" i="5" a="1"/>
  <c r="AY146" i="5" s="1"/>
  <c r="AY147" i="5" a="1"/>
  <c r="AY147" i="5" s="1"/>
  <c r="AY148" i="5" a="1"/>
  <c r="AY148" i="5" s="1"/>
  <c r="AY149" i="5" a="1"/>
  <c r="AY149" i="5" s="1"/>
  <c r="AY150" i="5" a="1"/>
  <c r="AY150" i="5" s="1"/>
  <c r="AY151" i="5" a="1"/>
  <c r="AY151" i="5" s="1"/>
  <c r="AY152" i="5" a="1"/>
  <c r="AY152" i="5" s="1"/>
  <c r="AY153" i="5" a="1"/>
  <c r="AY153" i="5" s="1"/>
  <c r="AY154" i="5" a="1"/>
  <c r="AY154" i="5" s="1"/>
  <c r="AY155" i="5" a="1"/>
  <c r="AY155" i="5" s="1"/>
  <c r="AY156" i="5" a="1"/>
  <c r="AY156" i="5" s="1"/>
  <c r="AY157" i="5" a="1"/>
  <c r="AY157" i="5" s="1"/>
  <c r="AY158" i="5" a="1"/>
  <c r="AY158" i="5" s="1"/>
  <c r="AZ40" i="5" a="1"/>
  <c r="AZ40" i="5" s="1"/>
  <c r="AZ41" i="5" a="1"/>
  <c r="AZ41" i="5" s="1"/>
  <c r="AZ42" i="5" a="1"/>
  <c r="AZ42" i="5" s="1"/>
  <c r="AZ43" i="5" a="1"/>
  <c r="AZ43" i="5" s="1"/>
  <c r="AZ44" i="5" a="1"/>
  <c r="AZ44" i="5" s="1"/>
  <c r="AZ45" i="5" a="1"/>
  <c r="AZ45" i="5" s="1"/>
  <c r="AZ46" i="5" a="1"/>
  <c r="AZ46" i="5" s="1"/>
  <c r="AZ47" i="5" a="1"/>
  <c r="AZ47" i="5" s="1"/>
  <c r="AZ48" i="5" a="1"/>
  <c r="AZ48" i="5" s="1"/>
  <c r="AZ49" i="5" a="1"/>
  <c r="AZ49" i="5" s="1"/>
  <c r="AZ50" i="5" a="1"/>
  <c r="AZ50" i="5" s="1"/>
  <c r="AZ51" i="5" a="1"/>
  <c r="AZ51" i="5" s="1"/>
  <c r="AZ52" i="5" a="1"/>
  <c r="AZ52" i="5" s="1"/>
  <c r="AZ53" i="5" a="1"/>
  <c r="AZ53" i="5" s="1"/>
  <c r="AZ54" i="5" a="1"/>
  <c r="AZ54" i="5" s="1"/>
  <c r="AZ55" i="5" a="1"/>
  <c r="AZ55" i="5" s="1"/>
  <c r="AZ56" i="5" a="1"/>
  <c r="AZ56" i="5" s="1"/>
  <c r="AZ57" i="5" a="1"/>
  <c r="AZ57" i="5" s="1"/>
  <c r="AZ58" i="5" a="1"/>
  <c r="AZ58" i="5" s="1"/>
  <c r="AZ59" i="5" a="1"/>
  <c r="AZ59" i="5" s="1"/>
  <c r="AZ60" i="5" a="1"/>
  <c r="AZ60" i="5" s="1"/>
  <c r="AZ61" i="5" a="1"/>
  <c r="AZ61" i="5" s="1"/>
  <c r="AZ62" i="5" a="1"/>
  <c r="AZ62" i="5" s="1"/>
  <c r="AZ63" i="5" a="1"/>
  <c r="AZ63" i="5" s="1"/>
  <c r="AZ64" i="5" a="1"/>
  <c r="AZ64" i="5" s="1"/>
  <c r="AZ65" i="5" a="1"/>
  <c r="AZ65" i="5" s="1"/>
  <c r="AZ66" i="5" a="1"/>
  <c r="AZ66" i="5" s="1"/>
  <c r="AZ67" i="5" a="1"/>
  <c r="AZ67" i="5" s="1"/>
  <c r="AZ68" i="5" a="1"/>
  <c r="AZ68" i="5" s="1"/>
  <c r="AZ69" i="5" a="1"/>
  <c r="AZ69" i="5" s="1"/>
  <c r="AZ70" i="5" a="1"/>
  <c r="AZ70" i="5" s="1"/>
  <c r="AZ71" i="5" a="1"/>
  <c r="AZ71" i="5" s="1"/>
  <c r="AZ72" i="5" a="1"/>
  <c r="AZ72" i="5" s="1"/>
  <c r="AZ73" i="5" a="1"/>
  <c r="AZ73" i="5" s="1"/>
  <c r="AZ74" i="5" a="1"/>
  <c r="AZ74" i="5" s="1"/>
  <c r="AZ75" i="5" a="1"/>
  <c r="AZ75" i="5" s="1"/>
  <c r="AZ76" i="5" a="1"/>
  <c r="AZ76" i="5" s="1"/>
  <c r="AZ77" i="5" a="1"/>
  <c r="AZ77" i="5" s="1"/>
  <c r="AZ78" i="5" a="1"/>
  <c r="AZ78" i="5" s="1"/>
  <c r="AZ79" i="5" a="1"/>
  <c r="AZ79" i="5" s="1"/>
  <c r="AZ80" i="5" a="1"/>
  <c r="AZ80" i="5" s="1"/>
  <c r="AZ81" i="5" a="1"/>
  <c r="AZ81" i="5" s="1"/>
  <c r="AZ82" i="5" a="1"/>
  <c r="AZ82" i="5" s="1"/>
  <c r="AZ83" i="5" a="1"/>
  <c r="AZ83" i="5" s="1"/>
  <c r="AZ84" i="5" a="1"/>
  <c r="AZ84" i="5" s="1"/>
  <c r="AZ85" i="5" a="1"/>
  <c r="AZ85" i="5" s="1"/>
  <c r="AZ86" i="5" a="1"/>
  <c r="AZ86" i="5" s="1"/>
  <c r="AZ87" i="5" a="1"/>
  <c r="AZ87" i="5" s="1"/>
  <c r="AZ88" i="5" a="1"/>
  <c r="AZ88" i="5" s="1"/>
  <c r="AZ89" i="5" a="1"/>
  <c r="AZ89" i="5" s="1"/>
  <c r="AZ90" i="5" a="1"/>
  <c r="AZ90" i="5" s="1"/>
  <c r="AZ91" i="5" a="1"/>
  <c r="AZ91" i="5" s="1"/>
  <c r="AZ92" i="5" a="1"/>
  <c r="AZ92" i="5" s="1"/>
  <c r="AZ93" i="5" a="1"/>
  <c r="AZ93" i="5" s="1"/>
  <c r="AZ94" i="5" a="1"/>
  <c r="AZ94" i="5" s="1"/>
  <c r="AZ95" i="5" a="1"/>
  <c r="AZ95" i="5" s="1"/>
  <c r="AZ96" i="5" a="1"/>
  <c r="AZ96" i="5" s="1"/>
  <c r="AZ97" i="5" a="1"/>
  <c r="AZ97" i="5" s="1"/>
  <c r="AZ98" i="5" a="1"/>
  <c r="AZ98" i="5" s="1"/>
  <c r="AZ99" i="5" a="1"/>
  <c r="AZ99" i="5" s="1"/>
  <c r="AZ100" i="5" a="1"/>
  <c r="AZ100" i="5" s="1"/>
  <c r="AZ101" i="5" a="1"/>
  <c r="AZ101" i="5" s="1"/>
  <c r="AZ102" i="5" a="1"/>
  <c r="AZ102" i="5" s="1"/>
  <c r="AZ103" i="5" a="1"/>
  <c r="AZ103" i="5" s="1"/>
  <c r="AZ104" i="5" a="1"/>
  <c r="AZ104" i="5" s="1"/>
  <c r="AZ105" i="5" a="1"/>
  <c r="AZ105" i="5" s="1"/>
  <c r="AZ106" i="5" a="1"/>
  <c r="AZ106" i="5" s="1"/>
  <c r="AZ107" i="5" a="1"/>
  <c r="AZ107" i="5" s="1"/>
  <c r="AZ108" i="5" a="1"/>
  <c r="AZ108" i="5" s="1"/>
  <c r="AZ109" i="5" a="1"/>
  <c r="AZ109" i="5" s="1"/>
  <c r="AZ110" i="5" a="1"/>
  <c r="AZ110" i="5" s="1"/>
  <c r="AZ111" i="5" a="1"/>
  <c r="AZ111" i="5" s="1"/>
  <c r="AZ112" i="5" a="1"/>
  <c r="AZ112" i="5" s="1"/>
  <c r="AZ113" i="5" a="1"/>
  <c r="AZ113" i="5" s="1"/>
  <c r="AZ114" i="5" a="1"/>
  <c r="AZ114" i="5" s="1"/>
  <c r="AZ115" i="5" a="1"/>
  <c r="AZ115" i="5" s="1"/>
  <c r="AZ116" i="5" a="1"/>
  <c r="AZ116" i="5" s="1"/>
  <c r="AZ117" i="5" a="1"/>
  <c r="AZ117" i="5" s="1"/>
  <c r="AZ118" i="5" a="1"/>
  <c r="AZ118" i="5" s="1"/>
  <c r="AZ119" i="5" a="1"/>
  <c r="AZ119" i="5" s="1"/>
  <c r="AZ120" i="5" a="1"/>
  <c r="AZ120" i="5" s="1"/>
  <c r="AZ121" i="5" a="1"/>
  <c r="AZ121" i="5" s="1"/>
  <c r="AZ122" i="5" a="1"/>
  <c r="AZ122" i="5" s="1"/>
  <c r="AZ123" i="5" a="1"/>
  <c r="AZ123" i="5" s="1"/>
  <c r="AZ124" i="5" a="1"/>
  <c r="AZ124" i="5" s="1"/>
  <c r="AZ125" i="5" a="1"/>
  <c r="AZ125" i="5" s="1"/>
  <c r="AZ126" i="5" a="1"/>
  <c r="AZ126" i="5" s="1"/>
  <c r="AZ127" i="5" a="1"/>
  <c r="AZ127" i="5" s="1"/>
  <c r="AZ128" i="5" a="1"/>
  <c r="AZ128" i="5" s="1"/>
  <c r="AZ129" i="5" a="1"/>
  <c r="AZ129" i="5" s="1"/>
  <c r="AZ130" i="5" a="1"/>
  <c r="AZ130" i="5" s="1"/>
  <c r="AZ131" i="5" a="1"/>
  <c r="AZ131" i="5" s="1"/>
  <c r="AZ132" i="5" a="1"/>
  <c r="AZ132" i="5" s="1"/>
  <c r="AZ133" i="5" a="1"/>
  <c r="AZ133" i="5" s="1"/>
  <c r="AZ134" i="5" a="1"/>
  <c r="AZ134" i="5" s="1"/>
  <c r="AZ135" i="5" a="1"/>
  <c r="AZ135" i="5" s="1"/>
  <c r="AZ136" i="5" a="1"/>
  <c r="AZ136" i="5" s="1"/>
  <c r="AZ137" i="5" a="1"/>
  <c r="AZ137" i="5" s="1"/>
  <c r="AZ138" i="5" a="1"/>
  <c r="AZ138" i="5" s="1"/>
  <c r="AZ139" i="5" a="1"/>
  <c r="AZ139" i="5" s="1"/>
  <c r="AZ140" i="5" a="1"/>
  <c r="AZ140" i="5" s="1"/>
  <c r="AZ141" i="5" a="1"/>
  <c r="AZ141" i="5" s="1"/>
  <c r="AZ142" i="5" a="1"/>
  <c r="AZ142" i="5" s="1"/>
  <c r="AZ143" i="5" a="1"/>
  <c r="AZ143" i="5" s="1"/>
  <c r="AZ144" i="5" a="1"/>
  <c r="AZ144" i="5" s="1"/>
  <c r="AZ145" i="5" a="1"/>
  <c r="AZ145" i="5" s="1"/>
  <c r="AZ146" i="5" a="1"/>
  <c r="AZ146" i="5" s="1"/>
  <c r="AZ147" i="5" a="1"/>
  <c r="AZ147" i="5" s="1"/>
  <c r="AZ148" i="5" a="1"/>
  <c r="AZ148" i="5" s="1"/>
  <c r="AZ149" i="5" a="1"/>
  <c r="AZ149" i="5" s="1"/>
  <c r="AZ150" i="5" a="1"/>
  <c r="AZ150" i="5" s="1"/>
  <c r="AZ151" i="5" a="1"/>
  <c r="AZ151" i="5" s="1"/>
  <c r="AZ152" i="5" a="1"/>
  <c r="AZ152" i="5" s="1"/>
  <c r="AZ153" i="5" a="1"/>
  <c r="AZ153" i="5" s="1"/>
  <c r="AZ154" i="5" a="1"/>
  <c r="AZ154" i="5" s="1"/>
  <c r="AZ155" i="5" a="1"/>
  <c r="AZ155" i="5" s="1"/>
  <c r="AZ156" i="5" a="1"/>
  <c r="AZ156" i="5" s="1"/>
  <c r="AZ157" i="5" a="1"/>
  <c r="AZ157" i="5" s="1"/>
  <c r="AZ158" i="5" a="1"/>
  <c r="AZ158" i="5" s="1"/>
  <c r="BA76" i="5"/>
  <c r="Q76" i="5" s="1" a="1"/>
  <c r="Q76" i="5" s="1"/>
  <c r="BA102" i="5"/>
  <c r="Q102" i="5" s="1" a="1"/>
  <c r="Q102" i="5" s="1"/>
  <c r="BA150" i="5"/>
  <c r="Q150" i="5" s="1" a="1"/>
  <c r="Q150" i="5" s="1"/>
  <c r="BB40" i="5" a="1"/>
  <c r="BB40" i="5" s="1"/>
  <c r="BB41" i="5" a="1"/>
  <c r="BB41" i="5" s="1"/>
  <c r="BB42" i="5" a="1"/>
  <c r="BB42" i="5" s="1"/>
  <c r="BB43" i="5" a="1"/>
  <c r="BB43" i="5" s="1"/>
  <c r="BB44" i="5" a="1"/>
  <c r="BB44" i="5" s="1"/>
  <c r="BB45" i="5" a="1"/>
  <c r="BB45" i="5" s="1"/>
  <c r="BB46" i="5" a="1"/>
  <c r="BB46" i="5" s="1"/>
  <c r="BB47" i="5" a="1"/>
  <c r="BB47" i="5" s="1"/>
  <c r="BB48" i="5" a="1"/>
  <c r="BB48" i="5" s="1"/>
  <c r="BB49" i="5" a="1"/>
  <c r="BB49" i="5" s="1"/>
  <c r="BB50" i="5" a="1"/>
  <c r="BB50" i="5" s="1"/>
  <c r="BB51" i="5" a="1"/>
  <c r="BB51" i="5" s="1"/>
  <c r="BB52" i="5" a="1"/>
  <c r="BB52" i="5" s="1"/>
  <c r="BB53" i="5" a="1"/>
  <c r="BB53" i="5" s="1"/>
  <c r="BB54" i="5" a="1"/>
  <c r="BB54" i="5" s="1"/>
  <c r="BB55" i="5" a="1"/>
  <c r="BB55" i="5" s="1"/>
  <c r="BB56" i="5" a="1"/>
  <c r="BB56" i="5" s="1"/>
  <c r="BB57" i="5" a="1"/>
  <c r="BB57" i="5" s="1"/>
  <c r="BB58" i="5" a="1"/>
  <c r="BB58" i="5" s="1"/>
  <c r="BB59" i="5" a="1"/>
  <c r="BB59" i="5" s="1"/>
  <c r="BB60" i="5" a="1"/>
  <c r="BB60" i="5" s="1"/>
  <c r="BB61" i="5" a="1"/>
  <c r="BB61" i="5" s="1"/>
  <c r="BB62" i="5" a="1"/>
  <c r="BB62" i="5" s="1"/>
  <c r="BB63" i="5" a="1"/>
  <c r="BB63" i="5" s="1"/>
  <c r="BB64" i="5" a="1"/>
  <c r="BB64" i="5" s="1"/>
  <c r="BB65" i="5" a="1"/>
  <c r="BB65" i="5" s="1"/>
  <c r="BB66" i="5" a="1"/>
  <c r="BB66" i="5" s="1"/>
  <c r="BB67" i="5" a="1"/>
  <c r="BB67" i="5" s="1"/>
  <c r="BB68" i="5" a="1"/>
  <c r="BB68" i="5" s="1"/>
  <c r="BB69" i="5" a="1"/>
  <c r="BB69" i="5" s="1"/>
  <c r="BB70" i="5" a="1"/>
  <c r="BB70" i="5" s="1"/>
  <c r="BB71" i="5" a="1"/>
  <c r="BB71" i="5" s="1"/>
  <c r="BB72" i="5" a="1"/>
  <c r="BB72" i="5" s="1"/>
  <c r="BB73" i="5" a="1"/>
  <c r="BB73" i="5" s="1"/>
  <c r="BB74" i="5" a="1"/>
  <c r="BB74" i="5" s="1"/>
  <c r="BB75" i="5" a="1"/>
  <c r="BB75" i="5" s="1"/>
  <c r="BB76" i="5" a="1"/>
  <c r="BB76" i="5" s="1"/>
  <c r="BB77" i="5" a="1"/>
  <c r="BB77" i="5" s="1"/>
  <c r="BB78" i="5" a="1"/>
  <c r="BB78" i="5" s="1"/>
  <c r="BB79" i="5" a="1"/>
  <c r="BB79" i="5" s="1"/>
  <c r="BB80" i="5" a="1"/>
  <c r="BB80" i="5" s="1"/>
  <c r="BB81" i="5" a="1"/>
  <c r="BB81" i="5" s="1"/>
  <c r="BB82" i="5" a="1"/>
  <c r="BB82" i="5" s="1"/>
  <c r="BB83" i="5" a="1"/>
  <c r="BB83" i="5" s="1"/>
  <c r="BB84" i="5" a="1"/>
  <c r="BB84" i="5" s="1"/>
  <c r="BB85" i="5" a="1"/>
  <c r="BB85" i="5" s="1"/>
  <c r="BB86" i="5" a="1"/>
  <c r="BB86" i="5" s="1"/>
  <c r="BB87" i="5" a="1"/>
  <c r="BB87" i="5" s="1"/>
  <c r="BB88" i="5" a="1"/>
  <c r="BB88" i="5" s="1"/>
  <c r="BB89" i="5" a="1"/>
  <c r="BB89" i="5" s="1"/>
  <c r="BB90" i="5" a="1"/>
  <c r="BB90" i="5" s="1"/>
  <c r="BB91" i="5" a="1"/>
  <c r="BB91" i="5" s="1"/>
  <c r="BB92" i="5" a="1"/>
  <c r="BB92" i="5" s="1"/>
  <c r="BB93" i="5" a="1"/>
  <c r="BB93" i="5" s="1"/>
  <c r="BB94" i="5" a="1"/>
  <c r="BB94" i="5" s="1"/>
  <c r="BB95" i="5" a="1"/>
  <c r="BB95" i="5" s="1"/>
  <c r="BB96" i="5" a="1"/>
  <c r="BB96" i="5" s="1"/>
  <c r="BB97" i="5" a="1"/>
  <c r="BB97" i="5" s="1"/>
  <c r="BB98" i="5" a="1"/>
  <c r="BB98" i="5" s="1"/>
  <c r="BB99" i="5" a="1"/>
  <c r="BB99" i="5" s="1"/>
  <c r="BB100" i="5" a="1"/>
  <c r="BB100" i="5" s="1"/>
  <c r="BB101" i="5" a="1"/>
  <c r="BB101" i="5" s="1"/>
  <c r="BB102" i="5" a="1"/>
  <c r="BB102" i="5" s="1"/>
  <c r="BB103" i="5" a="1"/>
  <c r="BB103" i="5" s="1"/>
  <c r="BB104" i="5" a="1"/>
  <c r="BB104" i="5" s="1"/>
  <c r="BB105" i="5" a="1"/>
  <c r="BB105" i="5" s="1"/>
  <c r="BB106" i="5" a="1"/>
  <c r="BB106" i="5" s="1"/>
  <c r="BB107" i="5" a="1"/>
  <c r="BB107" i="5" s="1"/>
  <c r="BB108" i="5" a="1"/>
  <c r="BB108" i="5" s="1"/>
  <c r="BB109" i="5" a="1"/>
  <c r="BB109" i="5" s="1"/>
  <c r="BB110" i="5" a="1"/>
  <c r="BB110" i="5" s="1"/>
  <c r="BB111" i="5" a="1"/>
  <c r="BB111" i="5" s="1"/>
  <c r="BB112" i="5" a="1"/>
  <c r="BB112" i="5" s="1"/>
  <c r="BB113" i="5" a="1"/>
  <c r="BB113" i="5" s="1"/>
  <c r="BB114" i="5" a="1"/>
  <c r="BB114" i="5" s="1"/>
  <c r="BB115" i="5" a="1"/>
  <c r="BB115" i="5" s="1"/>
  <c r="BB116" i="5" a="1"/>
  <c r="BB116" i="5" s="1"/>
  <c r="BB117" i="5" a="1"/>
  <c r="BB117" i="5" s="1"/>
  <c r="BB118" i="5" a="1"/>
  <c r="BB118" i="5" s="1"/>
  <c r="BB119" i="5" a="1"/>
  <c r="BB119" i="5" s="1"/>
  <c r="BB120" i="5" a="1"/>
  <c r="BB120" i="5" s="1"/>
  <c r="BB121" i="5" a="1"/>
  <c r="BB121" i="5" s="1"/>
  <c r="BB122" i="5" a="1"/>
  <c r="BB122" i="5" s="1"/>
  <c r="BB123" i="5" a="1"/>
  <c r="BB123" i="5" s="1"/>
  <c r="BB124" i="5" a="1"/>
  <c r="BB124" i="5" s="1"/>
  <c r="BB125" i="5" a="1"/>
  <c r="BB125" i="5" s="1"/>
  <c r="BB126" i="5" a="1"/>
  <c r="BB126" i="5" s="1"/>
  <c r="BB127" i="5" a="1"/>
  <c r="BB127" i="5" s="1"/>
  <c r="BB128" i="5" a="1"/>
  <c r="BB128" i="5" s="1"/>
  <c r="BB129" i="5" a="1"/>
  <c r="BB129" i="5" s="1"/>
  <c r="BB130" i="5" a="1"/>
  <c r="BB130" i="5" s="1"/>
  <c r="BB131" i="5" a="1"/>
  <c r="BB131" i="5" s="1"/>
  <c r="BB132" i="5" a="1"/>
  <c r="BB132" i="5" s="1"/>
  <c r="BB133" i="5" a="1"/>
  <c r="BB133" i="5" s="1"/>
  <c r="BB134" i="5" a="1"/>
  <c r="BB134" i="5" s="1"/>
  <c r="BB135" i="5" a="1"/>
  <c r="BB135" i="5" s="1"/>
  <c r="BB136" i="5" a="1"/>
  <c r="BB136" i="5" s="1"/>
  <c r="BB137" i="5" a="1"/>
  <c r="BB137" i="5" s="1"/>
  <c r="BB138" i="5" a="1"/>
  <c r="BB138" i="5" s="1"/>
  <c r="BB139" i="5" a="1"/>
  <c r="BB139" i="5" s="1"/>
  <c r="BB140" i="5" a="1"/>
  <c r="BB140" i="5" s="1"/>
  <c r="BB141" i="5" a="1"/>
  <c r="BB141" i="5" s="1"/>
  <c r="BB142" i="5" a="1"/>
  <c r="BB142" i="5" s="1"/>
  <c r="BB143" i="5" a="1"/>
  <c r="BB143" i="5" s="1"/>
  <c r="BB144" i="5" a="1"/>
  <c r="BB144" i="5" s="1"/>
  <c r="BB145" i="5" a="1"/>
  <c r="BB145" i="5" s="1"/>
  <c r="BB146" i="5" a="1"/>
  <c r="BB146" i="5" s="1"/>
  <c r="BB147" i="5" a="1"/>
  <c r="BB147" i="5" s="1"/>
  <c r="BB148" i="5" a="1"/>
  <c r="BB148" i="5" s="1"/>
  <c r="BB149" i="5" a="1"/>
  <c r="BB149" i="5" s="1"/>
  <c r="BB150" i="5" a="1"/>
  <c r="BB150" i="5" s="1"/>
  <c r="BB151" i="5" a="1"/>
  <c r="BB151" i="5" s="1"/>
  <c r="BB152" i="5" a="1"/>
  <c r="BB152" i="5" s="1"/>
  <c r="BB153" i="5" a="1"/>
  <c r="BB153" i="5" s="1"/>
  <c r="BB154" i="5" a="1"/>
  <c r="BB154" i="5" s="1"/>
  <c r="BB155" i="5" a="1"/>
  <c r="BB155" i="5" s="1"/>
  <c r="BB156" i="5" a="1"/>
  <c r="BB156" i="5" s="1"/>
  <c r="BB157" i="5" a="1"/>
  <c r="BB157" i="5" s="1"/>
  <c r="BB158" i="5" a="1"/>
  <c r="BB158" i="5" s="1"/>
  <c r="BC40" i="5" a="1"/>
  <c r="BC40" i="5" s="1"/>
  <c r="BC41" i="5" a="1"/>
  <c r="BC41" i="5" s="1"/>
  <c r="BC42" i="5" a="1"/>
  <c r="BC42" i="5" s="1"/>
  <c r="BC43" i="5" a="1"/>
  <c r="BC43" i="5" s="1"/>
  <c r="BC44" i="5" a="1"/>
  <c r="BC44" i="5" s="1"/>
  <c r="BC45" i="5" a="1"/>
  <c r="BC45" i="5" s="1"/>
  <c r="BC46" i="5" a="1"/>
  <c r="BC46" i="5" s="1"/>
  <c r="BC47" i="5" a="1"/>
  <c r="BC47" i="5" s="1"/>
  <c r="BC48" i="5" a="1"/>
  <c r="BC48" i="5" s="1"/>
  <c r="BC49" i="5" a="1"/>
  <c r="BC49" i="5" s="1"/>
  <c r="BC50" i="5" a="1"/>
  <c r="BC50" i="5" s="1"/>
  <c r="BC51" i="5" a="1"/>
  <c r="BC51" i="5" s="1"/>
  <c r="BC52" i="5" a="1"/>
  <c r="BC52" i="5" s="1"/>
  <c r="BC53" i="5" a="1"/>
  <c r="BC53" i="5" s="1"/>
  <c r="BC54" i="5" a="1"/>
  <c r="BC54" i="5" s="1"/>
  <c r="BC55" i="5" a="1"/>
  <c r="BC55" i="5" s="1"/>
  <c r="BC56" i="5" a="1"/>
  <c r="BC56" i="5" s="1"/>
  <c r="BC57" i="5" a="1"/>
  <c r="BC57" i="5" s="1"/>
  <c r="BC58" i="5" a="1"/>
  <c r="BC58" i="5" s="1"/>
  <c r="BC59" i="5" a="1"/>
  <c r="BC59" i="5" s="1"/>
  <c r="BC60" i="5" a="1"/>
  <c r="BC60" i="5" s="1"/>
  <c r="BC61" i="5" a="1"/>
  <c r="BC61" i="5" s="1"/>
  <c r="BC62" i="5" a="1"/>
  <c r="BC62" i="5" s="1"/>
  <c r="BC63" i="5" a="1"/>
  <c r="BC63" i="5" s="1"/>
  <c r="BC64" i="5" a="1"/>
  <c r="BC64" i="5" s="1"/>
  <c r="BC65" i="5" a="1"/>
  <c r="BC65" i="5" s="1"/>
  <c r="BC66" i="5" a="1"/>
  <c r="BC66" i="5" s="1"/>
  <c r="BC67" i="5" a="1"/>
  <c r="BC67" i="5" s="1"/>
  <c r="BC68" i="5" a="1"/>
  <c r="BC68" i="5" s="1"/>
  <c r="BC69" i="5" a="1"/>
  <c r="BC69" i="5" s="1"/>
  <c r="BC70" i="5" a="1"/>
  <c r="BC70" i="5" s="1"/>
  <c r="BC71" i="5" a="1"/>
  <c r="BC71" i="5" s="1"/>
  <c r="BC72" i="5" a="1"/>
  <c r="BC72" i="5" s="1"/>
  <c r="BC73" i="5" a="1"/>
  <c r="BC73" i="5" s="1"/>
  <c r="BC74" i="5" a="1"/>
  <c r="BC74" i="5" s="1"/>
  <c r="BC75" i="5" a="1"/>
  <c r="BC75" i="5" s="1"/>
  <c r="BC76" i="5" a="1"/>
  <c r="BC76" i="5" s="1"/>
  <c r="BC77" i="5" a="1"/>
  <c r="BC77" i="5" s="1"/>
  <c r="BC78" i="5" a="1"/>
  <c r="BC78" i="5" s="1"/>
  <c r="BC79" i="5" a="1"/>
  <c r="BC79" i="5" s="1"/>
  <c r="BC80" i="5" a="1"/>
  <c r="BC80" i="5" s="1"/>
  <c r="BC81" i="5" a="1"/>
  <c r="BC81" i="5" s="1"/>
  <c r="BC82" i="5" a="1"/>
  <c r="BC82" i="5" s="1"/>
  <c r="BC83" i="5" a="1"/>
  <c r="BC83" i="5" s="1"/>
  <c r="BC84" i="5" a="1"/>
  <c r="BC84" i="5" s="1"/>
  <c r="BC85" i="5" a="1"/>
  <c r="BC85" i="5" s="1"/>
  <c r="BC86" i="5" a="1"/>
  <c r="BC86" i="5" s="1"/>
  <c r="BC87" i="5" a="1"/>
  <c r="BC87" i="5" s="1"/>
  <c r="BC88" i="5" a="1"/>
  <c r="BC88" i="5" s="1"/>
  <c r="BC89" i="5" a="1"/>
  <c r="BC89" i="5" s="1"/>
  <c r="BC90" i="5" a="1"/>
  <c r="BC90" i="5" s="1"/>
  <c r="BC91" i="5" a="1"/>
  <c r="BC91" i="5" s="1"/>
  <c r="BC92" i="5" a="1"/>
  <c r="BC92" i="5" s="1"/>
  <c r="BC93" i="5" a="1"/>
  <c r="BC93" i="5" s="1"/>
  <c r="BC94" i="5" a="1"/>
  <c r="BC94" i="5" s="1"/>
  <c r="BC95" i="5" a="1"/>
  <c r="BC95" i="5" s="1"/>
  <c r="BC96" i="5" a="1"/>
  <c r="BC96" i="5" s="1"/>
  <c r="BC97" i="5" a="1"/>
  <c r="BC97" i="5" s="1"/>
  <c r="BC98" i="5" a="1"/>
  <c r="BC98" i="5" s="1"/>
  <c r="BC99" i="5" a="1"/>
  <c r="BC99" i="5" s="1"/>
  <c r="BC100" i="5" a="1"/>
  <c r="BC100" i="5" s="1"/>
  <c r="BC101" i="5" a="1"/>
  <c r="BC101" i="5" s="1"/>
  <c r="BC102" i="5" a="1"/>
  <c r="BC102" i="5" s="1"/>
  <c r="BC103" i="5" a="1"/>
  <c r="BC103" i="5" s="1"/>
  <c r="BC104" i="5" a="1"/>
  <c r="BC104" i="5" s="1"/>
  <c r="BC105" i="5" a="1"/>
  <c r="BC105" i="5" s="1"/>
  <c r="BC106" i="5" a="1"/>
  <c r="BC106" i="5" s="1"/>
  <c r="BC107" i="5" a="1"/>
  <c r="BC107" i="5" s="1"/>
  <c r="BC108" i="5" a="1"/>
  <c r="BC108" i="5" s="1"/>
  <c r="BC109" i="5" a="1"/>
  <c r="BC109" i="5" s="1"/>
  <c r="BC110" i="5" a="1"/>
  <c r="BC110" i="5" s="1"/>
  <c r="BC111" i="5" a="1"/>
  <c r="BC111" i="5" s="1"/>
  <c r="BC112" i="5" a="1"/>
  <c r="BC112" i="5" s="1"/>
  <c r="BC113" i="5" a="1"/>
  <c r="BC113" i="5" s="1"/>
  <c r="BC114" i="5" a="1"/>
  <c r="BC114" i="5" s="1"/>
  <c r="BC115" i="5" a="1"/>
  <c r="BC115" i="5" s="1"/>
  <c r="BC116" i="5" a="1"/>
  <c r="BC116" i="5" s="1"/>
  <c r="BC117" i="5" a="1"/>
  <c r="BC117" i="5" s="1"/>
  <c r="BC118" i="5" a="1"/>
  <c r="BC118" i="5" s="1"/>
  <c r="BC119" i="5" a="1"/>
  <c r="BC119" i="5" s="1"/>
  <c r="BC120" i="5" a="1"/>
  <c r="BC120" i="5" s="1"/>
  <c r="BC121" i="5" a="1"/>
  <c r="BC121" i="5" s="1"/>
  <c r="BC122" i="5" a="1"/>
  <c r="BC122" i="5" s="1"/>
  <c r="BC123" i="5" a="1"/>
  <c r="BC123" i="5" s="1"/>
  <c r="BC124" i="5" a="1"/>
  <c r="BC124" i="5" s="1"/>
  <c r="BC125" i="5" a="1"/>
  <c r="BC125" i="5" s="1"/>
  <c r="BC126" i="5" a="1"/>
  <c r="BC126" i="5" s="1"/>
  <c r="BC127" i="5" a="1"/>
  <c r="BC127" i="5" s="1"/>
  <c r="BC128" i="5" a="1"/>
  <c r="BC128" i="5" s="1"/>
  <c r="BC129" i="5" a="1"/>
  <c r="BC129" i="5" s="1"/>
  <c r="BC130" i="5" a="1"/>
  <c r="BC130" i="5" s="1"/>
  <c r="BC131" i="5" a="1"/>
  <c r="BC131" i="5" s="1"/>
  <c r="BC132" i="5" a="1"/>
  <c r="BC132" i="5" s="1"/>
  <c r="BC133" i="5" a="1"/>
  <c r="BC133" i="5" s="1"/>
  <c r="BC134" i="5" a="1"/>
  <c r="BC134" i="5" s="1"/>
  <c r="BC135" i="5" a="1"/>
  <c r="BC135" i="5" s="1"/>
  <c r="BC136" i="5" a="1"/>
  <c r="BC136" i="5" s="1"/>
  <c r="BC137" i="5" a="1"/>
  <c r="BC137" i="5" s="1"/>
  <c r="BC138" i="5" a="1"/>
  <c r="BC138" i="5" s="1"/>
  <c r="BC139" i="5" a="1"/>
  <c r="BC139" i="5" s="1"/>
  <c r="BC140" i="5" a="1"/>
  <c r="BC140" i="5" s="1"/>
  <c r="BC141" i="5" a="1"/>
  <c r="BC141" i="5" s="1"/>
  <c r="BC142" i="5" a="1"/>
  <c r="BC142" i="5" s="1"/>
  <c r="BC143" i="5" a="1"/>
  <c r="BC143" i="5" s="1"/>
  <c r="BC144" i="5" a="1"/>
  <c r="BC144" i="5" s="1"/>
  <c r="BC145" i="5" a="1"/>
  <c r="BC145" i="5" s="1"/>
  <c r="BC146" i="5" a="1"/>
  <c r="BC146" i="5" s="1"/>
  <c r="BC147" i="5" a="1"/>
  <c r="BC147" i="5" s="1"/>
  <c r="BC148" i="5" a="1"/>
  <c r="BC148" i="5" s="1"/>
  <c r="BC149" i="5" a="1"/>
  <c r="BC149" i="5" s="1"/>
  <c r="BC150" i="5" a="1"/>
  <c r="BC150" i="5" s="1"/>
  <c r="BC151" i="5" a="1"/>
  <c r="BC151" i="5" s="1"/>
  <c r="BC152" i="5" a="1"/>
  <c r="BC152" i="5" s="1"/>
  <c r="BC153" i="5" a="1"/>
  <c r="BC153" i="5" s="1"/>
  <c r="BC154" i="5" a="1"/>
  <c r="BC154" i="5" s="1"/>
  <c r="BC155" i="5" a="1"/>
  <c r="BC155" i="5" s="1"/>
  <c r="BC156" i="5" a="1"/>
  <c r="BC156" i="5" s="1"/>
  <c r="BC157" i="5" a="1"/>
  <c r="BC157" i="5" s="1"/>
  <c r="BC158" i="5" a="1"/>
  <c r="BC158" i="5" s="1"/>
  <c r="BD40" i="5" a="1"/>
  <c r="BD40" i="5" s="1"/>
  <c r="BD41" i="5" a="1"/>
  <c r="BD41" i="5" s="1"/>
  <c r="BD42" i="5" a="1"/>
  <c r="BD42" i="5" s="1"/>
  <c r="BD43" i="5" a="1"/>
  <c r="BD43" i="5" s="1"/>
  <c r="BD44" i="5" a="1"/>
  <c r="BD44" i="5" s="1"/>
  <c r="BD45" i="5" a="1"/>
  <c r="BD45" i="5" s="1"/>
  <c r="BD46" i="5" a="1"/>
  <c r="BD46" i="5" s="1"/>
  <c r="BD47" i="5" a="1"/>
  <c r="BD47" i="5" s="1"/>
  <c r="BD48" i="5" a="1"/>
  <c r="BD48" i="5" s="1"/>
  <c r="BD49" i="5" a="1"/>
  <c r="BD49" i="5" s="1"/>
  <c r="BD50" i="5" a="1"/>
  <c r="BD50" i="5" s="1"/>
  <c r="BD51" i="5" a="1"/>
  <c r="BD51" i="5" s="1"/>
  <c r="BD52" i="5" a="1"/>
  <c r="BD52" i="5" s="1"/>
  <c r="BD53" i="5" a="1"/>
  <c r="BD53" i="5" s="1"/>
  <c r="BD54" i="5" a="1"/>
  <c r="BD54" i="5" s="1"/>
  <c r="BD55" i="5" a="1"/>
  <c r="BD55" i="5" s="1"/>
  <c r="BD56" i="5" a="1"/>
  <c r="BD56" i="5" s="1"/>
  <c r="BD57" i="5" a="1"/>
  <c r="BD57" i="5" s="1"/>
  <c r="BD58" i="5" a="1"/>
  <c r="BD58" i="5" s="1"/>
  <c r="BD59" i="5" a="1"/>
  <c r="BD59" i="5" s="1"/>
  <c r="BD60" i="5" a="1"/>
  <c r="BD60" i="5" s="1"/>
  <c r="BD61" i="5" a="1"/>
  <c r="BD61" i="5" s="1"/>
  <c r="BD62" i="5" a="1"/>
  <c r="BD62" i="5" s="1"/>
  <c r="BD63" i="5" a="1"/>
  <c r="BD63" i="5" s="1"/>
  <c r="BD64" i="5" a="1"/>
  <c r="BD64" i="5" s="1"/>
  <c r="BD65" i="5" a="1"/>
  <c r="BD65" i="5" s="1"/>
  <c r="BD66" i="5" a="1"/>
  <c r="BD66" i="5" s="1"/>
  <c r="BD67" i="5" a="1"/>
  <c r="BD67" i="5" s="1"/>
  <c r="BD68" i="5" a="1"/>
  <c r="BD68" i="5" s="1"/>
  <c r="BD69" i="5" a="1"/>
  <c r="BD69" i="5" s="1"/>
  <c r="BD70" i="5" a="1"/>
  <c r="BD70" i="5" s="1"/>
  <c r="BD71" i="5" a="1"/>
  <c r="BD71" i="5" s="1"/>
  <c r="BD72" i="5" a="1"/>
  <c r="BD72" i="5" s="1"/>
  <c r="BD73" i="5" a="1"/>
  <c r="BD73" i="5" s="1"/>
  <c r="BD74" i="5" a="1"/>
  <c r="BD74" i="5" s="1"/>
  <c r="BD75" i="5" a="1"/>
  <c r="BD75" i="5" s="1"/>
  <c r="BD76" i="5" a="1"/>
  <c r="BD76" i="5" s="1"/>
  <c r="BD77" i="5" a="1"/>
  <c r="BD77" i="5" s="1"/>
  <c r="BD78" i="5" a="1"/>
  <c r="BD78" i="5" s="1"/>
  <c r="BD79" i="5" a="1"/>
  <c r="BD79" i="5" s="1"/>
  <c r="BD80" i="5" a="1"/>
  <c r="BD80" i="5" s="1"/>
  <c r="BD81" i="5" a="1"/>
  <c r="BD81" i="5" s="1"/>
  <c r="BD82" i="5" a="1"/>
  <c r="BD82" i="5" s="1"/>
  <c r="BD83" i="5" a="1"/>
  <c r="BD83" i="5" s="1"/>
  <c r="BD84" i="5" a="1"/>
  <c r="BD84" i="5" s="1"/>
  <c r="BD85" i="5" a="1"/>
  <c r="BD85" i="5" s="1"/>
  <c r="BD86" i="5" a="1"/>
  <c r="BD86" i="5" s="1"/>
  <c r="BD87" i="5" a="1"/>
  <c r="BD87" i="5" s="1"/>
  <c r="BD88" i="5" a="1"/>
  <c r="BD88" i="5" s="1"/>
  <c r="BD89" i="5" a="1"/>
  <c r="BD89" i="5" s="1"/>
  <c r="BD90" i="5" a="1"/>
  <c r="BD90" i="5" s="1"/>
  <c r="BD91" i="5" a="1"/>
  <c r="BD91" i="5" s="1"/>
  <c r="BD92" i="5" a="1"/>
  <c r="BD92" i="5" s="1"/>
  <c r="BD93" i="5" a="1"/>
  <c r="BD93" i="5" s="1"/>
  <c r="BD94" i="5" a="1"/>
  <c r="BD94" i="5" s="1"/>
  <c r="BD95" i="5" a="1"/>
  <c r="BD95" i="5" s="1"/>
  <c r="BD96" i="5" a="1"/>
  <c r="BD96" i="5" s="1"/>
  <c r="BD97" i="5" a="1"/>
  <c r="BD97" i="5" s="1"/>
  <c r="BD98" i="5" a="1"/>
  <c r="BD98" i="5" s="1"/>
  <c r="BD99" i="5" a="1"/>
  <c r="BD99" i="5" s="1"/>
  <c r="BD100" i="5" a="1"/>
  <c r="BD100" i="5" s="1"/>
  <c r="BD101" i="5" a="1"/>
  <c r="BD101" i="5" s="1"/>
  <c r="BD102" i="5" a="1"/>
  <c r="BD102" i="5" s="1"/>
  <c r="BD103" i="5" a="1"/>
  <c r="BD103" i="5" s="1"/>
  <c r="BD104" i="5" a="1"/>
  <c r="BD104" i="5" s="1"/>
  <c r="BD105" i="5" a="1"/>
  <c r="BD105" i="5" s="1"/>
  <c r="BD106" i="5" a="1"/>
  <c r="BD106" i="5" s="1"/>
  <c r="BD107" i="5" a="1"/>
  <c r="BD107" i="5" s="1"/>
  <c r="BD108" i="5" a="1"/>
  <c r="BD108" i="5" s="1"/>
  <c r="BD109" i="5" a="1"/>
  <c r="BD109" i="5" s="1"/>
  <c r="BD110" i="5" a="1"/>
  <c r="BD110" i="5" s="1"/>
  <c r="BD111" i="5" a="1"/>
  <c r="BD111" i="5" s="1"/>
  <c r="BD112" i="5" a="1"/>
  <c r="BD112" i="5" s="1"/>
  <c r="BD113" i="5" a="1"/>
  <c r="BD113" i="5" s="1"/>
  <c r="BD114" i="5" a="1"/>
  <c r="BD114" i="5" s="1"/>
  <c r="BD115" i="5" a="1"/>
  <c r="BD115" i="5" s="1"/>
  <c r="BD116" i="5" a="1"/>
  <c r="BD116" i="5" s="1"/>
  <c r="BD117" i="5" a="1"/>
  <c r="BD117" i="5" s="1"/>
  <c r="BD118" i="5" a="1"/>
  <c r="BD118" i="5" s="1"/>
  <c r="BD119" i="5" a="1"/>
  <c r="BD119" i="5" s="1"/>
  <c r="BD120" i="5" a="1"/>
  <c r="BD120" i="5" s="1"/>
  <c r="BD121" i="5" a="1"/>
  <c r="BD121" i="5" s="1"/>
  <c r="BD122" i="5" a="1"/>
  <c r="BD122" i="5" s="1"/>
  <c r="BD123" i="5" a="1"/>
  <c r="BD123" i="5" s="1"/>
  <c r="BD124" i="5" a="1"/>
  <c r="BD124" i="5" s="1"/>
  <c r="BD125" i="5" a="1"/>
  <c r="BD125" i="5" s="1"/>
  <c r="BD126" i="5" a="1"/>
  <c r="BD126" i="5" s="1"/>
  <c r="BD127" i="5" a="1"/>
  <c r="BD127" i="5" s="1"/>
  <c r="BD128" i="5" a="1"/>
  <c r="BD128" i="5" s="1"/>
  <c r="BD129" i="5" a="1"/>
  <c r="BD129" i="5" s="1"/>
  <c r="BD130" i="5" a="1"/>
  <c r="BD130" i="5" s="1"/>
  <c r="BD131" i="5" a="1"/>
  <c r="BD131" i="5" s="1"/>
  <c r="BD132" i="5" a="1"/>
  <c r="BD132" i="5" s="1"/>
  <c r="BD133" i="5" a="1"/>
  <c r="BD133" i="5" s="1"/>
  <c r="BD134" i="5" a="1"/>
  <c r="BD134" i="5" s="1"/>
  <c r="BD135" i="5" a="1"/>
  <c r="BD135" i="5" s="1"/>
  <c r="BD136" i="5" a="1"/>
  <c r="BD136" i="5" s="1"/>
  <c r="BD137" i="5" a="1"/>
  <c r="BD137" i="5" s="1"/>
  <c r="BD138" i="5" a="1"/>
  <c r="BD138" i="5" s="1"/>
  <c r="BD139" i="5" a="1"/>
  <c r="BD139" i="5" s="1"/>
  <c r="BD140" i="5" a="1"/>
  <c r="BD140" i="5" s="1"/>
  <c r="BD141" i="5" a="1"/>
  <c r="BD141" i="5" s="1"/>
  <c r="BD142" i="5" a="1"/>
  <c r="BD142" i="5" s="1"/>
  <c r="BD143" i="5" a="1"/>
  <c r="BD143" i="5" s="1"/>
  <c r="BD144" i="5" a="1"/>
  <c r="BD144" i="5" s="1"/>
  <c r="BD145" i="5" a="1"/>
  <c r="BD145" i="5" s="1"/>
  <c r="BD146" i="5" a="1"/>
  <c r="BD146" i="5" s="1"/>
  <c r="BD147" i="5" a="1"/>
  <c r="BD147" i="5" s="1"/>
  <c r="BD148" i="5" a="1"/>
  <c r="BD148" i="5" s="1"/>
  <c r="BD149" i="5" a="1"/>
  <c r="BD149" i="5" s="1"/>
  <c r="BD150" i="5" a="1"/>
  <c r="BD150" i="5" s="1"/>
  <c r="BD151" i="5" a="1"/>
  <c r="BD151" i="5" s="1"/>
  <c r="BD152" i="5" a="1"/>
  <c r="BD152" i="5" s="1"/>
  <c r="BD153" i="5" a="1"/>
  <c r="BD153" i="5" s="1"/>
  <c r="BD154" i="5" a="1"/>
  <c r="BD154" i="5" s="1"/>
  <c r="BD155" i="5" a="1"/>
  <c r="BD155" i="5" s="1"/>
  <c r="BD156" i="5" a="1"/>
  <c r="BD156" i="5" s="1"/>
  <c r="BD157" i="5" a="1"/>
  <c r="BD157" i="5" s="1"/>
  <c r="BD158" i="5" a="1"/>
  <c r="BD158" i="5" s="1"/>
  <c r="BE40" i="5" a="1"/>
  <c r="BE40" i="5" s="1"/>
  <c r="BE41" i="5" a="1"/>
  <c r="BE41" i="5" s="1"/>
  <c r="BE42" i="5" a="1"/>
  <c r="BE42" i="5" s="1"/>
  <c r="BE43" i="5" a="1"/>
  <c r="BE43" i="5" s="1"/>
  <c r="BE44" i="5" a="1"/>
  <c r="BE44" i="5" s="1"/>
  <c r="BE45" i="5" a="1"/>
  <c r="BE45" i="5" s="1"/>
  <c r="BE46" i="5" a="1"/>
  <c r="BE46" i="5" s="1"/>
  <c r="BE47" i="5" a="1"/>
  <c r="BE47" i="5" s="1"/>
  <c r="BE48" i="5" a="1"/>
  <c r="BE48" i="5" s="1"/>
  <c r="BE49" i="5" a="1"/>
  <c r="BE49" i="5" s="1"/>
  <c r="BE50" i="5" a="1"/>
  <c r="BE50" i="5" s="1"/>
  <c r="BE51" i="5" a="1"/>
  <c r="BE51" i="5" s="1"/>
  <c r="BE52" i="5" a="1"/>
  <c r="BE52" i="5" s="1"/>
  <c r="BE53" i="5" a="1"/>
  <c r="BE53" i="5" s="1"/>
  <c r="BE54" i="5" a="1"/>
  <c r="BE54" i="5" s="1"/>
  <c r="BE55" i="5" a="1"/>
  <c r="BE55" i="5" s="1"/>
  <c r="BE56" i="5" a="1"/>
  <c r="BE56" i="5" s="1"/>
  <c r="BE57" i="5" a="1"/>
  <c r="BE57" i="5" s="1"/>
  <c r="BE58" i="5" a="1"/>
  <c r="BE58" i="5" s="1"/>
  <c r="BE59" i="5" a="1"/>
  <c r="BE59" i="5" s="1"/>
  <c r="BE60" i="5" a="1"/>
  <c r="BE60" i="5" s="1"/>
  <c r="BE61" i="5" a="1"/>
  <c r="BE61" i="5" s="1"/>
  <c r="BE62" i="5" a="1"/>
  <c r="BE62" i="5" s="1"/>
  <c r="BE63" i="5" a="1"/>
  <c r="BE63" i="5" s="1"/>
  <c r="BE64" i="5" a="1"/>
  <c r="BE64" i="5" s="1"/>
  <c r="BE65" i="5" a="1"/>
  <c r="BE65" i="5" s="1"/>
  <c r="BE66" i="5" a="1"/>
  <c r="BE66" i="5" s="1"/>
  <c r="BE67" i="5" a="1"/>
  <c r="BE67" i="5" s="1"/>
  <c r="BE68" i="5" a="1"/>
  <c r="BE68" i="5" s="1"/>
  <c r="BE69" i="5" a="1"/>
  <c r="BE69" i="5" s="1"/>
  <c r="BE70" i="5" a="1"/>
  <c r="BE70" i="5" s="1"/>
  <c r="BE71" i="5" a="1"/>
  <c r="BE71" i="5" s="1"/>
  <c r="BE72" i="5" a="1"/>
  <c r="BE72" i="5" s="1"/>
  <c r="BE73" i="5" a="1"/>
  <c r="BE73" i="5" s="1"/>
  <c r="BE74" i="5" a="1"/>
  <c r="BE74" i="5" s="1"/>
  <c r="BE75" i="5" a="1"/>
  <c r="BE75" i="5" s="1"/>
  <c r="BE76" i="5" a="1"/>
  <c r="BE76" i="5" s="1"/>
  <c r="BE77" i="5" a="1"/>
  <c r="BE77" i="5" s="1"/>
  <c r="BE78" i="5" a="1"/>
  <c r="BE78" i="5" s="1"/>
  <c r="BE79" i="5" a="1"/>
  <c r="BE79" i="5" s="1"/>
  <c r="BE80" i="5" a="1"/>
  <c r="BE80" i="5" s="1"/>
  <c r="BE81" i="5" a="1"/>
  <c r="BE81" i="5" s="1"/>
  <c r="BE82" i="5" a="1"/>
  <c r="BE82" i="5" s="1"/>
  <c r="BE83" i="5" a="1"/>
  <c r="BE83" i="5" s="1"/>
  <c r="BE84" i="5" a="1"/>
  <c r="BE84" i="5" s="1"/>
  <c r="BE85" i="5" a="1"/>
  <c r="BE85" i="5" s="1"/>
  <c r="BE86" i="5" a="1"/>
  <c r="BE86" i="5" s="1"/>
  <c r="BE87" i="5" a="1"/>
  <c r="BE87" i="5" s="1"/>
  <c r="BE88" i="5" a="1"/>
  <c r="BE88" i="5" s="1"/>
  <c r="BE89" i="5" a="1"/>
  <c r="BE89" i="5" s="1"/>
  <c r="BE90" i="5" a="1"/>
  <c r="BE90" i="5" s="1"/>
  <c r="BE91" i="5" a="1"/>
  <c r="BE91" i="5" s="1"/>
  <c r="BE92" i="5" a="1"/>
  <c r="BE92" i="5" s="1"/>
  <c r="BE93" i="5" a="1"/>
  <c r="BE93" i="5" s="1"/>
  <c r="BE94" i="5" a="1"/>
  <c r="BE94" i="5" s="1"/>
  <c r="BE95" i="5" a="1"/>
  <c r="BE95" i="5" s="1"/>
  <c r="BE96" i="5" a="1"/>
  <c r="BE96" i="5" s="1"/>
  <c r="BE97" i="5" a="1"/>
  <c r="BE97" i="5" s="1"/>
  <c r="BE98" i="5" a="1"/>
  <c r="BE98" i="5" s="1"/>
  <c r="BE99" i="5" a="1"/>
  <c r="BE99" i="5" s="1"/>
  <c r="BE100" i="5" a="1"/>
  <c r="BE100" i="5" s="1"/>
  <c r="BE101" i="5" a="1"/>
  <c r="BE101" i="5" s="1"/>
  <c r="BE102" i="5" a="1"/>
  <c r="BE102" i="5" s="1"/>
  <c r="BE103" i="5" a="1"/>
  <c r="BE103" i="5" s="1"/>
  <c r="BE104" i="5" a="1"/>
  <c r="BE104" i="5" s="1"/>
  <c r="BE105" i="5" a="1"/>
  <c r="BE105" i="5" s="1"/>
  <c r="BE106" i="5" a="1"/>
  <c r="BE106" i="5" s="1"/>
  <c r="BE107" i="5" a="1"/>
  <c r="BE107" i="5" s="1"/>
  <c r="BE108" i="5" a="1"/>
  <c r="BE108" i="5" s="1"/>
  <c r="BE109" i="5" a="1"/>
  <c r="BE109" i="5" s="1"/>
  <c r="BE110" i="5" a="1"/>
  <c r="BE110" i="5" s="1"/>
  <c r="BE111" i="5" a="1"/>
  <c r="BE111" i="5" s="1"/>
  <c r="BE112" i="5" a="1"/>
  <c r="BE112" i="5" s="1"/>
  <c r="BE113" i="5" a="1"/>
  <c r="BE113" i="5" s="1"/>
  <c r="BE114" i="5" a="1"/>
  <c r="BE114" i="5" s="1"/>
  <c r="BE115" i="5" a="1"/>
  <c r="BE115" i="5" s="1"/>
  <c r="BE116" i="5" a="1"/>
  <c r="BE116" i="5" s="1"/>
  <c r="BE117" i="5" a="1"/>
  <c r="BE117" i="5" s="1"/>
  <c r="BE118" i="5" a="1"/>
  <c r="BE118" i="5" s="1"/>
  <c r="BE119" i="5" a="1"/>
  <c r="BE119" i="5" s="1"/>
  <c r="BE120" i="5" a="1"/>
  <c r="BE120" i="5" s="1"/>
  <c r="BE121" i="5" a="1"/>
  <c r="BE121" i="5" s="1"/>
  <c r="BE122" i="5" a="1"/>
  <c r="BE122" i="5" s="1"/>
  <c r="BE123" i="5" a="1"/>
  <c r="BE123" i="5" s="1"/>
  <c r="BE124" i="5" a="1"/>
  <c r="BE124" i="5" s="1"/>
  <c r="BE125" i="5" a="1"/>
  <c r="BE125" i="5" s="1"/>
  <c r="BE126" i="5" a="1"/>
  <c r="BE126" i="5" s="1"/>
  <c r="BE127" i="5" a="1"/>
  <c r="BE127" i="5" s="1"/>
  <c r="BE128" i="5" a="1"/>
  <c r="BE128" i="5" s="1"/>
  <c r="BE129" i="5" a="1"/>
  <c r="BE129" i="5" s="1"/>
  <c r="BE130" i="5" a="1"/>
  <c r="BE130" i="5" s="1"/>
  <c r="BE131" i="5" a="1"/>
  <c r="BE131" i="5" s="1"/>
  <c r="BE132" i="5" a="1"/>
  <c r="BE132" i="5" s="1"/>
  <c r="BE133" i="5" a="1"/>
  <c r="BE133" i="5" s="1"/>
  <c r="BE134" i="5" a="1"/>
  <c r="BE134" i="5" s="1"/>
  <c r="BE135" i="5" a="1"/>
  <c r="BE135" i="5" s="1"/>
  <c r="BE136" i="5" a="1"/>
  <c r="BE136" i="5" s="1"/>
  <c r="BE137" i="5" a="1"/>
  <c r="BE137" i="5" s="1"/>
  <c r="BE138" i="5" a="1"/>
  <c r="BE138" i="5" s="1"/>
  <c r="BE139" i="5" a="1"/>
  <c r="BE139" i="5" s="1"/>
  <c r="BE140" i="5" a="1"/>
  <c r="BE140" i="5" s="1"/>
  <c r="BE141" i="5" a="1"/>
  <c r="BE141" i="5" s="1"/>
  <c r="BE142" i="5" a="1"/>
  <c r="BE142" i="5" s="1"/>
  <c r="BE143" i="5" a="1"/>
  <c r="BE143" i="5" s="1"/>
  <c r="BE144" i="5" a="1"/>
  <c r="BE144" i="5" s="1"/>
  <c r="BE145" i="5" a="1"/>
  <c r="BE145" i="5" s="1"/>
  <c r="BE146" i="5" a="1"/>
  <c r="BE146" i="5" s="1"/>
  <c r="BE147" i="5" a="1"/>
  <c r="BE147" i="5" s="1"/>
  <c r="BE148" i="5" a="1"/>
  <c r="BE148" i="5" s="1"/>
  <c r="BE149" i="5" a="1"/>
  <c r="BE149" i="5" s="1"/>
  <c r="BE150" i="5" a="1"/>
  <c r="BE150" i="5" s="1"/>
  <c r="BE151" i="5" a="1"/>
  <c r="BE151" i="5" s="1"/>
  <c r="BE152" i="5" a="1"/>
  <c r="BE152" i="5" s="1"/>
  <c r="BE153" i="5" a="1"/>
  <c r="BE153" i="5" s="1"/>
  <c r="BE154" i="5" a="1"/>
  <c r="BE154" i="5" s="1"/>
  <c r="BE155" i="5" a="1"/>
  <c r="BE155" i="5" s="1"/>
  <c r="BE156" i="5" a="1"/>
  <c r="BE156" i="5" s="1"/>
  <c r="BE157" i="5" a="1"/>
  <c r="BE157" i="5" s="1"/>
  <c r="BE158" i="5" a="1"/>
  <c r="BE158" i="5" s="1"/>
  <c r="AI26" i="5" a="1"/>
  <c r="AI26" i="5" s="1"/>
  <c r="AJ26" i="5" s="1"/>
  <c r="AI27" i="5" a="1"/>
  <c r="AI27" i="5" s="1"/>
  <c r="AJ27" i="5" s="1"/>
  <c r="AI28" i="5" a="1"/>
  <c r="AI28" i="5" s="1"/>
  <c r="AJ28" i="5" s="1"/>
  <c r="AI29" i="5" a="1"/>
  <c r="AI29" i="5" s="1"/>
  <c r="AJ29" i="5" s="1"/>
  <c r="AI30" i="5" a="1"/>
  <c r="AI30" i="5" s="1"/>
  <c r="AJ30" i="5" s="1"/>
  <c r="AI31" i="5" a="1"/>
  <c r="AI31" i="5" s="1"/>
  <c r="AJ31" i="5" s="1"/>
  <c r="AI32" i="5" a="1"/>
  <c r="AI32" i="5" s="1"/>
  <c r="AJ32" i="5" s="1"/>
  <c r="AI33" i="5" a="1"/>
  <c r="AI33" i="5" s="1"/>
  <c r="AJ33" i="5" s="1"/>
  <c r="AI34" i="5" a="1"/>
  <c r="AI34" i="5" s="1"/>
  <c r="AJ34" i="5" s="1"/>
  <c r="AI35" i="5" a="1"/>
  <c r="AI35" i="5" s="1"/>
  <c r="AJ35" i="5" s="1"/>
  <c r="AI36" i="5" a="1"/>
  <c r="AI36" i="5" s="1"/>
  <c r="AJ36" i="5" s="1"/>
  <c r="AI37" i="5" a="1"/>
  <c r="AI37" i="5" s="1"/>
  <c r="AJ37" i="5" s="1"/>
  <c r="AI38" i="5" a="1"/>
  <c r="AI38" i="5" s="1"/>
  <c r="AJ38" i="5" s="1"/>
  <c r="AI39" i="5" a="1"/>
  <c r="AI39" i="5" s="1"/>
  <c r="AJ39" i="5" s="1"/>
  <c r="AI40" i="5" a="1"/>
  <c r="AI40" i="5" s="1"/>
  <c r="AJ40" i="5" s="1"/>
  <c r="AI41" i="5" a="1"/>
  <c r="AI41" i="5" s="1"/>
  <c r="AJ41" i="5" s="1"/>
  <c r="AI42" i="5" a="1"/>
  <c r="AI42" i="5" s="1"/>
  <c r="AJ42" i="5" s="1"/>
  <c r="AI43" i="5" a="1"/>
  <c r="AI43" i="5" s="1"/>
  <c r="AJ43" i="5" s="1"/>
  <c r="AI44" i="5" a="1"/>
  <c r="AI44" i="5" s="1"/>
  <c r="AJ44" i="5" s="1"/>
  <c r="AI45" i="5" a="1"/>
  <c r="AI45" i="5" s="1"/>
  <c r="AJ45" i="5" s="1"/>
  <c r="AI46" i="5" a="1"/>
  <c r="AI46" i="5" s="1"/>
  <c r="AJ46" i="5" s="1"/>
  <c r="AI47" i="5" a="1"/>
  <c r="AI47" i="5" s="1"/>
  <c r="AJ47" i="5" s="1"/>
  <c r="AI48" i="5" a="1"/>
  <c r="AI48" i="5" s="1"/>
  <c r="AJ48" i="5" s="1"/>
  <c r="AI49" i="5" a="1"/>
  <c r="AI49" i="5" s="1"/>
  <c r="AJ49" i="5" s="1"/>
  <c r="AI50" i="5" a="1"/>
  <c r="AI50" i="5" s="1"/>
  <c r="AJ50" i="5" s="1"/>
  <c r="AI51" i="5" a="1"/>
  <c r="AI51" i="5" s="1"/>
  <c r="AJ51" i="5" s="1"/>
  <c r="AI52" i="5" a="1"/>
  <c r="AI52" i="5" s="1"/>
  <c r="AJ52" i="5" s="1"/>
  <c r="AI53" i="5" a="1"/>
  <c r="AI53" i="5" s="1"/>
  <c r="AJ53" i="5" s="1"/>
  <c r="AI54" i="5" a="1"/>
  <c r="AI54" i="5" s="1"/>
  <c r="AJ54" i="5" s="1"/>
  <c r="AI55" i="5" a="1"/>
  <c r="AI55" i="5" s="1"/>
  <c r="AJ55" i="5" s="1"/>
  <c r="AI56" i="5" a="1"/>
  <c r="AI56" i="5" s="1"/>
  <c r="AJ56" i="5" s="1"/>
  <c r="AI57" i="5" a="1"/>
  <c r="AI57" i="5" s="1"/>
  <c r="AJ57" i="5" s="1"/>
  <c r="AI58" i="5" a="1"/>
  <c r="AI58" i="5" s="1"/>
  <c r="AJ58" i="5" s="1"/>
  <c r="AI59" i="5" a="1"/>
  <c r="AI59" i="5" s="1"/>
  <c r="AJ59" i="5" s="1"/>
  <c r="AI60" i="5" a="1"/>
  <c r="AI60" i="5" s="1"/>
  <c r="AJ60" i="5" s="1"/>
  <c r="AI61" i="5" a="1"/>
  <c r="AI61" i="5" s="1"/>
  <c r="AJ61" i="5" s="1"/>
  <c r="AI62" i="5" a="1"/>
  <c r="AI62" i="5" s="1"/>
  <c r="AJ62" i="5" s="1"/>
  <c r="AI63" i="5" a="1"/>
  <c r="AI63" i="5" s="1"/>
  <c r="AJ63" i="5" s="1"/>
  <c r="AI64" i="5" a="1"/>
  <c r="AI64" i="5" s="1"/>
  <c r="AJ64" i="5" s="1"/>
  <c r="AI65" i="5" a="1"/>
  <c r="AI65" i="5" s="1"/>
  <c r="AJ65" i="5" s="1"/>
  <c r="AI66" i="5" a="1"/>
  <c r="AI66" i="5" s="1"/>
  <c r="AJ66" i="5" s="1"/>
  <c r="AI67" i="5" a="1"/>
  <c r="AI67" i="5" s="1"/>
  <c r="AJ67" i="5" s="1"/>
  <c r="AI68" i="5" a="1"/>
  <c r="AI68" i="5" s="1"/>
  <c r="AJ68" i="5" s="1"/>
  <c r="AI69" i="5" a="1"/>
  <c r="AI69" i="5" s="1"/>
  <c r="AJ69" i="5" s="1"/>
  <c r="AI70" i="5" a="1"/>
  <c r="AI70" i="5" s="1"/>
  <c r="AJ70" i="5" s="1"/>
  <c r="AI71" i="5" a="1"/>
  <c r="AI71" i="5" s="1"/>
  <c r="AJ71" i="5" s="1"/>
  <c r="AI72" i="5" a="1"/>
  <c r="AI72" i="5" s="1"/>
  <c r="AJ72" i="5" s="1"/>
  <c r="AI73" i="5" a="1"/>
  <c r="AI73" i="5" s="1"/>
  <c r="AJ73" i="5" s="1"/>
  <c r="AI74" i="5" a="1"/>
  <c r="AI74" i="5" s="1"/>
  <c r="AJ74" i="5" s="1"/>
  <c r="AI75" i="5" a="1"/>
  <c r="AI75" i="5" s="1"/>
  <c r="AJ75" i="5" s="1"/>
  <c r="AI76" i="5" a="1"/>
  <c r="AI76" i="5" s="1"/>
  <c r="AJ76" i="5" s="1"/>
  <c r="AI77" i="5" a="1"/>
  <c r="AI77" i="5" s="1"/>
  <c r="AJ77" i="5" s="1"/>
  <c r="AI78" i="5" a="1"/>
  <c r="AI78" i="5" s="1"/>
  <c r="AJ78" i="5" s="1"/>
  <c r="AI79" i="5" a="1"/>
  <c r="AI79" i="5" s="1"/>
  <c r="AJ79" i="5" s="1"/>
  <c r="AI80" i="5" a="1"/>
  <c r="AI80" i="5" s="1"/>
  <c r="AJ80" i="5" s="1"/>
  <c r="AI81" i="5" a="1"/>
  <c r="AI81" i="5" s="1"/>
  <c r="AJ81" i="5" s="1"/>
  <c r="AI82" i="5" a="1"/>
  <c r="AI82" i="5" s="1"/>
  <c r="AJ82" i="5" s="1"/>
  <c r="AI83" i="5" a="1"/>
  <c r="AI83" i="5" s="1"/>
  <c r="AJ83" i="5" s="1"/>
  <c r="AI84" i="5" a="1"/>
  <c r="AI84" i="5" s="1"/>
  <c r="AJ84" i="5" s="1"/>
  <c r="AI85" i="5" a="1"/>
  <c r="AI85" i="5" s="1"/>
  <c r="AJ85" i="5" s="1"/>
  <c r="AI86" i="5" a="1"/>
  <c r="AI86" i="5" s="1"/>
  <c r="AJ86" i="5" s="1"/>
  <c r="AI87" i="5" a="1"/>
  <c r="AI87" i="5" s="1"/>
  <c r="AJ87" i="5" s="1"/>
  <c r="AI88" i="5" a="1"/>
  <c r="AI88" i="5" s="1"/>
  <c r="AJ88" i="5" s="1"/>
  <c r="AI89" i="5" a="1"/>
  <c r="AI89" i="5" s="1"/>
  <c r="AJ89" i="5" s="1"/>
  <c r="AI90" i="5" a="1"/>
  <c r="AI90" i="5" s="1"/>
  <c r="AJ90" i="5" s="1"/>
  <c r="AI91" i="5" a="1"/>
  <c r="AI91" i="5" s="1"/>
  <c r="AJ91" i="5" s="1"/>
  <c r="AI92" i="5" a="1"/>
  <c r="AI92" i="5" s="1"/>
  <c r="AJ92" i="5" s="1"/>
  <c r="AI93" i="5" a="1"/>
  <c r="AI93" i="5" s="1"/>
  <c r="AJ93" i="5" s="1"/>
  <c r="AI94" i="5" a="1"/>
  <c r="AI94" i="5" s="1"/>
  <c r="AJ94" i="5" s="1"/>
  <c r="AI95" i="5" a="1"/>
  <c r="AI95" i="5" s="1"/>
  <c r="AJ95" i="5" s="1"/>
  <c r="AI96" i="5" a="1"/>
  <c r="AI96" i="5" s="1"/>
  <c r="AJ96" i="5" s="1"/>
  <c r="AI97" i="5" a="1"/>
  <c r="AI97" i="5" s="1"/>
  <c r="AJ97" i="5" s="1"/>
  <c r="AI98" i="5" a="1"/>
  <c r="AI98" i="5" s="1"/>
  <c r="AJ98" i="5" s="1"/>
  <c r="AI99" i="5" a="1"/>
  <c r="AI99" i="5" s="1"/>
  <c r="AJ99" i="5" s="1"/>
  <c r="AI100" i="5" a="1"/>
  <c r="AI100" i="5" s="1"/>
  <c r="AJ100" i="5" s="1"/>
  <c r="AI101" i="5" a="1"/>
  <c r="AI101" i="5" s="1"/>
  <c r="AJ101" i="5" s="1"/>
  <c r="AI102" i="5" a="1"/>
  <c r="AI102" i="5" s="1"/>
  <c r="AJ102" i="5" s="1"/>
  <c r="AI103" i="5" a="1"/>
  <c r="AI103" i="5" s="1"/>
  <c r="AJ103" i="5" s="1"/>
  <c r="AI104" i="5" a="1"/>
  <c r="AI104" i="5" s="1"/>
  <c r="AJ104" i="5" s="1"/>
  <c r="AI105" i="5" a="1"/>
  <c r="AI105" i="5" s="1"/>
  <c r="AJ105" i="5" s="1"/>
  <c r="AI106" i="5" a="1"/>
  <c r="AI106" i="5" s="1"/>
  <c r="AJ106" i="5" s="1"/>
  <c r="AI107" i="5" a="1"/>
  <c r="AI107" i="5" s="1"/>
  <c r="AJ107" i="5" s="1"/>
  <c r="AI108" i="5" a="1"/>
  <c r="AI108" i="5" s="1"/>
  <c r="AJ108" i="5" s="1"/>
  <c r="AI109" i="5" a="1"/>
  <c r="AI109" i="5" s="1"/>
  <c r="AJ109" i="5" s="1"/>
  <c r="AI110" i="5" a="1"/>
  <c r="AI110" i="5" s="1"/>
  <c r="AJ110" i="5" s="1"/>
  <c r="AI111" i="5" a="1"/>
  <c r="AI111" i="5" s="1"/>
  <c r="AJ111" i="5" s="1"/>
  <c r="AI112" i="5" a="1"/>
  <c r="AI112" i="5" s="1"/>
  <c r="AJ112" i="5" s="1"/>
  <c r="AI113" i="5" a="1"/>
  <c r="AI113" i="5" s="1"/>
  <c r="AJ113" i="5" s="1"/>
  <c r="AI114" i="5" a="1"/>
  <c r="AI114" i="5" s="1"/>
  <c r="AJ114" i="5" s="1"/>
  <c r="AI115" i="5" a="1"/>
  <c r="AI115" i="5" s="1"/>
  <c r="AJ115" i="5" s="1"/>
  <c r="AI116" i="5" a="1"/>
  <c r="AI116" i="5" s="1"/>
  <c r="AJ116" i="5" s="1"/>
  <c r="AI117" i="5" a="1"/>
  <c r="AI117" i="5" s="1"/>
  <c r="AJ117" i="5" s="1"/>
  <c r="AI118" i="5" a="1"/>
  <c r="AI118" i="5" s="1"/>
  <c r="AJ118" i="5" s="1"/>
  <c r="AI119" i="5" a="1"/>
  <c r="AI119" i="5" s="1"/>
  <c r="AJ119" i="5" s="1"/>
  <c r="AI120" i="5" a="1"/>
  <c r="AI120" i="5" s="1"/>
  <c r="AJ120" i="5" s="1"/>
  <c r="AI121" i="5" a="1"/>
  <c r="AI121" i="5" s="1"/>
  <c r="AJ121" i="5" s="1"/>
  <c r="AI122" i="5" a="1"/>
  <c r="AI122" i="5" s="1"/>
  <c r="AJ122" i="5" s="1"/>
  <c r="AI123" i="5" a="1"/>
  <c r="AI123" i="5" s="1"/>
  <c r="AJ123" i="5" s="1"/>
  <c r="AI124" i="5" a="1"/>
  <c r="AI124" i="5" s="1"/>
  <c r="AJ124" i="5" s="1"/>
  <c r="AI125" i="5" a="1"/>
  <c r="AI125" i="5" s="1"/>
  <c r="AJ125" i="5" s="1"/>
  <c r="AI126" i="5" a="1"/>
  <c r="AI126" i="5" s="1"/>
  <c r="AJ126" i="5" s="1"/>
  <c r="AI127" i="5" a="1"/>
  <c r="AI127" i="5" s="1"/>
  <c r="AJ127" i="5" s="1"/>
  <c r="AI128" i="5" a="1"/>
  <c r="AI128" i="5" s="1"/>
  <c r="AJ128" i="5" s="1"/>
  <c r="AI129" i="5" a="1"/>
  <c r="AI129" i="5" s="1"/>
  <c r="AJ129" i="5" s="1"/>
  <c r="AI130" i="5" a="1"/>
  <c r="AI130" i="5" s="1"/>
  <c r="AJ130" i="5" s="1"/>
  <c r="AI131" i="5" a="1"/>
  <c r="AI131" i="5" s="1"/>
  <c r="AJ131" i="5" s="1"/>
  <c r="AI132" i="5" a="1"/>
  <c r="AI132" i="5" s="1"/>
  <c r="AJ132" i="5" s="1"/>
  <c r="AI133" i="5" a="1"/>
  <c r="AI133" i="5" s="1"/>
  <c r="AJ133" i="5" s="1"/>
  <c r="AI134" i="5" a="1"/>
  <c r="AI134" i="5" s="1"/>
  <c r="AJ134" i="5" s="1"/>
  <c r="AI135" i="5" a="1"/>
  <c r="AI135" i="5" s="1"/>
  <c r="AJ135" i="5" s="1"/>
  <c r="AI136" i="5" a="1"/>
  <c r="AI136" i="5" s="1"/>
  <c r="AJ136" i="5" s="1"/>
  <c r="AI137" i="5" a="1"/>
  <c r="AI137" i="5" s="1"/>
  <c r="AJ137" i="5" s="1"/>
  <c r="AI138" i="5" a="1"/>
  <c r="AI138" i="5" s="1"/>
  <c r="AJ138" i="5" s="1"/>
  <c r="AI139" i="5" a="1"/>
  <c r="AI139" i="5" s="1"/>
  <c r="AJ139" i="5" s="1"/>
  <c r="AI140" i="5" a="1"/>
  <c r="AI140" i="5" s="1"/>
  <c r="AJ140" i="5" s="1"/>
  <c r="AI141" i="5" a="1"/>
  <c r="AI141" i="5" s="1"/>
  <c r="AJ141" i="5" s="1"/>
  <c r="AI142" i="5" a="1"/>
  <c r="AI142" i="5" s="1"/>
  <c r="AJ142" i="5" s="1"/>
  <c r="AI143" i="5" a="1"/>
  <c r="AI143" i="5" s="1"/>
  <c r="AJ143" i="5" s="1"/>
  <c r="AI144" i="5" a="1"/>
  <c r="AI144" i="5" s="1"/>
  <c r="AJ144" i="5" s="1"/>
  <c r="AI145" i="5" a="1"/>
  <c r="AI145" i="5" s="1"/>
  <c r="AJ145" i="5" s="1"/>
  <c r="AI146" i="5" a="1"/>
  <c r="AI146" i="5" s="1"/>
  <c r="AJ146" i="5" s="1"/>
  <c r="AI147" i="5" a="1"/>
  <c r="AI147" i="5" s="1"/>
  <c r="AJ147" i="5" s="1"/>
  <c r="AI148" i="5" a="1"/>
  <c r="AI148" i="5" s="1"/>
  <c r="AJ148" i="5" s="1"/>
  <c r="AI149" i="5" a="1"/>
  <c r="AI149" i="5" s="1"/>
  <c r="AJ149" i="5" s="1"/>
  <c r="AI150" i="5" a="1"/>
  <c r="AI150" i="5" s="1"/>
  <c r="AJ150" i="5" s="1"/>
  <c r="AI151" i="5" a="1"/>
  <c r="AI151" i="5" s="1"/>
  <c r="AJ151" i="5" s="1"/>
  <c r="AI152" i="5" a="1"/>
  <c r="AI152" i="5" s="1"/>
  <c r="AJ152" i="5" s="1"/>
  <c r="AI153" i="5" a="1"/>
  <c r="AI153" i="5" s="1"/>
  <c r="AJ153" i="5" s="1"/>
  <c r="AI154" i="5" a="1"/>
  <c r="AI154" i="5" s="1"/>
  <c r="AJ154" i="5" s="1"/>
  <c r="AI155" i="5" a="1"/>
  <c r="AI155" i="5" s="1"/>
  <c r="AJ155" i="5" s="1"/>
  <c r="AI156" i="5" a="1"/>
  <c r="AI156" i="5" s="1"/>
  <c r="AJ156" i="5" s="1"/>
  <c r="AI157" i="5" a="1"/>
  <c r="AI157" i="5" s="1"/>
  <c r="AJ157" i="5" s="1"/>
  <c r="AI158" i="5" a="1"/>
  <c r="AI158" i="5" s="1"/>
  <c r="AJ158" i="5" s="1"/>
  <c r="L40" i="5" a="1"/>
  <c r="L40" i="5" s="1"/>
  <c r="L41" i="5" a="1"/>
  <c r="L41" i="5" s="1"/>
  <c r="L42" i="5" a="1"/>
  <c r="L42" i="5" s="1"/>
  <c r="L43" i="5" a="1"/>
  <c r="L43" i="5" s="1"/>
  <c r="L44" i="5" a="1"/>
  <c r="L44" i="5" s="1"/>
  <c r="L45" i="5" a="1"/>
  <c r="L45" i="5" s="1"/>
  <c r="L46" i="5" a="1"/>
  <c r="L46" i="5" s="1"/>
  <c r="L47" i="5" a="1"/>
  <c r="L47" i="5" s="1"/>
  <c r="L48" i="5" a="1"/>
  <c r="L48" i="5" s="1"/>
  <c r="L49" i="5" a="1"/>
  <c r="L49" i="5" s="1"/>
  <c r="L50" i="5" a="1"/>
  <c r="L50" i="5" s="1"/>
  <c r="L51" i="5" a="1"/>
  <c r="L51" i="5" s="1"/>
  <c r="L52" i="5" a="1"/>
  <c r="L52" i="5" s="1"/>
  <c r="L53" i="5" a="1"/>
  <c r="L53" i="5" s="1"/>
  <c r="L54" i="5" a="1"/>
  <c r="L54" i="5" s="1"/>
  <c r="L55" i="5" a="1"/>
  <c r="L55" i="5" s="1"/>
  <c r="L56" i="5" a="1"/>
  <c r="L56" i="5" s="1"/>
  <c r="L57" i="5" a="1"/>
  <c r="L57" i="5" s="1"/>
  <c r="L58" i="5" a="1"/>
  <c r="L58" i="5" s="1"/>
  <c r="L59" i="5" a="1"/>
  <c r="L59" i="5" s="1"/>
  <c r="L60" i="5" a="1"/>
  <c r="L60" i="5" s="1"/>
  <c r="L61" i="5" a="1"/>
  <c r="L61" i="5" s="1"/>
  <c r="L62" i="5" a="1"/>
  <c r="L62" i="5" s="1"/>
  <c r="L63" i="5" a="1"/>
  <c r="L63" i="5" s="1"/>
  <c r="L64" i="5" a="1"/>
  <c r="L64" i="5" s="1"/>
  <c r="L65" i="5" a="1"/>
  <c r="L65" i="5" s="1"/>
  <c r="L66" i="5" a="1"/>
  <c r="L66" i="5" s="1"/>
  <c r="L67" i="5" a="1"/>
  <c r="L67" i="5" s="1"/>
  <c r="L68" i="5" a="1"/>
  <c r="L68" i="5" s="1"/>
  <c r="L69" i="5" a="1"/>
  <c r="L69" i="5" s="1"/>
  <c r="L70" i="5" a="1"/>
  <c r="L70" i="5" s="1"/>
  <c r="L71" i="5" a="1"/>
  <c r="L71" i="5" s="1"/>
  <c r="L72" i="5" a="1"/>
  <c r="L72" i="5" s="1"/>
  <c r="L73" i="5" a="1"/>
  <c r="L73" i="5" s="1"/>
  <c r="L74" i="5" a="1"/>
  <c r="L74" i="5" s="1"/>
  <c r="L75" i="5" a="1"/>
  <c r="L75" i="5" s="1"/>
  <c r="L76" i="5" a="1"/>
  <c r="L76" i="5" s="1"/>
  <c r="L77" i="5" a="1"/>
  <c r="L77" i="5" s="1"/>
  <c r="L78" i="5" a="1"/>
  <c r="L78" i="5" s="1"/>
  <c r="L79" i="5" a="1"/>
  <c r="L79" i="5" s="1"/>
  <c r="L80" i="5" a="1"/>
  <c r="L80" i="5" s="1"/>
  <c r="L81" i="5" a="1"/>
  <c r="L81" i="5" s="1"/>
  <c r="L82" i="5" a="1"/>
  <c r="L82" i="5" s="1"/>
  <c r="L83" i="5" a="1"/>
  <c r="L83" i="5" s="1"/>
  <c r="L84" i="5" a="1"/>
  <c r="L84" i="5" s="1"/>
  <c r="L85" i="5" a="1"/>
  <c r="L85" i="5" s="1"/>
  <c r="L86" i="5" a="1"/>
  <c r="L86" i="5" s="1"/>
  <c r="L87" i="5" a="1"/>
  <c r="L87" i="5" s="1"/>
  <c r="L88" i="5" a="1"/>
  <c r="L88" i="5" s="1"/>
  <c r="L89" i="5" a="1"/>
  <c r="L89" i="5" s="1"/>
  <c r="L90" i="5" a="1"/>
  <c r="L90" i="5" s="1"/>
  <c r="L91" i="5" a="1"/>
  <c r="L91" i="5" s="1"/>
  <c r="L92" i="5" a="1"/>
  <c r="L92" i="5" s="1"/>
  <c r="L93" i="5" a="1"/>
  <c r="L93" i="5" s="1"/>
  <c r="L94" i="5" a="1"/>
  <c r="L94" i="5" s="1"/>
  <c r="L95" i="5" a="1"/>
  <c r="L95" i="5" s="1"/>
  <c r="L96" i="5" a="1"/>
  <c r="L96" i="5" s="1"/>
  <c r="L97" i="5" a="1"/>
  <c r="L97" i="5" s="1"/>
  <c r="L98" i="5" a="1"/>
  <c r="L98" i="5" s="1"/>
  <c r="L99" i="5" a="1"/>
  <c r="L99" i="5" s="1"/>
  <c r="L100" i="5" a="1"/>
  <c r="L100" i="5" s="1"/>
  <c r="L101" i="5" a="1"/>
  <c r="L101" i="5" s="1"/>
  <c r="L102" i="5" a="1"/>
  <c r="L102" i="5" s="1"/>
  <c r="L103" i="5" a="1"/>
  <c r="L103" i="5" s="1"/>
  <c r="L104" i="5" a="1"/>
  <c r="L104" i="5" s="1"/>
  <c r="L105" i="5" a="1"/>
  <c r="L105" i="5" s="1"/>
  <c r="L106" i="5" a="1"/>
  <c r="L106" i="5" s="1"/>
  <c r="L107" i="5" a="1"/>
  <c r="L107" i="5" s="1"/>
  <c r="L108" i="5" a="1"/>
  <c r="L108" i="5" s="1"/>
  <c r="L109" i="5" a="1"/>
  <c r="L109" i="5" s="1"/>
  <c r="L110" i="5" a="1"/>
  <c r="L110" i="5" s="1"/>
  <c r="L111" i="5" a="1"/>
  <c r="L111" i="5" s="1"/>
  <c r="L112" i="5" a="1"/>
  <c r="L112" i="5" s="1"/>
  <c r="L113" i="5" a="1"/>
  <c r="L113" i="5" s="1"/>
  <c r="L114" i="5" a="1"/>
  <c r="L114" i="5" s="1"/>
  <c r="L115" i="5" a="1"/>
  <c r="L115" i="5" s="1"/>
  <c r="L116" i="5" a="1"/>
  <c r="L116" i="5" s="1"/>
  <c r="L117" i="5" a="1"/>
  <c r="L117" i="5" s="1"/>
  <c r="L118" i="5" a="1"/>
  <c r="L118" i="5" s="1"/>
  <c r="L119" i="5" a="1"/>
  <c r="L119" i="5" s="1"/>
  <c r="L120" i="5" a="1"/>
  <c r="L120" i="5" s="1"/>
  <c r="L121" i="5" a="1"/>
  <c r="L121" i="5" s="1"/>
  <c r="L122" i="5" a="1"/>
  <c r="L122" i="5" s="1"/>
  <c r="L123" i="5" a="1"/>
  <c r="L123" i="5" s="1"/>
  <c r="L124" i="5" a="1"/>
  <c r="L124" i="5" s="1"/>
  <c r="L125" i="5" a="1"/>
  <c r="L125" i="5" s="1"/>
  <c r="L126" i="5" a="1"/>
  <c r="L126" i="5" s="1"/>
  <c r="L127" i="5" a="1"/>
  <c r="L127" i="5" s="1"/>
  <c r="L128" i="5" a="1"/>
  <c r="L128" i="5" s="1"/>
  <c r="L129" i="5" a="1"/>
  <c r="L129" i="5" s="1"/>
  <c r="L130" i="5" a="1"/>
  <c r="L130" i="5" s="1"/>
  <c r="L131" i="5" a="1"/>
  <c r="L131" i="5" s="1"/>
  <c r="L132" i="5" a="1"/>
  <c r="L132" i="5" s="1"/>
  <c r="L133" i="5" a="1"/>
  <c r="L133" i="5" s="1"/>
  <c r="L134" i="5" a="1"/>
  <c r="L134" i="5" s="1"/>
  <c r="L135" i="5" a="1"/>
  <c r="L135" i="5" s="1"/>
  <c r="L136" i="5" a="1"/>
  <c r="L136" i="5" s="1"/>
  <c r="L137" i="5" a="1"/>
  <c r="L137" i="5" s="1"/>
  <c r="L138" i="5" a="1"/>
  <c r="L138" i="5" s="1"/>
  <c r="L139" i="5" a="1"/>
  <c r="L139" i="5" s="1"/>
  <c r="L140" i="5" a="1"/>
  <c r="L140" i="5" s="1"/>
  <c r="L141" i="5" a="1"/>
  <c r="L141" i="5" s="1"/>
  <c r="L142" i="5" a="1"/>
  <c r="L142" i="5" s="1"/>
  <c r="L143" i="5" a="1"/>
  <c r="L143" i="5" s="1"/>
  <c r="L144" i="5" a="1"/>
  <c r="L144" i="5" s="1"/>
  <c r="L145" i="5" a="1"/>
  <c r="L145" i="5" s="1"/>
  <c r="L146" i="5" a="1"/>
  <c r="L146" i="5" s="1"/>
  <c r="L147" i="5" a="1"/>
  <c r="L147" i="5" s="1"/>
  <c r="L148" i="5" a="1"/>
  <c r="L148" i="5" s="1"/>
  <c r="L149" i="5" a="1"/>
  <c r="L149" i="5" s="1"/>
  <c r="L150" i="5" a="1"/>
  <c r="L150" i="5" s="1"/>
  <c r="L151" i="5" a="1"/>
  <c r="L151" i="5" s="1"/>
  <c r="L152" i="5" a="1"/>
  <c r="L152" i="5" s="1"/>
  <c r="L153" i="5" a="1"/>
  <c r="L153" i="5" s="1"/>
  <c r="L154" i="5" a="1"/>
  <c r="L154" i="5" s="1"/>
  <c r="L155" i="5" a="1"/>
  <c r="L155" i="5" s="1"/>
  <c r="L156" i="5" a="1"/>
  <c r="L156" i="5" s="1"/>
  <c r="L157" i="5" a="1"/>
  <c r="L157" i="5" s="1"/>
  <c r="L158" i="5" a="1"/>
  <c r="L158"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O40" i="5" a="1"/>
  <c r="O40" i="5" s="1"/>
  <c r="O41" i="5" a="1"/>
  <c r="O41" i="5" s="1"/>
  <c r="O42" i="5" a="1"/>
  <c r="O42" i="5" s="1"/>
  <c r="O43" i="5" a="1"/>
  <c r="O43" i="5" s="1"/>
  <c r="O44" i="5" a="1"/>
  <c r="O44" i="5" s="1"/>
  <c r="O45" i="5" a="1"/>
  <c r="O45" i="5" s="1"/>
  <c r="O46" i="5" a="1"/>
  <c r="O46" i="5" s="1"/>
  <c r="O47" i="5" a="1"/>
  <c r="O47" i="5" s="1"/>
  <c r="O48" i="5" a="1"/>
  <c r="O48" i="5" s="1"/>
  <c r="O49" i="5" a="1"/>
  <c r="O49" i="5" s="1"/>
  <c r="O50" i="5" a="1"/>
  <c r="O50" i="5" s="1"/>
  <c r="O51" i="5" a="1"/>
  <c r="O51" i="5" s="1"/>
  <c r="O52" i="5" a="1"/>
  <c r="O52" i="5" s="1"/>
  <c r="O53" i="5" a="1"/>
  <c r="O53" i="5" s="1"/>
  <c r="O54" i="5" a="1"/>
  <c r="O54" i="5" s="1"/>
  <c r="O55" i="5" a="1"/>
  <c r="O55" i="5" s="1"/>
  <c r="O56" i="5" a="1"/>
  <c r="O56" i="5" s="1"/>
  <c r="O57" i="5" a="1"/>
  <c r="O57" i="5" s="1"/>
  <c r="O58" i="5" a="1"/>
  <c r="O58" i="5" s="1"/>
  <c r="O59" i="5" a="1"/>
  <c r="O59" i="5" s="1"/>
  <c r="O60" i="5" a="1"/>
  <c r="O60" i="5" s="1"/>
  <c r="O61" i="5" a="1"/>
  <c r="O61" i="5" s="1"/>
  <c r="O62" i="5" a="1"/>
  <c r="O62" i="5" s="1"/>
  <c r="O63" i="5" a="1"/>
  <c r="O63" i="5" s="1"/>
  <c r="O64" i="5" a="1"/>
  <c r="O64" i="5" s="1"/>
  <c r="O65" i="5" a="1"/>
  <c r="O65" i="5" s="1"/>
  <c r="O66" i="5" a="1"/>
  <c r="O66" i="5" s="1"/>
  <c r="O67" i="5" a="1"/>
  <c r="O67" i="5" s="1"/>
  <c r="O68" i="5" a="1"/>
  <c r="O68" i="5" s="1"/>
  <c r="O69" i="5" a="1"/>
  <c r="O69" i="5" s="1"/>
  <c r="O70" i="5" a="1"/>
  <c r="O70" i="5" s="1"/>
  <c r="O71" i="5" a="1"/>
  <c r="O71" i="5" s="1"/>
  <c r="O72" i="5" a="1"/>
  <c r="O72" i="5" s="1"/>
  <c r="O73" i="5" a="1"/>
  <c r="O73" i="5" s="1"/>
  <c r="O74" i="5" a="1"/>
  <c r="O74" i="5" s="1"/>
  <c r="O75" i="5" a="1"/>
  <c r="O75" i="5" s="1"/>
  <c r="O76" i="5" a="1"/>
  <c r="O76" i="5" s="1"/>
  <c r="O77" i="5" a="1"/>
  <c r="O77" i="5" s="1"/>
  <c r="O78" i="5" a="1"/>
  <c r="O78" i="5" s="1"/>
  <c r="O79" i="5" a="1"/>
  <c r="O79" i="5" s="1"/>
  <c r="O80" i="5" a="1"/>
  <c r="O80" i="5" s="1"/>
  <c r="O81" i="5" a="1"/>
  <c r="O81" i="5" s="1"/>
  <c r="O82" i="5" a="1"/>
  <c r="O82" i="5" s="1"/>
  <c r="O83" i="5" a="1"/>
  <c r="O83" i="5" s="1"/>
  <c r="O84" i="5" a="1"/>
  <c r="O84" i="5" s="1"/>
  <c r="O85" i="5" a="1"/>
  <c r="O85" i="5" s="1"/>
  <c r="O86" i="5" a="1"/>
  <c r="O86" i="5" s="1"/>
  <c r="O87" i="5" a="1"/>
  <c r="O87" i="5" s="1"/>
  <c r="O88" i="5" a="1"/>
  <c r="O88" i="5" s="1"/>
  <c r="O89" i="5" a="1"/>
  <c r="O89" i="5" s="1"/>
  <c r="O90" i="5" a="1"/>
  <c r="O90" i="5" s="1"/>
  <c r="O91" i="5" a="1"/>
  <c r="O91" i="5" s="1"/>
  <c r="O92" i="5" a="1"/>
  <c r="O92" i="5" s="1"/>
  <c r="O93" i="5" a="1"/>
  <c r="O93" i="5" s="1"/>
  <c r="O94" i="5" a="1"/>
  <c r="O94" i="5" s="1"/>
  <c r="O95" i="5" a="1"/>
  <c r="O95" i="5" s="1"/>
  <c r="O96" i="5" a="1"/>
  <c r="O96" i="5" s="1"/>
  <c r="O97" i="5" a="1"/>
  <c r="O97" i="5" s="1"/>
  <c r="O98" i="5" a="1"/>
  <c r="O98" i="5" s="1"/>
  <c r="O99" i="5" a="1"/>
  <c r="O99" i="5" s="1"/>
  <c r="O100" i="5" a="1"/>
  <c r="O100" i="5" s="1"/>
  <c r="O101" i="5" a="1"/>
  <c r="O101" i="5" s="1"/>
  <c r="O102" i="5" a="1"/>
  <c r="O102" i="5" s="1"/>
  <c r="O103" i="5" a="1"/>
  <c r="O103" i="5" s="1"/>
  <c r="O104" i="5" a="1"/>
  <c r="O104" i="5" s="1"/>
  <c r="O105" i="5" a="1"/>
  <c r="O105" i="5" s="1"/>
  <c r="O106" i="5" a="1"/>
  <c r="O106" i="5" s="1"/>
  <c r="O107" i="5" a="1"/>
  <c r="O107" i="5" s="1"/>
  <c r="O108" i="5" a="1"/>
  <c r="O108" i="5" s="1"/>
  <c r="O109" i="5" a="1"/>
  <c r="O109" i="5" s="1"/>
  <c r="O110" i="5" a="1"/>
  <c r="O110" i="5" s="1"/>
  <c r="O111" i="5" a="1"/>
  <c r="O111" i="5" s="1"/>
  <c r="O112" i="5" a="1"/>
  <c r="O112" i="5" s="1"/>
  <c r="O113" i="5" a="1"/>
  <c r="O113" i="5" s="1"/>
  <c r="O114" i="5" a="1"/>
  <c r="O114" i="5" s="1"/>
  <c r="O115" i="5" a="1"/>
  <c r="O115" i="5" s="1"/>
  <c r="O116" i="5" a="1"/>
  <c r="O116" i="5" s="1"/>
  <c r="O117" i="5" a="1"/>
  <c r="O117" i="5" s="1"/>
  <c r="O118" i="5" a="1"/>
  <c r="O118" i="5" s="1"/>
  <c r="O119" i="5" a="1"/>
  <c r="O119" i="5" s="1"/>
  <c r="O120" i="5" a="1"/>
  <c r="O120" i="5" s="1"/>
  <c r="O121" i="5" a="1"/>
  <c r="O121" i="5" s="1"/>
  <c r="O122" i="5" a="1"/>
  <c r="O122" i="5" s="1"/>
  <c r="O123" i="5" a="1"/>
  <c r="O123" i="5" s="1"/>
  <c r="O124" i="5" a="1"/>
  <c r="O124" i="5" s="1"/>
  <c r="O125" i="5" a="1"/>
  <c r="O125" i="5" s="1"/>
  <c r="O126" i="5" a="1"/>
  <c r="O126" i="5" s="1"/>
  <c r="O127" i="5" a="1"/>
  <c r="O127" i="5" s="1"/>
  <c r="O128" i="5" a="1"/>
  <c r="O128" i="5" s="1"/>
  <c r="O129" i="5" a="1"/>
  <c r="O129" i="5" s="1"/>
  <c r="O130" i="5" a="1"/>
  <c r="O130" i="5" s="1"/>
  <c r="O131" i="5" a="1"/>
  <c r="O131" i="5" s="1"/>
  <c r="O132" i="5" a="1"/>
  <c r="O132" i="5" s="1"/>
  <c r="O133" i="5" a="1"/>
  <c r="O133" i="5" s="1"/>
  <c r="O134" i="5" a="1"/>
  <c r="O134" i="5" s="1"/>
  <c r="O135" i="5" a="1"/>
  <c r="O135" i="5" s="1"/>
  <c r="O136" i="5" a="1"/>
  <c r="O136" i="5" s="1"/>
  <c r="O137" i="5" a="1"/>
  <c r="O137" i="5" s="1"/>
  <c r="O138" i="5" a="1"/>
  <c r="O138" i="5" s="1"/>
  <c r="O139" i="5" a="1"/>
  <c r="O139" i="5" s="1"/>
  <c r="O140" i="5" a="1"/>
  <c r="O140" i="5" s="1"/>
  <c r="O141" i="5" a="1"/>
  <c r="O141" i="5" s="1"/>
  <c r="O142" i="5" a="1"/>
  <c r="O142" i="5" s="1"/>
  <c r="O143" i="5" a="1"/>
  <c r="O143" i="5" s="1"/>
  <c r="O144" i="5" a="1"/>
  <c r="O144" i="5" s="1"/>
  <c r="O145" i="5" a="1"/>
  <c r="O145" i="5" s="1"/>
  <c r="O146" i="5" a="1"/>
  <c r="O146" i="5" s="1"/>
  <c r="O147" i="5" a="1"/>
  <c r="O147" i="5" s="1"/>
  <c r="O148" i="5" a="1"/>
  <c r="O148" i="5" s="1"/>
  <c r="O149" i="5" a="1"/>
  <c r="O149" i="5" s="1"/>
  <c r="O150" i="5" a="1"/>
  <c r="O150" i="5" s="1"/>
  <c r="O151" i="5" a="1"/>
  <c r="O151" i="5" s="1"/>
  <c r="O152" i="5" a="1"/>
  <c r="O152" i="5" s="1"/>
  <c r="O153" i="5" a="1"/>
  <c r="O153" i="5" s="1"/>
  <c r="O154" i="5" a="1"/>
  <c r="O154" i="5" s="1"/>
  <c r="O155" i="5" a="1"/>
  <c r="O155" i="5" s="1"/>
  <c r="O156" i="5" a="1"/>
  <c r="O156" i="5" s="1"/>
  <c r="O157" i="5" a="1"/>
  <c r="O157" i="5" s="1"/>
  <c r="O158" i="5" a="1"/>
  <c r="O158" i="5" s="1"/>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S40" i="5" a="1"/>
  <c r="S40" i="5" s="1"/>
  <c r="S41" i="5" a="1"/>
  <c r="S41" i="5" s="1"/>
  <c r="S42" i="5" a="1"/>
  <c r="S42" i="5" s="1"/>
  <c r="S43" i="5" a="1"/>
  <c r="S43" i="5" s="1"/>
  <c r="S44" i="5" a="1"/>
  <c r="S44" i="5" s="1"/>
  <c r="S45" i="5" a="1"/>
  <c r="S45" i="5" s="1"/>
  <c r="S46" i="5" a="1"/>
  <c r="S46" i="5" s="1"/>
  <c r="S47" i="5" a="1"/>
  <c r="S47" i="5" s="1"/>
  <c r="S48" i="5" a="1"/>
  <c r="S48" i="5" s="1"/>
  <c r="S49" i="5" a="1"/>
  <c r="S49" i="5" s="1"/>
  <c r="S50" i="5" a="1"/>
  <c r="S50" i="5" s="1"/>
  <c r="S51" i="5" a="1"/>
  <c r="S51" i="5" s="1"/>
  <c r="S52" i="5" a="1"/>
  <c r="S52" i="5" s="1"/>
  <c r="S53" i="5" a="1"/>
  <c r="S53" i="5" s="1"/>
  <c r="S54" i="5" a="1"/>
  <c r="S54" i="5" s="1"/>
  <c r="S55" i="5" a="1"/>
  <c r="S55" i="5" s="1"/>
  <c r="S56" i="5" a="1"/>
  <c r="S56" i="5" s="1"/>
  <c r="S57" i="5" a="1"/>
  <c r="S57" i="5" s="1"/>
  <c r="S58" i="5" a="1"/>
  <c r="S58" i="5" s="1"/>
  <c r="S59" i="5" a="1"/>
  <c r="S59" i="5" s="1"/>
  <c r="S60" i="5" a="1"/>
  <c r="S60" i="5" s="1"/>
  <c r="S61" i="5" a="1"/>
  <c r="S61" i="5" s="1"/>
  <c r="S62" i="5" a="1"/>
  <c r="S62" i="5" s="1"/>
  <c r="S63" i="5" a="1"/>
  <c r="S63" i="5" s="1"/>
  <c r="S64" i="5" a="1"/>
  <c r="S64" i="5" s="1"/>
  <c r="S65" i="5" a="1"/>
  <c r="S65" i="5" s="1"/>
  <c r="S66" i="5" a="1"/>
  <c r="S66" i="5" s="1"/>
  <c r="S67" i="5" a="1"/>
  <c r="S67" i="5" s="1"/>
  <c r="S68" i="5" a="1"/>
  <c r="S68" i="5" s="1"/>
  <c r="S69" i="5" a="1"/>
  <c r="S69" i="5" s="1"/>
  <c r="S70" i="5" a="1"/>
  <c r="S70" i="5" s="1"/>
  <c r="S71" i="5" a="1"/>
  <c r="S71" i="5" s="1"/>
  <c r="S72" i="5" a="1"/>
  <c r="S72" i="5" s="1"/>
  <c r="S73" i="5" a="1"/>
  <c r="S73" i="5" s="1"/>
  <c r="S74" i="5" a="1"/>
  <c r="S74" i="5" s="1"/>
  <c r="S75" i="5" a="1"/>
  <c r="S75" i="5" s="1"/>
  <c r="S76" i="5" a="1"/>
  <c r="S76" i="5" s="1"/>
  <c r="S77" i="5" a="1"/>
  <c r="S77" i="5" s="1"/>
  <c r="S78" i="5" a="1"/>
  <c r="S78" i="5" s="1"/>
  <c r="S79" i="5" a="1"/>
  <c r="S79" i="5" s="1"/>
  <c r="S80" i="5" a="1"/>
  <c r="S80" i="5" s="1"/>
  <c r="S81" i="5" a="1"/>
  <c r="S81" i="5" s="1"/>
  <c r="S82" i="5" a="1"/>
  <c r="S82" i="5" s="1"/>
  <c r="S83" i="5" a="1"/>
  <c r="S83" i="5" s="1"/>
  <c r="S84" i="5" a="1"/>
  <c r="S84" i="5" s="1"/>
  <c r="S85" i="5" a="1"/>
  <c r="S85" i="5" s="1"/>
  <c r="S86" i="5" a="1"/>
  <c r="S86" i="5" s="1"/>
  <c r="S87" i="5" a="1"/>
  <c r="S87" i="5" s="1"/>
  <c r="S88" i="5" a="1"/>
  <c r="S88" i="5" s="1"/>
  <c r="S89" i="5" a="1"/>
  <c r="S89" i="5" s="1"/>
  <c r="S90" i="5" a="1"/>
  <c r="S90" i="5" s="1"/>
  <c r="S91" i="5" a="1"/>
  <c r="S91" i="5" s="1"/>
  <c r="S92" i="5" a="1"/>
  <c r="S92" i="5" s="1"/>
  <c r="S93" i="5" a="1"/>
  <c r="S93" i="5" s="1"/>
  <c r="S94" i="5" a="1"/>
  <c r="S94" i="5" s="1"/>
  <c r="S95" i="5" a="1"/>
  <c r="S95" i="5" s="1"/>
  <c r="S96" i="5" a="1"/>
  <c r="S96" i="5" s="1"/>
  <c r="S97" i="5" a="1"/>
  <c r="S97" i="5" s="1"/>
  <c r="S98" i="5" a="1"/>
  <c r="S98" i="5" s="1"/>
  <c r="S99" i="5" a="1"/>
  <c r="S99" i="5" s="1"/>
  <c r="S100" i="5" a="1"/>
  <c r="S100" i="5" s="1"/>
  <c r="S101" i="5" a="1"/>
  <c r="S101" i="5" s="1"/>
  <c r="S102" i="5" a="1"/>
  <c r="S102" i="5" s="1"/>
  <c r="S103" i="5" a="1"/>
  <c r="S103" i="5" s="1"/>
  <c r="S104" i="5" a="1"/>
  <c r="S104" i="5" s="1"/>
  <c r="S105" i="5" a="1"/>
  <c r="S105" i="5" s="1"/>
  <c r="S106" i="5" a="1"/>
  <c r="S106" i="5" s="1"/>
  <c r="S107" i="5" a="1"/>
  <c r="S107" i="5" s="1"/>
  <c r="S108" i="5" a="1"/>
  <c r="S108" i="5" s="1"/>
  <c r="S109" i="5" a="1"/>
  <c r="S109" i="5" s="1"/>
  <c r="S110" i="5" a="1"/>
  <c r="S110" i="5" s="1"/>
  <c r="S111" i="5" a="1"/>
  <c r="S111" i="5" s="1"/>
  <c r="S112" i="5" a="1"/>
  <c r="S112" i="5" s="1"/>
  <c r="S113" i="5" a="1"/>
  <c r="S113" i="5" s="1"/>
  <c r="S114" i="5" a="1"/>
  <c r="S114" i="5" s="1"/>
  <c r="S115" i="5" a="1"/>
  <c r="S115" i="5" s="1"/>
  <c r="S116" i="5" a="1"/>
  <c r="S116" i="5" s="1"/>
  <c r="S117" i="5" a="1"/>
  <c r="S117" i="5" s="1"/>
  <c r="S118" i="5" a="1"/>
  <c r="S118" i="5" s="1"/>
  <c r="S119" i="5" a="1"/>
  <c r="S119" i="5" s="1"/>
  <c r="S120" i="5" a="1"/>
  <c r="S120" i="5" s="1"/>
  <c r="S121" i="5" a="1"/>
  <c r="S121" i="5" s="1"/>
  <c r="S122" i="5" a="1"/>
  <c r="S122" i="5" s="1"/>
  <c r="S123" i="5" a="1"/>
  <c r="S123" i="5" s="1"/>
  <c r="S124" i="5" a="1"/>
  <c r="S124" i="5" s="1"/>
  <c r="S125" i="5" a="1"/>
  <c r="S125" i="5" s="1"/>
  <c r="S126" i="5" a="1"/>
  <c r="S126" i="5" s="1"/>
  <c r="S127" i="5" a="1"/>
  <c r="S127" i="5" s="1"/>
  <c r="S128" i="5" a="1"/>
  <c r="S128" i="5" s="1"/>
  <c r="S129" i="5" a="1"/>
  <c r="S129" i="5" s="1"/>
  <c r="S130" i="5" a="1"/>
  <c r="S130" i="5" s="1"/>
  <c r="S131" i="5" a="1"/>
  <c r="S131" i="5" s="1"/>
  <c r="S132" i="5" a="1"/>
  <c r="S132" i="5" s="1"/>
  <c r="S133" i="5" a="1"/>
  <c r="S133" i="5" s="1"/>
  <c r="S134" i="5" a="1"/>
  <c r="S134" i="5" s="1"/>
  <c r="S135" i="5" a="1"/>
  <c r="S135" i="5" s="1"/>
  <c r="S136" i="5" a="1"/>
  <c r="S136" i="5" s="1"/>
  <c r="S137" i="5" a="1"/>
  <c r="S137" i="5" s="1"/>
  <c r="S138" i="5" a="1"/>
  <c r="S138" i="5" s="1"/>
  <c r="S139" i="5" a="1"/>
  <c r="S139" i="5" s="1"/>
  <c r="S140" i="5" a="1"/>
  <c r="S140" i="5" s="1"/>
  <c r="S141" i="5" a="1"/>
  <c r="S141" i="5" s="1"/>
  <c r="S142" i="5" a="1"/>
  <c r="S142" i="5" s="1"/>
  <c r="S143" i="5" a="1"/>
  <c r="S143" i="5" s="1"/>
  <c r="S144" i="5" a="1"/>
  <c r="S144" i="5" s="1"/>
  <c r="S145" i="5" a="1"/>
  <c r="S145" i="5" s="1"/>
  <c r="S146" i="5" a="1"/>
  <c r="S146" i="5" s="1"/>
  <c r="S147" i="5" a="1"/>
  <c r="S147" i="5" s="1"/>
  <c r="S148" i="5" a="1"/>
  <c r="S148" i="5" s="1"/>
  <c r="S149" i="5" a="1"/>
  <c r="S149" i="5" s="1"/>
  <c r="S150" i="5" a="1"/>
  <c r="S150" i="5" s="1"/>
  <c r="S151" i="5" a="1"/>
  <c r="S151" i="5" s="1"/>
  <c r="S152" i="5" a="1"/>
  <c r="S152" i="5" s="1"/>
  <c r="S153" i="5" a="1"/>
  <c r="S153" i="5" s="1"/>
  <c r="S154" i="5" a="1"/>
  <c r="S154" i="5" s="1"/>
  <c r="S155" i="5" a="1"/>
  <c r="S155" i="5" s="1"/>
  <c r="S156" i="5" a="1"/>
  <c r="S156" i="5" s="1"/>
  <c r="S157" i="5" a="1"/>
  <c r="S157" i="5" s="1"/>
  <c r="S158" i="5" a="1"/>
  <c r="S158" i="5" s="1"/>
  <c r="T40" i="5" a="1"/>
  <c r="T40" i="5" s="1"/>
  <c r="T41" i="5" a="1"/>
  <c r="T41" i="5" s="1"/>
  <c r="T42" i="5" a="1"/>
  <c r="T42" i="5" s="1"/>
  <c r="T43" i="5" a="1"/>
  <c r="T43" i="5" s="1"/>
  <c r="T44" i="5" a="1"/>
  <c r="T44" i="5" s="1"/>
  <c r="T45" i="5" a="1"/>
  <c r="T45" i="5" s="1"/>
  <c r="T46" i="5" a="1"/>
  <c r="T46" i="5" s="1"/>
  <c r="T47" i="5" a="1"/>
  <c r="T47" i="5" s="1"/>
  <c r="T48" i="5" a="1"/>
  <c r="T48" i="5" s="1"/>
  <c r="T49" i="5" a="1"/>
  <c r="T49" i="5" s="1"/>
  <c r="T50" i="5" a="1"/>
  <c r="T50" i="5" s="1"/>
  <c r="T51" i="5" a="1"/>
  <c r="T51" i="5" s="1"/>
  <c r="T52" i="5" a="1"/>
  <c r="T52" i="5" s="1"/>
  <c r="T53" i="5" a="1"/>
  <c r="T53" i="5" s="1"/>
  <c r="T54" i="5" a="1"/>
  <c r="T54" i="5" s="1"/>
  <c r="T55" i="5" a="1"/>
  <c r="T55" i="5" s="1"/>
  <c r="T56" i="5" a="1"/>
  <c r="T56" i="5" s="1"/>
  <c r="T57" i="5" a="1"/>
  <c r="T57" i="5" s="1"/>
  <c r="T58" i="5" a="1"/>
  <c r="T58" i="5" s="1"/>
  <c r="T59" i="5" a="1"/>
  <c r="T59" i="5" s="1"/>
  <c r="T60" i="5" a="1"/>
  <c r="T60" i="5"/>
  <c r="T61" i="5" a="1"/>
  <c r="T61" i="5" s="1"/>
  <c r="T62" i="5" a="1"/>
  <c r="T62" i="5" s="1"/>
  <c r="T63" i="5" a="1"/>
  <c r="T63" i="5"/>
  <c r="T64" i="5" a="1"/>
  <c r="T64" i="5" s="1"/>
  <c r="T65" i="5" a="1"/>
  <c r="T65" i="5" s="1"/>
  <c r="T66" i="5" a="1"/>
  <c r="T66" i="5" s="1"/>
  <c r="T67" i="5" a="1"/>
  <c r="T67" i="5" s="1"/>
  <c r="T68" i="5" a="1"/>
  <c r="T68" i="5" s="1"/>
  <c r="T69" i="5" a="1"/>
  <c r="T69" i="5" s="1"/>
  <c r="T70" i="5" a="1"/>
  <c r="T70" i="5" s="1"/>
  <c r="T71" i="5" a="1"/>
  <c r="T71" i="5" s="1"/>
  <c r="T72" i="5" a="1"/>
  <c r="T72" i="5"/>
  <c r="T73" i="5" a="1"/>
  <c r="T73" i="5" s="1"/>
  <c r="T74" i="5" a="1"/>
  <c r="T74" i="5" s="1"/>
  <c r="T75" i="5" a="1"/>
  <c r="T75" i="5" s="1"/>
  <c r="T76" i="5" a="1"/>
  <c r="T76" i="5" s="1"/>
  <c r="T77" i="5" a="1"/>
  <c r="T77" i="5" s="1"/>
  <c r="T78" i="5" a="1"/>
  <c r="T78" i="5" s="1"/>
  <c r="T79" i="5" a="1"/>
  <c r="T79" i="5" s="1"/>
  <c r="T80" i="5" a="1"/>
  <c r="T80" i="5" s="1"/>
  <c r="T81" i="5" a="1"/>
  <c r="T81" i="5" s="1"/>
  <c r="T82" i="5" a="1"/>
  <c r="T82" i="5" s="1"/>
  <c r="T83" i="5" a="1"/>
  <c r="T83" i="5" s="1"/>
  <c r="T84" i="5" a="1"/>
  <c r="T84" i="5" s="1"/>
  <c r="T85" i="5" a="1"/>
  <c r="T85" i="5" s="1"/>
  <c r="T86" i="5" a="1"/>
  <c r="T86" i="5" s="1"/>
  <c r="T87" i="5" a="1"/>
  <c r="T87" i="5" s="1"/>
  <c r="T88" i="5" a="1"/>
  <c r="T88" i="5" s="1"/>
  <c r="T89" i="5" a="1"/>
  <c r="T89" i="5" s="1"/>
  <c r="T90" i="5" a="1"/>
  <c r="T90" i="5" s="1"/>
  <c r="T91" i="5" a="1"/>
  <c r="T91" i="5" s="1"/>
  <c r="T92" i="5" a="1"/>
  <c r="T92" i="5" s="1"/>
  <c r="T93" i="5" a="1"/>
  <c r="T93" i="5" s="1"/>
  <c r="T94" i="5" a="1"/>
  <c r="T94" i="5" s="1"/>
  <c r="T95" i="5" a="1"/>
  <c r="T95" i="5"/>
  <c r="T96" i="5" a="1"/>
  <c r="T96" i="5" s="1"/>
  <c r="T97" i="5" a="1"/>
  <c r="T97" i="5" s="1"/>
  <c r="T98" i="5" a="1"/>
  <c r="T98" i="5" s="1"/>
  <c r="T99" i="5" a="1"/>
  <c r="T99" i="5" s="1"/>
  <c r="T100" i="5" a="1"/>
  <c r="T100" i="5" s="1"/>
  <c r="T101" i="5" a="1"/>
  <c r="T101" i="5" s="1"/>
  <c r="T102" i="5" a="1"/>
  <c r="T102" i="5" s="1"/>
  <c r="T103" i="5" a="1"/>
  <c r="T103" i="5"/>
  <c r="T104" i="5" a="1"/>
  <c r="T104" i="5" s="1"/>
  <c r="T105" i="5" a="1"/>
  <c r="T105" i="5" s="1"/>
  <c r="T106" i="5" a="1"/>
  <c r="T106" i="5" s="1"/>
  <c r="T107" i="5" a="1"/>
  <c r="T107" i="5" s="1"/>
  <c r="T108" i="5" a="1"/>
  <c r="T108" i="5" s="1"/>
  <c r="T109" i="5" a="1"/>
  <c r="T109" i="5" s="1"/>
  <c r="T110" i="5" a="1"/>
  <c r="T110" i="5" s="1"/>
  <c r="T111" i="5" a="1"/>
  <c r="T111" i="5" s="1"/>
  <c r="T112" i="5" a="1"/>
  <c r="T112" i="5" s="1"/>
  <c r="T113" i="5" a="1"/>
  <c r="T113" i="5" s="1"/>
  <c r="T114" i="5" a="1"/>
  <c r="T114" i="5" s="1"/>
  <c r="T115" i="5" a="1"/>
  <c r="T115" i="5" s="1"/>
  <c r="T116" i="5" a="1"/>
  <c r="T116" i="5" s="1"/>
  <c r="T117" i="5" a="1"/>
  <c r="T117" i="5" s="1"/>
  <c r="T118" i="5" a="1"/>
  <c r="T118" i="5" s="1"/>
  <c r="T119" i="5" a="1"/>
  <c r="T119" i="5" s="1"/>
  <c r="T120" i="5" a="1"/>
  <c r="T120" i="5" s="1"/>
  <c r="T121" i="5" a="1"/>
  <c r="T121" i="5" s="1"/>
  <c r="T122" i="5" a="1"/>
  <c r="T122" i="5" s="1"/>
  <c r="T123" i="5" a="1"/>
  <c r="T123" i="5" s="1"/>
  <c r="T124" i="5" a="1"/>
  <c r="T124" i="5" s="1"/>
  <c r="T125" i="5" a="1"/>
  <c r="T125" i="5" s="1"/>
  <c r="T126" i="5" a="1"/>
  <c r="T126" i="5" s="1"/>
  <c r="T127" i="5" a="1"/>
  <c r="T127" i="5" s="1"/>
  <c r="T128" i="5" a="1"/>
  <c r="T128" i="5" s="1"/>
  <c r="T129" i="5" a="1"/>
  <c r="T129" i="5" s="1"/>
  <c r="T130" i="5" a="1"/>
  <c r="T130" i="5" s="1"/>
  <c r="T131" i="5" a="1"/>
  <c r="T131" i="5" s="1"/>
  <c r="T132" i="5" a="1"/>
  <c r="T132" i="5" s="1"/>
  <c r="T133" i="5" a="1"/>
  <c r="T133" i="5" s="1"/>
  <c r="T134" i="5" a="1"/>
  <c r="T134" i="5" s="1"/>
  <c r="T135" i="5" a="1"/>
  <c r="T135" i="5" s="1"/>
  <c r="T136" i="5" a="1"/>
  <c r="T136" i="5" s="1"/>
  <c r="T137" i="5" a="1"/>
  <c r="T137" i="5" s="1"/>
  <c r="T138" i="5" a="1"/>
  <c r="T138" i="5" s="1"/>
  <c r="T139" i="5" a="1"/>
  <c r="T139" i="5" s="1"/>
  <c r="T140" i="5" a="1"/>
  <c r="T140" i="5" s="1"/>
  <c r="T141" i="5" a="1"/>
  <c r="T141" i="5" s="1"/>
  <c r="T142" i="5" a="1"/>
  <c r="T142" i="5" s="1"/>
  <c r="T143" i="5" a="1"/>
  <c r="T143" i="5" s="1"/>
  <c r="T144" i="5" a="1"/>
  <c r="T144" i="5" s="1"/>
  <c r="T145" i="5" a="1"/>
  <c r="T145" i="5" s="1"/>
  <c r="T146" i="5" a="1"/>
  <c r="T146" i="5" s="1"/>
  <c r="T147" i="5" a="1"/>
  <c r="T147" i="5" s="1"/>
  <c r="T148" i="5" a="1"/>
  <c r="T148" i="5" s="1"/>
  <c r="T149" i="5" a="1"/>
  <c r="T149" i="5" s="1"/>
  <c r="T150" i="5" a="1"/>
  <c r="T150" i="5" s="1"/>
  <c r="T151" i="5" a="1"/>
  <c r="T151" i="5" s="1"/>
  <c r="T152" i="5" a="1"/>
  <c r="T152" i="5" s="1"/>
  <c r="T153" i="5" a="1"/>
  <c r="T153" i="5" s="1"/>
  <c r="T154" i="5" a="1"/>
  <c r="T154" i="5" s="1"/>
  <c r="T155" i="5" a="1"/>
  <c r="T155" i="5"/>
  <c r="T156" i="5" a="1"/>
  <c r="T156" i="5" s="1"/>
  <c r="T157" i="5" a="1"/>
  <c r="T157" i="5" s="1"/>
  <c r="T158" i="5" a="1"/>
  <c r="T158" i="5" s="1"/>
  <c r="AR40" i="6" a="1"/>
  <c r="AR40" i="6" s="1"/>
  <c r="AR41" i="6" a="1"/>
  <c r="AR41" i="6" s="1"/>
  <c r="AR42" i="6" a="1"/>
  <c r="AR42" i="6" s="1"/>
  <c r="AR43" i="6" a="1"/>
  <c r="AR43" i="6" s="1"/>
  <c r="AR44" i="6" a="1"/>
  <c r="AR44" i="6" s="1"/>
  <c r="AR45" i="6" a="1"/>
  <c r="AR45" i="6" s="1"/>
  <c r="AR46" i="6" a="1"/>
  <c r="AR46" i="6" s="1"/>
  <c r="AR47" i="6" a="1"/>
  <c r="AR47" i="6" s="1"/>
  <c r="AR48" i="6" a="1"/>
  <c r="AR48" i="6" s="1"/>
  <c r="AR49" i="6" a="1"/>
  <c r="AR49" i="6" s="1"/>
  <c r="AR50" i="6" a="1"/>
  <c r="AR50" i="6" s="1"/>
  <c r="AR51" i="6" a="1"/>
  <c r="AR51" i="6" s="1"/>
  <c r="AR52" i="6" a="1"/>
  <c r="AR52" i="6" s="1"/>
  <c r="AR53" i="6" a="1"/>
  <c r="AR53" i="6" s="1"/>
  <c r="AR54" i="6" a="1"/>
  <c r="AR54" i="6" s="1"/>
  <c r="AR55" i="6" a="1"/>
  <c r="AR55" i="6" s="1"/>
  <c r="AR56" i="6" a="1"/>
  <c r="AR56" i="6" s="1"/>
  <c r="AR57" i="6" a="1"/>
  <c r="AR57" i="6" s="1"/>
  <c r="AR58" i="6" a="1"/>
  <c r="AR58" i="6" s="1"/>
  <c r="AR59" i="6" a="1"/>
  <c r="AR59" i="6" s="1"/>
  <c r="AR60" i="6" a="1"/>
  <c r="AR60" i="6" s="1"/>
  <c r="AR61" i="6" a="1"/>
  <c r="AR61" i="6" s="1"/>
  <c r="AR62" i="6" a="1"/>
  <c r="AR62" i="6" s="1"/>
  <c r="AR63" i="6" a="1"/>
  <c r="AR63" i="6" s="1"/>
  <c r="AR64" i="6" a="1"/>
  <c r="AR64" i="6" s="1"/>
  <c r="AR65" i="6" a="1"/>
  <c r="AR65" i="6" s="1"/>
  <c r="AR66" i="6" a="1"/>
  <c r="AR66" i="6" s="1"/>
  <c r="AR67" i="6" a="1"/>
  <c r="AR67" i="6" s="1"/>
  <c r="AR68" i="6" a="1"/>
  <c r="AR68" i="6" s="1"/>
  <c r="AR69" i="6" a="1"/>
  <c r="AR69" i="6" s="1"/>
  <c r="AR70" i="6" a="1"/>
  <c r="AR70" i="6" s="1"/>
  <c r="AR71" i="6" a="1"/>
  <c r="AR71" i="6" s="1"/>
  <c r="AR72" i="6" a="1"/>
  <c r="AR72" i="6" s="1"/>
  <c r="AR73" i="6" a="1"/>
  <c r="AR73" i="6" s="1"/>
  <c r="AR74" i="6" a="1"/>
  <c r="AR74" i="6" s="1"/>
  <c r="AR75" i="6" a="1"/>
  <c r="AR75" i="6" s="1"/>
  <c r="AR76" i="6" a="1"/>
  <c r="AR76" i="6" s="1"/>
  <c r="AR77" i="6" a="1"/>
  <c r="AR77" i="6" s="1"/>
  <c r="AR78" i="6" a="1"/>
  <c r="AR78" i="6" s="1"/>
  <c r="AR79" i="6" a="1"/>
  <c r="AR79" i="6" s="1"/>
  <c r="AR80" i="6" a="1"/>
  <c r="AR80" i="6" s="1"/>
  <c r="AR81" i="6" a="1"/>
  <c r="AR81" i="6" s="1"/>
  <c r="AR82" i="6" a="1"/>
  <c r="AR82" i="6" s="1"/>
  <c r="AR83" i="6" a="1"/>
  <c r="AR83" i="6" s="1"/>
  <c r="AR84" i="6" a="1"/>
  <c r="AR84" i="6" s="1"/>
  <c r="AR85" i="6" a="1"/>
  <c r="AR85" i="6" s="1"/>
  <c r="AR86" i="6" a="1"/>
  <c r="AR86" i="6" s="1"/>
  <c r="AR87" i="6" a="1"/>
  <c r="AR87" i="6" s="1"/>
  <c r="AR88" i="6" a="1"/>
  <c r="AR88" i="6" s="1"/>
  <c r="AR89" i="6" a="1"/>
  <c r="AR89" i="6" s="1"/>
  <c r="AR90" i="6" a="1"/>
  <c r="AR90" i="6" s="1"/>
  <c r="AR91" i="6" a="1"/>
  <c r="AR91" i="6" s="1"/>
  <c r="AR92" i="6" a="1"/>
  <c r="AR92" i="6" s="1"/>
  <c r="AR93" i="6" a="1"/>
  <c r="AR93" i="6" s="1"/>
  <c r="AR94" i="6" a="1"/>
  <c r="AR94" i="6" s="1"/>
  <c r="AR95" i="6" a="1"/>
  <c r="AR95" i="6" s="1"/>
  <c r="AR96" i="6" a="1"/>
  <c r="AR96" i="6" s="1"/>
  <c r="AR97" i="6" a="1"/>
  <c r="AR97" i="6" s="1"/>
  <c r="AR98" i="6" a="1"/>
  <c r="AR98" i="6" s="1"/>
  <c r="AR99" i="6" a="1"/>
  <c r="AR99" i="6" s="1"/>
  <c r="AR100" i="6" a="1"/>
  <c r="AR100" i="6" s="1"/>
  <c r="AR101" i="6" a="1"/>
  <c r="AR101" i="6" s="1"/>
  <c r="AR102" i="6" a="1"/>
  <c r="AR102" i="6" s="1"/>
  <c r="AR103" i="6" a="1"/>
  <c r="AR103" i="6" s="1"/>
  <c r="AR104" i="6" a="1"/>
  <c r="AR104" i="6" s="1"/>
  <c r="AR105" i="6" a="1"/>
  <c r="AR105" i="6" s="1"/>
  <c r="AR106" i="6" a="1"/>
  <c r="AR106" i="6" s="1"/>
  <c r="AR107" i="6" a="1"/>
  <c r="AR107" i="6" s="1"/>
  <c r="AR108" i="6" a="1"/>
  <c r="AR108" i="6" s="1"/>
  <c r="AR109" i="6" a="1"/>
  <c r="AR109" i="6" s="1"/>
  <c r="AR110" i="6" a="1"/>
  <c r="AR110" i="6" s="1"/>
  <c r="AR111" i="6" a="1"/>
  <c r="AR111" i="6" s="1"/>
  <c r="AR112" i="6" a="1"/>
  <c r="AR112" i="6" s="1"/>
  <c r="AR113" i="6" a="1"/>
  <c r="AR113" i="6" s="1"/>
  <c r="AR114" i="6" a="1"/>
  <c r="AR114" i="6" s="1"/>
  <c r="AR115" i="6" a="1"/>
  <c r="AR115" i="6" s="1"/>
  <c r="AR116" i="6" a="1"/>
  <c r="AR116" i="6" s="1"/>
  <c r="AR117" i="6" a="1"/>
  <c r="AR117" i="6" s="1"/>
  <c r="AR118" i="6" a="1"/>
  <c r="AR118" i="6" s="1"/>
  <c r="AR119" i="6" a="1"/>
  <c r="AR119" i="6" s="1"/>
  <c r="AR120" i="6" a="1"/>
  <c r="AR120" i="6" s="1"/>
  <c r="AR121" i="6" a="1"/>
  <c r="AR121" i="6" s="1"/>
  <c r="AR122" i="6" a="1"/>
  <c r="AR122" i="6" s="1"/>
  <c r="AR123" i="6" a="1"/>
  <c r="AR123" i="6" s="1"/>
  <c r="AR124" i="6" a="1"/>
  <c r="AR124" i="6" s="1"/>
  <c r="AR125" i="6" a="1"/>
  <c r="AR125" i="6" s="1"/>
  <c r="AR126" i="6" a="1"/>
  <c r="AR126" i="6" s="1"/>
  <c r="AR127" i="6" a="1"/>
  <c r="AR127" i="6" s="1"/>
  <c r="AR128" i="6" a="1"/>
  <c r="AR128" i="6" s="1"/>
  <c r="AR129" i="6" a="1"/>
  <c r="AR129" i="6" s="1"/>
  <c r="AR130" i="6" a="1"/>
  <c r="AR130" i="6" s="1"/>
  <c r="AR131" i="6" a="1"/>
  <c r="AR131" i="6" s="1"/>
  <c r="AR132" i="6" a="1"/>
  <c r="AR132" i="6" s="1"/>
  <c r="AR133" i="6" a="1"/>
  <c r="AR133" i="6" s="1"/>
  <c r="AR134" i="6" a="1"/>
  <c r="AR134" i="6" s="1"/>
  <c r="AR135" i="6" a="1"/>
  <c r="AR135" i="6" s="1"/>
  <c r="AR136" i="6" a="1"/>
  <c r="AR136" i="6" s="1"/>
  <c r="AR137" i="6" a="1"/>
  <c r="AR137" i="6" s="1"/>
  <c r="AR138" i="6" a="1"/>
  <c r="AR138" i="6" s="1"/>
  <c r="AR139" i="6" a="1"/>
  <c r="AR139" i="6" s="1"/>
  <c r="AR140" i="6" a="1"/>
  <c r="AR140" i="6" s="1"/>
  <c r="AR141" i="6" a="1"/>
  <c r="AR141" i="6" s="1"/>
  <c r="AR142" i="6" a="1"/>
  <c r="AR142" i="6" s="1"/>
  <c r="AR143" i="6" a="1"/>
  <c r="AR143" i="6" s="1"/>
  <c r="AR144" i="6" a="1"/>
  <c r="AR144" i="6" s="1"/>
  <c r="AR145" i="6" a="1"/>
  <c r="AR145" i="6" s="1"/>
  <c r="AR146" i="6" a="1"/>
  <c r="AR146" i="6" s="1"/>
  <c r="AR147" i="6" a="1"/>
  <c r="AR147" i="6" s="1"/>
  <c r="AR148" i="6" a="1"/>
  <c r="AR148" i="6" s="1"/>
  <c r="AR149" i="6" a="1"/>
  <c r="AR149" i="6" s="1"/>
  <c r="AR150" i="6" a="1"/>
  <c r="AR150" i="6" s="1"/>
  <c r="AR151" i="6" a="1"/>
  <c r="AR151" i="6" s="1"/>
  <c r="AR152" i="6" a="1"/>
  <c r="AR152" i="6" s="1"/>
  <c r="AR153" i="6" a="1"/>
  <c r="AR153" i="6" s="1"/>
  <c r="AR154" i="6" a="1"/>
  <c r="AR154" i="6" s="1"/>
  <c r="AR155" i="6" a="1"/>
  <c r="AR155" i="6" s="1"/>
  <c r="AR156" i="6" a="1"/>
  <c r="AR156" i="6" s="1"/>
  <c r="AR157" i="6" a="1"/>
  <c r="AR157" i="6" s="1"/>
  <c r="AR158" i="6" a="1"/>
  <c r="AR158" i="6" s="1"/>
  <c r="AS40" i="6" a="1"/>
  <c r="AS40" i="6" s="1"/>
  <c r="AS41" i="6" a="1"/>
  <c r="AS41" i="6" s="1"/>
  <c r="AS42" i="6" a="1"/>
  <c r="AS42" i="6" s="1"/>
  <c r="AS43" i="6" a="1"/>
  <c r="AS43" i="6" s="1"/>
  <c r="AS44" i="6" a="1"/>
  <c r="AS44" i="6" s="1"/>
  <c r="AS45" i="6" a="1"/>
  <c r="AS45" i="6" s="1"/>
  <c r="AS46" i="6" a="1"/>
  <c r="AS46" i="6" s="1"/>
  <c r="AS47" i="6" a="1"/>
  <c r="AS47" i="6" s="1"/>
  <c r="AS48" i="6" a="1"/>
  <c r="AS48" i="6" s="1"/>
  <c r="AS49" i="6" a="1"/>
  <c r="AS49" i="6" s="1"/>
  <c r="AS50" i="6" a="1"/>
  <c r="AS50" i="6" s="1"/>
  <c r="AS51" i="6" a="1"/>
  <c r="AS51" i="6" s="1"/>
  <c r="AS52" i="6" a="1"/>
  <c r="AS52" i="6" s="1"/>
  <c r="AS53" i="6" a="1"/>
  <c r="AS53" i="6" s="1"/>
  <c r="AS54" i="6" a="1"/>
  <c r="AS54" i="6" s="1"/>
  <c r="AS55" i="6" a="1"/>
  <c r="AS55" i="6" s="1"/>
  <c r="AS56" i="6" a="1"/>
  <c r="AS56" i="6" s="1"/>
  <c r="AS57" i="6" a="1"/>
  <c r="AS57" i="6" s="1"/>
  <c r="AS58" i="6" a="1"/>
  <c r="AS58" i="6" s="1"/>
  <c r="AS59" i="6" a="1"/>
  <c r="AS59" i="6" s="1"/>
  <c r="AS60" i="6" a="1"/>
  <c r="AS60" i="6" s="1"/>
  <c r="AS61" i="6" a="1"/>
  <c r="AS61" i="6" s="1"/>
  <c r="AS62" i="6" a="1"/>
  <c r="AS62" i="6" s="1"/>
  <c r="AS63" i="6" a="1"/>
  <c r="AS63" i="6" s="1"/>
  <c r="AS64" i="6" a="1"/>
  <c r="AS64" i="6" s="1"/>
  <c r="AS65" i="6" a="1"/>
  <c r="AS65" i="6" s="1"/>
  <c r="AS66" i="6" a="1"/>
  <c r="AS66" i="6" s="1"/>
  <c r="AS67" i="6" a="1"/>
  <c r="AS67" i="6" s="1"/>
  <c r="AS68" i="6" a="1"/>
  <c r="AS68" i="6" s="1"/>
  <c r="AS69" i="6" a="1"/>
  <c r="AS69" i="6" s="1"/>
  <c r="AS70" i="6" a="1"/>
  <c r="AS70" i="6" s="1"/>
  <c r="AS71" i="6" a="1"/>
  <c r="AS71" i="6" s="1"/>
  <c r="AS72" i="6" a="1"/>
  <c r="AS72" i="6" s="1"/>
  <c r="AS73" i="6" a="1"/>
  <c r="AS73" i="6" s="1"/>
  <c r="AS74" i="6" a="1"/>
  <c r="AS74" i="6" s="1"/>
  <c r="AS75" i="6" a="1"/>
  <c r="AS75" i="6" s="1"/>
  <c r="AS76" i="6" a="1"/>
  <c r="AS76" i="6" s="1"/>
  <c r="AS77" i="6" a="1"/>
  <c r="AS77" i="6" s="1"/>
  <c r="AS78" i="6" a="1"/>
  <c r="AS78" i="6" s="1"/>
  <c r="AS79" i="6" a="1"/>
  <c r="AS79" i="6" s="1"/>
  <c r="AS80" i="6" a="1"/>
  <c r="AS80" i="6" s="1"/>
  <c r="AS81" i="6" a="1"/>
  <c r="AS81" i="6" s="1"/>
  <c r="AS82" i="6" a="1"/>
  <c r="AS82" i="6" s="1"/>
  <c r="AS83" i="6" a="1"/>
  <c r="AS83" i="6" s="1"/>
  <c r="AS84" i="6" a="1"/>
  <c r="AS84" i="6" s="1"/>
  <c r="AS85" i="6" a="1"/>
  <c r="AS85" i="6" s="1"/>
  <c r="AS86" i="6" a="1"/>
  <c r="AS86" i="6" s="1"/>
  <c r="AS87" i="6" a="1"/>
  <c r="AS87" i="6" s="1"/>
  <c r="AS88" i="6" a="1"/>
  <c r="AS88" i="6" s="1"/>
  <c r="AS89" i="6" a="1"/>
  <c r="AS89" i="6" s="1"/>
  <c r="AS90" i="6" a="1"/>
  <c r="AS90" i="6" s="1"/>
  <c r="AS91" i="6" a="1"/>
  <c r="AS91" i="6" s="1"/>
  <c r="AS92" i="6" a="1"/>
  <c r="AS92" i="6" s="1"/>
  <c r="AS93" i="6" a="1"/>
  <c r="AS93" i="6" s="1"/>
  <c r="AS94" i="6" a="1"/>
  <c r="AS94" i="6" s="1"/>
  <c r="AS95" i="6" a="1"/>
  <c r="AS95" i="6" s="1"/>
  <c r="AS96" i="6" a="1"/>
  <c r="AS96" i="6" s="1"/>
  <c r="AS97" i="6" a="1"/>
  <c r="AS97" i="6" s="1"/>
  <c r="AS98" i="6" a="1"/>
  <c r="AS98" i="6" s="1"/>
  <c r="AS99" i="6" a="1"/>
  <c r="AS99" i="6" s="1"/>
  <c r="AS100" i="6" a="1"/>
  <c r="AS100" i="6" s="1"/>
  <c r="AS101" i="6" a="1"/>
  <c r="AS101" i="6" s="1"/>
  <c r="AS102" i="6" a="1"/>
  <c r="AS102" i="6" s="1"/>
  <c r="AS103" i="6" a="1"/>
  <c r="AS103" i="6" s="1"/>
  <c r="AS104" i="6" a="1"/>
  <c r="AS104" i="6" s="1"/>
  <c r="AS105" i="6" a="1"/>
  <c r="AS105" i="6" s="1"/>
  <c r="AS106" i="6" a="1"/>
  <c r="AS106" i="6" s="1"/>
  <c r="AS107" i="6" a="1"/>
  <c r="AS107" i="6" s="1"/>
  <c r="AS108" i="6" a="1"/>
  <c r="AS108" i="6" s="1"/>
  <c r="AS109" i="6" a="1"/>
  <c r="AS109" i="6" s="1"/>
  <c r="AS110" i="6" a="1"/>
  <c r="AS110" i="6" s="1"/>
  <c r="AS111" i="6" a="1"/>
  <c r="AS111" i="6" s="1"/>
  <c r="AS112" i="6" a="1"/>
  <c r="AS112" i="6" s="1"/>
  <c r="AS113" i="6" a="1"/>
  <c r="AS113" i="6" s="1"/>
  <c r="AS114" i="6" a="1"/>
  <c r="AS114" i="6" s="1"/>
  <c r="AS115" i="6" a="1"/>
  <c r="AS115" i="6" s="1"/>
  <c r="AS116" i="6" a="1"/>
  <c r="AS116" i="6" s="1"/>
  <c r="AS117" i="6" a="1"/>
  <c r="AS117" i="6" s="1"/>
  <c r="AS118" i="6" a="1"/>
  <c r="AS118" i="6" s="1"/>
  <c r="AS119" i="6" a="1"/>
  <c r="AS119" i="6" s="1"/>
  <c r="AS120" i="6" a="1"/>
  <c r="AS120" i="6" s="1"/>
  <c r="AS121" i="6" a="1"/>
  <c r="AS121" i="6" s="1"/>
  <c r="AS122" i="6" a="1"/>
  <c r="AS122" i="6" s="1"/>
  <c r="AS123" i="6" a="1"/>
  <c r="AS123" i="6" s="1"/>
  <c r="AS124" i="6" a="1"/>
  <c r="AS124" i="6" s="1"/>
  <c r="AS125" i="6" a="1"/>
  <c r="AS125" i="6" s="1"/>
  <c r="AS126" i="6" a="1"/>
  <c r="AS126" i="6" s="1"/>
  <c r="AS127" i="6" a="1"/>
  <c r="AS127" i="6" s="1"/>
  <c r="AS128" i="6" a="1"/>
  <c r="AS128" i="6" s="1"/>
  <c r="AS129" i="6" a="1"/>
  <c r="AS129" i="6" s="1"/>
  <c r="AS130" i="6" a="1"/>
  <c r="AS130" i="6" s="1"/>
  <c r="AS131" i="6" a="1"/>
  <c r="AS131" i="6" s="1"/>
  <c r="AS132" i="6" a="1"/>
  <c r="AS132" i="6" s="1"/>
  <c r="AS133" i="6" a="1"/>
  <c r="AS133" i="6" s="1"/>
  <c r="AS134" i="6" a="1"/>
  <c r="AS134" i="6" s="1"/>
  <c r="AS135" i="6" a="1"/>
  <c r="AS135" i="6" s="1"/>
  <c r="AS136" i="6" a="1"/>
  <c r="AS136" i="6" s="1"/>
  <c r="AS137" i="6" a="1"/>
  <c r="AS137" i="6" s="1"/>
  <c r="AS138" i="6" a="1"/>
  <c r="AS138" i="6" s="1"/>
  <c r="AS139" i="6" a="1"/>
  <c r="AS139" i="6" s="1"/>
  <c r="AS140" i="6" a="1"/>
  <c r="AS140" i="6" s="1"/>
  <c r="AS141" i="6" a="1"/>
  <c r="AS141" i="6" s="1"/>
  <c r="AS142" i="6" a="1"/>
  <c r="AS142" i="6" s="1"/>
  <c r="AS143" i="6" a="1"/>
  <c r="AS143" i="6" s="1"/>
  <c r="AS144" i="6" a="1"/>
  <c r="AS144" i="6" s="1"/>
  <c r="AS145" i="6" a="1"/>
  <c r="AS145" i="6" s="1"/>
  <c r="AS146" i="6" a="1"/>
  <c r="AS146" i="6" s="1"/>
  <c r="AS147" i="6" a="1"/>
  <c r="AS147" i="6" s="1"/>
  <c r="AS148" i="6" a="1"/>
  <c r="AS148" i="6" s="1"/>
  <c r="AS149" i="6" a="1"/>
  <c r="AS149" i="6" s="1"/>
  <c r="AS150" i="6" a="1"/>
  <c r="AS150" i="6" s="1"/>
  <c r="AS152" i="6" a="1"/>
  <c r="AS152" i="6" s="1"/>
  <c r="AS153" i="6" a="1"/>
  <c r="AS153" i="6" s="1"/>
  <c r="AS154" i="6" a="1"/>
  <c r="AS154" i="6" s="1"/>
  <c r="AS155" i="6" a="1"/>
  <c r="AS155" i="6" s="1"/>
  <c r="AS156" i="6" a="1"/>
  <c r="AS156" i="6" s="1"/>
  <c r="AS157" i="6" a="1"/>
  <c r="AS157" i="6" s="1"/>
  <c r="AS158" i="6" a="1"/>
  <c r="AS158" i="6" s="1"/>
  <c r="AT40" i="6" a="1"/>
  <c r="AT40" i="6" s="1"/>
  <c r="AT41" i="6" a="1"/>
  <c r="AT41" i="6" s="1"/>
  <c r="AT42" i="6" a="1"/>
  <c r="AT42" i="6" s="1"/>
  <c r="AT43" i="6" a="1"/>
  <c r="AT43" i="6" s="1"/>
  <c r="AT44" i="6" a="1"/>
  <c r="AT44" i="6" s="1"/>
  <c r="AT45" i="6" a="1"/>
  <c r="AT45" i="6" s="1"/>
  <c r="AT46" i="6" a="1"/>
  <c r="AT46" i="6" s="1"/>
  <c r="AT47" i="6" a="1"/>
  <c r="AT47" i="6" s="1"/>
  <c r="AT48" i="6" a="1"/>
  <c r="AT48" i="6" s="1"/>
  <c r="AT49" i="6" a="1"/>
  <c r="AT49" i="6" s="1"/>
  <c r="AT50" i="6" a="1"/>
  <c r="AT50" i="6" s="1"/>
  <c r="AT51" i="6" a="1"/>
  <c r="AT51" i="6" s="1"/>
  <c r="AT52" i="6" a="1"/>
  <c r="AT52" i="6" s="1"/>
  <c r="AT53" i="6" a="1"/>
  <c r="AT53" i="6" s="1"/>
  <c r="AT54" i="6" a="1"/>
  <c r="AT54" i="6" s="1"/>
  <c r="AT55" i="6" a="1"/>
  <c r="AT55" i="6" s="1"/>
  <c r="AT56" i="6" a="1"/>
  <c r="AT56" i="6" s="1"/>
  <c r="AT57" i="6" a="1"/>
  <c r="AT57" i="6" s="1"/>
  <c r="AT58" i="6" a="1"/>
  <c r="AT58" i="6" s="1"/>
  <c r="AT59" i="6" a="1"/>
  <c r="AT59" i="6" s="1"/>
  <c r="AT60" i="6" a="1"/>
  <c r="AT60" i="6" s="1"/>
  <c r="AT62" i="6" a="1"/>
  <c r="AT62" i="6" s="1"/>
  <c r="AT63" i="6" a="1"/>
  <c r="AT63" i="6" s="1"/>
  <c r="AT64" i="6" a="1"/>
  <c r="AT64" i="6" s="1"/>
  <c r="AT65" i="6" a="1"/>
  <c r="AT65" i="6" s="1"/>
  <c r="AT66" i="6" a="1"/>
  <c r="AT66" i="6" s="1"/>
  <c r="AT67" i="6" a="1"/>
  <c r="AT67" i="6" s="1"/>
  <c r="AT68" i="6" a="1"/>
  <c r="AT68" i="6" s="1"/>
  <c r="AT69" i="6" a="1"/>
  <c r="AT69" i="6" s="1"/>
  <c r="AT70" i="6" a="1"/>
  <c r="AT70" i="6" s="1"/>
  <c r="AT71" i="6" a="1"/>
  <c r="AT71" i="6" s="1"/>
  <c r="AT72" i="6" a="1"/>
  <c r="AT72" i="6" s="1"/>
  <c r="AT73" i="6" a="1"/>
  <c r="AT73" i="6" s="1"/>
  <c r="AT75" i="6" a="1"/>
  <c r="AT75" i="6" s="1"/>
  <c r="AT76" i="6" a="1"/>
  <c r="AT76" i="6" s="1"/>
  <c r="AT77" i="6" a="1"/>
  <c r="AT77" i="6" s="1"/>
  <c r="AT78" i="6" a="1"/>
  <c r="AT78" i="6" s="1"/>
  <c r="AT79" i="6" a="1"/>
  <c r="AT79" i="6" s="1"/>
  <c r="AT80" i="6" a="1"/>
  <c r="AT80" i="6" s="1"/>
  <c r="AT81" i="6" a="1"/>
  <c r="AT81" i="6" s="1"/>
  <c r="AT82" i="6" a="1"/>
  <c r="AT82" i="6" s="1"/>
  <c r="AT83" i="6" a="1"/>
  <c r="AT83" i="6" s="1"/>
  <c r="AT84" i="6" a="1"/>
  <c r="AT84" i="6" s="1"/>
  <c r="AT85" i="6" a="1"/>
  <c r="AT85" i="6" s="1"/>
  <c r="AT86" i="6" a="1"/>
  <c r="AT86" i="6" s="1"/>
  <c r="AT87" i="6" a="1"/>
  <c r="AT87" i="6" s="1"/>
  <c r="AT88" i="6" a="1"/>
  <c r="AT88" i="6" s="1"/>
  <c r="AT89" i="6" a="1"/>
  <c r="AT89" i="6" s="1"/>
  <c r="AT90" i="6" a="1"/>
  <c r="AT90" i="6" s="1"/>
  <c r="AT92" i="6" a="1"/>
  <c r="AT92" i="6" s="1"/>
  <c r="AT93" i="6" a="1"/>
  <c r="AT93" i="6" s="1"/>
  <c r="AT94" i="6" a="1"/>
  <c r="AT94" i="6" s="1"/>
  <c r="AT95" i="6" a="1"/>
  <c r="AT95" i="6" s="1"/>
  <c r="AT96" i="6" a="1"/>
  <c r="AT96" i="6" s="1"/>
  <c r="AT97" i="6" a="1"/>
  <c r="AT97" i="6" s="1"/>
  <c r="AT98" i="6" a="1"/>
  <c r="AT98" i="6" s="1"/>
  <c r="AT99" i="6" a="1"/>
  <c r="AT99" i="6" s="1"/>
  <c r="AT100" i="6" a="1"/>
  <c r="AT100" i="6" s="1"/>
  <c r="AT101" i="6" a="1"/>
  <c r="AT101" i="6" s="1"/>
  <c r="AT102" i="6" a="1"/>
  <c r="AT102" i="6" s="1"/>
  <c r="AT103" i="6" a="1"/>
  <c r="AT103" i="6" s="1"/>
  <c r="AT104" i="6" a="1"/>
  <c r="AT104" i="6" s="1"/>
  <c r="AT105" i="6" a="1"/>
  <c r="AT105" i="6" s="1"/>
  <c r="AT106" i="6" a="1"/>
  <c r="AT106" i="6" s="1"/>
  <c r="AT107" i="6" a="1"/>
  <c r="AT107" i="6" s="1"/>
  <c r="AT108" i="6" a="1"/>
  <c r="AT108" i="6" s="1"/>
  <c r="AT110" i="6" a="1"/>
  <c r="AT110" i="6" s="1"/>
  <c r="AT111" i="6" a="1"/>
  <c r="AT111" i="6" s="1"/>
  <c r="AT112" i="6" a="1"/>
  <c r="AT112" i="6" s="1"/>
  <c r="AT113" i="6" a="1"/>
  <c r="AT113" i="6" s="1"/>
  <c r="AT114" i="6" a="1"/>
  <c r="AT114" i="6" s="1"/>
  <c r="AT115" i="6" a="1"/>
  <c r="AT115" i="6" s="1"/>
  <c r="AT116" i="6" a="1"/>
  <c r="AT116" i="6" s="1"/>
  <c r="AT117" i="6" a="1"/>
  <c r="AT117" i="6" s="1"/>
  <c r="AT118" i="6" a="1"/>
  <c r="AT118" i="6" s="1"/>
  <c r="AT119" i="6" a="1"/>
  <c r="AT119" i="6" s="1"/>
  <c r="AT120" i="6" a="1"/>
  <c r="AT120" i="6" s="1"/>
  <c r="AT121" i="6" a="1"/>
  <c r="AT121" i="6" s="1"/>
  <c r="AT122" i="6" a="1"/>
  <c r="AT122" i="6" s="1"/>
  <c r="AT123" i="6" a="1"/>
  <c r="AT123" i="6" s="1"/>
  <c r="AT124" i="6" a="1"/>
  <c r="AT124" i="6" s="1"/>
  <c r="AT125" i="6" a="1"/>
  <c r="AT125" i="6" s="1"/>
  <c r="AT126" i="6" a="1"/>
  <c r="AT126" i="6" s="1"/>
  <c r="AT127" i="6" a="1"/>
  <c r="AT127" i="6" s="1"/>
  <c r="AT128" i="6" a="1"/>
  <c r="AT128" i="6" s="1"/>
  <c r="AT129" i="6" a="1"/>
  <c r="AT129" i="6" s="1"/>
  <c r="AT130" i="6" a="1"/>
  <c r="AT130" i="6" s="1"/>
  <c r="AT131" i="6" a="1"/>
  <c r="AT131" i="6" s="1"/>
  <c r="AT132" i="6" a="1"/>
  <c r="AT132" i="6" s="1"/>
  <c r="AT133" i="6" a="1"/>
  <c r="AT133" i="6" s="1"/>
  <c r="AT134" i="6" a="1"/>
  <c r="AT134" i="6" s="1"/>
  <c r="AT135" i="6" a="1"/>
  <c r="AT135" i="6" s="1"/>
  <c r="AT136" i="6" a="1"/>
  <c r="AT136" i="6" s="1"/>
  <c r="AT137" i="6" a="1"/>
  <c r="AT137" i="6" s="1"/>
  <c r="AT138" i="6" a="1"/>
  <c r="AT138" i="6" s="1"/>
  <c r="AT139" i="6" a="1"/>
  <c r="AT139" i="6" s="1"/>
  <c r="AT140" i="6" a="1"/>
  <c r="AT140" i="6" s="1"/>
  <c r="AT141" i="6" a="1"/>
  <c r="AT141" i="6" s="1"/>
  <c r="AT142" i="6" a="1"/>
  <c r="AT142" i="6" s="1"/>
  <c r="AT143" i="6" a="1"/>
  <c r="AT143" i="6" s="1"/>
  <c r="AT144" i="6" a="1"/>
  <c r="AT144" i="6" s="1"/>
  <c r="AT145" i="6" a="1"/>
  <c r="AT145" i="6" s="1"/>
  <c r="AT146" i="6" a="1"/>
  <c r="AT146" i="6" s="1"/>
  <c r="AT147" i="6" a="1"/>
  <c r="AT147" i="6" s="1"/>
  <c r="AT148" i="6" a="1"/>
  <c r="AT148" i="6" s="1"/>
  <c r="AT149" i="6" a="1"/>
  <c r="AT149" i="6" s="1"/>
  <c r="AT150" i="6" a="1"/>
  <c r="AT150" i="6" s="1"/>
  <c r="AT151" i="6" a="1"/>
  <c r="AT151" i="6" s="1"/>
  <c r="AT152" i="6" a="1"/>
  <c r="AT152" i="6" s="1"/>
  <c r="AT153" i="6" a="1"/>
  <c r="AT153" i="6" s="1"/>
  <c r="AT154" i="6" a="1"/>
  <c r="AT154" i="6" s="1"/>
  <c r="AT155" i="6" a="1"/>
  <c r="AT155" i="6" s="1"/>
  <c r="AT156" i="6" a="1"/>
  <c r="AT156" i="6" s="1"/>
  <c r="AT157" i="6" a="1"/>
  <c r="AT157" i="6" s="1"/>
  <c r="AT158" i="6" a="1"/>
  <c r="AT158" i="6" s="1"/>
  <c r="AU40" i="6" a="1"/>
  <c r="AU40" i="6" s="1"/>
  <c r="AU41" i="6" a="1"/>
  <c r="AU41" i="6" s="1"/>
  <c r="AU42" i="6" a="1"/>
  <c r="AU42" i="6" s="1"/>
  <c r="AU43" i="6" a="1"/>
  <c r="AU43" i="6" s="1"/>
  <c r="AU44" i="6" a="1"/>
  <c r="AU44" i="6" s="1"/>
  <c r="AU45" i="6" a="1"/>
  <c r="AU45" i="6" s="1"/>
  <c r="AU46" i="6" a="1"/>
  <c r="AU46" i="6" s="1"/>
  <c r="AU47" i="6" a="1"/>
  <c r="AU47" i="6" s="1"/>
  <c r="AU48" i="6" a="1"/>
  <c r="AU48" i="6" s="1"/>
  <c r="AU49" i="6" a="1"/>
  <c r="AU49" i="6" s="1"/>
  <c r="AU50" i="6" a="1"/>
  <c r="AU50" i="6" s="1"/>
  <c r="AU51" i="6" a="1"/>
  <c r="AU51" i="6" s="1"/>
  <c r="AU52" i="6" a="1"/>
  <c r="AU52" i="6" s="1"/>
  <c r="AU53" i="6" a="1"/>
  <c r="AU53" i="6" s="1"/>
  <c r="AU54" i="6" a="1"/>
  <c r="AU54" i="6" s="1"/>
  <c r="AU55" i="6" a="1"/>
  <c r="AU55" i="6" s="1"/>
  <c r="AU56" i="6" a="1"/>
  <c r="AU56" i="6" s="1"/>
  <c r="AU57" i="6" a="1"/>
  <c r="AU57" i="6" s="1"/>
  <c r="AU58" i="6" a="1"/>
  <c r="AU58" i="6" s="1"/>
  <c r="AU59" i="6" a="1"/>
  <c r="AU59" i="6" s="1"/>
  <c r="AU60" i="6" a="1"/>
  <c r="AU60" i="6" s="1"/>
  <c r="AU61" i="6" a="1"/>
  <c r="AU61" i="6" s="1"/>
  <c r="AU62" i="6" a="1"/>
  <c r="AU62" i="6" s="1"/>
  <c r="AU63" i="6" a="1"/>
  <c r="AU63" i="6" s="1"/>
  <c r="AU64" i="6" a="1"/>
  <c r="AU64" i="6" s="1"/>
  <c r="AU65" i="6" a="1"/>
  <c r="AU65" i="6" s="1"/>
  <c r="AU66" i="6" a="1"/>
  <c r="AU66" i="6" s="1"/>
  <c r="AU67" i="6" a="1"/>
  <c r="AU67" i="6" s="1"/>
  <c r="AU68" i="6" a="1"/>
  <c r="AU68" i="6" s="1"/>
  <c r="AU69" i="6" a="1"/>
  <c r="AU69" i="6" s="1"/>
  <c r="AU70" i="6" a="1"/>
  <c r="AU70" i="6" s="1"/>
  <c r="AU71" i="6" a="1"/>
  <c r="AU71" i="6" s="1"/>
  <c r="AU72" i="6" a="1"/>
  <c r="AU72" i="6" s="1"/>
  <c r="AU73" i="6" a="1"/>
  <c r="AU73" i="6" s="1"/>
  <c r="AU74" i="6" a="1"/>
  <c r="AU74" i="6" s="1"/>
  <c r="AU75" i="6" a="1"/>
  <c r="AU75" i="6" s="1"/>
  <c r="AU76" i="6" a="1"/>
  <c r="AU76" i="6" s="1"/>
  <c r="AU77" i="6" a="1"/>
  <c r="AU77" i="6" s="1"/>
  <c r="AU78" i="6" a="1"/>
  <c r="AU78" i="6" s="1"/>
  <c r="AU79" i="6" a="1"/>
  <c r="AU79" i="6" s="1"/>
  <c r="AU80" i="6" a="1"/>
  <c r="AU80" i="6" s="1"/>
  <c r="AU81" i="6" a="1"/>
  <c r="AU81" i="6" s="1"/>
  <c r="AU82" i="6" a="1"/>
  <c r="AU82" i="6" s="1"/>
  <c r="AU83" i="6" a="1"/>
  <c r="AU83" i="6" s="1"/>
  <c r="AU85" i="6" a="1"/>
  <c r="AU85" i="6" s="1"/>
  <c r="AU86" i="6" a="1"/>
  <c r="AU86" i="6" s="1"/>
  <c r="AU87" i="6" a="1"/>
  <c r="AU87" i="6" s="1"/>
  <c r="AU88" i="6" a="1"/>
  <c r="AU88" i="6" s="1"/>
  <c r="AU89" i="6" a="1"/>
  <c r="AU89" i="6" s="1"/>
  <c r="AU90" i="6" a="1"/>
  <c r="AU90" i="6" s="1"/>
  <c r="AU91" i="6" a="1"/>
  <c r="AU91" i="6" s="1"/>
  <c r="AU92" i="6" a="1"/>
  <c r="AU92" i="6" s="1"/>
  <c r="AU93" i="6" a="1"/>
  <c r="AU93" i="6" s="1"/>
  <c r="AU94" i="6" a="1"/>
  <c r="AU94" i="6" s="1"/>
  <c r="AU95" i="6" a="1"/>
  <c r="AU95" i="6" s="1"/>
  <c r="AU96" i="6" a="1"/>
  <c r="AU96" i="6" s="1"/>
  <c r="AU97" i="6" a="1"/>
  <c r="AU97" i="6" s="1"/>
  <c r="AU98" i="6" a="1"/>
  <c r="AU98" i="6" s="1"/>
  <c r="AU99" i="6" a="1"/>
  <c r="AU99" i="6" s="1"/>
  <c r="AU100" i="6" a="1"/>
  <c r="AU100" i="6" s="1"/>
  <c r="AU101" i="6" a="1"/>
  <c r="AU101" i="6" s="1"/>
  <c r="AU102" i="6" a="1"/>
  <c r="AU102" i="6" s="1"/>
  <c r="AU103" i="6" a="1"/>
  <c r="AU103" i="6" s="1"/>
  <c r="AU104" i="6" a="1"/>
  <c r="AU104" i="6" s="1"/>
  <c r="AU105" i="6" a="1"/>
  <c r="AU105" i="6" s="1"/>
  <c r="AU106" i="6" a="1"/>
  <c r="AU106" i="6" s="1"/>
  <c r="AU107" i="6" a="1"/>
  <c r="AU107" i="6" s="1"/>
  <c r="AU108" i="6" a="1"/>
  <c r="AU108" i="6" s="1"/>
  <c r="AU109" i="6" a="1"/>
  <c r="AU109" i="6" s="1"/>
  <c r="AU110" i="6" a="1"/>
  <c r="AU110" i="6" s="1"/>
  <c r="AU111" i="6" a="1"/>
  <c r="AU111" i="6" s="1"/>
  <c r="AU112" i="6" a="1"/>
  <c r="AU112" i="6" s="1"/>
  <c r="AU113" i="6" a="1"/>
  <c r="AU113" i="6" s="1"/>
  <c r="AU114" i="6" a="1"/>
  <c r="AU114" i="6" s="1"/>
  <c r="AU115" i="6" a="1"/>
  <c r="AU115" i="6" s="1"/>
  <c r="AU116" i="6" a="1"/>
  <c r="AU116" i="6" s="1"/>
  <c r="AU117" i="6" a="1"/>
  <c r="AU117" i="6" s="1"/>
  <c r="AU118" i="6" a="1"/>
  <c r="AU118" i="6" s="1"/>
  <c r="AU119" i="6" a="1"/>
  <c r="AU119" i="6" s="1"/>
  <c r="AU120" i="6" a="1"/>
  <c r="AU120" i="6" s="1"/>
  <c r="AU121" i="6" a="1"/>
  <c r="AU121" i="6" s="1"/>
  <c r="AU122" i="6" a="1"/>
  <c r="AU122" i="6" s="1"/>
  <c r="AU123" i="6" a="1"/>
  <c r="AU123" i="6" s="1"/>
  <c r="AU124" i="6" a="1"/>
  <c r="AU124" i="6" s="1"/>
  <c r="AU125" i="6" a="1"/>
  <c r="AU125" i="6" s="1"/>
  <c r="AU126" i="6" a="1"/>
  <c r="AU126" i="6" s="1"/>
  <c r="AU127" i="6" a="1"/>
  <c r="AU127" i="6" s="1"/>
  <c r="AU128" i="6" a="1"/>
  <c r="AU128" i="6" s="1"/>
  <c r="AU129" i="6" a="1"/>
  <c r="AU129" i="6" s="1"/>
  <c r="AU130" i="6" a="1"/>
  <c r="AU130" i="6" s="1"/>
  <c r="AU131" i="6" a="1"/>
  <c r="AU131" i="6" s="1"/>
  <c r="AU132" i="6" a="1"/>
  <c r="AU132" i="6" s="1"/>
  <c r="AU133" i="6" a="1"/>
  <c r="AU133" i="6" s="1"/>
  <c r="AU134" i="6" a="1"/>
  <c r="AU134" i="6" s="1"/>
  <c r="AU135" i="6" a="1"/>
  <c r="AU135" i="6" s="1"/>
  <c r="AU136" i="6" a="1"/>
  <c r="AU136" i="6" s="1"/>
  <c r="AU137" i="6" a="1"/>
  <c r="AU137" i="6" s="1"/>
  <c r="AU138" i="6" a="1"/>
  <c r="AU138" i="6" s="1"/>
  <c r="AU139" i="6" a="1"/>
  <c r="AU139" i="6" s="1"/>
  <c r="AU140" i="6" a="1"/>
  <c r="AU140" i="6" s="1"/>
  <c r="AU141" i="6" a="1"/>
  <c r="AU141" i="6" s="1"/>
  <c r="AU143" i="6" a="1"/>
  <c r="AU143" i="6" s="1"/>
  <c r="AU144" i="6" a="1"/>
  <c r="AU144" i="6" s="1"/>
  <c r="AU145" i="6" a="1"/>
  <c r="AU145" i="6" s="1"/>
  <c r="AU146" i="6" a="1"/>
  <c r="AU146" i="6" s="1"/>
  <c r="AU147" i="6" a="1"/>
  <c r="AU147" i="6" s="1"/>
  <c r="AU148" i="6" a="1"/>
  <c r="AU148" i="6" s="1"/>
  <c r="AU149" i="6" a="1"/>
  <c r="AU149" i="6" s="1"/>
  <c r="AU150" i="6" a="1"/>
  <c r="AU150" i="6" s="1"/>
  <c r="AU151" i="6" a="1"/>
  <c r="AU151" i="6" s="1"/>
  <c r="AU152" i="6" a="1"/>
  <c r="AU152" i="6" s="1"/>
  <c r="AU153" i="6" a="1"/>
  <c r="AU153" i="6" s="1"/>
  <c r="AU154" i="6" a="1"/>
  <c r="AU154" i="6" s="1"/>
  <c r="AU155" i="6" a="1"/>
  <c r="AU155" i="6" s="1"/>
  <c r="AU156" i="6" a="1"/>
  <c r="AU156" i="6" s="1"/>
  <c r="AU157" i="6" a="1"/>
  <c r="AU157" i="6" s="1"/>
  <c r="AU158" i="6" a="1"/>
  <c r="AU158" i="6" s="1"/>
  <c r="BD5" i="6" a="1"/>
  <c r="BD5" i="6" s="1"/>
  <c r="BD6" i="6" a="1"/>
  <c r="BD6" i="6" s="1"/>
  <c r="BE6" i="6" s="1"/>
  <c r="AK6" i="6" s="1" a="1"/>
  <c r="AK6" i="6" s="1"/>
  <c r="BD7" i="6" a="1"/>
  <c r="BD7" i="6" s="1"/>
  <c r="BD8" i="6" a="1"/>
  <c r="BD8" i="6" s="1"/>
  <c r="BD9" i="6" a="1"/>
  <c r="BD9" i="6" s="1"/>
  <c r="BD10" i="6" a="1"/>
  <c r="BD10" i="6" s="1"/>
  <c r="BD11" i="6" a="1"/>
  <c r="BD11" i="6" s="1"/>
  <c r="BD12" i="6" a="1"/>
  <c r="BD12" i="6" s="1"/>
  <c r="BD13" i="6" a="1"/>
  <c r="BD13" i="6" s="1"/>
  <c r="BD14" i="6" a="1"/>
  <c r="BD14" i="6" s="1"/>
  <c r="BD15" i="6" a="1"/>
  <c r="BD15" i="6" s="1"/>
  <c r="BD16" i="6" a="1"/>
  <c r="BD16" i="6" s="1"/>
  <c r="BD17" i="6" a="1"/>
  <c r="BD17" i="6" s="1"/>
  <c r="BD18" i="6" a="1"/>
  <c r="BD18" i="6" s="1"/>
  <c r="BD19" i="6" a="1"/>
  <c r="BD19" i="6" s="1"/>
  <c r="BD20" i="6" a="1"/>
  <c r="BD20" i="6" s="1"/>
  <c r="BD21" i="6" a="1"/>
  <c r="BD21" i="6" s="1"/>
  <c r="BD22" i="6" a="1"/>
  <c r="BD22" i="6" s="1"/>
  <c r="BD23" i="6" a="1"/>
  <c r="BD23" i="6" s="1"/>
  <c r="BD24" i="6" a="1"/>
  <c r="BD24" i="6" s="1"/>
  <c r="BD25" i="6" a="1"/>
  <c r="BD25" i="6" s="1"/>
  <c r="AA5" i="6" a="1"/>
  <c r="AA5" i="6" s="1"/>
  <c r="AB5" i="6" s="1"/>
  <c r="AA6" i="6" a="1"/>
  <c r="AA6" i="6" s="1"/>
  <c r="AB6" i="6" s="1"/>
  <c r="AA7" i="6" a="1"/>
  <c r="AA7" i="6" s="1"/>
  <c r="AB7" i="6" s="1"/>
  <c r="AA8" i="6" a="1"/>
  <c r="AA8" i="6" s="1"/>
  <c r="AB8" i="6" s="1"/>
  <c r="AA9" i="6" a="1"/>
  <c r="AA9" i="6" s="1"/>
  <c r="AB9" i="6" s="1"/>
  <c r="AA10" i="6" a="1"/>
  <c r="AA10" i="6" s="1"/>
  <c r="AB10" i="6" s="1"/>
  <c r="AA11" i="6" a="1"/>
  <c r="AA11" i="6" s="1"/>
  <c r="AB11" i="6" s="1"/>
  <c r="AA12" i="6" a="1"/>
  <c r="AA12" i="6" s="1"/>
  <c r="AB12" i="6" s="1"/>
  <c r="AA13" i="6" a="1"/>
  <c r="AA13" i="6" s="1"/>
  <c r="AB13" i="6" s="1"/>
  <c r="AA14" i="6" a="1"/>
  <c r="AA14" i="6" s="1"/>
  <c r="AB14" i="6" s="1"/>
  <c r="AA15" i="6" a="1"/>
  <c r="AA15" i="6" s="1"/>
  <c r="AB15" i="6" s="1"/>
  <c r="AA16" i="6" a="1"/>
  <c r="AA16" i="6" s="1"/>
  <c r="AB16" i="6" s="1"/>
  <c r="AA17" i="6" a="1"/>
  <c r="AA17" i="6" s="1"/>
  <c r="AB17" i="6" s="1"/>
  <c r="AA18" i="6" a="1"/>
  <c r="AA18" i="6" s="1"/>
  <c r="AB18" i="6" s="1"/>
  <c r="AA19" i="6" a="1"/>
  <c r="AA19" i="6" s="1"/>
  <c r="AB19" i="6" s="1"/>
  <c r="AA20" i="6" a="1"/>
  <c r="AA20" i="6" s="1"/>
  <c r="AB20" i="6" s="1"/>
  <c r="AA21" i="6" a="1"/>
  <c r="AA21" i="6" s="1"/>
  <c r="AB21" i="6" s="1"/>
  <c r="AA22" i="6" a="1"/>
  <c r="AA22" i="6" s="1"/>
  <c r="AB22" i="6" s="1"/>
  <c r="AA23" i="6" a="1"/>
  <c r="AA23" i="6" s="1"/>
  <c r="AB23" i="6" s="1"/>
  <c r="AA24" i="6" a="1"/>
  <c r="AA24" i="6" s="1"/>
  <c r="AB24" i="6" s="1"/>
  <c r="AA25" i="6" a="1"/>
  <c r="AA25" i="6" s="1"/>
  <c r="AB25" i="6" s="1"/>
  <c r="P5" i="6" a="1"/>
  <c r="P5" i="6" s="1"/>
  <c r="P6" i="6" a="1"/>
  <c r="P6" i="6" s="1"/>
  <c r="P7" i="6" a="1"/>
  <c r="P7" i="6" s="1"/>
  <c r="P8" i="6" a="1"/>
  <c r="P8" i="6" s="1"/>
  <c r="P9" i="6" a="1"/>
  <c r="P9" i="6" s="1"/>
  <c r="P10" i="6" a="1"/>
  <c r="P10" i="6" s="1"/>
  <c r="P11" i="6" a="1"/>
  <c r="P11" i="6" s="1"/>
  <c r="P12" i="6" a="1"/>
  <c r="P12" i="6" s="1"/>
  <c r="P13" i="6" a="1"/>
  <c r="P13" i="6" s="1"/>
  <c r="P14" i="6" a="1"/>
  <c r="P14" i="6" s="1"/>
  <c r="P15" i="6" a="1"/>
  <c r="P15" i="6" s="1"/>
  <c r="P16" i="6" a="1"/>
  <c r="P16" i="6" s="1"/>
  <c r="P17" i="6" a="1"/>
  <c r="P17" i="6" s="1"/>
  <c r="P18" i="6" a="1"/>
  <c r="P18" i="6" s="1"/>
  <c r="P19" i="6" a="1"/>
  <c r="P19" i="6" s="1"/>
  <c r="P20" i="6" a="1"/>
  <c r="P20" i="6" s="1"/>
  <c r="P21" i="6" a="1"/>
  <c r="P21" i="6" s="1"/>
  <c r="P22" i="6" a="1"/>
  <c r="P22" i="6" s="1"/>
  <c r="P23" i="6" a="1"/>
  <c r="P23" i="6" s="1"/>
  <c r="P24" i="6" a="1"/>
  <c r="P24" i="6" s="1"/>
  <c r="P25" i="6" a="1"/>
  <c r="P25" i="6" s="1"/>
  <c r="P26" i="6" a="1"/>
  <c r="P26" i="6" s="1"/>
  <c r="P27" i="6" a="1"/>
  <c r="P27" i="6" s="1"/>
  <c r="P28" i="6" a="1"/>
  <c r="P28" i="6" s="1"/>
  <c r="P29" i="6" a="1"/>
  <c r="P29" i="6" s="1"/>
  <c r="P30" i="6" a="1"/>
  <c r="P30" i="6" s="1"/>
  <c r="P31" i="6" a="1"/>
  <c r="P31" i="6" s="1"/>
  <c r="P32" i="6" a="1"/>
  <c r="P32" i="6" s="1"/>
  <c r="P33" i="6" a="1"/>
  <c r="P33" i="6" s="1"/>
  <c r="P34" i="6" a="1"/>
  <c r="P34" i="6" s="1"/>
  <c r="P35" i="6" a="1"/>
  <c r="P35" i="6" s="1"/>
  <c r="P36" i="6" a="1"/>
  <c r="P36" i="6" s="1"/>
  <c r="P37" i="6" a="1"/>
  <c r="P37" i="6" s="1"/>
  <c r="P38" i="6" a="1"/>
  <c r="P38" i="6" s="1"/>
  <c r="P39" i="6" a="1"/>
  <c r="P39" i="6" s="1"/>
  <c r="N5" i="6" a="1"/>
  <c r="N5" i="6" s="1"/>
  <c r="N6" i="6" a="1"/>
  <c r="N6" i="6" s="1"/>
  <c r="N7" i="6" a="1"/>
  <c r="N7" i="6" s="1"/>
  <c r="N8" i="6" a="1"/>
  <c r="N8" i="6" s="1"/>
  <c r="N9" i="6" a="1"/>
  <c r="N9" i="6" s="1"/>
  <c r="N10" i="6" a="1"/>
  <c r="N10" i="6" s="1"/>
  <c r="N11" i="6" a="1"/>
  <c r="N11" i="6" s="1"/>
  <c r="N12" i="6" a="1"/>
  <c r="N12" i="6" s="1"/>
  <c r="N13" i="6" a="1"/>
  <c r="N13" i="6" s="1"/>
  <c r="N14" i="6" a="1"/>
  <c r="N14" i="6" s="1"/>
  <c r="N15" i="6" a="1"/>
  <c r="N15" i="6" s="1"/>
  <c r="N16" i="6" a="1"/>
  <c r="N16" i="6" s="1"/>
  <c r="N17" i="6" a="1"/>
  <c r="N17" i="6" s="1"/>
  <c r="N18" i="6" a="1"/>
  <c r="N18" i="6" s="1"/>
  <c r="N19" i="6" a="1"/>
  <c r="N19" i="6" s="1"/>
  <c r="N20" i="6" a="1"/>
  <c r="N20" i="6" s="1"/>
  <c r="N21" i="6" a="1"/>
  <c r="N21" i="6" s="1"/>
  <c r="N22" i="6" a="1"/>
  <c r="N22" i="6" s="1"/>
  <c r="N23" i="6" a="1"/>
  <c r="N23" i="6" s="1"/>
  <c r="N24" i="6" a="1"/>
  <c r="N24" i="6" s="1"/>
  <c r="N25" i="6" a="1"/>
  <c r="N25" i="6" s="1"/>
  <c r="N26" i="6" a="1"/>
  <c r="N26" i="6" s="1"/>
  <c r="N27" i="6" a="1"/>
  <c r="N27" i="6" s="1"/>
  <c r="N28" i="6" a="1"/>
  <c r="N28" i="6" s="1"/>
  <c r="N29" i="6" a="1"/>
  <c r="N29" i="6" s="1"/>
  <c r="N30" i="6" a="1"/>
  <c r="N30" i="6" s="1"/>
  <c r="N31" i="6" a="1"/>
  <c r="N31" i="6" s="1"/>
  <c r="N32" i="6" a="1"/>
  <c r="N32" i="6" s="1"/>
  <c r="N33" i="6" a="1"/>
  <c r="N33" i="6" s="1"/>
  <c r="N34" i="6" a="1"/>
  <c r="N34" i="6" s="1"/>
  <c r="N35" i="6" a="1"/>
  <c r="N35" i="6" s="1"/>
  <c r="N36" i="6" a="1"/>
  <c r="N36" i="6" s="1"/>
  <c r="N37" i="6" a="1"/>
  <c r="N37" i="6" s="1"/>
  <c r="N38" i="6" a="1"/>
  <c r="N38" i="6" s="1"/>
  <c r="N39" i="6" a="1"/>
  <c r="N39" i="6" s="1"/>
  <c r="AI5" i="5" a="1"/>
  <c r="AI5" i="5" s="1"/>
  <c r="AJ5" i="5" s="1"/>
  <c r="AI6" i="5" a="1"/>
  <c r="AI6" i="5" s="1"/>
  <c r="AJ6" i="5" s="1"/>
  <c r="AI7" i="5" a="1"/>
  <c r="AI7" i="5" s="1"/>
  <c r="AJ7" i="5" s="1"/>
  <c r="AI8" i="5" a="1"/>
  <c r="AI8" i="5" s="1"/>
  <c r="AJ8" i="5" s="1"/>
  <c r="AI9" i="5" a="1"/>
  <c r="AI9" i="5" s="1"/>
  <c r="AJ9" i="5" s="1"/>
  <c r="AI10" i="5" a="1"/>
  <c r="AI10" i="5" s="1"/>
  <c r="AJ10" i="5" s="1"/>
  <c r="AI11" i="5" a="1"/>
  <c r="AI11" i="5" s="1"/>
  <c r="AJ11" i="5" s="1"/>
  <c r="AI12" i="5" a="1"/>
  <c r="AI12" i="5" s="1"/>
  <c r="AJ12" i="5" s="1"/>
  <c r="AI13" i="5" a="1"/>
  <c r="AI13" i="5" s="1"/>
  <c r="AJ13" i="5" s="1"/>
  <c r="AI14" i="5" a="1"/>
  <c r="AI14" i="5" s="1"/>
  <c r="AJ14" i="5" s="1"/>
  <c r="AI15" i="5" a="1"/>
  <c r="AI15" i="5" s="1"/>
  <c r="AJ15" i="5" s="1"/>
  <c r="AI16" i="5" a="1"/>
  <c r="AI16" i="5" s="1"/>
  <c r="AJ16" i="5" s="1"/>
  <c r="AI17" i="5" a="1"/>
  <c r="AI17" i="5" s="1"/>
  <c r="AJ17" i="5" s="1"/>
  <c r="AI18" i="5" a="1"/>
  <c r="AI18" i="5" s="1"/>
  <c r="AJ18" i="5" s="1"/>
  <c r="AI19" i="5" a="1"/>
  <c r="AI19" i="5" s="1"/>
  <c r="AJ19" i="5" s="1"/>
  <c r="AI20" i="5" a="1"/>
  <c r="AI20" i="5" s="1"/>
  <c r="AJ20" i="5" s="1"/>
  <c r="AI21" i="5" a="1"/>
  <c r="AI21" i="5" s="1"/>
  <c r="AJ21" i="5" s="1"/>
  <c r="AI22" i="5" a="1"/>
  <c r="AI22" i="5" s="1"/>
  <c r="AJ22" i="5" s="1"/>
  <c r="AI23" i="5" a="1"/>
  <c r="AI23" i="5" s="1"/>
  <c r="AJ23" i="5" s="1"/>
  <c r="AI24" i="5" a="1"/>
  <c r="AI24" i="5" s="1"/>
  <c r="AJ24" i="5" s="1"/>
  <c r="AI25" i="5" a="1"/>
  <c r="AI25" i="5" s="1"/>
  <c r="AJ25" i="5" s="1"/>
  <c r="BO6" i="5" a="1"/>
  <c r="BO6" i="5" s="1"/>
  <c r="BP6" i="5" s="1"/>
  <c r="BO7" i="5" a="1"/>
  <c r="BO7" i="5" s="1"/>
  <c r="BP7" i="5" s="1"/>
  <c r="BO8" i="5" a="1"/>
  <c r="BO8" i="5" s="1"/>
  <c r="BP8" i="5" s="1"/>
  <c r="BO9" i="5" a="1"/>
  <c r="BO9" i="5" s="1"/>
  <c r="BP9" i="5" s="1"/>
  <c r="BO10" i="5" a="1"/>
  <c r="BO10" i="5" s="1"/>
  <c r="BP10" i="5" s="1"/>
  <c r="BO11" i="5" a="1"/>
  <c r="BO11" i="5" s="1"/>
  <c r="BP11" i="5" s="1"/>
  <c r="BO12" i="5" a="1"/>
  <c r="BO12" i="5" s="1"/>
  <c r="BP12" i="5" s="1"/>
  <c r="BO13" i="5" a="1"/>
  <c r="BO13" i="5" s="1"/>
  <c r="BP13" i="5" s="1"/>
  <c r="BO14" i="5" a="1"/>
  <c r="BO14" i="5" s="1"/>
  <c r="BP14" i="5" s="1"/>
  <c r="BO15" i="5" a="1"/>
  <c r="BO15" i="5" s="1"/>
  <c r="BP15" i="5" s="1"/>
  <c r="BO16" i="5" a="1"/>
  <c r="BO16" i="5" s="1"/>
  <c r="BP16" i="5" s="1"/>
  <c r="BO17" i="5" a="1"/>
  <c r="BO17" i="5" s="1"/>
  <c r="BP17" i="5" s="1"/>
  <c r="BO18" i="5" a="1"/>
  <c r="BO18" i="5" s="1"/>
  <c r="BP18" i="5" s="1"/>
  <c r="BO19" i="5" a="1"/>
  <c r="BO19" i="5" s="1"/>
  <c r="BP19" i="5" s="1"/>
  <c r="BO20" i="5" a="1"/>
  <c r="BO20" i="5" s="1"/>
  <c r="BP20" i="5" s="1"/>
  <c r="BO21" i="5" a="1"/>
  <c r="BO21" i="5" s="1"/>
  <c r="BP21" i="5" s="1"/>
  <c r="BO22" i="5" a="1"/>
  <c r="BO22" i="5" s="1"/>
  <c r="BP22" i="5" s="1"/>
  <c r="BO23" i="5" a="1"/>
  <c r="BO23" i="5" s="1"/>
  <c r="BP23" i="5" s="1"/>
  <c r="BO24" i="5" a="1"/>
  <c r="BO24" i="5" s="1"/>
  <c r="BP24" i="5" s="1"/>
  <c r="BO25" i="5" a="1"/>
  <c r="BO25" i="5" s="1"/>
  <c r="BP25"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O5" i="5" a="1"/>
  <c r="O5" i="5" s="1"/>
  <c r="O6" i="5" a="1"/>
  <c r="O6" i="5" s="1"/>
  <c r="O7" i="5" a="1"/>
  <c r="O7" i="5" s="1"/>
  <c r="O8" i="5" a="1"/>
  <c r="O8" i="5" s="1"/>
  <c r="O9" i="5" a="1"/>
  <c r="O9" i="5" s="1"/>
  <c r="O10" i="5" a="1"/>
  <c r="O10" i="5" s="1"/>
  <c r="O11" i="5" a="1"/>
  <c r="O11" i="5" s="1"/>
  <c r="O12" i="5" a="1"/>
  <c r="O12" i="5" s="1"/>
  <c r="O13" i="5" a="1"/>
  <c r="O13" i="5" s="1"/>
  <c r="O14" i="5" a="1"/>
  <c r="O14" i="5" s="1"/>
  <c r="O15" i="5" a="1"/>
  <c r="O15" i="5" s="1"/>
  <c r="O16" i="5" a="1"/>
  <c r="O16" i="5" s="1"/>
  <c r="O17" i="5" a="1"/>
  <c r="O17" i="5" s="1"/>
  <c r="O18" i="5" a="1"/>
  <c r="O18" i="5" s="1"/>
  <c r="O19" i="5" a="1"/>
  <c r="O19" i="5" s="1"/>
  <c r="O20" i="5" a="1"/>
  <c r="O20" i="5" s="1"/>
  <c r="O21" i="5" a="1"/>
  <c r="O21" i="5" s="1"/>
  <c r="O22" i="5" a="1"/>
  <c r="O22" i="5" s="1"/>
  <c r="O23" i="5" a="1"/>
  <c r="O23" i="5" s="1"/>
  <c r="O24" i="5" a="1"/>
  <c r="O24" i="5" s="1"/>
  <c r="O25" i="5" a="1"/>
  <c r="O25" i="5" s="1"/>
  <c r="O26" i="5" a="1"/>
  <c r="O26" i="5" s="1"/>
  <c r="O27" i="5" a="1"/>
  <c r="O27" i="5" s="1"/>
  <c r="O28" i="5" a="1"/>
  <c r="O28" i="5" s="1"/>
  <c r="O29" i="5" a="1"/>
  <c r="O29" i="5" s="1"/>
  <c r="O30" i="5" a="1"/>
  <c r="O30" i="5" s="1"/>
  <c r="O31" i="5" a="1"/>
  <c r="O31" i="5" s="1"/>
  <c r="O32" i="5" a="1"/>
  <c r="O32" i="5" s="1"/>
  <c r="O33" i="5" a="1"/>
  <c r="O33" i="5" s="1"/>
  <c r="O34" i="5" a="1"/>
  <c r="O34" i="5" s="1"/>
  <c r="O35" i="5" a="1"/>
  <c r="O35" i="5" s="1"/>
  <c r="O36" i="5" a="1"/>
  <c r="O36" i="5" s="1"/>
  <c r="O37" i="5" a="1"/>
  <c r="O37" i="5" s="1"/>
  <c r="O38" i="5" a="1"/>
  <c r="O38" i="5" s="1"/>
  <c r="O39" i="5" a="1"/>
  <c r="O39" i="5" s="1"/>
  <c r="N6" i="10"/>
  <c r="N7" i="10"/>
  <c r="N8" i="10"/>
  <c r="N9" i="10"/>
  <c r="N10" i="10"/>
  <c r="N11" i="10"/>
  <c r="N12" i="10"/>
  <c r="N13" i="10"/>
  <c r="N14" i="10"/>
  <c r="N5" i="10"/>
  <c r="AH5" i="6"/>
  <c r="AH6"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D46" i="4"/>
  <c r="H46" i="4" s="1"/>
  <c r="D47" i="4"/>
  <c r="H47" i="4" s="1"/>
  <c r="BA55" i="5" l="1"/>
  <c r="Q55" i="5" s="1" a="1"/>
  <c r="Q55" i="5" s="1"/>
  <c r="BA43" i="5"/>
  <c r="Q43" i="5" s="1" a="1"/>
  <c r="Q43" i="5" s="1"/>
  <c r="BA99" i="5"/>
  <c r="Q99" i="5" s="1" a="1"/>
  <c r="Q99" i="5" s="1"/>
  <c r="BA75" i="5"/>
  <c r="Q75" i="5" s="1" a="1"/>
  <c r="Q75" i="5" s="1"/>
  <c r="BA90" i="5"/>
  <c r="Q90" i="5" s="1" a="1"/>
  <c r="Q90" i="5" s="1"/>
  <c r="BA155" i="5"/>
  <c r="Q155" i="5" s="1" a="1"/>
  <c r="Q155" i="5" s="1"/>
  <c r="BA143" i="5"/>
  <c r="Q143" i="5" s="1" a="1"/>
  <c r="Q143" i="5" s="1"/>
  <c r="BA131" i="5"/>
  <c r="Q131" i="5" s="1" a="1"/>
  <c r="Q131" i="5" s="1"/>
  <c r="BA107" i="5"/>
  <c r="Q107" i="5" s="1" a="1"/>
  <c r="Q107" i="5" s="1"/>
  <c r="AN101" i="6"/>
  <c r="AN77" i="6"/>
  <c r="AN53" i="6"/>
  <c r="AN103" i="6"/>
  <c r="AN116" i="6"/>
  <c r="AN42" i="6"/>
  <c r="O123" i="6"/>
  <c r="O63" i="6"/>
  <c r="N114" i="5"/>
  <c r="P114" i="5" s="1"/>
  <c r="N44" i="5"/>
  <c r="N137" i="5"/>
  <c r="P137" i="5" s="1"/>
  <c r="O86" i="6"/>
  <c r="N86" i="5"/>
  <c r="P86" i="5" s="1"/>
  <c r="O74" i="6"/>
  <c r="Q74" i="6" s="1"/>
  <c r="N122" i="5"/>
  <c r="P122" i="5" s="1"/>
  <c r="AW122" i="5"/>
  <c r="AX122" i="5" s="1"/>
  <c r="O75" i="6"/>
  <c r="Q75" i="6" s="1"/>
  <c r="N55" i="5"/>
  <c r="P55" i="5" s="1"/>
  <c r="AM131" i="6"/>
  <c r="AN131" i="6" s="1"/>
  <c r="N131" i="5"/>
  <c r="N65" i="5"/>
  <c r="P65" i="5" s="1"/>
  <c r="O133" i="6"/>
  <c r="Q133" i="6" s="1"/>
  <c r="O73" i="6"/>
  <c r="Q73" i="6" s="1"/>
  <c r="O49" i="6"/>
  <c r="O135" i="6"/>
  <c r="Q135" i="6" s="1"/>
  <c r="AM59" i="6"/>
  <c r="AQ59" i="6" s="1"/>
  <c r="R59" i="6" s="1" a="1"/>
  <c r="R59" i="6" s="1"/>
  <c r="N85" i="5"/>
  <c r="P85" i="5" s="1"/>
  <c r="N95" i="5"/>
  <c r="P95" i="5" s="1"/>
  <c r="AM103" i="6"/>
  <c r="AQ103" i="6" s="1"/>
  <c r="R103" i="6" s="1" a="1"/>
  <c r="R103" i="6" s="1"/>
  <c r="AM101" i="6"/>
  <c r="AQ101" i="6" s="1"/>
  <c r="R101" i="6" s="1" a="1"/>
  <c r="R101" i="6" s="1"/>
  <c r="O50" i="6"/>
  <c r="Q50" i="6" s="1"/>
  <c r="N82" i="5"/>
  <c r="P82" i="5" s="1"/>
  <c r="AM139" i="6"/>
  <c r="AQ139" i="6" s="1"/>
  <c r="R139" i="6" s="1" a="1"/>
  <c r="R139" i="6" s="1"/>
  <c r="AM116" i="6"/>
  <c r="O110" i="6"/>
  <c r="Q110" i="6" s="1"/>
  <c r="O134" i="6"/>
  <c r="Q134" i="6" s="1"/>
  <c r="N134" i="5"/>
  <c r="N74" i="5"/>
  <c r="P74" i="5" s="1"/>
  <c r="N154" i="5"/>
  <c r="P154" i="5" s="1"/>
  <c r="N144" i="5"/>
  <c r="P144" i="5" s="1"/>
  <c r="N124" i="5"/>
  <c r="P124" i="5" s="1"/>
  <c r="N125" i="5"/>
  <c r="P125" i="5" s="1"/>
  <c r="N49" i="5"/>
  <c r="N133" i="5"/>
  <c r="N94" i="5"/>
  <c r="P94" i="5" s="1"/>
  <c r="N62" i="5"/>
  <c r="P62" i="5" s="1"/>
  <c r="N132" i="5"/>
  <c r="P132" i="5" s="1"/>
  <c r="N91" i="5"/>
  <c r="P91" i="5" s="1"/>
  <c r="N59" i="5"/>
  <c r="P59" i="5" s="1"/>
  <c r="AW70" i="5"/>
  <c r="AX70" i="5" s="1"/>
  <c r="N42" i="5"/>
  <c r="P42" i="5" s="1"/>
  <c r="AM111" i="6"/>
  <c r="AQ111" i="6" s="1"/>
  <c r="R111" i="6" s="1" a="1"/>
  <c r="R111" i="6" s="1"/>
  <c r="AM77" i="6"/>
  <c r="N121" i="5"/>
  <c r="P121" i="5" s="1"/>
  <c r="N72" i="5"/>
  <c r="N71" i="5"/>
  <c r="P71" i="5" s="1"/>
  <c r="N70" i="5"/>
  <c r="P70" i="5" s="1"/>
  <c r="N48" i="5"/>
  <c r="P48" i="5" s="1"/>
  <c r="AW152" i="5"/>
  <c r="AX152" i="5" s="1"/>
  <c r="AW116" i="5"/>
  <c r="AX116" i="5" s="1"/>
  <c r="BA139" i="5"/>
  <c r="Q139" i="5" s="1" a="1"/>
  <c r="Q139" i="5" s="1"/>
  <c r="AW54" i="5"/>
  <c r="AX54" i="5" s="1"/>
  <c r="AR55" i="5"/>
  <c r="AW55" i="5" s="1"/>
  <c r="AX55" i="5" s="1"/>
  <c r="N135" i="5"/>
  <c r="P135" i="5" s="1"/>
  <c r="N115" i="5"/>
  <c r="P115" i="5" s="1"/>
  <c r="N101" i="5"/>
  <c r="P101" i="5" s="1"/>
  <c r="BA95" i="5"/>
  <c r="Q95" i="5" s="1" a="1"/>
  <c r="Q95" i="5" s="1"/>
  <c r="N106" i="5"/>
  <c r="P106" i="5" s="1"/>
  <c r="N120" i="5"/>
  <c r="P120" i="5" s="1"/>
  <c r="N119" i="5"/>
  <c r="N57" i="5"/>
  <c r="P57" i="5" s="1"/>
  <c r="BA71" i="5"/>
  <c r="Q71" i="5" s="1" a="1"/>
  <c r="Q71" i="5" s="1"/>
  <c r="AW150" i="5"/>
  <c r="AX150" i="5" s="1"/>
  <c r="AW42" i="5"/>
  <c r="AX42" i="5" s="1"/>
  <c r="BA149" i="5"/>
  <c r="Q149" i="5" s="1" a="1"/>
  <c r="Q149" i="5" s="1"/>
  <c r="BA137" i="5"/>
  <c r="Q137" i="5" s="1" a="1"/>
  <c r="Q137" i="5" s="1"/>
  <c r="BA125" i="5"/>
  <c r="Q125" i="5" s="1" a="1"/>
  <c r="Q125" i="5" s="1"/>
  <c r="BA113" i="5"/>
  <c r="Q113" i="5" s="1" a="1"/>
  <c r="Q113" i="5" s="1"/>
  <c r="BA101" i="5"/>
  <c r="Q101" i="5" s="1" a="1"/>
  <c r="Q101" i="5" s="1"/>
  <c r="BA89" i="5"/>
  <c r="Q89" i="5" s="1" a="1"/>
  <c r="Q89" i="5" s="1"/>
  <c r="BA77" i="5"/>
  <c r="Q77" i="5" s="1" a="1"/>
  <c r="Q77" i="5" s="1"/>
  <c r="BA65" i="5"/>
  <c r="Q65" i="5" s="1" a="1"/>
  <c r="Q65" i="5" s="1"/>
  <c r="BA53" i="5"/>
  <c r="Q53" i="5" s="1" a="1"/>
  <c r="Q53" i="5" s="1"/>
  <c r="BA41" i="5"/>
  <c r="Q41" i="5" s="1" a="1"/>
  <c r="Q41" i="5" s="1"/>
  <c r="BA136" i="5"/>
  <c r="Q136" i="5" s="1" a="1"/>
  <c r="Q136" i="5" s="1"/>
  <c r="BA124" i="5"/>
  <c r="Q124" i="5" s="1" a="1"/>
  <c r="Q124" i="5" s="1"/>
  <c r="BA100" i="5"/>
  <c r="Q100" i="5" s="1" a="1"/>
  <c r="Q100" i="5" s="1"/>
  <c r="BA88" i="5"/>
  <c r="Q88" i="5" s="1" a="1"/>
  <c r="Q88" i="5" s="1"/>
  <c r="BA64" i="5"/>
  <c r="Q64" i="5" s="1" a="1"/>
  <c r="Q64" i="5" s="1"/>
  <c r="BA52" i="5"/>
  <c r="Q52" i="5" s="1" a="1"/>
  <c r="Q52" i="5" s="1"/>
  <c r="AR43" i="5"/>
  <c r="AW75" i="5"/>
  <c r="AW130" i="5"/>
  <c r="AX130" i="5" s="1"/>
  <c r="N129" i="5"/>
  <c r="P129" i="5" s="1"/>
  <c r="N99" i="5"/>
  <c r="N47" i="5"/>
  <c r="P47" i="5" s="1"/>
  <c r="N108" i="5"/>
  <c r="P108" i="5" s="1"/>
  <c r="AW125" i="5"/>
  <c r="AX125" i="5" s="1"/>
  <c r="AW89" i="5"/>
  <c r="AX89" i="5" s="1"/>
  <c r="N69" i="5"/>
  <c r="P69" i="5" s="1"/>
  <c r="BA86" i="5"/>
  <c r="Q86" i="5" s="1" a="1"/>
  <c r="Q86" i="5" s="1"/>
  <c r="N127" i="5"/>
  <c r="P127" i="5" s="1"/>
  <c r="AW134" i="5"/>
  <c r="AX134" i="5" s="1"/>
  <c r="AW109" i="5"/>
  <c r="AX109" i="5" s="1"/>
  <c r="AW61" i="5"/>
  <c r="AX61" i="5" s="1"/>
  <c r="N149" i="5"/>
  <c r="P149" i="5" s="1"/>
  <c r="N141" i="5"/>
  <c r="P141" i="5" s="1"/>
  <c r="AW120" i="5"/>
  <c r="AX120" i="5" s="1"/>
  <c r="AW60" i="5"/>
  <c r="AX60" i="5" s="1"/>
  <c r="N51" i="5"/>
  <c r="P51" i="5" s="1"/>
  <c r="BA119" i="5"/>
  <c r="Q119" i="5" s="1" a="1"/>
  <c r="Q119" i="5" s="1"/>
  <c r="BA46" i="5"/>
  <c r="Q46" i="5" s="1" a="1"/>
  <c r="Q46" i="5" s="1"/>
  <c r="AW78" i="5"/>
  <c r="AX78" i="5" s="1"/>
  <c r="AW43" i="5"/>
  <c r="AX43" i="5" s="1"/>
  <c r="AW62" i="5"/>
  <c r="AX62" i="5" s="1"/>
  <c r="AW156" i="5"/>
  <c r="AX156" i="5" s="1"/>
  <c r="AW123" i="5"/>
  <c r="AX123" i="5" s="1"/>
  <c r="AW153" i="5"/>
  <c r="AW81" i="5"/>
  <c r="AX81" i="5" s="1"/>
  <c r="N147" i="5"/>
  <c r="P147" i="5" s="1"/>
  <c r="N146" i="5"/>
  <c r="P146" i="5" s="1"/>
  <c r="N96" i="5"/>
  <c r="P96" i="5" s="1"/>
  <c r="N84" i="5"/>
  <c r="P84" i="5" s="1"/>
  <c r="N43" i="5"/>
  <c r="P43" i="5" s="1"/>
  <c r="N110" i="5"/>
  <c r="P110" i="5" s="1"/>
  <c r="N63" i="5"/>
  <c r="P63" i="5" s="1"/>
  <c r="N123" i="5"/>
  <c r="P123" i="5" s="1"/>
  <c r="N103" i="5"/>
  <c r="P103" i="5" s="1"/>
  <c r="N113" i="5"/>
  <c r="P113" i="5" s="1"/>
  <c r="N102" i="5"/>
  <c r="P102" i="5" s="1"/>
  <c r="N107" i="5"/>
  <c r="P107" i="5" s="1"/>
  <c r="N138" i="5"/>
  <c r="P138" i="5" s="1"/>
  <c r="AW50" i="5"/>
  <c r="AX50" i="5" s="1"/>
  <c r="AW96" i="5"/>
  <c r="AX96" i="5" s="1"/>
  <c r="N145" i="5"/>
  <c r="P145" i="5" s="1"/>
  <c r="N130" i="5"/>
  <c r="P130" i="5" s="1"/>
  <c r="N93" i="5"/>
  <c r="P93" i="5" s="1"/>
  <c r="AW93" i="5"/>
  <c r="AX93" i="5" s="1"/>
  <c r="AW71" i="5"/>
  <c r="AX71" i="5" s="1"/>
  <c r="AW59" i="5"/>
  <c r="AX59" i="5" s="1"/>
  <c r="N98" i="5"/>
  <c r="P98" i="5" s="1"/>
  <c r="N83" i="5"/>
  <c r="N151" i="5"/>
  <c r="AW148" i="5"/>
  <c r="AX148" i="5" s="1"/>
  <c r="AW114" i="5"/>
  <c r="AX114" i="5" s="1"/>
  <c r="AW103" i="5"/>
  <c r="AX103" i="5" s="1"/>
  <c r="AW58" i="5"/>
  <c r="AX58" i="5" s="1"/>
  <c r="AR141" i="5"/>
  <c r="AW141" i="5" s="1"/>
  <c r="AX141" i="5" s="1"/>
  <c r="BA141" i="5"/>
  <c r="Q141" i="5" s="1" a="1"/>
  <c r="Q141" i="5" s="1"/>
  <c r="N158" i="5"/>
  <c r="P158" i="5" s="1"/>
  <c r="N60" i="5"/>
  <c r="P60" i="5" s="1"/>
  <c r="N150" i="5"/>
  <c r="P150" i="5" s="1"/>
  <c r="N143" i="5"/>
  <c r="P143" i="5" s="1"/>
  <c r="N75" i="5"/>
  <c r="P75" i="5" s="1"/>
  <c r="N61" i="5"/>
  <c r="P61" i="5" s="1"/>
  <c r="N54" i="5"/>
  <c r="P54" i="5" s="1"/>
  <c r="AW80" i="5"/>
  <c r="AX80" i="5" s="1"/>
  <c r="N118" i="5"/>
  <c r="P118" i="5" s="1"/>
  <c r="N90" i="5"/>
  <c r="P90" i="5" s="1"/>
  <c r="N46" i="5"/>
  <c r="P46" i="5" s="1"/>
  <c r="BA153" i="5"/>
  <c r="Q153" i="5" s="1" a="1"/>
  <c r="Q153" i="5" s="1"/>
  <c r="BA42" i="5"/>
  <c r="Q42" i="5" s="1" a="1"/>
  <c r="Q42" i="5" s="1"/>
  <c r="BA151" i="5"/>
  <c r="Q151" i="5" s="1" a="1"/>
  <c r="Q151" i="5" s="1"/>
  <c r="AR151" i="5"/>
  <c r="AW139" i="5"/>
  <c r="AX139" i="5" s="1"/>
  <c r="BA127" i="5"/>
  <c r="Q127" i="5" s="1" a="1"/>
  <c r="Q127" i="5" s="1"/>
  <c r="AR127" i="5"/>
  <c r="AW127" i="5" s="1"/>
  <c r="AX127" i="5" s="1"/>
  <c r="BA115" i="5"/>
  <c r="Q115" i="5" s="1" a="1"/>
  <c r="Q115" i="5" s="1"/>
  <c r="BA103" i="5"/>
  <c r="Q103" i="5" s="1" a="1"/>
  <c r="Q103" i="5" s="1"/>
  <c r="AR103" i="5"/>
  <c r="AR91" i="5"/>
  <c r="AW91" i="5" s="1"/>
  <c r="AX91" i="5" s="1"/>
  <c r="BA91" i="5"/>
  <c r="Q91" i="5" s="1" a="1"/>
  <c r="Q91" i="5" s="1"/>
  <c r="BA79" i="5"/>
  <c r="Q79" i="5" s="1" a="1"/>
  <c r="Q79" i="5" s="1"/>
  <c r="AR67" i="5"/>
  <c r="AW67" i="5" s="1"/>
  <c r="AX67" i="5" s="1"/>
  <c r="BA67" i="5"/>
  <c r="Q67" i="5" s="1" a="1"/>
  <c r="Q67" i="5" s="1"/>
  <c r="N81" i="5"/>
  <c r="N45" i="5"/>
  <c r="P45" i="5" s="1"/>
  <c r="AW100" i="5"/>
  <c r="AX100" i="5" s="1"/>
  <c r="AW66" i="5"/>
  <c r="AX66" i="5" s="1"/>
  <c r="AR126" i="5"/>
  <c r="AW126" i="5" s="1"/>
  <c r="AX126" i="5" s="1"/>
  <c r="BA126" i="5"/>
  <c r="Q126" i="5" s="1" a="1"/>
  <c r="Q126" i="5" s="1"/>
  <c r="AR114" i="5"/>
  <c r="BA114" i="5"/>
  <c r="Q114" i="5" s="1" a="1"/>
  <c r="Q114" i="5" s="1"/>
  <c r="AR66" i="5"/>
  <c r="BA66" i="5"/>
  <c r="Q66" i="5" s="1" a="1"/>
  <c r="Q66" i="5" s="1"/>
  <c r="N105" i="5"/>
  <c r="P105" i="5" s="1"/>
  <c r="N73" i="5"/>
  <c r="P73" i="5" s="1"/>
  <c r="N97" i="5"/>
  <c r="P97" i="5" s="1"/>
  <c r="N67" i="5"/>
  <c r="P67" i="5" s="1"/>
  <c r="N52" i="5"/>
  <c r="P52" i="5" s="1"/>
  <c r="AW77" i="5"/>
  <c r="AX77" i="5" s="1"/>
  <c r="AW65" i="5"/>
  <c r="AX65" i="5" s="1"/>
  <c r="AW53" i="5"/>
  <c r="AX53" i="5" s="1"/>
  <c r="N50" i="5"/>
  <c r="P50" i="5" s="1"/>
  <c r="N126" i="5"/>
  <c r="P126" i="5" s="1"/>
  <c r="N111" i="5"/>
  <c r="P111" i="5" s="1"/>
  <c r="N66" i="5"/>
  <c r="P66" i="5" s="1"/>
  <c r="AW132" i="5"/>
  <c r="AX132" i="5" s="1"/>
  <c r="AW121" i="5"/>
  <c r="AX121" i="5" s="1"/>
  <c r="AW98" i="5"/>
  <c r="AX98" i="5" s="1"/>
  <c r="AW76" i="5"/>
  <c r="AX76" i="5" s="1"/>
  <c r="AR79" i="5"/>
  <c r="AW79" i="5" s="1"/>
  <c r="AX79" i="5" s="1"/>
  <c r="N87" i="5"/>
  <c r="P87" i="5" s="1"/>
  <c r="N58" i="5"/>
  <c r="P58" i="5" s="1"/>
  <c r="N117" i="5"/>
  <c r="P117" i="5" s="1"/>
  <c r="N79" i="5"/>
  <c r="P79" i="5" s="1"/>
  <c r="AW40" i="5"/>
  <c r="AX40" i="5" s="1"/>
  <c r="BA158" i="5"/>
  <c r="Q158" i="5" s="1" a="1"/>
  <c r="Q158" i="5" s="1"/>
  <c r="AR158" i="5"/>
  <c r="AW158" i="5" s="1"/>
  <c r="AX158" i="5" s="1"/>
  <c r="N153" i="5"/>
  <c r="P153" i="5" s="1"/>
  <c r="N139" i="5"/>
  <c r="P139" i="5" s="1"/>
  <c r="N116" i="5"/>
  <c r="P116" i="5" s="1"/>
  <c r="N109" i="5"/>
  <c r="P109" i="5" s="1"/>
  <c r="N78" i="5"/>
  <c r="P78" i="5" s="1"/>
  <c r="BA93" i="5"/>
  <c r="Q93" i="5" s="1" a="1"/>
  <c r="Q93" i="5" s="1"/>
  <c r="AW137" i="5"/>
  <c r="AX137" i="5" s="1"/>
  <c r="AW149" i="5"/>
  <c r="AX149" i="5" s="1"/>
  <c r="AW138" i="5"/>
  <c r="AX138" i="5" s="1"/>
  <c r="AW115" i="5"/>
  <c r="AX115" i="5" s="1"/>
  <c r="AW92" i="5"/>
  <c r="AX92" i="5" s="1"/>
  <c r="BA157" i="5"/>
  <c r="Q157" i="5" s="1" a="1"/>
  <c r="Q157" i="5" s="1"/>
  <c r="BA133" i="5"/>
  <c r="Q133" i="5" s="1" a="1"/>
  <c r="Q133" i="5" s="1"/>
  <c r="BA85" i="5"/>
  <c r="Q85" i="5" s="1" a="1"/>
  <c r="Q85" i="5" s="1"/>
  <c r="BA73" i="5"/>
  <c r="Q73" i="5" s="1" a="1"/>
  <c r="Q73" i="5" s="1"/>
  <c r="BA49" i="5"/>
  <c r="Q49" i="5" s="1" a="1"/>
  <c r="Q49" i="5" s="1"/>
  <c r="AR155" i="5"/>
  <c r="AW147" i="5"/>
  <c r="AX147" i="5" s="1"/>
  <c r="AW113" i="5"/>
  <c r="AX113" i="5" s="1"/>
  <c r="AW102" i="5"/>
  <c r="AX102" i="5" s="1"/>
  <c r="BA132" i="5"/>
  <c r="Q132" i="5" s="1" a="1"/>
  <c r="Q132" i="5" s="1"/>
  <c r="BA108" i="5"/>
  <c r="Q108" i="5" s="1" a="1"/>
  <c r="Q108" i="5" s="1"/>
  <c r="BA84" i="5"/>
  <c r="Q84" i="5" s="1" a="1"/>
  <c r="Q84" i="5" s="1"/>
  <c r="BA60" i="5"/>
  <c r="Q60" i="5" s="1" a="1"/>
  <c r="Q60" i="5" s="1"/>
  <c r="BA48" i="5"/>
  <c r="Q48" i="5" s="1" a="1"/>
  <c r="Q48" i="5" s="1"/>
  <c r="AW157" i="5"/>
  <c r="AX157" i="5" s="1"/>
  <c r="AW146" i="5"/>
  <c r="AX146" i="5" s="1"/>
  <c r="AW135" i="5"/>
  <c r="AX135" i="5" s="1"/>
  <c r="AW112" i="5"/>
  <c r="AX112" i="5" s="1"/>
  <c r="AW101" i="5"/>
  <c r="AX101" i="5" s="1"/>
  <c r="AW90" i="5"/>
  <c r="AX90" i="5" s="1"/>
  <c r="BA154" i="5"/>
  <c r="Q154" i="5" s="1" a="1"/>
  <c r="Q154" i="5" s="1"/>
  <c r="BA106" i="5"/>
  <c r="Q106" i="5" s="1" a="1"/>
  <c r="Q106" i="5" s="1"/>
  <c r="AR107" i="5"/>
  <c r="AW107" i="5" s="1"/>
  <c r="AX107" i="5" s="1"/>
  <c r="AW110" i="5"/>
  <c r="AX110" i="5" s="1"/>
  <c r="AW99" i="5"/>
  <c r="AX99" i="5" s="1"/>
  <c r="BA129" i="5"/>
  <c r="Q129" i="5" s="1" a="1"/>
  <c r="Q129" i="5" s="1"/>
  <c r="BA152" i="5"/>
  <c r="Q152" i="5" s="1" a="1"/>
  <c r="Q152" i="5" s="1"/>
  <c r="BA140" i="5"/>
  <c r="Q140" i="5" s="1" a="1"/>
  <c r="Q140" i="5" s="1"/>
  <c r="AR131" i="5"/>
  <c r="AW131" i="5" s="1"/>
  <c r="AX131" i="5" s="1"/>
  <c r="AW108" i="5"/>
  <c r="AX108" i="5" s="1"/>
  <c r="AW95" i="5"/>
  <c r="AX95" i="5" s="1"/>
  <c r="AW51" i="5"/>
  <c r="AX51" i="5" s="1"/>
  <c r="AW41" i="5"/>
  <c r="AX41" i="5" s="1"/>
  <c r="AW151" i="5"/>
  <c r="AX151" i="5" s="1"/>
  <c r="AW128" i="5"/>
  <c r="AX128" i="5" s="1"/>
  <c r="AW117" i="5"/>
  <c r="AX117" i="5" s="1"/>
  <c r="AW106" i="5"/>
  <c r="AX106" i="5" s="1"/>
  <c r="BA40" i="5"/>
  <c r="Q40" i="5" s="1" a="1"/>
  <c r="Q40" i="5" s="1"/>
  <c r="BA111" i="5"/>
  <c r="Q111" i="5" s="1" a="1"/>
  <c r="Q111" i="5" s="1"/>
  <c r="BA87" i="5"/>
  <c r="Q87" i="5" s="1" a="1"/>
  <c r="Q87" i="5" s="1"/>
  <c r="BA63" i="5"/>
  <c r="Q63" i="5" s="1" a="1"/>
  <c r="Q63" i="5" s="1"/>
  <c r="BE14" i="6"/>
  <c r="AK14" i="6" s="1" a="1"/>
  <c r="AK14" i="6" s="1"/>
  <c r="BE31" i="6"/>
  <c r="AK31" i="6" s="1" a="1"/>
  <c r="AK31" i="6" s="1"/>
  <c r="BE73" i="6"/>
  <c r="AK73" i="6" s="1" a="1"/>
  <c r="AK73" i="6" s="1"/>
  <c r="BE10" i="6"/>
  <c r="AK10" i="6" s="1" a="1"/>
  <c r="AK10" i="6" s="1"/>
  <c r="BE7" i="6"/>
  <c r="AK7" i="6" s="1" a="1"/>
  <c r="AK7" i="6" s="1"/>
  <c r="BE158" i="6"/>
  <c r="AK158" i="6" s="1" a="1"/>
  <c r="AK158" i="6" s="1"/>
  <c r="AM132" i="6"/>
  <c r="AN132" i="6" s="1"/>
  <c r="BE92" i="6"/>
  <c r="AK92" i="6" s="1" a="1"/>
  <c r="AK92" i="6" s="1"/>
  <c r="BE124" i="6"/>
  <c r="AK124" i="6" s="1" a="1"/>
  <c r="AK124" i="6" s="1"/>
  <c r="BE67" i="6"/>
  <c r="AK67" i="6" s="1" a="1"/>
  <c r="AK67" i="6" s="1"/>
  <c r="BE22" i="6"/>
  <c r="AK22" i="6" s="1" a="1"/>
  <c r="AK22" i="6" s="1"/>
  <c r="BE151" i="6"/>
  <c r="AK151" i="6" s="1" a="1"/>
  <c r="AK151" i="6" s="1"/>
  <c r="BE117" i="6"/>
  <c r="AK117" i="6" s="1" a="1"/>
  <c r="AK117" i="6" s="1"/>
  <c r="BE51" i="6"/>
  <c r="AK51" i="6" s="1" a="1"/>
  <c r="AK51" i="6" s="1"/>
  <c r="BE40" i="6"/>
  <c r="AK40" i="6" s="1" a="1"/>
  <c r="AK40" i="6" s="1"/>
  <c r="BE15" i="6"/>
  <c r="AK15" i="6" s="1" a="1"/>
  <c r="AK15" i="6" s="1"/>
  <c r="AM60" i="6"/>
  <c r="AQ60" i="6" s="1"/>
  <c r="R60" i="6" s="1" a="1"/>
  <c r="R60" i="6" s="1"/>
  <c r="BE148" i="6"/>
  <c r="AK148" i="6" s="1" a="1"/>
  <c r="AK148" i="6" s="1"/>
  <c r="BE136" i="6"/>
  <c r="AK136" i="6" s="1" a="1"/>
  <c r="AK136" i="6" s="1"/>
  <c r="BE126" i="6"/>
  <c r="AK126" i="6" s="1" a="1"/>
  <c r="AK126" i="6" s="1"/>
  <c r="BE104" i="6"/>
  <c r="AK104" i="6" s="1" a="1"/>
  <c r="AK104" i="6" s="1"/>
  <c r="BE93" i="6"/>
  <c r="AK93" i="6" s="1" a="1"/>
  <c r="AK93" i="6" s="1"/>
  <c r="BE81" i="6"/>
  <c r="AK81" i="6" s="1" a="1"/>
  <c r="AK81" i="6" s="1"/>
  <c r="BE70" i="6"/>
  <c r="AK70" i="6" s="1" a="1"/>
  <c r="AK70" i="6" s="1"/>
  <c r="BE38" i="6"/>
  <c r="AK38" i="6" s="1" a="1"/>
  <c r="AK38" i="6" s="1"/>
  <c r="O148" i="6"/>
  <c r="Q148" i="6" s="1"/>
  <c r="BE56" i="6"/>
  <c r="AK56" i="6" s="1" a="1"/>
  <c r="AK56" i="6" s="1"/>
  <c r="BE21" i="6"/>
  <c r="AK21" i="6" s="1" a="1"/>
  <c r="AK21" i="6" s="1"/>
  <c r="BE110" i="6"/>
  <c r="AK110" i="6" s="1" a="1"/>
  <c r="AK110" i="6" s="1"/>
  <c r="BE55" i="6"/>
  <c r="AK55" i="6" s="1" a="1"/>
  <c r="AK55" i="6" s="1"/>
  <c r="BE20" i="6"/>
  <c r="AK20" i="6" s="1" a="1"/>
  <c r="AK20" i="6" s="1"/>
  <c r="BE153" i="6"/>
  <c r="AK153" i="6" s="1" a="1"/>
  <c r="AK153" i="6" s="1"/>
  <c r="BE142" i="6"/>
  <c r="AK142" i="6" s="1" a="1"/>
  <c r="AK142" i="6" s="1"/>
  <c r="BE87" i="6"/>
  <c r="AK87" i="6" s="1" a="1"/>
  <c r="AK87" i="6" s="1"/>
  <c r="BE75" i="6"/>
  <c r="AK75" i="6" s="1" a="1"/>
  <c r="AK75" i="6" s="1"/>
  <c r="BE54" i="6"/>
  <c r="AK54" i="6" s="1" a="1"/>
  <c r="AK54" i="6" s="1"/>
  <c r="BE43" i="6"/>
  <c r="AK43" i="6" s="1" a="1"/>
  <c r="AK43" i="6" s="1"/>
  <c r="BE5" i="6"/>
  <c r="AK5" i="6" s="1" a="1"/>
  <c r="AK5" i="6" s="1"/>
  <c r="BE114" i="6"/>
  <c r="AK114" i="6" s="1" a="1"/>
  <c r="AK114" i="6" s="1"/>
  <c r="BE146" i="6"/>
  <c r="AK146" i="6" s="1" a="1"/>
  <c r="AK146" i="6" s="1"/>
  <c r="BE134" i="6"/>
  <c r="AK134" i="6" s="1" a="1"/>
  <c r="AK134" i="6" s="1"/>
  <c r="BE68" i="6"/>
  <c r="AK68" i="6" s="1" a="1"/>
  <c r="AK68" i="6" s="1"/>
  <c r="BE122" i="6"/>
  <c r="AK122" i="6" s="1" a="1"/>
  <c r="AK122" i="6" s="1"/>
  <c r="BE89" i="6"/>
  <c r="AK89" i="6" s="1" a="1"/>
  <c r="AK89" i="6" s="1"/>
  <c r="BE66" i="6"/>
  <c r="AK66" i="6" s="1" a="1"/>
  <c r="AK66" i="6" s="1"/>
  <c r="BE34" i="6"/>
  <c r="AK34" i="6" s="1" a="1"/>
  <c r="AK34" i="6" s="1"/>
  <c r="O120" i="6"/>
  <c r="BE154" i="6"/>
  <c r="AK154" i="6" s="1" a="1"/>
  <c r="AK154" i="6" s="1"/>
  <c r="BE88" i="6"/>
  <c r="AK88" i="6" s="1" a="1"/>
  <c r="AK88" i="6" s="1"/>
  <c r="BE65" i="6"/>
  <c r="AK65" i="6" s="1" a="1"/>
  <c r="AK65" i="6" s="1"/>
  <c r="BE33" i="6"/>
  <c r="AK33" i="6" s="1" a="1"/>
  <c r="AK33" i="6" s="1"/>
  <c r="BE152" i="6"/>
  <c r="AK152" i="6" s="1" a="1"/>
  <c r="AK152" i="6" s="1"/>
  <c r="BE130" i="6"/>
  <c r="AK130" i="6" s="1" a="1"/>
  <c r="AK130" i="6" s="1"/>
  <c r="BE109" i="6"/>
  <c r="AK109" i="6" s="1" a="1"/>
  <c r="AK109" i="6" s="1"/>
  <c r="BE98" i="6"/>
  <c r="AK98" i="6" s="1" a="1"/>
  <c r="AK98" i="6" s="1"/>
  <c r="BE74" i="6"/>
  <c r="AK74" i="6" s="1" a="1"/>
  <c r="AK74" i="6" s="1"/>
  <c r="BE25" i="6"/>
  <c r="AK25" i="6" s="1" a="1"/>
  <c r="AK25" i="6" s="1"/>
  <c r="BE69" i="6"/>
  <c r="AK69" i="6" s="1" a="1"/>
  <c r="AK69" i="6" s="1"/>
  <c r="BE13" i="6"/>
  <c r="AK13" i="6" s="1" a="1"/>
  <c r="AK13" i="6" s="1"/>
  <c r="AM53" i="6"/>
  <c r="BE113" i="6"/>
  <c r="AK113" i="6" s="1" a="1"/>
  <c r="AK113" i="6" s="1"/>
  <c r="BE91" i="6"/>
  <c r="AK91" i="6" s="1" a="1"/>
  <c r="AK91" i="6" s="1"/>
  <c r="BE57" i="6"/>
  <c r="AK57" i="6" s="1" a="1"/>
  <c r="AK57" i="6" s="1"/>
  <c r="BE27" i="6"/>
  <c r="AK27" i="6" s="1" a="1"/>
  <c r="AK27" i="6" s="1"/>
  <c r="BE12" i="6"/>
  <c r="AK12" i="6" s="1" a="1"/>
  <c r="AK12" i="6" s="1"/>
  <c r="BE90" i="6"/>
  <c r="AK90" i="6" s="1" a="1"/>
  <c r="AK90" i="6" s="1"/>
  <c r="BE26" i="6"/>
  <c r="AK26" i="6" s="1" a="1"/>
  <c r="AK26" i="6" s="1"/>
  <c r="BE11" i="6"/>
  <c r="AK11" i="6" s="1" a="1"/>
  <c r="AK11" i="6" s="1"/>
  <c r="BE133" i="6"/>
  <c r="AK133" i="6" s="1" a="1"/>
  <c r="AK133" i="6" s="1"/>
  <c r="BE45" i="6"/>
  <c r="AK45" i="6" s="1" a="1"/>
  <c r="AK45" i="6" s="1"/>
  <c r="O132" i="6"/>
  <c r="Q132" i="6" s="1"/>
  <c r="BE100" i="6"/>
  <c r="AK100" i="6" s="1" a="1"/>
  <c r="AK100" i="6" s="1"/>
  <c r="BE76" i="6"/>
  <c r="AK76" i="6" s="1" a="1"/>
  <c r="AK76" i="6" s="1"/>
  <c r="BE44" i="6"/>
  <c r="AK44" i="6" s="1" a="1"/>
  <c r="AK44" i="6" s="1"/>
  <c r="BE19" i="6"/>
  <c r="AK19" i="6" s="1" a="1"/>
  <c r="AK19" i="6" s="1"/>
  <c r="BE86" i="6"/>
  <c r="AK86" i="6" s="1" a="1"/>
  <c r="AK86" i="6" s="1"/>
  <c r="BE18" i="6"/>
  <c r="AK18" i="6" s="1" a="1"/>
  <c r="AK18" i="6" s="1"/>
  <c r="BE9" i="6"/>
  <c r="AK9" i="6" s="1" a="1"/>
  <c r="AK9" i="6" s="1"/>
  <c r="BE140" i="6"/>
  <c r="AK140" i="6" s="1" a="1"/>
  <c r="AK140" i="6" s="1"/>
  <c r="BE129" i="6"/>
  <c r="AK129" i="6" s="1" a="1"/>
  <c r="AK129" i="6" s="1"/>
  <c r="BE118" i="6"/>
  <c r="AK118" i="6" s="1" a="1"/>
  <c r="AK118" i="6" s="1"/>
  <c r="BE97" i="6"/>
  <c r="AK97" i="6" s="1" a="1"/>
  <c r="AK97" i="6" s="1"/>
  <c r="BE85" i="6"/>
  <c r="AK85" i="6" s="1" a="1"/>
  <c r="AK85" i="6" s="1"/>
  <c r="BE63" i="6"/>
  <c r="AK63" i="6" s="1" a="1"/>
  <c r="AK63" i="6" s="1"/>
  <c r="BE41" i="6"/>
  <c r="AK41" i="6" s="1" a="1"/>
  <c r="AK41" i="6" s="1"/>
  <c r="BE58" i="6"/>
  <c r="AK58" i="6" s="1" a="1"/>
  <c r="AK58" i="6" s="1"/>
  <c r="BE37" i="6"/>
  <c r="AK37" i="6" s="1" a="1"/>
  <c r="AK37" i="6" s="1"/>
  <c r="BE24" i="6"/>
  <c r="AK24" i="6" s="1" a="1"/>
  <c r="AK24" i="6" s="1"/>
  <c r="BE157" i="6"/>
  <c r="AK157" i="6" s="1" a="1"/>
  <c r="AK157" i="6" s="1"/>
  <c r="BE79" i="6"/>
  <c r="AK79" i="6" s="1" a="1"/>
  <c r="AK79" i="6" s="1"/>
  <c r="BE23" i="6"/>
  <c r="AK23" i="6" s="1" a="1"/>
  <c r="AK23" i="6" s="1"/>
  <c r="BE112" i="6"/>
  <c r="AK112" i="6" s="1" a="1"/>
  <c r="AK112" i="6" s="1"/>
  <c r="BE17" i="6"/>
  <c r="AK17" i="6" s="1" a="1"/>
  <c r="AK17" i="6" s="1"/>
  <c r="BE16" i="6"/>
  <c r="AK16" i="6" s="1" a="1"/>
  <c r="AK16" i="6" s="1"/>
  <c r="BE150" i="6"/>
  <c r="AK150" i="6" s="1" a="1"/>
  <c r="AK150" i="6" s="1"/>
  <c r="BE138" i="6"/>
  <c r="AK138" i="6" s="1" a="1"/>
  <c r="AK138" i="6" s="1"/>
  <c r="BE106" i="6"/>
  <c r="AK106" i="6" s="1" a="1"/>
  <c r="AK106" i="6" s="1"/>
  <c r="BE61" i="6"/>
  <c r="AK61" i="6" s="1" a="1"/>
  <c r="AK61" i="6" s="1"/>
  <c r="BE50" i="6"/>
  <c r="AK50" i="6" s="1" a="1"/>
  <c r="AK50" i="6" s="1"/>
  <c r="BE8" i="6"/>
  <c r="AK8" i="6" s="1" a="1"/>
  <c r="AK8" i="6" s="1"/>
  <c r="BE128" i="6"/>
  <c r="AK128" i="6" s="1" a="1"/>
  <c r="AK128" i="6" s="1"/>
  <c r="BE96" i="6"/>
  <c r="AK96" i="6" s="1" a="1"/>
  <c r="AK96" i="6" s="1"/>
  <c r="BE137" i="6"/>
  <c r="AK137" i="6" s="1" a="1"/>
  <c r="AK137" i="6" s="1"/>
  <c r="BE127" i="6"/>
  <c r="AK127" i="6" s="1" a="1"/>
  <c r="AK127" i="6" s="1"/>
  <c r="BE105" i="6"/>
  <c r="AK105" i="6" s="1" a="1"/>
  <c r="AK105" i="6" s="1"/>
  <c r="BE82" i="6"/>
  <c r="AK82" i="6" s="1" a="1"/>
  <c r="AK82" i="6" s="1"/>
  <c r="BE71" i="6"/>
  <c r="AK71" i="6" s="1" a="1"/>
  <c r="AK71" i="6" s="1"/>
  <c r="BE49" i="6"/>
  <c r="AK49" i="6" s="1" a="1"/>
  <c r="AK49" i="6" s="1"/>
  <c r="BE39" i="6"/>
  <c r="AK39" i="6" s="1" a="1"/>
  <c r="AK39" i="6" s="1"/>
  <c r="AM42" i="6"/>
  <c r="O136" i="6"/>
  <c r="Q136" i="6" s="1"/>
  <c r="O124" i="6"/>
  <c r="Q124" i="6" s="1"/>
  <c r="O76" i="6"/>
  <c r="Q76" i="6" s="1"/>
  <c r="O64" i="6"/>
  <c r="Q64" i="6" s="1"/>
  <c r="O40" i="6"/>
  <c r="Q40" i="6" s="1"/>
  <c r="AM141" i="6"/>
  <c r="AQ141" i="6" s="1"/>
  <c r="R141" i="6" s="1" a="1"/>
  <c r="R141" i="6" s="1"/>
  <c r="O158" i="6"/>
  <c r="Q158" i="6" s="1"/>
  <c r="O122" i="6"/>
  <c r="Q122" i="6" s="1"/>
  <c r="AM99" i="6"/>
  <c r="AN99" i="6" s="1"/>
  <c r="O144" i="6"/>
  <c r="Q144" i="6" s="1"/>
  <c r="O96" i="6"/>
  <c r="Q96" i="6" s="1"/>
  <c r="O72" i="6"/>
  <c r="Q72" i="6" s="1"/>
  <c r="O60" i="6"/>
  <c r="Q60" i="6" s="1"/>
  <c r="O48" i="6"/>
  <c r="Q48" i="6" s="1"/>
  <c r="AM125" i="6"/>
  <c r="AN125" i="6" s="1"/>
  <c r="AM95" i="6"/>
  <c r="AQ95" i="6" s="1"/>
  <c r="R95" i="6" s="1" a="1"/>
  <c r="R95" i="6" s="1"/>
  <c r="O157" i="6"/>
  <c r="Q157" i="6" s="1"/>
  <c r="AM83" i="6"/>
  <c r="AN83" i="6" s="1"/>
  <c r="O61" i="6"/>
  <c r="Q61" i="6" s="1"/>
  <c r="AM102" i="6"/>
  <c r="AQ102" i="6" s="1"/>
  <c r="R102" i="6" s="1" a="1"/>
  <c r="R102" i="6" s="1"/>
  <c r="AM149" i="6"/>
  <c r="AN149" i="6" s="1"/>
  <c r="AM120" i="6"/>
  <c r="AQ120" i="6" s="1"/>
  <c r="R120" i="6" s="1" a="1"/>
  <c r="R120" i="6" s="1"/>
  <c r="O99" i="6"/>
  <c r="Q99" i="6" s="1"/>
  <c r="O145" i="6"/>
  <c r="Q145" i="6" s="1"/>
  <c r="AM64" i="6"/>
  <c r="AQ64" i="6" s="1"/>
  <c r="R64" i="6" s="1" a="1"/>
  <c r="R64" i="6" s="1"/>
  <c r="O146" i="6"/>
  <c r="Q146" i="6" s="1"/>
  <c r="AM156" i="6"/>
  <c r="AN156" i="6" s="1"/>
  <c r="AM123" i="6"/>
  <c r="AQ123" i="6" s="1"/>
  <c r="R123" i="6" s="1" a="1"/>
  <c r="R123" i="6" s="1"/>
  <c r="AM48" i="6"/>
  <c r="AQ48" i="6" s="1"/>
  <c r="R48" i="6" s="1" a="1"/>
  <c r="R48" i="6" s="1"/>
  <c r="O131" i="6"/>
  <c r="Q131" i="6" s="1"/>
  <c r="O119" i="6"/>
  <c r="Q119" i="6" s="1"/>
  <c r="O107" i="6"/>
  <c r="Q107" i="6" s="1"/>
  <c r="O95" i="6"/>
  <c r="O59" i="6"/>
  <c r="Q59" i="6" s="1"/>
  <c r="O47" i="6"/>
  <c r="Q47" i="6" s="1"/>
  <c r="AM155" i="6"/>
  <c r="AN155" i="6" s="1"/>
  <c r="AM84" i="6"/>
  <c r="AN84" i="6" s="1"/>
  <c r="AM47" i="6"/>
  <c r="AN47" i="6" s="1"/>
  <c r="O118" i="6"/>
  <c r="Q118" i="6" s="1"/>
  <c r="O106" i="6"/>
  <c r="Q106" i="6" s="1"/>
  <c r="O94" i="6"/>
  <c r="Q94" i="6" s="1"/>
  <c r="O58" i="6"/>
  <c r="Q58" i="6" s="1"/>
  <c r="O46" i="6"/>
  <c r="Q46" i="6" s="1"/>
  <c r="AM46" i="6"/>
  <c r="AN46" i="6" s="1"/>
  <c r="O129" i="6"/>
  <c r="Q129" i="6" s="1"/>
  <c r="O105" i="6"/>
  <c r="Q105" i="6" s="1"/>
  <c r="O57" i="6"/>
  <c r="Q57" i="6" s="1"/>
  <c r="AM147" i="6"/>
  <c r="AN147" i="6" s="1"/>
  <c r="AM119" i="6"/>
  <c r="AN119" i="6" s="1"/>
  <c r="AM80" i="6"/>
  <c r="AQ80" i="6" s="1"/>
  <c r="R80" i="6" s="1" a="1"/>
  <c r="R80" i="6" s="1"/>
  <c r="O116" i="6"/>
  <c r="Q116" i="6" s="1"/>
  <c r="O92" i="6"/>
  <c r="Q92" i="6" s="1"/>
  <c r="AM145" i="6"/>
  <c r="AN145" i="6" s="1"/>
  <c r="AM115" i="6"/>
  <c r="AN115" i="6" s="1"/>
  <c r="AM78" i="6"/>
  <c r="AQ78" i="6" s="1"/>
  <c r="R78" i="6" s="1" a="1"/>
  <c r="R78" i="6" s="1"/>
  <c r="AM52" i="6"/>
  <c r="AN52" i="6" s="1"/>
  <c r="O151" i="6"/>
  <c r="Q151" i="6" s="1"/>
  <c r="O139" i="6"/>
  <c r="Q139" i="6" s="1"/>
  <c r="O127" i="6"/>
  <c r="Q127" i="6" s="1"/>
  <c r="O103" i="6"/>
  <c r="Q103" i="6" s="1"/>
  <c r="O91" i="6"/>
  <c r="Q91" i="6" s="1"/>
  <c r="O79" i="6"/>
  <c r="Q79" i="6" s="1"/>
  <c r="O67" i="6"/>
  <c r="Q67" i="6" s="1"/>
  <c r="AM144" i="6"/>
  <c r="AQ144" i="6" s="1"/>
  <c r="R144" i="6" s="1" a="1"/>
  <c r="R144" i="6" s="1"/>
  <c r="AM108" i="6"/>
  <c r="AQ108" i="6" s="1"/>
  <c r="R108" i="6" s="1" a="1"/>
  <c r="R108" i="6" s="1"/>
  <c r="O150" i="6"/>
  <c r="Q150" i="6" s="1"/>
  <c r="O138" i="6"/>
  <c r="Q138" i="6" s="1"/>
  <c r="O126" i="6"/>
  <c r="Q126" i="6" s="1"/>
  <c r="O102" i="6"/>
  <c r="Q102" i="6" s="1"/>
  <c r="O90" i="6"/>
  <c r="Q90" i="6" s="1"/>
  <c r="O78" i="6"/>
  <c r="Q78" i="6" s="1"/>
  <c r="O66" i="6"/>
  <c r="Q66" i="6" s="1"/>
  <c r="O42" i="6"/>
  <c r="Q42" i="6" s="1"/>
  <c r="AM143" i="6"/>
  <c r="AN143" i="6" s="1"/>
  <c r="AM107" i="6"/>
  <c r="AN107" i="6" s="1"/>
  <c r="AM72" i="6"/>
  <c r="AN72" i="6" s="1"/>
  <c r="O149" i="6"/>
  <c r="Q149" i="6" s="1"/>
  <c r="O137" i="6"/>
  <c r="Q137" i="6" s="1"/>
  <c r="O77" i="6"/>
  <c r="Q77" i="6" s="1"/>
  <c r="O65" i="6"/>
  <c r="Q65" i="6" s="1"/>
  <c r="O53" i="6"/>
  <c r="Q53" i="6" s="1"/>
  <c r="O41" i="6"/>
  <c r="Q41" i="6" s="1"/>
  <c r="BA146" i="5"/>
  <c r="Q146" i="5" s="1" a="1"/>
  <c r="Q146" i="5" s="1"/>
  <c r="BA134" i="5"/>
  <c r="Q134" i="5" s="1" a="1"/>
  <c r="Q134" i="5" s="1"/>
  <c r="BA122" i="5"/>
  <c r="Q122" i="5" s="1" a="1"/>
  <c r="Q122" i="5" s="1"/>
  <c r="BA110" i="5"/>
  <c r="Q110" i="5" s="1" a="1"/>
  <c r="Q110" i="5" s="1"/>
  <c r="BA74" i="5"/>
  <c r="Q74" i="5" s="1" a="1"/>
  <c r="Q74" i="5" s="1"/>
  <c r="BA62" i="5"/>
  <c r="Q62" i="5" s="1" a="1"/>
  <c r="Q62" i="5" s="1"/>
  <c r="AR73" i="5"/>
  <c r="BA147" i="5"/>
  <c r="Q147" i="5" s="1" a="1"/>
  <c r="Q147" i="5" s="1"/>
  <c r="BA156" i="5"/>
  <c r="Q156" i="5" s="1" a="1"/>
  <c r="Q156" i="5" s="1"/>
  <c r="BA144" i="5"/>
  <c r="Q144" i="5" s="1" a="1"/>
  <c r="Q144" i="5" s="1"/>
  <c r="AR144" i="5"/>
  <c r="AW144" i="5" s="1"/>
  <c r="AX144" i="5" s="1"/>
  <c r="BA72" i="5"/>
  <c r="Q72" i="5" s="1" a="1"/>
  <c r="Q72" i="5" s="1"/>
  <c r="AR154" i="5"/>
  <c r="AW154" i="5" s="1"/>
  <c r="AX154" i="5" s="1"/>
  <c r="AR72" i="5"/>
  <c r="AW72" i="5" s="1"/>
  <c r="AX72" i="5" s="1"/>
  <c r="BA138" i="5"/>
  <c r="Q138" i="5" s="1" a="1"/>
  <c r="Q138" i="5" s="1"/>
  <c r="BA112" i="5"/>
  <c r="Q112" i="5" s="1" a="1"/>
  <c r="Q112" i="5" s="1"/>
  <c r="BA83" i="5"/>
  <c r="Q83" i="5" s="1" a="1"/>
  <c r="Q83" i="5" s="1"/>
  <c r="BA59" i="5"/>
  <c r="Q59" i="5" s="1" a="1"/>
  <c r="Q59" i="5" s="1"/>
  <c r="BA142" i="5"/>
  <c r="Q142" i="5" s="1" a="1"/>
  <c r="Q142" i="5" s="1"/>
  <c r="BA130" i="5"/>
  <c r="Q130" i="5" s="1" a="1"/>
  <c r="Q130" i="5" s="1"/>
  <c r="BA118" i="5"/>
  <c r="Q118" i="5" s="1" a="1"/>
  <c r="Q118" i="5" s="1"/>
  <c r="BA94" i="5"/>
  <c r="Q94" i="5" s="1" a="1"/>
  <c r="Q94" i="5" s="1"/>
  <c r="BA70" i="5"/>
  <c r="Q70" i="5" s="1" a="1"/>
  <c r="Q70" i="5" s="1"/>
  <c r="BA58" i="5"/>
  <c r="Q58" i="5" s="1" a="1"/>
  <c r="Q58" i="5" s="1"/>
  <c r="BA117" i="5"/>
  <c r="Q117" i="5" s="1" a="1"/>
  <c r="Q117" i="5" s="1"/>
  <c r="BA123" i="5"/>
  <c r="Q123" i="5" s="1" a="1"/>
  <c r="Q123" i="5" s="1"/>
  <c r="AR52" i="5"/>
  <c r="BA81" i="5"/>
  <c r="Q81" i="5" s="1" a="1"/>
  <c r="Q81" i="5" s="1"/>
  <c r="BA54" i="5"/>
  <c r="Q54" i="5" s="1" a="1"/>
  <c r="Q54" i="5" s="1"/>
  <c r="AR63" i="5"/>
  <c r="AW63" i="5" s="1"/>
  <c r="AX63" i="5" s="1"/>
  <c r="AR86" i="5"/>
  <c r="AW86" i="5" s="1"/>
  <c r="AX86" i="5" s="1"/>
  <c r="BA148" i="5"/>
  <c r="Q148" i="5" s="1" a="1"/>
  <c r="Q148" i="5" s="1"/>
  <c r="BA82" i="5"/>
  <c r="Q82" i="5" s="1" a="1"/>
  <c r="Q82" i="5" s="1"/>
  <c r="AR143" i="5"/>
  <c r="AW143" i="5" s="1"/>
  <c r="AX143" i="5" s="1"/>
  <c r="AR64" i="5"/>
  <c r="AW64" i="5" s="1"/>
  <c r="AX64" i="5" s="1"/>
  <c r="BA78" i="5"/>
  <c r="Q78" i="5" s="1" a="1"/>
  <c r="Q78" i="5" s="1"/>
  <c r="BA47" i="5"/>
  <c r="Q47" i="5" s="1" a="1"/>
  <c r="Q47" i="5" s="1"/>
  <c r="AR111" i="5"/>
  <c r="AW111" i="5" s="1"/>
  <c r="AX111" i="5" s="1"/>
  <c r="BA128" i="5"/>
  <c r="Q128" i="5" s="1" a="1"/>
  <c r="Q128" i="5" s="1"/>
  <c r="BA116" i="5"/>
  <c r="Q116" i="5" s="1" a="1"/>
  <c r="Q116" i="5" s="1"/>
  <c r="BA104" i="5"/>
  <c r="Q104" i="5" s="1" a="1"/>
  <c r="Q104" i="5" s="1"/>
  <c r="BA92" i="5"/>
  <c r="Q92" i="5" s="1" a="1"/>
  <c r="Q92" i="5" s="1"/>
  <c r="BA80" i="5"/>
  <c r="Q80" i="5" s="1" a="1"/>
  <c r="Q80" i="5" s="1"/>
  <c r="BA68" i="5"/>
  <c r="Q68" i="5" s="1" a="1"/>
  <c r="Q68" i="5" s="1"/>
  <c r="O121" i="6"/>
  <c r="Q121" i="6" s="1"/>
  <c r="O43" i="6"/>
  <c r="Q43" i="6" s="1"/>
  <c r="O113" i="6"/>
  <c r="Q113" i="6" s="1"/>
  <c r="O154" i="6"/>
  <c r="Q154" i="6" s="1"/>
  <c r="O112" i="6"/>
  <c r="Q112" i="6" s="1"/>
  <c r="O147" i="6"/>
  <c r="Q147" i="6" s="1"/>
  <c r="O82" i="6"/>
  <c r="Q82" i="6" s="1"/>
  <c r="O89" i="6"/>
  <c r="Q89" i="6" s="1"/>
  <c r="O62" i="6"/>
  <c r="Q62" i="6" s="1"/>
  <c r="O55" i="6"/>
  <c r="Q55" i="6" s="1"/>
  <c r="O88" i="6"/>
  <c r="Q88" i="6" s="1"/>
  <c r="O54" i="6"/>
  <c r="Q54" i="6" s="1"/>
  <c r="O125" i="6"/>
  <c r="Q125" i="6" s="1"/>
  <c r="O109" i="6"/>
  <c r="Q109" i="6" s="1"/>
  <c r="O87" i="6"/>
  <c r="Q87" i="6" s="1"/>
  <c r="O108" i="6"/>
  <c r="Q108" i="6" s="1"/>
  <c r="O101" i="6"/>
  <c r="Q101" i="6" s="1"/>
  <c r="O100" i="6"/>
  <c r="Q100" i="6" s="1"/>
  <c r="AM121" i="6"/>
  <c r="AN121" i="6" s="1"/>
  <c r="AM135" i="6"/>
  <c r="AN135" i="6" s="1"/>
  <c r="AM94" i="6"/>
  <c r="AN94" i="6" s="1"/>
  <c r="AM62" i="6"/>
  <c r="AN62" i="6" s="1"/>
  <c r="AW68" i="5"/>
  <c r="AX68" i="5" s="1"/>
  <c r="AW94" i="5"/>
  <c r="AX94" i="5" s="1"/>
  <c r="AX153" i="5"/>
  <c r="AW97" i="5"/>
  <c r="AX97" i="5" s="1"/>
  <c r="AW83" i="5"/>
  <c r="AX83" i="5" s="1"/>
  <c r="AW129" i="5"/>
  <c r="AX129" i="5" s="1"/>
  <c r="AW145" i="5"/>
  <c r="AX145" i="5" s="1"/>
  <c r="AW142" i="5"/>
  <c r="AX142" i="5" s="1"/>
  <c r="AW48" i="5"/>
  <c r="AX48" i="5" s="1"/>
  <c r="AW119" i="5"/>
  <c r="AX119" i="5" s="1"/>
  <c r="AW73" i="5"/>
  <c r="AX73" i="5" s="1"/>
  <c r="AW118" i="5"/>
  <c r="AX118" i="5" s="1"/>
  <c r="AW52" i="5"/>
  <c r="AX52" i="5" s="1"/>
  <c r="AW84" i="5"/>
  <c r="AX84" i="5" s="1"/>
  <c r="AW46" i="5"/>
  <c r="AX46" i="5" s="1"/>
  <c r="AW74" i="5"/>
  <c r="AX74" i="5" s="1"/>
  <c r="AW155" i="5"/>
  <c r="AX155" i="5" s="1"/>
  <c r="AW47" i="5"/>
  <c r="AX47" i="5" s="1"/>
  <c r="AW82" i="5"/>
  <c r="AX82" i="5" s="1"/>
  <c r="G15" i="15"/>
  <c r="G16" i="15"/>
  <c r="Q86" i="6"/>
  <c r="Q49" i="6"/>
  <c r="Q123" i="6"/>
  <c r="Q63" i="6"/>
  <c r="O115" i="6"/>
  <c r="Q115" i="6" s="1"/>
  <c r="O45" i="6"/>
  <c r="Q45" i="6" s="1"/>
  <c r="O141" i="6"/>
  <c r="Q141" i="6" s="1"/>
  <c r="O114" i="6"/>
  <c r="Q114" i="6" s="1"/>
  <c r="O44" i="6"/>
  <c r="Q44" i="6" s="1"/>
  <c r="Q95" i="6"/>
  <c r="O98" i="6"/>
  <c r="Q98" i="6" s="1"/>
  <c r="O84" i="6"/>
  <c r="Q84" i="6" s="1"/>
  <c r="O70" i="6"/>
  <c r="Q70" i="6" s="1"/>
  <c r="O111" i="6"/>
  <c r="Q111" i="6" s="1"/>
  <c r="O104" i="6"/>
  <c r="Q104" i="6" s="1"/>
  <c r="O97" i="6"/>
  <c r="Q97" i="6" s="1"/>
  <c r="O83" i="6"/>
  <c r="Q83" i="6" s="1"/>
  <c r="Q120" i="6"/>
  <c r="O117" i="6"/>
  <c r="Q117" i="6" s="1"/>
  <c r="O130" i="6"/>
  <c r="Q130" i="6" s="1"/>
  <c r="O143" i="6"/>
  <c r="Q143" i="6" s="1"/>
  <c r="O52" i="6"/>
  <c r="Q52" i="6" s="1"/>
  <c r="O156" i="6"/>
  <c r="Q156" i="6" s="1"/>
  <c r="O142" i="6"/>
  <c r="Q142" i="6" s="1"/>
  <c r="O51" i="6"/>
  <c r="Q51" i="6" s="1"/>
  <c r="O155" i="6"/>
  <c r="Q155" i="6" s="1"/>
  <c r="O85" i="6"/>
  <c r="Q85" i="6" s="1"/>
  <c r="O71" i="6"/>
  <c r="Q71" i="6" s="1"/>
  <c r="O69" i="6"/>
  <c r="Q69" i="6" s="1"/>
  <c r="O56" i="6"/>
  <c r="Q56" i="6" s="1"/>
  <c r="O81" i="6"/>
  <c r="Q81" i="6" s="1"/>
  <c r="O68" i="6"/>
  <c r="Q68" i="6" s="1"/>
  <c r="O93" i="6"/>
  <c r="Q93" i="6" s="1"/>
  <c r="O128" i="6"/>
  <c r="Q128" i="6" s="1"/>
  <c r="O153" i="6"/>
  <c r="Q153" i="6" s="1"/>
  <c r="O140" i="6"/>
  <c r="Q140" i="6" s="1"/>
  <c r="O152" i="6"/>
  <c r="Q152" i="6" s="1"/>
  <c r="O80" i="6"/>
  <c r="Q80" i="6" s="1"/>
  <c r="AX75" i="5"/>
  <c r="BA97" i="5"/>
  <c r="Q97" i="5" s="1" a="1"/>
  <c r="Q97" i="5" s="1"/>
  <c r="BA96" i="5"/>
  <c r="Q96" i="5" s="1" a="1"/>
  <c r="Q96" i="5" s="1"/>
  <c r="BA145" i="5"/>
  <c r="Q145" i="5" s="1" a="1"/>
  <c r="Q145" i="5" s="1"/>
  <c r="AR88" i="5"/>
  <c r="AW88" i="5" s="1"/>
  <c r="AX88" i="5" s="1"/>
  <c r="AR49" i="5"/>
  <c r="AW49" i="5" s="1"/>
  <c r="AX49" i="5" s="1"/>
  <c r="BA109" i="5"/>
  <c r="Q109" i="5" s="1" a="1"/>
  <c r="Q109" i="5" s="1"/>
  <c r="BA61" i="5"/>
  <c r="Q61" i="5" s="1" a="1"/>
  <c r="Q61" i="5" s="1"/>
  <c r="BA98" i="5"/>
  <c r="Q98" i="5" s="1" a="1"/>
  <c r="Q98" i="5" s="1"/>
  <c r="BA50" i="5"/>
  <c r="Q50" i="5" s="1" a="1"/>
  <c r="Q50" i="5" s="1"/>
  <c r="AR157" i="5"/>
  <c r="AR140" i="5"/>
  <c r="AW140" i="5" s="1"/>
  <c r="AX140" i="5" s="1"/>
  <c r="AR124" i="5"/>
  <c r="AW124" i="5" s="1"/>
  <c r="AX124" i="5" s="1"/>
  <c r="AR104" i="5"/>
  <c r="AW104" i="5" s="1"/>
  <c r="AX104" i="5" s="1"/>
  <c r="AR87" i="5"/>
  <c r="AW87" i="5" s="1"/>
  <c r="AX87" i="5" s="1"/>
  <c r="AR85" i="5"/>
  <c r="AW85" i="5" s="1"/>
  <c r="AX85" i="5" s="1"/>
  <c r="AR136" i="5"/>
  <c r="AW136" i="5" s="1"/>
  <c r="AX136" i="5" s="1"/>
  <c r="AR100" i="5"/>
  <c r="BA121" i="5"/>
  <c r="Q121" i="5" s="1" a="1"/>
  <c r="Q121" i="5" s="1"/>
  <c r="AR133" i="5"/>
  <c r="AW133" i="5" s="1"/>
  <c r="AX133" i="5" s="1"/>
  <c r="BA135" i="5"/>
  <c r="Q135" i="5" s="1" a="1"/>
  <c r="Q135" i="5" s="1"/>
  <c r="BA120" i="5"/>
  <c r="Q120" i="5" s="1" a="1"/>
  <c r="Q120" i="5" s="1"/>
  <c r="AR105" i="5"/>
  <c r="AW105" i="5" s="1"/>
  <c r="AX105" i="5" s="1"/>
  <c r="BA105" i="5"/>
  <c r="Q105" i="5" s="1" a="1"/>
  <c r="Q105" i="5" s="1"/>
  <c r="AR69" i="5"/>
  <c r="AW69" i="5" s="1"/>
  <c r="AX69" i="5" s="1"/>
  <c r="BA69" i="5"/>
  <c r="Q69" i="5" s="1" a="1"/>
  <c r="Q69" i="5" s="1"/>
  <c r="AR57" i="5"/>
  <c r="AW57" i="5" s="1"/>
  <c r="AX57" i="5" s="1"/>
  <c r="BA57" i="5"/>
  <c r="Q57" i="5" s="1" a="1"/>
  <c r="Q57" i="5" s="1"/>
  <c r="BA45" i="5"/>
  <c r="Q45" i="5" s="1" a="1"/>
  <c r="Q45" i="5" s="1"/>
  <c r="AR45" i="5"/>
  <c r="AW45" i="5" s="1"/>
  <c r="AX45" i="5" s="1"/>
  <c r="AR56" i="5"/>
  <c r="AW56" i="5" s="1"/>
  <c r="AX56" i="5" s="1"/>
  <c r="BA56" i="5"/>
  <c r="Q56" i="5" s="1" a="1"/>
  <c r="Q56" i="5" s="1"/>
  <c r="BA44" i="5"/>
  <c r="Q44" i="5" s="1" a="1"/>
  <c r="Q44" i="5" s="1"/>
  <c r="AR44" i="5"/>
  <c r="AW44" i="5" s="1"/>
  <c r="AX44" i="5" s="1"/>
  <c r="BA51" i="5"/>
  <c r="Q51" i="5" s="1" a="1"/>
  <c r="Q51" i="5" s="1"/>
  <c r="P134" i="5"/>
  <c r="P99" i="5"/>
  <c r="P133" i="5"/>
  <c r="P44" i="5"/>
  <c r="P131" i="5"/>
  <c r="P83" i="5"/>
  <c r="P151" i="5"/>
  <c r="P81" i="5"/>
  <c r="N136" i="5"/>
  <c r="P136" i="5" s="1"/>
  <c r="P72" i="5"/>
  <c r="N156" i="5"/>
  <c r="P156" i="5" s="1"/>
  <c r="N142" i="5"/>
  <c r="P142" i="5" s="1"/>
  <c r="P119" i="5"/>
  <c r="N77" i="5"/>
  <c r="P77" i="5" s="1"/>
  <c r="N157" i="5"/>
  <c r="P157" i="5" s="1"/>
  <c r="N64" i="5"/>
  <c r="P64" i="5" s="1"/>
  <c r="P49" i="5"/>
  <c r="N155" i="5"/>
  <c r="P155" i="5" s="1"/>
  <c r="N104" i="5"/>
  <c r="P104" i="5" s="1"/>
  <c r="N148" i="5"/>
  <c r="P148" i="5" s="1"/>
  <c r="N89" i="5"/>
  <c r="P89" i="5" s="1"/>
  <c r="N76" i="5"/>
  <c r="P76" i="5" s="1"/>
  <c r="N140" i="5"/>
  <c r="P140" i="5" s="1"/>
  <c r="N88" i="5"/>
  <c r="P88" i="5" s="1"/>
  <c r="N68" i="5"/>
  <c r="P68" i="5" s="1"/>
  <c r="N152" i="5"/>
  <c r="P152" i="5" s="1"/>
  <c r="N100" i="5"/>
  <c r="P100" i="5" s="1"/>
  <c r="N80" i="5"/>
  <c r="P80" i="5" s="1"/>
  <c r="N41" i="5"/>
  <c r="P41" i="5" s="1"/>
  <c r="N128" i="5"/>
  <c r="P128" i="5" s="1"/>
  <c r="N56" i="5"/>
  <c r="P56" i="5" s="1"/>
  <c r="N112" i="5"/>
  <c r="P112" i="5" s="1"/>
  <c r="N92" i="5"/>
  <c r="P92" i="5" s="1"/>
  <c r="N53" i="5"/>
  <c r="P53" i="5" s="1"/>
  <c r="N40" i="5"/>
  <c r="P40" i="5" s="1"/>
  <c r="O13" i="3"/>
  <c r="O12" i="3"/>
  <c r="O11" i="3"/>
  <c r="O10" i="3"/>
  <c r="O9" i="3"/>
  <c r="H6" i="10"/>
  <c r="H7" i="10"/>
  <c r="H8" i="10"/>
  <c r="H9" i="10"/>
  <c r="H10" i="10"/>
  <c r="H11" i="10"/>
  <c r="H12" i="10"/>
  <c r="H13" i="10"/>
  <c r="H14" i="10"/>
  <c r="H5" i="10"/>
  <c r="AN78" i="6" l="1"/>
  <c r="AN139" i="6"/>
  <c r="AN120" i="6"/>
  <c r="AM68" i="6"/>
  <c r="AN68" i="6" s="1"/>
  <c r="AM157" i="6"/>
  <c r="AN157" i="6" s="1"/>
  <c r="AM86" i="6"/>
  <c r="AN86" i="6"/>
  <c r="AN50" i="6"/>
  <c r="AN57" i="6"/>
  <c r="AM114" i="6"/>
  <c r="AN114" i="6" s="1"/>
  <c r="AM40" i="6"/>
  <c r="AQ40" i="6" s="1"/>
  <c r="R40" i="6" s="1" a="1"/>
  <c r="R40" i="6" s="1"/>
  <c r="AM73" i="6"/>
  <c r="AQ73" i="6" s="1"/>
  <c r="R73" i="6" s="1" a="1"/>
  <c r="R73" i="6" s="1"/>
  <c r="AN73" i="6"/>
  <c r="AN60" i="6"/>
  <c r="AN64" i="6"/>
  <c r="AN51" i="6"/>
  <c r="AM137" i="6"/>
  <c r="AN137" i="6"/>
  <c r="AM96" i="6"/>
  <c r="AQ96" i="6" s="1"/>
  <c r="R96" i="6" s="1" a="1"/>
  <c r="R96" i="6" s="1"/>
  <c r="AN96" i="6"/>
  <c r="AM90" i="6"/>
  <c r="AQ90" i="6" s="1"/>
  <c r="R90" i="6" s="1" a="1"/>
  <c r="R90" i="6" s="1"/>
  <c r="AM110" i="6"/>
  <c r="AN110" i="6" s="1"/>
  <c r="AN48" i="6"/>
  <c r="AN59" i="6"/>
  <c r="AM49" i="6"/>
  <c r="AN49" i="6" s="1"/>
  <c r="AN108" i="6"/>
  <c r="AM150" i="6"/>
  <c r="AQ150" i="6" s="1"/>
  <c r="R150" i="6" s="1" a="1"/>
  <c r="R150" i="6" s="1"/>
  <c r="AN150" i="6"/>
  <c r="AN95" i="6"/>
  <c r="AN80" i="6"/>
  <c r="AM79" i="6"/>
  <c r="AQ79" i="6" s="1"/>
  <c r="R79" i="6" s="1" a="1"/>
  <c r="R79" i="6" s="1"/>
  <c r="AM148" i="6"/>
  <c r="AN148" i="6"/>
  <c r="AM134" i="6"/>
  <c r="AQ134" i="6" s="1"/>
  <c r="R134" i="6" s="1" a="1"/>
  <c r="R134" i="6" s="1"/>
  <c r="AN134" i="6"/>
  <c r="AM146" i="6"/>
  <c r="AQ146" i="6" s="1"/>
  <c r="R146" i="6" s="1" a="1"/>
  <c r="R146" i="6" s="1"/>
  <c r="AN146" i="6"/>
  <c r="AN41" i="6"/>
  <c r="AN85" i="6"/>
  <c r="AM81" i="6"/>
  <c r="AQ81" i="6" s="1"/>
  <c r="R81" i="6" s="1" a="1"/>
  <c r="R81" i="6" s="1"/>
  <c r="AM97" i="6"/>
  <c r="AQ97" i="6" s="1"/>
  <c r="R97" i="6" s="1" a="1"/>
  <c r="R97" i="6" s="1"/>
  <c r="AM69" i="6"/>
  <c r="AQ69" i="6" s="1"/>
  <c r="R69" i="6" s="1" a="1"/>
  <c r="R69" i="6" s="1"/>
  <c r="AN69" i="6"/>
  <c r="AN93" i="6"/>
  <c r="AM118" i="6"/>
  <c r="AQ118" i="6" s="1"/>
  <c r="R118" i="6" s="1" a="1"/>
  <c r="R118" i="6" s="1"/>
  <c r="AN118" i="6"/>
  <c r="AM66" i="6"/>
  <c r="AQ66" i="6" s="1"/>
  <c r="R66" i="6" s="1" a="1"/>
  <c r="R66" i="6" s="1"/>
  <c r="AN66" i="6"/>
  <c r="AM142" i="6"/>
  <c r="AQ142" i="6" s="1"/>
  <c r="R142" i="6" s="1" a="1"/>
  <c r="R142" i="6" s="1"/>
  <c r="AN142" i="6"/>
  <c r="AM124" i="6"/>
  <c r="AQ124" i="6" s="1"/>
  <c r="R124" i="6" s="1" a="1"/>
  <c r="R124" i="6" s="1"/>
  <c r="AN124" i="6"/>
  <c r="AN141" i="6"/>
  <c r="AN111" i="6"/>
  <c r="AN102" i="6"/>
  <c r="AM98" i="6"/>
  <c r="AN98" i="6"/>
  <c r="AM109" i="6"/>
  <c r="AQ109" i="6" s="1"/>
  <c r="R109" i="6" s="1" a="1"/>
  <c r="R109" i="6" s="1"/>
  <c r="AN109" i="6"/>
  <c r="AM158" i="6"/>
  <c r="AQ158" i="6" s="1"/>
  <c r="R158" i="6" s="1" a="1"/>
  <c r="R158" i="6" s="1"/>
  <c r="AM130" i="6"/>
  <c r="AQ130" i="6" s="1"/>
  <c r="R130" i="6" s="1" a="1"/>
  <c r="R130" i="6" s="1"/>
  <c r="AM106" i="6"/>
  <c r="AQ106" i="6" s="1"/>
  <c r="R106" i="6" s="1" a="1"/>
  <c r="R106" i="6" s="1"/>
  <c r="AM117" i="6"/>
  <c r="AQ117" i="6" s="1"/>
  <c r="R117" i="6" s="1" a="1"/>
  <c r="R117" i="6" s="1"/>
  <c r="AM63" i="6"/>
  <c r="AQ63" i="6" s="1"/>
  <c r="R63" i="6" s="1" a="1"/>
  <c r="R63" i="6" s="1"/>
  <c r="AN63" i="6"/>
  <c r="AN151" i="6"/>
  <c r="AM71" i="6"/>
  <c r="AN71" i="6" s="1"/>
  <c r="AM87" i="6"/>
  <c r="AQ87" i="6" s="1"/>
  <c r="R87" i="6" s="1" a="1"/>
  <c r="R87" i="6" s="1"/>
  <c r="AN87" i="6"/>
  <c r="AM67" i="6"/>
  <c r="AN67" i="6"/>
  <c r="AN144" i="6"/>
  <c r="AM105" i="6"/>
  <c r="AN105" i="6" s="1"/>
  <c r="AM133" i="6"/>
  <c r="AN133" i="6" s="1"/>
  <c r="AM127" i="6"/>
  <c r="AQ127" i="6" s="1"/>
  <c r="R127" i="6" s="1" a="1"/>
  <c r="R127" i="6" s="1"/>
  <c r="AM89" i="6"/>
  <c r="AN89" i="6"/>
  <c r="AM153" i="6"/>
  <c r="AQ153" i="6" s="1"/>
  <c r="R153" i="6" s="1" a="1"/>
  <c r="R153" i="6" s="1"/>
  <c r="AM126" i="6"/>
  <c r="AQ126" i="6" s="1"/>
  <c r="R126" i="6" s="1" a="1"/>
  <c r="R126" i="6" s="1"/>
  <c r="AM92" i="6"/>
  <c r="AN92" i="6" s="1"/>
  <c r="AN123" i="6"/>
  <c r="AQ145" i="6"/>
  <c r="R145" i="6" s="1" a="1"/>
  <c r="R145" i="6" s="1"/>
  <c r="AQ84" i="6"/>
  <c r="R84" i="6" s="1" a="1"/>
  <c r="R84" i="6" s="1"/>
  <c r="AQ77" i="6"/>
  <c r="R77" i="6" s="1" a="1"/>
  <c r="R77" i="6" s="1"/>
  <c r="AQ116" i="6"/>
  <c r="R116" i="6" s="1" a="1"/>
  <c r="R116" i="6" s="1"/>
  <c r="AQ131" i="6"/>
  <c r="R131" i="6" s="1" a="1"/>
  <c r="R131" i="6" s="1"/>
  <c r="AQ115" i="6"/>
  <c r="R115" i="6" s="1" a="1"/>
  <c r="R115" i="6" s="1"/>
  <c r="AQ42" i="6"/>
  <c r="R42" i="6" s="1" a="1"/>
  <c r="R42" i="6" s="1"/>
  <c r="AQ132" i="6"/>
  <c r="R132" i="6" s="1" a="1"/>
  <c r="R132" i="6" s="1"/>
  <c r="AQ147" i="6"/>
  <c r="R147" i="6" s="1" a="1"/>
  <c r="R147" i="6" s="1"/>
  <c r="AM51" i="6"/>
  <c r="AQ51" i="6" s="1"/>
  <c r="R51" i="6" s="1" a="1"/>
  <c r="R51" i="6" s="1"/>
  <c r="AM85" i="6"/>
  <c r="AQ85" i="6" s="1"/>
  <c r="R85" i="6" s="1" a="1"/>
  <c r="R85" i="6" s="1"/>
  <c r="AM93" i="6"/>
  <c r="AM82" i="6"/>
  <c r="AQ82" i="6" s="1"/>
  <c r="R82" i="6" s="1" a="1"/>
  <c r="R82" i="6" s="1"/>
  <c r="AM128" i="6"/>
  <c r="AN128" i="6" s="1"/>
  <c r="AM56" i="6"/>
  <c r="AQ56" i="6" s="1"/>
  <c r="R56" i="6" s="1" a="1"/>
  <c r="R56" i="6" s="1"/>
  <c r="AQ149" i="6"/>
  <c r="R149" i="6" s="1" a="1"/>
  <c r="R149" i="6" s="1"/>
  <c r="AQ156" i="6"/>
  <c r="R156" i="6" s="1" a="1"/>
  <c r="R156" i="6" s="1"/>
  <c r="AQ157" i="6"/>
  <c r="R157" i="6" s="1" a="1"/>
  <c r="R157" i="6" s="1"/>
  <c r="AM104" i="6"/>
  <c r="AN104" i="6" s="1"/>
  <c r="AQ83" i="6"/>
  <c r="R83" i="6" s="1" a="1"/>
  <c r="R83" i="6" s="1"/>
  <c r="AM57" i="6"/>
  <c r="AM138" i="6"/>
  <c r="AQ138" i="6" s="1"/>
  <c r="R138" i="6" s="1" a="1"/>
  <c r="R138" i="6" s="1"/>
  <c r="AM75" i="6"/>
  <c r="AN75" i="6" s="1"/>
  <c r="AM152" i="6"/>
  <c r="AQ152" i="6" s="1"/>
  <c r="R152" i="6" s="1" a="1"/>
  <c r="R152" i="6" s="1"/>
  <c r="AM88" i="6"/>
  <c r="AN88" i="6" s="1"/>
  <c r="AM129" i="6"/>
  <c r="AQ129" i="6" s="1"/>
  <c r="R129" i="6" s="1" a="1"/>
  <c r="R129" i="6" s="1"/>
  <c r="AM45" i="6"/>
  <c r="AQ45" i="6" s="1"/>
  <c r="R45" i="6" s="1" a="1"/>
  <c r="R45" i="6" s="1"/>
  <c r="AM154" i="6"/>
  <c r="AN154" i="6" s="1"/>
  <c r="AM140" i="6"/>
  <c r="AQ140" i="6" s="1"/>
  <c r="R140" i="6" s="1" a="1"/>
  <c r="R140" i="6" s="1"/>
  <c r="AM44" i="6"/>
  <c r="AQ44" i="6" s="1"/>
  <c r="R44" i="6" s="1" a="1"/>
  <c r="R44" i="6" s="1"/>
  <c r="AM70" i="6"/>
  <c r="AQ70" i="6" s="1"/>
  <c r="R70" i="6" s="1" a="1"/>
  <c r="R70" i="6" s="1"/>
  <c r="AM91" i="6"/>
  <c r="AN91" i="6" s="1"/>
  <c r="AM61" i="6"/>
  <c r="AN61" i="6" s="1"/>
  <c r="AM55" i="6"/>
  <c r="AN55" i="6" s="1"/>
  <c r="AM76" i="6"/>
  <c r="AQ76" i="6" s="1"/>
  <c r="R76" i="6" s="1" a="1"/>
  <c r="R76" i="6" s="1"/>
  <c r="AM100" i="6"/>
  <c r="AN100" i="6" s="1"/>
  <c r="AM58" i="6"/>
  <c r="AN58" i="6" s="1"/>
  <c r="AM74" i="6"/>
  <c r="AQ74" i="6" s="1"/>
  <c r="R74" i="6" s="1" a="1"/>
  <c r="R74" i="6" s="1"/>
  <c r="AM151" i="6"/>
  <c r="AQ151" i="6" s="1"/>
  <c r="R151" i="6" s="1" a="1"/>
  <c r="R151" i="6" s="1"/>
  <c r="AM112" i="6"/>
  <c r="AN112" i="6" s="1"/>
  <c r="AM122" i="6"/>
  <c r="AQ122" i="6" s="1"/>
  <c r="R122" i="6" s="1" a="1"/>
  <c r="R122" i="6" s="1"/>
  <c r="AM113" i="6"/>
  <c r="AN113" i="6" s="1"/>
  <c r="AM65" i="6"/>
  <c r="AN65" i="6" s="1"/>
  <c r="AM41" i="6"/>
  <c r="AM43" i="6"/>
  <c r="AN43" i="6" s="1"/>
  <c r="AM54" i="6"/>
  <c r="AN54" i="6" s="1"/>
  <c r="AM136" i="6"/>
  <c r="AQ136" i="6" s="1"/>
  <c r="R136" i="6" s="1" a="1"/>
  <c r="R136" i="6" s="1"/>
  <c r="AQ52" i="6"/>
  <c r="R52" i="6" s="1" a="1"/>
  <c r="R52" i="6" s="1"/>
  <c r="AQ99" i="6"/>
  <c r="R99" i="6" s="1" a="1"/>
  <c r="R99" i="6" s="1"/>
  <c r="AQ46" i="6"/>
  <c r="R46" i="6" s="1" a="1"/>
  <c r="R46" i="6" s="1"/>
  <c r="AQ47" i="6"/>
  <c r="R47" i="6" s="1" a="1"/>
  <c r="R47" i="6" s="1"/>
  <c r="AM50" i="6"/>
  <c r="AQ53" i="6"/>
  <c r="R53" i="6" s="1" a="1"/>
  <c r="R53" i="6" s="1"/>
  <c r="AQ119" i="6"/>
  <c r="R119" i="6" s="1" a="1"/>
  <c r="R119" i="6" s="1"/>
  <c r="AQ155" i="6"/>
  <c r="R155" i="6" s="1" a="1"/>
  <c r="R155" i="6" s="1"/>
  <c r="AQ86" i="6"/>
  <c r="R86" i="6" s="1" a="1"/>
  <c r="R86" i="6" s="1"/>
  <c r="AQ67" i="6"/>
  <c r="R67" i="6" s="1" a="1"/>
  <c r="R67" i="6" s="1"/>
  <c r="AQ72" i="6"/>
  <c r="R72" i="6" s="1" a="1"/>
  <c r="R72" i="6" s="1"/>
  <c r="AQ105" i="6"/>
  <c r="R105" i="6" s="1" a="1"/>
  <c r="R105" i="6" s="1"/>
  <c r="AQ89" i="6"/>
  <c r="R89" i="6" s="1" a="1"/>
  <c r="R89" i="6" s="1"/>
  <c r="AQ137" i="6"/>
  <c r="R137" i="6" s="1" a="1"/>
  <c r="R137" i="6" s="1"/>
  <c r="AQ143" i="6"/>
  <c r="R143" i="6" s="1" a="1"/>
  <c r="R143" i="6" s="1"/>
  <c r="AQ125" i="6"/>
  <c r="R125" i="6" s="1" a="1"/>
  <c r="R125" i="6" s="1"/>
  <c r="AQ68" i="6"/>
  <c r="R68" i="6" s="1" a="1"/>
  <c r="R68" i="6" s="1"/>
  <c r="AQ92" i="6"/>
  <c r="R92" i="6" s="1" a="1"/>
  <c r="R92" i="6" s="1"/>
  <c r="AQ107" i="6"/>
  <c r="R107" i="6" s="1" a="1"/>
  <c r="R107" i="6" s="1"/>
  <c r="AQ121" i="6"/>
  <c r="R121" i="6" s="1" a="1"/>
  <c r="R121" i="6" s="1"/>
  <c r="AQ94" i="6"/>
  <c r="R94" i="6" s="1" a="1"/>
  <c r="R94" i="6" s="1"/>
  <c r="AQ135" i="6"/>
  <c r="R135" i="6" s="1" a="1"/>
  <c r="R135" i="6" s="1"/>
  <c r="AQ148" i="6"/>
  <c r="R148" i="6" s="1" a="1"/>
  <c r="R148" i="6" s="1"/>
  <c r="AQ110" i="6"/>
  <c r="R110" i="6" s="1" a="1"/>
  <c r="R110" i="6" s="1"/>
  <c r="AQ98" i="6"/>
  <c r="R98" i="6" s="1" a="1"/>
  <c r="R98" i="6" s="1"/>
  <c r="AQ62" i="6"/>
  <c r="R62" i="6" s="1" a="1"/>
  <c r="R62" i="6" s="1"/>
  <c r="G17" i="15"/>
  <c r="L13" i="3"/>
  <c r="M46" i="4"/>
  <c r="K46" i="4" s="1"/>
  <c r="M47" i="4"/>
  <c r="K47" i="4" s="1"/>
  <c r="V41" i="4"/>
  <c r="X41" i="4" s="1"/>
  <c r="V42" i="4"/>
  <c r="X42" i="4" s="1"/>
  <c r="V43" i="4"/>
  <c r="X43" i="4" s="1"/>
  <c r="V44" i="4"/>
  <c r="X44" i="4" s="1"/>
  <c r="V45" i="4"/>
  <c r="X45" i="4" s="1"/>
  <c r="V46" i="4"/>
  <c r="Y46" i="4" s="1"/>
  <c r="V47" i="4"/>
  <c r="Y47" i="4" s="1"/>
  <c r="W22" i="4"/>
  <c r="W23" i="4"/>
  <c r="W24" i="4"/>
  <c r="W25" i="4"/>
  <c r="W26" i="4"/>
  <c r="W27" i="4"/>
  <c r="W28" i="4"/>
  <c r="W29" i="4"/>
  <c r="W30" i="4"/>
  <c r="W31" i="4"/>
  <c r="W32" i="4"/>
  <c r="W33" i="4"/>
  <c r="W34" i="4"/>
  <c r="W35" i="4"/>
  <c r="W36" i="4"/>
  <c r="W37" i="4"/>
  <c r="W21" i="4"/>
  <c r="Q10" i="3"/>
  <c r="Q11" i="3"/>
  <c r="Q12" i="3"/>
  <c r="Q13" i="3"/>
  <c r="Q14" i="3"/>
  <c r="Q15" i="3"/>
  <c r="Q16" i="3"/>
  <c r="Q17" i="3"/>
  <c r="Q18" i="3"/>
  <c r="Q19" i="3"/>
  <c r="Q20" i="3"/>
  <c r="Q21" i="3"/>
  <c r="Q22" i="3"/>
  <c r="Q23" i="3"/>
  <c r="Q24" i="3"/>
  <c r="Q25" i="3"/>
  <c r="Q26" i="3"/>
  <c r="Q27" i="3"/>
  <c r="Q28" i="3"/>
  <c r="Q29" i="3"/>
  <c r="Q30" i="3"/>
  <c r="Q31" i="3"/>
  <c r="Q32" i="3"/>
  <c r="Q33" i="3"/>
  <c r="Q34" i="3"/>
  <c r="Q35" i="3"/>
  <c r="Q36" i="3"/>
  <c r="Q9" i="3"/>
  <c r="D5" i="4"/>
  <c r="U42" i="4"/>
  <c r="U43" i="4"/>
  <c r="U44" i="4"/>
  <c r="U45" i="4"/>
  <c r="U41" i="4"/>
  <c r="M5" i="10"/>
  <c r="M6" i="10"/>
  <c r="M7" i="10"/>
  <c r="M8" i="10"/>
  <c r="M9" i="10"/>
  <c r="M10" i="10"/>
  <c r="M11" i="10"/>
  <c r="M12" i="10"/>
  <c r="M13" i="10"/>
  <c r="M14" i="10"/>
  <c r="U6" i="10"/>
  <c r="U7" i="10"/>
  <c r="U8" i="10"/>
  <c r="U9" i="10"/>
  <c r="U10" i="10"/>
  <c r="U11" i="10"/>
  <c r="U5" i="10"/>
  <c r="T5" i="6" a="1"/>
  <c r="T5" i="6" s="1"/>
  <c r="S5" i="6" s="1"/>
  <c r="T6" i="6" a="1"/>
  <c r="T6" i="6" s="1"/>
  <c r="S6" i="6" s="1"/>
  <c r="T7" i="6" a="1"/>
  <c r="T7" i="6" s="1"/>
  <c r="S7" i="6" s="1"/>
  <c r="T8" i="6" a="1"/>
  <c r="T8" i="6" s="1"/>
  <c r="S8" i="6" s="1"/>
  <c r="T9" i="6" a="1"/>
  <c r="T9" i="6" s="1"/>
  <c r="S9" i="6" s="1"/>
  <c r="T10" i="6" a="1"/>
  <c r="T10" i="6" s="1"/>
  <c r="S10" i="6" s="1"/>
  <c r="T11" i="6" a="1"/>
  <c r="T11" i="6" s="1"/>
  <c r="S11" i="6" s="1"/>
  <c r="T12" i="6" a="1"/>
  <c r="T12" i="6" s="1"/>
  <c r="S12" i="6" s="1"/>
  <c r="T13" i="6" a="1"/>
  <c r="T13" i="6" s="1"/>
  <c r="S13" i="6" s="1"/>
  <c r="T14" i="6" a="1"/>
  <c r="T14" i="6" s="1"/>
  <c r="S14" i="6" s="1"/>
  <c r="T15" i="6" a="1"/>
  <c r="T15" i="6" s="1"/>
  <c r="S15" i="6" s="1"/>
  <c r="T16" i="6" a="1"/>
  <c r="T16" i="6" s="1"/>
  <c r="S16" i="6" s="1"/>
  <c r="T17" i="6" a="1"/>
  <c r="T17" i="6" s="1"/>
  <c r="S17" i="6" s="1"/>
  <c r="T18" i="6" a="1"/>
  <c r="T18" i="6" s="1"/>
  <c r="S18" i="6" s="1"/>
  <c r="T19" i="6" a="1"/>
  <c r="T19" i="6" s="1"/>
  <c r="S19" i="6" s="1"/>
  <c r="T20" i="6" a="1"/>
  <c r="T20" i="6" s="1"/>
  <c r="S20" i="6" s="1"/>
  <c r="T21" i="6" a="1"/>
  <c r="T21" i="6" s="1"/>
  <c r="S21" i="6" s="1"/>
  <c r="T22" i="6" a="1"/>
  <c r="T22" i="6" s="1"/>
  <c r="S22" i="6" s="1"/>
  <c r="T23" i="6" a="1"/>
  <c r="T23" i="6" s="1"/>
  <c r="S23" i="6" s="1"/>
  <c r="T24" i="6" a="1"/>
  <c r="T24" i="6" s="1"/>
  <c r="S24" i="6" s="1"/>
  <c r="T25" i="6" a="1"/>
  <c r="T25" i="6" s="1"/>
  <c r="S25" i="6" s="1"/>
  <c r="T26" i="6" a="1"/>
  <c r="T26" i="6" s="1"/>
  <c r="S26" i="6" s="1"/>
  <c r="T27" i="6" a="1"/>
  <c r="T27" i="6" s="1"/>
  <c r="S27" i="6" s="1"/>
  <c r="T28" i="6" a="1"/>
  <c r="T28" i="6" s="1"/>
  <c r="S28" i="6" s="1"/>
  <c r="T29" i="6" a="1"/>
  <c r="T29" i="6" s="1"/>
  <c r="S29" i="6" s="1"/>
  <c r="T30" i="6" a="1"/>
  <c r="T30" i="6" s="1"/>
  <c r="S30" i="6" s="1"/>
  <c r="T31" i="6" a="1"/>
  <c r="T31" i="6" s="1"/>
  <c r="S31" i="6" s="1"/>
  <c r="T32" i="6" a="1"/>
  <c r="T32" i="6" s="1"/>
  <c r="S32" i="6" s="1"/>
  <c r="T33" i="6" a="1"/>
  <c r="T33" i="6" s="1"/>
  <c r="S33" i="6" s="1"/>
  <c r="T34" i="6" a="1"/>
  <c r="T34" i="6" s="1"/>
  <c r="S34" i="6" s="1"/>
  <c r="T35" i="6" a="1"/>
  <c r="T35" i="6" s="1"/>
  <c r="S35" i="6" s="1"/>
  <c r="T36" i="6" a="1"/>
  <c r="T36" i="6" s="1"/>
  <c r="S36" i="6" s="1"/>
  <c r="T37" i="6" a="1"/>
  <c r="T37" i="6" s="1"/>
  <c r="S37" i="6" s="1"/>
  <c r="T38" i="6" a="1"/>
  <c r="T38" i="6" s="1"/>
  <c r="S38" i="6" s="1"/>
  <c r="T39" i="6" a="1"/>
  <c r="T39" i="6" s="1"/>
  <c r="S39" i="6" s="1"/>
  <c r="BY5" i="6" a="1"/>
  <c r="BY5" i="6" s="1"/>
  <c r="BY6" i="6" a="1"/>
  <c r="BY6" i="6" s="1"/>
  <c r="BY7" i="6" a="1"/>
  <c r="BY7" i="6" s="1"/>
  <c r="BY8" i="6" a="1"/>
  <c r="BY8" i="6" s="1"/>
  <c r="BY9" i="6" a="1"/>
  <c r="BY9" i="6" s="1"/>
  <c r="BY10" i="6" a="1"/>
  <c r="BY10" i="6" s="1"/>
  <c r="BY11" i="6" a="1"/>
  <c r="BY11" i="6" s="1"/>
  <c r="BY12" i="6" a="1"/>
  <c r="BY12" i="6" s="1"/>
  <c r="BY13" i="6" a="1"/>
  <c r="BY13" i="6" s="1"/>
  <c r="BY14" i="6" a="1"/>
  <c r="BY14" i="6" s="1"/>
  <c r="BY15" i="6" a="1"/>
  <c r="BY15" i="6" s="1"/>
  <c r="BY16" i="6" a="1"/>
  <c r="BY16" i="6" s="1"/>
  <c r="BY17" i="6" a="1"/>
  <c r="BY17" i="6" s="1"/>
  <c r="BY18" i="6" a="1"/>
  <c r="BY18" i="6" s="1"/>
  <c r="BY19" i="6" a="1"/>
  <c r="BY19" i="6" s="1"/>
  <c r="BY20" i="6" a="1"/>
  <c r="BY20" i="6" s="1"/>
  <c r="BY21" i="6" a="1"/>
  <c r="BY21" i="6" s="1"/>
  <c r="BY22" i="6" a="1"/>
  <c r="BY22" i="6" s="1"/>
  <c r="BY23" i="6" a="1"/>
  <c r="BY23" i="6" s="1"/>
  <c r="BY24" i="6" a="1"/>
  <c r="BY24" i="6" s="1"/>
  <c r="BY25" i="6" a="1"/>
  <c r="BY25" i="6" s="1"/>
  <c r="BY26" i="6" a="1"/>
  <c r="BY26" i="6" s="1"/>
  <c r="BY27" i="6" a="1"/>
  <c r="BY27" i="6" s="1"/>
  <c r="BY28" i="6" a="1"/>
  <c r="BY28" i="6" s="1"/>
  <c r="BY29" i="6" a="1"/>
  <c r="BY29" i="6" s="1"/>
  <c r="BY30" i="6" a="1"/>
  <c r="BY30" i="6" s="1"/>
  <c r="BY31" i="6" a="1"/>
  <c r="BY31" i="6" s="1"/>
  <c r="BY32" i="6" a="1"/>
  <c r="BY32" i="6" s="1"/>
  <c r="BY33" i="6" a="1"/>
  <c r="BY33" i="6" s="1"/>
  <c r="BY34" i="6" a="1"/>
  <c r="BY34" i="6" s="1"/>
  <c r="BY35" i="6" a="1"/>
  <c r="BY35" i="6" s="1"/>
  <c r="BY36" i="6" a="1"/>
  <c r="BY36" i="6" s="1"/>
  <c r="BY37" i="6" a="1"/>
  <c r="BY37" i="6" s="1"/>
  <c r="BY38" i="6" a="1"/>
  <c r="BY38" i="6" s="1"/>
  <c r="BY39" i="6" a="1"/>
  <c r="BY39" i="6" s="1"/>
  <c r="BZ5" i="6" a="1"/>
  <c r="BZ5" i="6" s="1"/>
  <c r="BZ6" i="6" a="1"/>
  <c r="BZ6" i="6" s="1"/>
  <c r="BZ7" i="6" a="1"/>
  <c r="BZ7" i="6" s="1"/>
  <c r="BZ8" i="6" a="1"/>
  <c r="BZ8" i="6" s="1"/>
  <c r="BZ9" i="6" a="1"/>
  <c r="BZ9" i="6" s="1"/>
  <c r="BZ10" i="6" a="1"/>
  <c r="BZ10" i="6" s="1"/>
  <c r="BZ11" i="6" a="1"/>
  <c r="BZ11" i="6" s="1"/>
  <c r="BZ12" i="6" a="1"/>
  <c r="BZ12" i="6" s="1"/>
  <c r="BZ13" i="6" a="1"/>
  <c r="BZ13" i="6" s="1"/>
  <c r="BZ14" i="6" a="1"/>
  <c r="BZ14" i="6" s="1"/>
  <c r="BZ15" i="6" a="1"/>
  <c r="BZ15" i="6" s="1"/>
  <c r="BZ16" i="6" a="1"/>
  <c r="BZ16" i="6" s="1"/>
  <c r="BZ17" i="6" a="1"/>
  <c r="BZ17" i="6" s="1"/>
  <c r="BZ18" i="6" a="1"/>
  <c r="BZ18" i="6" s="1"/>
  <c r="BZ19" i="6" a="1"/>
  <c r="BZ19" i="6" s="1"/>
  <c r="BZ20" i="6" a="1"/>
  <c r="BZ20" i="6" s="1"/>
  <c r="BZ21" i="6" a="1"/>
  <c r="BZ21" i="6" s="1"/>
  <c r="BZ22" i="6" a="1"/>
  <c r="BZ22" i="6" s="1"/>
  <c r="BZ23" i="6" a="1"/>
  <c r="BZ23" i="6" s="1"/>
  <c r="BZ24" i="6" a="1"/>
  <c r="BZ24" i="6" s="1"/>
  <c r="BZ25" i="6" a="1"/>
  <c r="BZ25" i="6" s="1"/>
  <c r="BZ26" i="6" a="1"/>
  <c r="BZ26" i="6" s="1"/>
  <c r="BZ27" i="6" a="1"/>
  <c r="BZ27" i="6" s="1"/>
  <c r="BZ28" i="6" a="1"/>
  <c r="BZ28" i="6" s="1"/>
  <c r="BZ29" i="6" a="1"/>
  <c r="BZ29" i="6" s="1"/>
  <c r="BZ30" i="6" a="1"/>
  <c r="BZ30" i="6" s="1"/>
  <c r="BZ31" i="6" a="1"/>
  <c r="BZ31" i="6" s="1"/>
  <c r="BZ32" i="6" a="1"/>
  <c r="BZ32" i="6" s="1"/>
  <c r="BZ33" i="6" a="1"/>
  <c r="BZ33" i="6" s="1"/>
  <c r="BZ34" i="6" a="1"/>
  <c r="BZ34" i="6" s="1"/>
  <c r="BZ35" i="6" a="1"/>
  <c r="BZ35" i="6" s="1"/>
  <c r="BZ36" i="6" a="1"/>
  <c r="BZ36" i="6" s="1"/>
  <c r="BZ37" i="6" a="1"/>
  <c r="BZ37" i="6" s="1"/>
  <c r="BZ38" i="6" a="1"/>
  <c r="BZ38" i="6" s="1"/>
  <c r="BZ39" i="6" a="1"/>
  <c r="BZ39" i="6" s="1"/>
  <c r="CA37" i="6"/>
  <c r="CA38" i="6"/>
  <c r="CA39" i="6"/>
  <c r="CB37" i="6"/>
  <c r="CB38" i="6"/>
  <c r="CB39" i="6"/>
  <c r="BR5" i="6" a="1"/>
  <c r="BR5" i="6" s="1"/>
  <c r="BR6" i="6" a="1"/>
  <c r="BR6" i="6" s="1"/>
  <c r="BR7" i="6" a="1"/>
  <c r="BR7" i="6" s="1"/>
  <c r="BR8" i="6" a="1"/>
  <c r="BR8" i="6" s="1"/>
  <c r="BR9" i="6" a="1"/>
  <c r="BR9" i="6" s="1"/>
  <c r="BR10" i="6" a="1"/>
  <c r="BR10" i="6" s="1"/>
  <c r="BR11" i="6" a="1"/>
  <c r="BR11" i="6" s="1"/>
  <c r="BR12" i="6" a="1"/>
  <c r="BR12" i="6" s="1"/>
  <c r="BR13" i="6" a="1"/>
  <c r="BR13" i="6" s="1"/>
  <c r="BR14" i="6" a="1"/>
  <c r="BR14" i="6" s="1"/>
  <c r="BR15" i="6" a="1"/>
  <c r="BR15" i="6" s="1"/>
  <c r="BR16" i="6" a="1"/>
  <c r="BR16" i="6" s="1"/>
  <c r="BR17" i="6" a="1"/>
  <c r="BR17" i="6" s="1"/>
  <c r="BR18" i="6" a="1"/>
  <c r="BR18" i="6" s="1"/>
  <c r="BR19" i="6" a="1"/>
  <c r="BR19" i="6" s="1"/>
  <c r="BR20" i="6" a="1"/>
  <c r="BR20" i="6" s="1"/>
  <c r="BR21" i="6" a="1"/>
  <c r="BR21" i="6" s="1"/>
  <c r="BR22" i="6" a="1"/>
  <c r="BR22" i="6" s="1"/>
  <c r="BR23" i="6" a="1"/>
  <c r="BR23" i="6" s="1"/>
  <c r="BR24" i="6" a="1"/>
  <c r="BR24" i="6" s="1"/>
  <c r="BR25" i="6" a="1"/>
  <c r="BR25" i="6" s="1"/>
  <c r="BR26" i="6" a="1"/>
  <c r="BR26" i="6" s="1"/>
  <c r="BR27" i="6" a="1"/>
  <c r="BR27" i="6" s="1"/>
  <c r="BR28" i="6" a="1"/>
  <c r="BR28" i="6" s="1"/>
  <c r="BR29" i="6" a="1"/>
  <c r="BR29" i="6" s="1"/>
  <c r="BR30" i="6" a="1"/>
  <c r="BR30" i="6" s="1"/>
  <c r="BR31" i="6" a="1"/>
  <c r="BR31" i="6" s="1"/>
  <c r="BR32" i="6" a="1"/>
  <c r="BR32" i="6" s="1"/>
  <c r="BR33" i="6" a="1"/>
  <c r="BR33" i="6" s="1"/>
  <c r="BR34" i="6" a="1"/>
  <c r="BR34" i="6" s="1"/>
  <c r="BR35" i="6" a="1"/>
  <c r="BR35" i="6" s="1"/>
  <c r="BR36" i="6" a="1"/>
  <c r="BR36" i="6" s="1"/>
  <c r="BR37" i="6" a="1"/>
  <c r="BR37" i="6" s="1"/>
  <c r="BR38" i="6" a="1"/>
  <c r="BR38" i="6" s="1"/>
  <c r="BR39" i="6" a="1"/>
  <c r="BR39" i="6" s="1"/>
  <c r="BQ5" i="6" a="1"/>
  <c r="BQ5" i="6" s="1"/>
  <c r="BQ6" i="6" a="1"/>
  <c r="BQ6" i="6" s="1"/>
  <c r="BQ7" i="6" a="1"/>
  <c r="BQ7" i="6" s="1"/>
  <c r="BQ8" i="6" a="1"/>
  <c r="BQ8" i="6" s="1"/>
  <c r="BQ9" i="6" a="1"/>
  <c r="BQ9" i="6" s="1"/>
  <c r="BQ10" i="6" a="1"/>
  <c r="BQ10" i="6" s="1"/>
  <c r="BQ11" i="6" a="1"/>
  <c r="BQ11" i="6" s="1"/>
  <c r="BQ12" i="6" a="1"/>
  <c r="BQ12" i="6" s="1"/>
  <c r="BQ13" i="6" a="1"/>
  <c r="BQ13" i="6" s="1"/>
  <c r="BQ14" i="6" a="1"/>
  <c r="BQ14" i="6" s="1"/>
  <c r="BQ15" i="6" a="1"/>
  <c r="BQ15" i="6" s="1"/>
  <c r="BQ16" i="6" a="1"/>
  <c r="BQ16" i="6" s="1"/>
  <c r="BQ17" i="6" a="1"/>
  <c r="BQ17" i="6" s="1"/>
  <c r="BQ18" i="6" a="1"/>
  <c r="BQ18" i="6" s="1"/>
  <c r="BQ19" i="6" a="1"/>
  <c r="BQ19" i="6" s="1"/>
  <c r="BQ20" i="6" a="1"/>
  <c r="BQ20" i="6" s="1"/>
  <c r="BQ21" i="6" a="1"/>
  <c r="BQ21" i="6" s="1"/>
  <c r="BQ22" i="6" a="1"/>
  <c r="BQ22" i="6" s="1"/>
  <c r="BQ23" i="6" a="1"/>
  <c r="BQ23" i="6" s="1"/>
  <c r="BQ24" i="6" a="1"/>
  <c r="BQ24" i="6" s="1"/>
  <c r="BQ25" i="6" a="1"/>
  <c r="BQ25" i="6" s="1"/>
  <c r="BQ26" i="6" a="1"/>
  <c r="BQ26" i="6" s="1"/>
  <c r="BQ27" i="6" a="1"/>
  <c r="BQ27" i="6" s="1"/>
  <c r="BQ28" i="6" a="1"/>
  <c r="BQ28" i="6" s="1"/>
  <c r="BQ29" i="6" a="1"/>
  <c r="BQ29" i="6" s="1"/>
  <c r="BQ30" i="6" a="1"/>
  <c r="BQ30" i="6" s="1"/>
  <c r="BQ31" i="6" a="1"/>
  <c r="BQ31" i="6" s="1"/>
  <c r="BQ32" i="6" a="1"/>
  <c r="BQ32" i="6" s="1"/>
  <c r="BQ33" i="6" a="1"/>
  <c r="BQ33" i="6" s="1"/>
  <c r="BQ34" i="6" a="1"/>
  <c r="BQ34" i="6" s="1"/>
  <c r="BQ35" i="6" a="1"/>
  <c r="BQ35" i="6" s="1"/>
  <c r="BQ36" i="6" a="1"/>
  <c r="BQ36" i="6" s="1"/>
  <c r="BQ37" i="6" a="1"/>
  <c r="BQ37" i="6" s="1"/>
  <c r="BQ38" i="6" a="1"/>
  <c r="BQ38" i="6" s="1"/>
  <c r="BQ39" i="6" a="1"/>
  <c r="BQ39" i="6" s="1"/>
  <c r="BP5" i="6" a="1"/>
  <c r="BP5" i="6" s="1"/>
  <c r="BP6" i="6" a="1"/>
  <c r="BP6" i="6" s="1"/>
  <c r="BP7" i="6" a="1"/>
  <c r="BP7" i="6" s="1"/>
  <c r="BP8" i="6" a="1"/>
  <c r="BP8" i="6" s="1"/>
  <c r="BP9" i="6" a="1"/>
  <c r="BP9" i="6" s="1"/>
  <c r="BP10" i="6" a="1"/>
  <c r="BP10" i="6" s="1"/>
  <c r="BP11" i="6" a="1"/>
  <c r="BP11" i="6" s="1"/>
  <c r="BP12" i="6" a="1"/>
  <c r="BP12" i="6" s="1"/>
  <c r="BP13" i="6" a="1"/>
  <c r="BP13" i="6" s="1"/>
  <c r="BP14" i="6" a="1"/>
  <c r="BP14" i="6" s="1"/>
  <c r="BP15" i="6" a="1"/>
  <c r="BP15" i="6" s="1"/>
  <c r="BP16" i="6" a="1"/>
  <c r="BP16" i="6" s="1"/>
  <c r="BP17" i="6" a="1"/>
  <c r="BP17" i="6" s="1"/>
  <c r="BP18" i="6" a="1"/>
  <c r="BP18" i="6" s="1"/>
  <c r="BP19" i="6" a="1"/>
  <c r="BP19" i="6" s="1"/>
  <c r="BP20" i="6" a="1"/>
  <c r="BP20" i="6" s="1"/>
  <c r="BP21" i="6" a="1"/>
  <c r="BP21" i="6" s="1"/>
  <c r="BP22" i="6" a="1"/>
  <c r="BP22" i="6" s="1"/>
  <c r="BP23" i="6" a="1"/>
  <c r="BP23" i="6" s="1"/>
  <c r="BP24" i="6" a="1"/>
  <c r="BP24" i="6" s="1"/>
  <c r="BP25" i="6" a="1"/>
  <c r="BP25" i="6" s="1"/>
  <c r="BP26" i="6" a="1"/>
  <c r="BP26" i="6" s="1"/>
  <c r="BP27" i="6" a="1"/>
  <c r="BP27" i="6" s="1"/>
  <c r="BP28" i="6" a="1"/>
  <c r="BP28" i="6" s="1"/>
  <c r="BP29" i="6" a="1"/>
  <c r="BP29" i="6" s="1"/>
  <c r="BP30" i="6" a="1"/>
  <c r="BP30" i="6" s="1"/>
  <c r="BP31" i="6" a="1"/>
  <c r="BP31" i="6" s="1"/>
  <c r="BP32" i="6" a="1"/>
  <c r="BP32" i="6" s="1"/>
  <c r="BP33" i="6" a="1"/>
  <c r="BP33" i="6" s="1"/>
  <c r="BP34" i="6" a="1"/>
  <c r="BP34" i="6" s="1"/>
  <c r="BP35" i="6" a="1"/>
  <c r="BP35" i="6" s="1"/>
  <c r="BP36" i="6" a="1"/>
  <c r="BP36" i="6" s="1"/>
  <c r="BP37" i="6" a="1"/>
  <c r="BP37" i="6" s="1"/>
  <c r="BP38" i="6" a="1"/>
  <c r="BP38" i="6" s="1"/>
  <c r="BP39" i="6" a="1"/>
  <c r="BP39" i="6" s="1"/>
  <c r="BN5" i="6" a="1"/>
  <c r="BN5" i="6" s="1"/>
  <c r="BN6" i="6" a="1"/>
  <c r="BN6" i="6" s="1"/>
  <c r="BN7" i="6" a="1"/>
  <c r="BN7" i="6" s="1"/>
  <c r="BN8" i="6" a="1"/>
  <c r="BN8" i="6" s="1"/>
  <c r="BN9" i="6" a="1"/>
  <c r="BN9" i="6" s="1"/>
  <c r="BN10" i="6" a="1"/>
  <c r="BN10" i="6" s="1"/>
  <c r="BN11" i="6" a="1"/>
  <c r="BN11" i="6" s="1"/>
  <c r="BN12" i="6" a="1"/>
  <c r="BN12" i="6" s="1"/>
  <c r="BN13" i="6" a="1"/>
  <c r="BN13" i="6" s="1"/>
  <c r="BN14" i="6" a="1"/>
  <c r="BN14" i="6" s="1"/>
  <c r="BN15" i="6" a="1"/>
  <c r="BN15" i="6" s="1"/>
  <c r="BN16" i="6" a="1"/>
  <c r="BN16" i="6" s="1"/>
  <c r="BN17" i="6" a="1"/>
  <c r="BN17" i="6" s="1"/>
  <c r="BN18" i="6" a="1"/>
  <c r="BN18" i="6" s="1"/>
  <c r="BN19" i="6" a="1"/>
  <c r="BN19" i="6" s="1"/>
  <c r="BN20" i="6" a="1"/>
  <c r="BN20" i="6" s="1"/>
  <c r="BN21" i="6" a="1"/>
  <c r="BN21" i="6" s="1"/>
  <c r="BN22" i="6" a="1"/>
  <c r="BN22" i="6" s="1"/>
  <c r="BN23" i="6" a="1"/>
  <c r="BN23" i="6" s="1"/>
  <c r="BN24" i="6" a="1"/>
  <c r="BN24" i="6" s="1"/>
  <c r="BN25" i="6" a="1"/>
  <c r="BN25" i="6" s="1"/>
  <c r="BN26" i="6" a="1"/>
  <c r="BN26" i="6" s="1"/>
  <c r="BN27" i="6" a="1"/>
  <c r="BN27" i="6" s="1"/>
  <c r="BN28" i="6" a="1"/>
  <c r="BN28" i="6" s="1"/>
  <c r="BN29" i="6" a="1"/>
  <c r="BN29" i="6" s="1"/>
  <c r="BN30" i="6" a="1"/>
  <c r="BN30" i="6" s="1"/>
  <c r="BN31" i="6" a="1"/>
  <c r="BN31" i="6" s="1"/>
  <c r="BN32" i="6" a="1"/>
  <c r="BN32" i="6" s="1"/>
  <c r="BN33" i="6" a="1"/>
  <c r="BN33" i="6" s="1"/>
  <c r="BN34" i="6" a="1"/>
  <c r="BN34" i="6" s="1"/>
  <c r="BN35" i="6" a="1"/>
  <c r="BN35" i="6" s="1"/>
  <c r="BN36" i="6" a="1"/>
  <c r="BN36" i="6" s="1"/>
  <c r="BN37" i="6" a="1"/>
  <c r="BN37" i="6" s="1"/>
  <c r="BN38" i="6" a="1"/>
  <c r="BN38" i="6" s="1"/>
  <c r="BN39" i="6" a="1"/>
  <c r="BN39" i="6" s="1"/>
  <c r="BM5" i="6" a="1"/>
  <c r="BM5" i="6" s="1"/>
  <c r="BM6" i="6" a="1"/>
  <c r="BM6" i="6" s="1"/>
  <c r="BM7" i="6" a="1"/>
  <c r="BM7" i="6" s="1"/>
  <c r="BM8" i="6" a="1"/>
  <c r="BM8" i="6" s="1"/>
  <c r="BM9" i="6" a="1"/>
  <c r="BM9" i="6" s="1"/>
  <c r="BM10" i="6" a="1"/>
  <c r="BM10" i="6" s="1"/>
  <c r="BM11" i="6" a="1"/>
  <c r="BM11" i="6" s="1"/>
  <c r="BM12" i="6" a="1"/>
  <c r="BM12" i="6" s="1"/>
  <c r="BM13" i="6" a="1"/>
  <c r="BM13" i="6" s="1"/>
  <c r="BM14" i="6" a="1"/>
  <c r="BM14" i="6" s="1"/>
  <c r="BM15" i="6" a="1"/>
  <c r="BM15" i="6" s="1"/>
  <c r="BM16" i="6" a="1"/>
  <c r="BM16" i="6" s="1"/>
  <c r="BM17" i="6" a="1"/>
  <c r="BM17" i="6" s="1"/>
  <c r="BM18" i="6" a="1"/>
  <c r="BM18" i="6" s="1"/>
  <c r="BM19" i="6" a="1"/>
  <c r="BM19" i="6" s="1"/>
  <c r="BM20" i="6" a="1"/>
  <c r="BM20" i="6" s="1"/>
  <c r="BM21" i="6" a="1"/>
  <c r="BM21" i="6" s="1"/>
  <c r="BM22" i="6" a="1"/>
  <c r="BM22" i="6" s="1"/>
  <c r="BM23" i="6" a="1"/>
  <c r="BM23" i="6" s="1"/>
  <c r="BM24" i="6" a="1"/>
  <c r="BM24" i="6" s="1"/>
  <c r="BM25" i="6" a="1"/>
  <c r="BM25" i="6" s="1"/>
  <c r="BM26" i="6" a="1"/>
  <c r="BM26" i="6" s="1"/>
  <c r="BM27" i="6" a="1"/>
  <c r="BM27" i="6" s="1"/>
  <c r="BM28" i="6" a="1"/>
  <c r="BM28" i="6" s="1"/>
  <c r="BM29" i="6" a="1"/>
  <c r="BM29" i="6" s="1"/>
  <c r="BM30" i="6" a="1"/>
  <c r="BM30" i="6" s="1"/>
  <c r="BM31" i="6" a="1"/>
  <c r="BM31" i="6" s="1"/>
  <c r="BM32" i="6" a="1"/>
  <c r="BM32" i="6" s="1"/>
  <c r="BM33" i="6" a="1"/>
  <c r="BM33" i="6" s="1"/>
  <c r="BM34" i="6" a="1"/>
  <c r="BM34" i="6" s="1"/>
  <c r="BM35" i="6" a="1"/>
  <c r="BM35" i="6" s="1"/>
  <c r="BM36" i="6" a="1"/>
  <c r="BM36" i="6" s="1"/>
  <c r="BM37" i="6" a="1"/>
  <c r="BM37" i="6" s="1"/>
  <c r="BM38" i="6" a="1"/>
  <c r="BM38" i="6" s="1"/>
  <c r="BM39" i="6" a="1"/>
  <c r="BM39" i="6" s="1"/>
  <c r="BL5" i="6" a="1"/>
  <c r="BL5" i="6" s="1"/>
  <c r="BL6" i="6" a="1"/>
  <c r="BL6" i="6" s="1"/>
  <c r="BL7" i="6" a="1"/>
  <c r="BL7" i="6" s="1"/>
  <c r="BL8" i="6" a="1"/>
  <c r="BL8" i="6" s="1"/>
  <c r="BL9" i="6" a="1"/>
  <c r="BL9" i="6" s="1"/>
  <c r="BL10" i="6" a="1"/>
  <c r="BL10" i="6" s="1"/>
  <c r="BL11" i="6" a="1"/>
  <c r="BL11" i="6" s="1"/>
  <c r="BL12" i="6" a="1"/>
  <c r="BL12" i="6" s="1"/>
  <c r="BL13" i="6" a="1"/>
  <c r="BL13" i="6" s="1"/>
  <c r="BL14" i="6" a="1"/>
  <c r="BL14" i="6" s="1"/>
  <c r="BL15" i="6" a="1"/>
  <c r="BL15" i="6" s="1"/>
  <c r="BL16" i="6" a="1"/>
  <c r="BL16" i="6" s="1"/>
  <c r="BL17" i="6" a="1"/>
  <c r="BL17" i="6" s="1"/>
  <c r="BL18" i="6" a="1"/>
  <c r="BL18" i="6" s="1"/>
  <c r="BL19" i="6" a="1"/>
  <c r="BL19" i="6" s="1"/>
  <c r="BL20" i="6" a="1"/>
  <c r="BL20" i="6" s="1"/>
  <c r="BL21" i="6" a="1"/>
  <c r="BL21" i="6" s="1"/>
  <c r="BL22" i="6" a="1"/>
  <c r="BL22" i="6" s="1"/>
  <c r="BL23" i="6" a="1"/>
  <c r="BL23" i="6" s="1"/>
  <c r="BL24" i="6" a="1"/>
  <c r="BL24" i="6" s="1"/>
  <c r="BL25" i="6" a="1"/>
  <c r="BL25" i="6" s="1"/>
  <c r="BL26" i="6" a="1"/>
  <c r="BL26" i="6" s="1"/>
  <c r="BL27" i="6" a="1"/>
  <c r="BL27" i="6" s="1"/>
  <c r="BL28" i="6" a="1"/>
  <c r="BL28" i="6" s="1"/>
  <c r="BL29" i="6" a="1"/>
  <c r="BL29" i="6" s="1"/>
  <c r="BL30" i="6" a="1"/>
  <c r="BL30" i="6" s="1"/>
  <c r="BL31" i="6" a="1"/>
  <c r="BL31" i="6" s="1"/>
  <c r="BL32" i="6" a="1"/>
  <c r="BL32" i="6" s="1"/>
  <c r="BL33" i="6" a="1"/>
  <c r="BL33" i="6" s="1"/>
  <c r="BL34" i="6" a="1"/>
  <c r="BL34" i="6" s="1"/>
  <c r="BL35" i="6" a="1"/>
  <c r="BL35" i="6" s="1"/>
  <c r="BL36" i="6" a="1"/>
  <c r="BL36" i="6" s="1"/>
  <c r="BL37" i="6" a="1"/>
  <c r="BL37" i="6" s="1"/>
  <c r="BL38" i="6" a="1"/>
  <c r="BL38" i="6" s="1"/>
  <c r="BL39" i="6" a="1"/>
  <c r="BL39" i="6" s="1"/>
  <c r="BK39" i="6" a="1"/>
  <c r="BK39" i="6" s="1"/>
  <c r="BK38" i="6" a="1"/>
  <c r="BK38" i="6" s="1"/>
  <c r="BK37" i="6" a="1"/>
  <c r="BK37" i="6" s="1"/>
  <c r="BK36" i="6" a="1"/>
  <c r="BK36" i="6" s="1"/>
  <c r="BK35" i="6" a="1"/>
  <c r="BK35" i="6" s="1"/>
  <c r="BK34" i="6" a="1"/>
  <c r="BK34" i="6" s="1"/>
  <c r="BK33" i="6" a="1"/>
  <c r="BK33" i="6" s="1"/>
  <c r="BK32" i="6" a="1"/>
  <c r="BK32" i="6" s="1"/>
  <c r="BK31" i="6" a="1"/>
  <c r="BK31" i="6" s="1"/>
  <c r="BK30" i="6" a="1"/>
  <c r="BK30" i="6" s="1"/>
  <c r="BK29" i="6" a="1"/>
  <c r="BK29" i="6" s="1"/>
  <c r="BK28" i="6" a="1"/>
  <c r="BK28" i="6" s="1"/>
  <c r="BK27" i="6" a="1"/>
  <c r="BK27" i="6" s="1"/>
  <c r="BK26" i="6" a="1"/>
  <c r="BK26" i="6" s="1"/>
  <c r="BK25" i="6" a="1"/>
  <c r="BK25" i="6" s="1"/>
  <c r="BK24" i="6" a="1"/>
  <c r="BK24" i="6" s="1"/>
  <c r="BK23" i="6" a="1"/>
  <c r="BK23" i="6" s="1"/>
  <c r="BK22" i="6" a="1"/>
  <c r="BK22" i="6" s="1"/>
  <c r="BK21" i="6" a="1"/>
  <c r="BK21" i="6" s="1"/>
  <c r="BK20" i="6" a="1"/>
  <c r="BK20" i="6" s="1"/>
  <c r="BK19" i="6" a="1"/>
  <c r="BK19" i="6" s="1"/>
  <c r="BK18" i="6" a="1"/>
  <c r="BK18" i="6" s="1"/>
  <c r="BK17" i="6" a="1"/>
  <c r="BK17" i="6" s="1"/>
  <c r="BK16" i="6" a="1"/>
  <c r="BK16" i="6" s="1"/>
  <c r="BK15" i="6" a="1"/>
  <c r="BK15" i="6" s="1"/>
  <c r="BK14" i="6" a="1"/>
  <c r="BK14" i="6" s="1"/>
  <c r="BK13" i="6" a="1"/>
  <c r="BK13" i="6" s="1"/>
  <c r="BK12" i="6" a="1"/>
  <c r="BK12" i="6" s="1"/>
  <c r="BK11" i="6" a="1"/>
  <c r="BK11" i="6" s="1"/>
  <c r="BK10" i="6" a="1"/>
  <c r="BK10" i="6" s="1"/>
  <c r="BK9" i="6" a="1"/>
  <c r="BK9" i="6" s="1"/>
  <c r="BK8" i="6" a="1"/>
  <c r="BK8" i="6" s="1"/>
  <c r="BK7" i="6" a="1"/>
  <c r="BK7" i="6" s="1"/>
  <c r="BK6" i="6" a="1"/>
  <c r="BK6" i="6" s="1"/>
  <c r="BK5" i="6" a="1"/>
  <c r="BK5" i="6" s="1"/>
  <c r="AU5" i="6" a="1"/>
  <c r="AU5" i="6" s="1"/>
  <c r="AU6" i="6" a="1"/>
  <c r="AU6" i="6" s="1"/>
  <c r="AU7" i="6" a="1"/>
  <c r="AU7" i="6" s="1"/>
  <c r="AU8" i="6" a="1"/>
  <c r="AU8" i="6" s="1"/>
  <c r="AU9" i="6" a="1"/>
  <c r="AU9" i="6" s="1"/>
  <c r="AU10" i="6" a="1"/>
  <c r="AU10" i="6" s="1"/>
  <c r="AU11" i="6" a="1"/>
  <c r="AU11" i="6" s="1"/>
  <c r="AU12" i="6" a="1"/>
  <c r="AU12" i="6" s="1"/>
  <c r="AU13" i="6" a="1"/>
  <c r="AU13" i="6" s="1"/>
  <c r="AU14" i="6" a="1"/>
  <c r="AU14" i="6" s="1"/>
  <c r="AU15" i="6" a="1"/>
  <c r="AU15" i="6" s="1"/>
  <c r="AU16" i="6" a="1"/>
  <c r="AU16" i="6" s="1"/>
  <c r="AU17" i="6" a="1"/>
  <c r="AU17" i="6" s="1"/>
  <c r="AU18" i="6" a="1"/>
  <c r="AU18" i="6" s="1"/>
  <c r="AU19" i="6" a="1"/>
  <c r="AU19" i="6" s="1"/>
  <c r="AU20" i="6" a="1"/>
  <c r="AU20" i="6" s="1"/>
  <c r="AU21" i="6" a="1"/>
  <c r="AU21" i="6" s="1"/>
  <c r="AU22" i="6" a="1"/>
  <c r="AU22" i="6" s="1"/>
  <c r="AU23" i="6" a="1"/>
  <c r="AU23" i="6" s="1"/>
  <c r="AU24" i="6" a="1"/>
  <c r="AU24" i="6" s="1"/>
  <c r="AU25" i="6" a="1"/>
  <c r="AU25" i="6" s="1"/>
  <c r="AU26" i="6" a="1"/>
  <c r="AU26" i="6" s="1"/>
  <c r="AU27" i="6" a="1"/>
  <c r="AU27" i="6" s="1"/>
  <c r="AU28" i="6" a="1"/>
  <c r="AU28" i="6" s="1"/>
  <c r="AU29" i="6" a="1"/>
  <c r="AU29" i="6" s="1"/>
  <c r="AU30" i="6" a="1"/>
  <c r="AU30" i="6" s="1"/>
  <c r="AU31" i="6" a="1"/>
  <c r="AU31" i="6" s="1"/>
  <c r="AU32" i="6" a="1"/>
  <c r="AU32" i="6" s="1"/>
  <c r="AU33" i="6" a="1"/>
  <c r="AU33" i="6" s="1"/>
  <c r="AU34" i="6" a="1"/>
  <c r="AU34" i="6" s="1"/>
  <c r="AU35" i="6" a="1"/>
  <c r="AU35" i="6" s="1"/>
  <c r="AU36" i="6" a="1"/>
  <c r="AU36" i="6" s="1"/>
  <c r="AU37" i="6" a="1"/>
  <c r="AU37" i="6" s="1"/>
  <c r="AU38" i="6" a="1"/>
  <c r="AU38" i="6" s="1"/>
  <c r="AU39" i="6" a="1"/>
  <c r="AU39" i="6" s="1"/>
  <c r="AT5" i="6" a="1"/>
  <c r="AT5" i="6" s="1"/>
  <c r="AT6" i="6" a="1"/>
  <c r="AT6" i="6" s="1"/>
  <c r="AT7" i="6" a="1"/>
  <c r="AT7" i="6" s="1"/>
  <c r="AT8" i="6" a="1"/>
  <c r="AT8" i="6" s="1"/>
  <c r="AT9" i="6" a="1"/>
  <c r="AT9" i="6" s="1"/>
  <c r="AT10" i="6" a="1"/>
  <c r="AT10" i="6" s="1"/>
  <c r="AT11" i="6" a="1"/>
  <c r="AT11" i="6" s="1"/>
  <c r="AT12" i="6" a="1"/>
  <c r="AT12" i="6" s="1"/>
  <c r="AT13" i="6" a="1"/>
  <c r="AT13" i="6" s="1"/>
  <c r="AT14" i="6" a="1"/>
  <c r="AT14" i="6" s="1"/>
  <c r="AT15" i="6" a="1"/>
  <c r="AT15" i="6" s="1"/>
  <c r="AT16" i="6" a="1"/>
  <c r="AT16" i="6" s="1"/>
  <c r="AT17" i="6" a="1"/>
  <c r="AT17" i="6" s="1"/>
  <c r="AT18" i="6" a="1"/>
  <c r="AT18" i="6" s="1"/>
  <c r="AT19" i="6" a="1"/>
  <c r="AT19" i="6" s="1"/>
  <c r="AT20" i="6" a="1"/>
  <c r="AT20" i="6" s="1"/>
  <c r="AT21" i="6" a="1"/>
  <c r="AT21" i="6" s="1"/>
  <c r="AT22" i="6" a="1"/>
  <c r="AT22" i="6" s="1"/>
  <c r="AT23" i="6" a="1"/>
  <c r="AT23" i="6" s="1"/>
  <c r="AT24" i="6" a="1"/>
  <c r="AT24" i="6" s="1"/>
  <c r="AT25" i="6" a="1"/>
  <c r="AT25" i="6" s="1"/>
  <c r="AT26" i="6" a="1"/>
  <c r="AT26" i="6" s="1"/>
  <c r="AT27" i="6" a="1"/>
  <c r="AT27" i="6" s="1"/>
  <c r="AT28" i="6" a="1"/>
  <c r="AT28" i="6" s="1"/>
  <c r="AT29" i="6" a="1"/>
  <c r="AT29" i="6" s="1"/>
  <c r="AT30" i="6" a="1"/>
  <c r="AT30" i="6" s="1"/>
  <c r="AT31" i="6" a="1"/>
  <c r="AT31" i="6" s="1"/>
  <c r="AT32" i="6" a="1"/>
  <c r="AT32" i="6" s="1"/>
  <c r="AT33" i="6" a="1"/>
  <c r="AT33" i="6" s="1"/>
  <c r="AT34" i="6" a="1"/>
  <c r="AT34" i="6" s="1"/>
  <c r="AT35" i="6" a="1"/>
  <c r="AT35" i="6" s="1"/>
  <c r="AT36" i="6" a="1"/>
  <c r="AT36" i="6" s="1"/>
  <c r="AT37" i="6" a="1"/>
  <c r="AT37" i="6" s="1"/>
  <c r="AT38" i="6" a="1"/>
  <c r="AT38" i="6" s="1"/>
  <c r="AT39" i="6" a="1"/>
  <c r="AT39" i="6" s="1"/>
  <c r="AR5" i="6" a="1"/>
  <c r="AR5" i="6" s="1"/>
  <c r="AR6" i="6" a="1"/>
  <c r="AR6" i="6" s="1"/>
  <c r="AR7" i="6" a="1"/>
  <c r="AR7" i="6" s="1"/>
  <c r="AR8" i="6" a="1"/>
  <c r="AR8" i="6" s="1"/>
  <c r="AR9" i="6" a="1"/>
  <c r="AR9" i="6" s="1"/>
  <c r="AR10" i="6" a="1"/>
  <c r="AR10" i="6" s="1"/>
  <c r="AR11" i="6" a="1"/>
  <c r="AR11" i="6" s="1"/>
  <c r="AR12" i="6" a="1"/>
  <c r="AR12" i="6" s="1"/>
  <c r="AR13" i="6" a="1"/>
  <c r="AR13" i="6" s="1"/>
  <c r="AR14" i="6" a="1"/>
  <c r="AR14" i="6" s="1"/>
  <c r="AR15" i="6" a="1"/>
  <c r="AR15" i="6" s="1"/>
  <c r="AR16" i="6" a="1"/>
  <c r="AR16" i="6" s="1"/>
  <c r="AR17" i="6" a="1"/>
  <c r="AR17" i="6" s="1"/>
  <c r="AR18" i="6" a="1"/>
  <c r="AR18" i="6" s="1"/>
  <c r="AR19" i="6" a="1"/>
  <c r="AR19" i="6" s="1"/>
  <c r="AR20" i="6" a="1"/>
  <c r="AR20" i="6" s="1"/>
  <c r="AR21" i="6" a="1"/>
  <c r="AR21" i="6" s="1"/>
  <c r="AR22" i="6" a="1"/>
  <c r="AR22" i="6" s="1"/>
  <c r="AR23" i="6" a="1"/>
  <c r="AR23" i="6" s="1"/>
  <c r="AR24" i="6" a="1"/>
  <c r="AR24" i="6" s="1"/>
  <c r="AR25" i="6" a="1"/>
  <c r="AR25" i="6" s="1"/>
  <c r="AR26" i="6" a="1"/>
  <c r="AR26" i="6" s="1"/>
  <c r="AR27" i="6" a="1"/>
  <c r="AR27" i="6" s="1"/>
  <c r="AR28" i="6" a="1"/>
  <c r="AR28" i="6" s="1"/>
  <c r="AR29" i="6" a="1"/>
  <c r="AR29" i="6" s="1"/>
  <c r="AR30" i="6" a="1"/>
  <c r="AR30" i="6" s="1"/>
  <c r="AR31" i="6" a="1"/>
  <c r="AR31" i="6" s="1"/>
  <c r="AR32" i="6" a="1"/>
  <c r="AR32" i="6" s="1"/>
  <c r="AR33" i="6" a="1"/>
  <c r="AR33" i="6" s="1"/>
  <c r="AR34" i="6" a="1"/>
  <c r="AR34" i="6" s="1"/>
  <c r="AR35" i="6" a="1"/>
  <c r="AR35" i="6" s="1"/>
  <c r="AR36" i="6" a="1"/>
  <c r="AR36" i="6" s="1"/>
  <c r="AR37" i="6" a="1"/>
  <c r="AR37" i="6" s="1"/>
  <c r="AR38" i="6" a="1"/>
  <c r="AR38" i="6" s="1"/>
  <c r="AR39" i="6" a="1"/>
  <c r="AR39" i="6" s="1"/>
  <c r="AL5" i="6" a="1"/>
  <c r="AL5" i="6" s="1"/>
  <c r="AL6" i="6" a="1"/>
  <c r="AL6" i="6" s="1"/>
  <c r="AL7" i="6" a="1"/>
  <c r="AL7" i="6" s="1"/>
  <c r="AL8" i="6" a="1"/>
  <c r="AL8" i="6" s="1"/>
  <c r="AL9" i="6" a="1"/>
  <c r="AL9" i="6" s="1"/>
  <c r="AL10" i="6" a="1"/>
  <c r="AL10" i="6" s="1"/>
  <c r="AL11" i="6" a="1"/>
  <c r="AL11" i="6" s="1"/>
  <c r="AL12" i="6" a="1"/>
  <c r="AL12" i="6" s="1"/>
  <c r="AL13" i="6" a="1"/>
  <c r="AL13" i="6" s="1"/>
  <c r="AL14" i="6" a="1"/>
  <c r="AL14" i="6" s="1"/>
  <c r="AL15" i="6" a="1"/>
  <c r="AL15" i="6" s="1"/>
  <c r="AL16" i="6" a="1"/>
  <c r="AL16" i="6" s="1"/>
  <c r="AL17" i="6" a="1"/>
  <c r="AL17" i="6" s="1"/>
  <c r="AL18" i="6" a="1"/>
  <c r="AL18" i="6" s="1"/>
  <c r="AL19" i="6" a="1"/>
  <c r="AL19" i="6" s="1"/>
  <c r="AL20" i="6" a="1"/>
  <c r="AL20" i="6" s="1"/>
  <c r="AL21" i="6" a="1"/>
  <c r="AL21" i="6" s="1"/>
  <c r="AL22" i="6" a="1"/>
  <c r="AL22" i="6" s="1"/>
  <c r="AL23" i="6" a="1"/>
  <c r="AL23" i="6" s="1"/>
  <c r="AL24" i="6" a="1"/>
  <c r="AL24" i="6" s="1"/>
  <c r="AL25" i="6" a="1"/>
  <c r="AL25" i="6" s="1"/>
  <c r="AL26" i="6" a="1"/>
  <c r="AL26" i="6" s="1"/>
  <c r="AL27" i="6" a="1"/>
  <c r="AL27" i="6" s="1"/>
  <c r="AL28" i="6" a="1"/>
  <c r="AL28" i="6" s="1"/>
  <c r="AL29" i="6" a="1"/>
  <c r="AL29" i="6" s="1"/>
  <c r="AL30" i="6" a="1"/>
  <c r="AL30" i="6" s="1"/>
  <c r="AL31" i="6" a="1"/>
  <c r="AL31" i="6" s="1"/>
  <c r="AL32" i="6" a="1"/>
  <c r="AL32" i="6" s="1"/>
  <c r="AL33" i="6" a="1"/>
  <c r="AL33" i="6" s="1"/>
  <c r="AL34" i="6" a="1"/>
  <c r="AL34" i="6" s="1"/>
  <c r="AL35" i="6" a="1"/>
  <c r="AL35" i="6" s="1"/>
  <c r="AL36" i="6" a="1"/>
  <c r="AL36" i="6" s="1"/>
  <c r="AL37" i="6" a="1"/>
  <c r="AL37" i="6" s="1"/>
  <c r="AL38" i="6" a="1"/>
  <c r="AL38" i="6" s="1"/>
  <c r="AL39" i="6" a="1"/>
  <c r="AL39" i="6" s="1"/>
  <c r="AG39" i="6" a="1"/>
  <c r="AG39" i="6" s="1"/>
  <c r="AG38" i="6" a="1"/>
  <c r="AG38" i="6" s="1"/>
  <c r="AG37" i="6" a="1"/>
  <c r="AG37" i="6" s="1"/>
  <c r="AG36" i="6" a="1"/>
  <c r="AG36" i="6" s="1"/>
  <c r="AG35" i="6" a="1"/>
  <c r="AG35" i="6" s="1"/>
  <c r="AG34" i="6" a="1"/>
  <c r="AG34" i="6" s="1"/>
  <c r="AG33" i="6" a="1"/>
  <c r="AG33" i="6" s="1"/>
  <c r="AG32" i="6" a="1"/>
  <c r="AG32" i="6" s="1"/>
  <c r="AG31" i="6" a="1"/>
  <c r="AG31" i="6" s="1"/>
  <c r="AG30" i="6" a="1"/>
  <c r="AG30" i="6" s="1"/>
  <c r="AG29" i="6" a="1"/>
  <c r="AG29" i="6" s="1"/>
  <c r="AG28" i="6" a="1"/>
  <c r="AG28" i="6" s="1"/>
  <c r="AG27" i="6" a="1"/>
  <c r="AG27" i="6" s="1"/>
  <c r="AG26" i="6" a="1"/>
  <c r="AG26" i="6" s="1"/>
  <c r="AG25" i="6" a="1"/>
  <c r="AG25" i="6" s="1"/>
  <c r="AG24" i="6" a="1"/>
  <c r="AG24" i="6" s="1"/>
  <c r="AG23" i="6" a="1"/>
  <c r="AG23" i="6" s="1"/>
  <c r="AG22" i="6" a="1"/>
  <c r="AG22" i="6" s="1"/>
  <c r="AG21" i="6" a="1"/>
  <c r="AG21" i="6" s="1"/>
  <c r="AG20" i="6" a="1"/>
  <c r="AG20" i="6" s="1"/>
  <c r="AG19" i="6" a="1"/>
  <c r="AG19" i="6" s="1"/>
  <c r="AG18" i="6" a="1"/>
  <c r="AG18" i="6" s="1"/>
  <c r="AG17" i="6" a="1"/>
  <c r="AG17" i="6" s="1"/>
  <c r="AG16" i="6" a="1"/>
  <c r="AG16" i="6" s="1"/>
  <c r="AG15" i="6" a="1"/>
  <c r="AG15" i="6" s="1"/>
  <c r="AG14" i="6" a="1"/>
  <c r="AG14" i="6" s="1"/>
  <c r="AG13" i="6" a="1"/>
  <c r="AG13" i="6" s="1"/>
  <c r="AG12" i="6" a="1"/>
  <c r="AG12" i="6" s="1"/>
  <c r="AG11" i="6" a="1"/>
  <c r="AG11" i="6" s="1"/>
  <c r="AG10" i="6" a="1"/>
  <c r="AG10" i="6" s="1"/>
  <c r="AG9" i="6" a="1"/>
  <c r="AG9" i="6" s="1"/>
  <c r="AG8" i="6" a="1"/>
  <c r="AG8" i="6" s="1"/>
  <c r="AG7" i="6" a="1"/>
  <c r="AG7" i="6" s="1"/>
  <c r="AG6" i="6" a="1"/>
  <c r="AG6" i="6" s="1"/>
  <c r="AG5" i="6" a="1"/>
  <c r="AG5" i="6" s="1"/>
  <c r="S5" i="5" a="1"/>
  <c r="S5" i="5" s="1"/>
  <c r="R5" i="5" s="1"/>
  <c r="S6" i="5" a="1"/>
  <c r="S6" i="5" s="1"/>
  <c r="R6" i="5" s="1"/>
  <c r="S7" i="5" a="1"/>
  <c r="S7" i="5" s="1"/>
  <c r="R7" i="5" s="1"/>
  <c r="S8" i="5" a="1"/>
  <c r="S8" i="5" s="1"/>
  <c r="R8" i="5" s="1"/>
  <c r="S9" i="5" a="1"/>
  <c r="S9" i="5" s="1"/>
  <c r="R9" i="5" s="1"/>
  <c r="S10" i="5" a="1"/>
  <c r="S10" i="5" s="1"/>
  <c r="R10" i="5" s="1"/>
  <c r="S11" i="5" a="1"/>
  <c r="S11" i="5" s="1"/>
  <c r="R11" i="5" s="1"/>
  <c r="S12" i="5" a="1"/>
  <c r="S12" i="5" s="1"/>
  <c r="R12" i="5" s="1"/>
  <c r="S13" i="5" a="1"/>
  <c r="S13" i="5" s="1"/>
  <c r="R13" i="5" s="1"/>
  <c r="S14" i="5" a="1"/>
  <c r="S14" i="5" s="1"/>
  <c r="R14" i="5" s="1"/>
  <c r="S15" i="5" a="1"/>
  <c r="S15" i="5" s="1"/>
  <c r="R15" i="5" s="1"/>
  <c r="S16" i="5" a="1"/>
  <c r="S16" i="5" s="1"/>
  <c r="R16" i="5" s="1"/>
  <c r="S17" i="5" a="1"/>
  <c r="S17" i="5" s="1"/>
  <c r="R17" i="5" s="1"/>
  <c r="S18" i="5" a="1"/>
  <c r="S18" i="5" s="1"/>
  <c r="R18" i="5" s="1"/>
  <c r="S19" i="5" a="1"/>
  <c r="S19" i="5" s="1"/>
  <c r="R19" i="5" s="1"/>
  <c r="S20" i="5" a="1"/>
  <c r="S20" i="5" s="1"/>
  <c r="R20" i="5" s="1"/>
  <c r="S21" i="5" a="1"/>
  <c r="S21" i="5" s="1"/>
  <c r="R21" i="5" s="1"/>
  <c r="S22" i="5" a="1"/>
  <c r="S22" i="5" s="1"/>
  <c r="R22" i="5" s="1"/>
  <c r="S23" i="5" a="1"/>
  <c r="S23" i="5" s="1"/>
  <c r="R23" i="5" s="1"/>
  <c r="S24" i="5" a="1"/>
  <c r="S24" i="5" s="1"/>
  <c r="R24" i="5" s="1"/>
  <c r="S25" i="5" a="1"/>
  <c r="S25" i="5" s="1"/>
  <c r="R25" i="5" s="1"/>
  <c r="S26" i="5" a="1"/>
  <c r="S26" i="5" s="1"/>
  <c r="R26" i="5" s="1"/>
  <c r="S27" i="5" a="1"/>
  <c r="S27" i="5" s="1"/>
  <c r="R27" i="5" s="1"/>
  <c r="S28" i="5" a="1"/>
  <c r="S28" i="5" s="1"/>
  <c r="R28" i="5" s="1"/>
  <c r="S29" i="5" a="1"/>
  <c r="S29" i="5" s="1"/>
  <c r="R29" i="5" s="1"/>
  <c r="S30" i="5" a="1"/>
  <c r="S30" i="5" s="1"/>
  <c r="R30" i="5" s="1"/>
  <c r="S31" i="5" a="1"/>
  <c r="S31" i="5" s="1"/>
  <c r="R31" i="5" s="1"/>
  <c r="S32" i="5" a="1"/>
  <c r="S32" i="5" s="1"/>
  <c r="R32" i="5" s="1"/>
  <c r="S33" i="5" a="1"/>
  <c r="S33" i="5" s="1"/>
  <c r="R33" i="5" s="1"/>
  <c r="S34" i="5" a="1"/>
  <c r="S34" i="5" s="1"/>
  <c r="R34" i="5" s="1"/>
  <c r="S35" i="5" a="1"/>
  <c r="S35" i="5" s="1"/>
  <c r="R35" i="5" s="1"/>
  <c r="S36" i="5" a="1"/>
  <c r="S36" i="5" s="1"/>
  <c r="R36" i="5" s="1"/>
  <c r="S37" i="5" a="1"/>
  <c r="S37" i="5" s="1"/>
  <c r="R37" i="5" s="1"/>
  <c r="S38" i="5" a="1"/>
  <c r="S38" i="5" s="1"/>
  <c r="R38" i="5" s="1"/>
  <c r="S39" i="5" a="1"/>
  <c r="S39" i="5" s="1"/>
  <c r="R39" i="5" s="1"/>
  <c r="W36" i="5" a="1"/>
  <c r="W36" i="5" s="1"/>
  <c r="AC36" i="5" s="1"/>
  <c r="W35" i="5" a="1"/>
  <c r="W35" i="5" s="1"/>
  <c r="AC35" i="5" s="1"/>
  <c r="W34" i="5" a="1"/>
  <c r="W34" i="5" s="1"/>
  <c r="AC34" i="5" s="1"/>
  <c r="W33" i="5" a="1"/>
  <c r="W33" i="5" s="1"/>
  <c r="AC33" i="5" s="1"/>
  <c r="W32" i="5" a="1"/>
  <c r="W32" i="5" s="1"/>
  <c r="AC32" i="5" s="1"/>
  <c r="W31" i="5" a="1"/>
  <c r="W31" i="5" s="1"/>
  <c r="AC31" i="5" s="1"/>
  <c r="W30" i="5" a="1"/>
  <c r="W30" i="5" s="1"/>
  <c r="AC30" i="5" s="1"/>
  <c r="W29" i="5" a="1"/>
  <c r="W29" i="5" s="1"/>
  <c r="AC29" i="5" s="1"/>
  <c r="W28" i="5" a="1"/>
  <c r="W28" i="5" s="1"/>
  <c r="AC28" i="5" s="1"/>
  <c r="W27" i="5" a="1"/>
  <c r="W27" i="5" s="1"/>
  <c r="AC27" i="5" s="1"/>
  <c r="W26" i="5" a="1"/>
  <c r="W26" i="5" s="1"/>
  <c r="AC26" i="5" s="1"/>
  <c r="W25" i="5" a="1"/>
  <c r="W25" i="5" s="1"/>
  <c r="AC25" i="5" s="1"/>
  <c r="W24" i="5" a="1"/>
  <c r="W24" i="5" s="1"/>
  <c r="AC24" i="5" s="1"/>
  <c r="W23" i="5" a="1"/>
  <c r="W23" i="5" s="1"/>
  <c r="AC23" i="5" s="1"/>
  <c r="W22" i="5" a="1"/>
  <c r="W22" i="5" s="1"/>
  <c r="AC22" i="5" s="1"/>
  <c r="W21" i="5" a="1"/>
  <c r="W21" i="5" s="1"/>
  <c r="AC21" i="5" s="1"/>
  <c r="W20" i="5" a="1"/>
  <c r="W20" i="5" s="1"/>
  <c r="AC20" i="5" s="1"/>
  <c r="W19" i="5" a="1"/>
  <c r="W19" i="5" s="1"/>
  <c r="AC19" i="5" s="1"/>
  <c r="W18" i="5" a="1"/>
  <c r="W18" i="5" s="1"/>
  <c r="AC18" i="5" s="1"/>
  <c r="W17" i="5" a="1"/>
  <c r="W17" i="5" s="1"/>
  <c r="AC17" i="5" s="1"/>
  <c r="W16" i="5" a="1"/>
  <c r="W16" i="5" s="1"/>
  <c r="AC16" i="5" s="1"/>
  <c r="W15" i="5" a="1"/>
  <c r="W15" i="5" s="1"/>
  <c r="AC15" i="5" s="1"/>
  <c r="W14" i="5" a="1"/>
  <c r="W14" i="5" s="1"/>
  <c r="AC14" i="5" s="1"/>
  <c r="W13" i="5" a="1"/>
  <c r="W13" i="5" s="1"/>
  <c r="AC13" i="5" s="1"/>
  <c r="W12" i="5" a="1"/>
  <c r="W12" i="5" s="1"/>
  <c r="AC12" i="5" s="1"/>
  <c r="W11" i="5" a="1"/>
  <c r="W11" i="5" s="1"/>
  <c r="AC11" i="5" s="1"/>
  <c r="W10" i="5" a="1"/>
  <c r="W10" i="5" s="1"/>
  <c r="AC10" i="5" s="1"/>
  <c r="W9" i="5" a="1"/>
  <c r="W9" i="5" s="1"/>
  <c r="AC9" i="5" s="1"/>
  <c r="W8" i="5" a="1"/>
  <c r="W8" i="5" s="1"/>
  <c r="W7" i="5" a="1"/>
  <c r="W7" i="5" s="1"/>
  <c r="W6" i="5" a="1"/>
  <c r="W6" i="5" s="1"/>
  <c r="W5" i="5" a="1"/>
  <c r="W5" i="5" s="1"/>
  <c r="CE5" i="5" a="1"/>
  <c r="CE5" i="5" s="1"/>
  <c r="CE6" i="5" a="1"/>
  <c r="CE6" i="5" s="1"/>
  <c r="CE7" i="5" a="1"/>
  <c r="CE7" i="5" s="1"/>
  <c r="CE8" i="5" a="1"/>
  <c r="CE8" i="5" s="1"/>
  <c r="CE9" i="5" a="1"/>
  <c r="CE9" i="5" s="1"/>
  <c r="CE10" i="5" a="1"/>
  <c r="CE10" i="5" s="1"/>
  <c r="CE11" i="5" a="1"/>
  <c r="CE11" i="5" s="1"/>
  <c r="CE12" i="5" a="1"/>
  <c r="CE12" i="5" s="1"/>
  <c r="CE13" i="5" a="1"/>
  <c r="CE13" i="5" s="1"/>
  <c r="CE14" i="5" a="1"/>
  <c r="CE14" i="5" s="1"/>
  <c r="CE15" i="5" a="1"/>
  <c r="CE15" i="5" s="1"/>
  <c r="CE16" i="5" a="1"/>
  <c r="CE16" i="5" s="1"/>
  <c r="CE17" i="5" a="1"/>
  <c r="CE17" i="5" s="1"/>
  <c r="CE18" i="5" a="1"/>
  <c r="CE18" i="5" s="1"/>
  <c r="CE19" i="5" a="1"/>
  <c r="CE19" i="5" s="1"/>
  <c r="CE20" i="5" a="1"/>
  <c r="CE20" i="5" s="1"/>
  <c r="CE21" i="5" a="1"/>
  <c r="CE21" i="5" s="1"/>
  <c r="CE22" i="5" a="1"/>
  <c r="CE22" i="5" s="1"/>
  <c r="CE23" i="5" a="1"/>
  <c r="CE23" i="5" s="1"/>
  <c r="CE24" i="5" a="1"/>
  <c r="CE24" i="5" s="1"/>
  <c r="CE25" i="5" a="1"/>
  <c r="CE25" i="5" s="1"/>
  <c r="CE26" i="5" a="1"/>
  <c r="CE26" i="5" s="1"/>
  <c r="CE27" i="5" a="1"/>
  <c r="CE27" i="5" s="1"/>
  <c r="CE28" i="5" a="1"/>
  <c r="CE28" i="5" s="1"/>
  <c r="CE29" i="5" a="1"/>
  <c r="CE29" i="5" s="1"/>
  <c r="CE30" i="5" a="1"/>
  <c r="CE30" i="5" s="1"/>
  <c r="CE31" i="5" a="1"/>
  <c r="CE31" i="5" s="1"/>
  <c r="CE32" i="5" a="1"/>
  <c r="CE32" i="5" s="1"/>
  <c r="CE33" i="5" a="1"/>
  <c r="CE33" i="5" s="1"/>
  <c r="CE34" i="5" a="1"/>
  <c r="CE34" i="5" s="1"/>
  <c r="CE35" i="5" a="1"/>
  <c r="CE35" i="5" s="1"/>
  <c r="CE36" i="5" a="1"/>
  <c r="CE36" i="5" s="1"/>
  <c r="CE37" i="5" a="1"/>
  <c r="CE37" i="5" s="1"/>
  <c r="CE38" i="5" a="1"/>
  <c r="CE38" i="5" s="1"/>
  <c r="CE39" i="5" a="1"/>
  <c r="CE39" i="5" s="1"/>
  <c r="CD5" i="5" a="1"/>
  <c r="CD5" i="5" s="1"/>
  <c r="CD6" i="5" a="1"/>
  <c r="CD6" i="5" s="1"/>
  <c r="CD7" i="5" a="1"/>
  <c r="CD7" i="5" s="1"/>
  <c r="CD8" i="5" a="1"/>
  <c r="CD8" i="5" s="1"/>
  <c r="CD9" i="5" a="1"/>
  <c r="CD9" i="5" s="1"/>
  <c r="CD10" i="5" a="1"/>
  <c r="CD10" i="5" s="1"/>
  <c r="CD11" i="5" a="1"/>
  <c r="CD11" i="5" s="1"/>
  <c r="CD12" i="5" a="1"/>
  <c r="CD12" i="5" s="1"/>
  <c r="CD13" i="5" a="1"/>
  <c r="CD13" i="5" s="1"/>
  <c r="CD14" i="5" a="1"/>
  <c r="CD14" i="5" s="1"/>
  <c r="CD15" i="5" a="1"/>
  <c r="CD15" i="5" s="1"/>
  <c r="CD16" i="5" a="1"/>
  <c r="CD16" i="5" s="1"/>
  <c r="CD17" i="5" a="1"/>
  <c r="CD17" i="5" s="1"/>
  <c r="CD18" i="5" a="1"/>
  <c r="CD18" i="5" s="1"/>
  <c r="CD19" i="5" a="1"/>
  <c r="CD19" i="5" s="1"/>
  <c r="CD20" i="5" a="1"/>
  <c r="CD20" i="5" s="1"/>
  <c r="CD21" i="5" a="1"/>
  <c r="CD21" i="5" s="1"/>
  <c r="CD22" i="5" a="1"/>
  <c r="CD22" i="5" s="1"/>
  <c r="CD23" i="5" a="1"/>
  <c r="CD23" i="5" s="1"/>
  <c r="CD24" i="5" a="1"/>
  <c r="CD24" i="5" s="1"/>
  <c r="CD25" i="5" a="1"/>
  <c r="CD25" i="5" s="1"/>
  <c r="CD26" i="5" a="1"/>
  <c r="CD26" i="5" s="1"/>
  <c r="CD27" i="5" a="1"/>
  <c r="CD27" i="5" s="1"/>
  <c r="CD28" i="5" a="1"/>
  <c r="CD28" i="5" s="1"/>
  <c r="CD29" i="5" a="1"/>
  <c r="CD29" i="5" s="1"/>
  <c r="CD30" i="5" a="1"/>
  <c r="CD30" i="5" s="1"/>
  <c r="CD31" i="5" a="1"/>
  <c r="CD31" i="5" s="1"/>
  <c r="CD32" i="5" a="1"/>
  <c r="CD32" i="5" s="1"/>
  <c r="CD33" i="5" a="1"/>
  <c r="CD33" i="5" s="1"/>
  <c r="CD34" i="5" a="1"/>
  <c r="CD34" i="5" s="1"/>
  <c r="CD35" i="5" a="1"/>
  <c r="CD35" i="5" s="1"/>
  <c r="CD36" i="5" a="1"/>
  <c r="CD36" i="5" s="1"/>
  <c r="CD37" i="5" a="1"/>
  <c r="CD37" i="5" s="1"/>
  <c r="CD38" i="5" a="1"/>
  <c r="CD38" i="5" s="1"/>
  <c r="CD39" i="5" a="1"/>
  <c r="CD39" i="5" s="1"/>
  <c r="CC5" i="5" a="1"/>
  <c r="CC5" i="5" s="1"/>
  <c r="CC6" i="5" a="1"/>
  <c r="CC6" i="5" s="1"/>
  <c r="CC7" i="5" a="1"/>
  <c r="CC7" i="5" s="1"/>
  <c r="CC8" i="5" a="1"/>
  <c r="CC8" i="5" s="1"/>
  <c r="CC9" i="5" a="1"/>
  <c r="CC9" i="5" s="1"/>
  <c r="CC10" i="5" a="1"/>
  <c r="CC10" i="5" s="1"/>
  <c r="CC11" i="5" a="1"/>
  <c r="CC11" i="5" s="1"/>
  <c r="CC12" i="5" a="1"/>
  <c r="CC12" i="5" s="1"/>
  <c r="CC13" i="5" a="1"/>
  <c r="CC13" i="5" s="1"/>
  <c r="CC14" i="5" a="1"/>
  <c r="CC14" i="5" s="1"/>
  <c r="CC15" i="5" a="1"/>
  <c r="CC15" i="5" s="1"/>
  <c r="CC16" i="5" a="1"/>
  <c r="CC16" i="5" s="1"/>
  <c r="CC17" i="5" a="1"/>
  <c r="CC17" i="5" s="1"/>
  <c r="CC18" i="5" a="1"/>
  <c r="CC18" i="5" s="1"/>
  <c r="CC19" i="5" a="1"/>
  <c r="CC19" i="5" s="1"/>
  <c r="CC20" i="5" a="1"/>
  <c r="CC20" i="5" s="1"/>
  <c r="CC21" i="5" a="1"/>
  <c r="CC21" i="5" s="1"/>
  <c r="CC22" i="5" a="1"/>
  <c r="CC22" i="5" s="1"/>
  <c r="CC23" i="5" a="1"/>
  <c r="CC23" i="5" s="1"/>
  <c r="CC24" i="5" a="1"/>
  <c r="CC24" i="5" s="1"/>
  <c r="CC25" i="5" a="1"/>
  <c r="CC25" i="5" s="1"/>
  <c r="CC26" i="5" a="1"/>
  <c r="CC26" i="5" s="1"/>
  <c r="CC27" i="5" a="1"/>
  <c r="CC27" i="5" s="1"/>
  <c r="CC28" i="5" a="1"/>
  <c r="CC28" i="5" s="1"/>
  <c r="CC29" i="5" a="1"/>
  <c r="CC29" i="5" s="1"/>
  <c r="CC30" i="5" a="1"/>
  <c r="CC30" i="5" s="1"/>
  <c r="CC31" i="5" a="1"/>
  <c r="CC31" i="5" s="1"/>
  <c r="CC32" i="5" a="1"/>
  <c r="CC32" i="5" s="1"/>
  <c r="CC33" i="5" a="1"/>
  <c r="CC33" i="5" s="1"/>
  <c r="CC34" i="5" a="1"/>
  <c r="CC34" i="5" s="1"/>
  <c r="CC35" i="5" a="1"/>
  <c r="CC35" i="5" s="1"/>
  <c r="CC36" i="5" a="1"/>
  <c r="CC36" i="5" s="1"/>
  <c r="CC37" i="5" a="1"/>
  <c r="CC37" i="5" s="1"/>
  <c r="CC38" i="5" a="1"/>
  <c r="CC38" i="5" s="1"/>
  <c r="CC39" i="5" a="1"/>
  <c r="CC39" i="5" s="1"/>
  <c r="CA5" i="5" a="1"/>
  <c r="CA5" i="5" s="1"/>
  <c r="CA6" i="5" a="1"/>
  <c r="CA6" i="5" s="1"/>
  <c r="CA7" i="5" a="1"/>
  <c r="CA7" i="5" s="1"/>
  <c r="CA8" i="5" a="1"/>
  <c r="CA8" i="5" s="1"/>
  <c r="CA9" i="5" a="1"/>
  <c r="CA9" i="5" s="1"/>
  <c r="CA10" i="5" a="1"/>
  <c r="CA10" i="5" s="1"/>
  <c r="CA11" i="5" a="1"/>
  <c r="CA11" i="5" s="1"/>
  <c r="CA12" i="5" a="1"/>
  <c r="CA12" i="5" s="1"/>
  <c r="CA13" i="5" a="1"/>
  <c r="CA13" i="5" s="1"/>
  <c r="CA14" i="5" a="1"/>
  <c r="CA14" i="5" s="1"/>
  <c r="CA15" i="5" a="1"/>
  <c r="CA15" i="5" s="1"/>
  <c r="CA16" i="5" a="1"/>
  <c r="CA16" i="5" s="1"/>
  <c r="CA17" i="5" a="1"/>
  <c r="CA17" i="5" s="1"/>
  <c r="CA18" i="5" a="1"/>
  <c r="CA18" i="5" s="1"/>
  <c r="CA19" i="5" a="1"/>
  <c r="CA19" i="5" s="1"/>
  <c r="CA20" i="5" a="1"/>
  <c r="CA20" i="5" s="1"/>
  <c r="CA21" i="5" a="1"/>
  <c r="CA21" i="5" s="1"/>
  <c r="CA22" i="5" a="1"/>
  <c r="CA22" i="5" s="1"/>
  <c r="CA23" i="5" a="1"/>
  <c r="CA23" i="5" s="1"/>
  <c r="CA24" i="5" a="1"/>
  <c r="CA24" i="5" s="1"/>
  <c r="CA25" i="5" a="1"/>
  <c r="CA25" i="5" s="1"/>
  <c r="CA26" i="5" a="1"/>
  <c r="CA26" i="5" s="1"/>
  <c r="CA27" i="5" a="1"/>
  <c r="CA27" i="5" s="1"/>
  <c r="CA28" i="5" a="1"/>
  <c r="CA28" i="5" s="1"/>
  <c r="CA29" i="5" a="1"/>
  <c r="CA29" i="5" s="1"/>
  <c r="CA30" i="5" a="1"/>
  <c r="CA30" i="5" s="1"/>
  <c r="CA31" i="5" a="1"/>
  <c r="CA31" i="5" s="1"/>
  <c r="CA32" i="5" a="1"/>
  <c r="CA32" i="5" s="1"/>
  <c r="CA33" i="5" a="1"/>
  <c r="CA33" i="5" s="1"/>
  <c r="CA34" i="5" a="1"/>
  <c r="CA34" i="5" s="1"/>
  <c r="CA35" i="5" a="1"/>
  <c r="CA35" i="5" s="1"/>
  <c r="CA36" i="5" a="1"/>
  <c r="CA36" i="5" s="1"/>
  <c r="CA37" i="5" a="1"/>
  <c r="CA37" i="5" s="1"/>
  <c r="CA38" i="5" a="1"/>
  <c r="CA38" i="5" s="1"/>
  <c r="CA39" i="5" a="1"/>
  <c r="CA39" i="5" s="1"/>
  <c r="BZ5" i="5" a="1"/>
  <c r="BZ5" i="5" s="1"/>
  <c r="BZ6" i="5" a="1"/>
  <c r="BZ6" i="5" s="1"/>
  <c r="BZ7" i="5" a="1"/>
  <c r="BZ7" i="5" s="1"/>
  <c r="BZ8" i="5" a="1"/>
  <c r="BZ8" i="5" s="1"/>
  <c r="BZ9" i="5" a="1"/>
  <c r="BZ9" i="5" s="1"/>
  <c r="BZ10" i="5" a="1"/>
  <c r="BZ10" i="5" s="1"/>
  <c r="BZ11" i="5" a="1"/>
  <c r="BZ11" i="5" s="1"/>
  <c r="BZ12" i="5" a="1"/>
  <c r="BZ12" i="5" s="1"/>
  <c r="BZ13" i="5" a="1"/>
  <c r="BZ13" i="5" s="1"/>
  <c r="BZ14" i="5" a="1"/>
  <c r="BZ14" i="5" s="1"/>
  <c r="BZ15" i="5" a="1"/>
  <c r="BZ15" i="5" s="1"/>
  <c r="BZ16" i="5" a="1"/>
  <c r="BZ16" i="5" s="1"/>
  <c r="BZ17" i="5" a="1"/>
  <c r="BZ17" i="5" s="1"/>
  <c r="BZ18" i="5" a="1"/>
  <c r="BZ18" i="5" s="1"/>
  <c r="BZ19" i="5" a="1"/>
  <c r="BZ19" i="5" s="1"/>
  <c r="BZ20" i="5" a="1"/>
  <c r="BZ20" i="5" s="1"/>
  <c r="BZ21" i="5" a="1"/>
  <c r="BZ21" i="5" s="1"/>
  <c r="BZ22" i="5" a="1"/>
  <c r="BZ22" i="5" s="1"/>
  <c r="BZ23" i="5" a="1"/>
  <c r="BZ23" i="5" s="1"/>
  <c r="BZ24" i="5" a="1"/>
  <c r="BZ24" i="5" s="1"/>
  <c r="BZ25" i="5" a="1"/>
  <c r="BZ25" i="5" s="1"/>
  <c r="BZ26" i="5" a="1"/>
  <c r="BZ26" i="5" s="1"/>
  <c r="BZ27" i="5" a="1"/>
  <c r="BZ27" i="5" s="1"/>
  <c r="BZ28" i="5" a="1"/>
  <c r="BZ28" i="5" s="1"/>
  <c r="BZ29" i="5" a="1"/>
  <c r="BZ29" i="5" s="1"/>
  <c r="BZ30" i="5" a="1"/>
  <c r="BZ30" i="5" s="1"/>
  <c r="BZ31" i="5" a="1"/>
  <c r="BZ31" i="5" s="1"/>
  <c r="BZ32" i="5" a="1"/>
  <c r="BZ32" i="5" s="1"/>
  <c r="BZ33" i="5" a="1"/>
  <c r="BZ33" i="5" s="1"/>
  <c r="BZ34" i="5" a="1"/>
  <c r="BZ34" i="5" s="1"/>
  <c r="BZ35" i="5" a="1"/>
  <c r="BZ35" i="5" s="1"/>
  <c r="BZ36" i="5" a="1"/>
  <c r="BZ36" i="5" s="1"/>
  <c r="BZ37" i="5" a="1"/>
  <c r="BZ37" i="5" s="1"/>
  <c r="BZ38" i="5" a="1"/>
  <c r="BZ38" i="5" s="1"/>
  <c r="BZ39" i="5" a="1"/>
  <c r="BZ39" i="5" s="1"/>
  <c r="BY5" i="5" a="1"/>
  <c r="BY5" i="5" s="1"/>
  <c r="BY6" i="5" a="1"/>
  <c r="BY6" i="5" s="1"/>
  <c r="BY7" i="5" a="1"/>
  <c r="BY7" i="5" s="1"/>
  <c r="BY8" i="5" a="1"/>
  <c r="BY8" i="5" s="1"/>
  <c r="BY9" i="5" a="1"/>
  <c r="BY9" i="5" s="1"/>
  <c r="BY10" i="5" a="1"/>
  <c r="BY10" i="5" s="1"/>
  <c r="BY11" i="5" a="1"/>
  <c r="BY11" i="5" s="1"/>
  <c r="BY12" i="5" a="1"/>
  <c r="BY12" i="5" s="1"/>
  <c r="BY13" i="5" a="1"/>
  <c r="BY13" i="5" s="1"/>
  <c r="BY14" i="5" a="1"/>
  <c r="BY14" i="5" s="1"/>
  <c r="BY15" i="5" a="1"/>
  <c r="BY15" i="5" s="1"/>
  <c r="BY16" i="5" a="1"/>
  <c r="BY16" i="5" s="1"/>
  <c r="BY17" i="5" a="1"/>
  <c r="BY17" i="5" s="1"/>
  <c r="BY18" i="5" a="1"/>
  <c r="BY18" i="5" s="1"/>
  <c r="BY19" i="5" a="1"/>
  <c r="BY19" i="5" s="1"/>
  <c r="BY20" i="5" a="1"/>
  <c r="BY20" i="5" s="1"/>
  <c r="BY21" i="5" a="1"/>
  <c r="BY21" i="5" s="1"/>
  <c r="BY22" i="5" a="1"/>
  <c r="BY22" i="5" s="1"/>
  <c r="BY23" i="5" a="1"/>
  <c r="BY23" i="5" s="1"/>
  <c r="BY24" i="5" a="1"/>
  <c r="BY24" i="5" s="1"/>
  <c r="BY25" i="5" a="1"/>
  <c r="BY25" i="5" s="1"/>
  <c r="BY26" i="5" a="1"/>
  <c r="BY26" i="5" s="1"/>
  <c r="BY27" i="5" a="1"/>
  <c r="BY27" i="5" s="1"/>
  <c r="BY28" i="5" a="1"/>
  <c r="BY28" i="5" s="1"/>
  <c r="BY29" i="5" a="1"/>
  <c r="BY29" i="5" s="1"/>
  <c r="BY30" i="5" a="1"/>
  <c r="BY30" i="5" s="1"/>
  <c r="BY31" i="5" a="1"/>
  <c r="BY31" i="5" s="1"/>
  <c r="BY32" i="5" a="1"/>
  <c r="BY32" i="5" s="1"/>
  <c r="BY33" i="5" a="1"/>
  <c r="BY33" i="5" s="1"/>
  <c r="BY34" i="5" a="1"/>
  <c r="BY34" i="5" s="1"/>
  <c r="BY35" i="5" a="1"/>
  <c r="BY35" i="5" s="1"/>
  <c r="BY36" i="5" a="1"/>
  <c r="BY36" i="5" s="1"/>
  <c r="BY37" i="5" a="1"/>
  <c r="BY37" i="5" s="1"/>
  <c r="BY38" i="5" a="1"/>
  <c r="BY38" i="5" s="1"/>
  <c r="BY39" i="5" a="1"/>
  <c r="BY39" i="5" s="1"/>
  <c r="BX37" i="5" a="1"/>
  <c r="BX37" i="5" s="1"/>
  <c r="BX38" i="5" a="1"/>
  <c r="BX38" i="5" s="1"/>
  <c r="BX39" i="5" a="1"/>
  <c r="BX39" i="5" s="1"/>
  <c r="BX5" i="5" a="1"/>
  <c r="BX5" i="5" s="1"/>
  <c r="BX6" i="5" a="1"/>
  <c r="BX6" i="5" s="1"/>
  <c r="BX7" i="5" a="1"/>
  <c r="BX7" i="5" s="1"/>
  <c r="BX8" i="5" a="1"/>
  <c r="BX8" i="5" s="1"/>
  <c r="BX9" i="5" a="1"/>
  <c r="BX9" i="5" s="1"/>
  <c r="BX10" i="5" a="1"/>
  <c r="BX10" i="5" s="1"/>
  <c r="BX11" i="5" a="1"/>
  <c r="BX11" i="5" s="1"/>
  <c r="BX12" i="5" a="1"/>
  <c r="BX12" i="5" s="1"/>
  <c r="BX13" i="5" a="1"/>
  <c r="BX13" i="5" s="1"/>
  <c r="BX14" i="5" a="1"/>
  <c r="BX14" i="5" s="1"/>
  <c r="BX15" i="5" a="1"/>
  <c r="BX15" i="5" s="1"/>
  <c r="BX16" i="5" a="1"/>
  <c r="BX16" i="5" s="1"/>
  <c r="BX17" i="5" a="1"/>
  <c r="BX17" i="5" s="1"/>
  <c r="BX18" i="5" a="1"/>
  <c r="BX18" i="5" s="1"/>
  <c r="BX19" i="5" a="1"/>
  <c r="BX19" i="5" s="1"/>
  <c r="BX20" i="5" a="1"/>
  <c r="BX20" i="5" s="1"/>
  <c r="BX21" i="5" a="1"/>
  <c r="BX21" i="5" s="1"/>
  <c r="BX22" i="5" a="1"/>
  <c r="BX22" i="5" s="1"/>
  <c r="BX23" i="5" a="1"/>
  <c r="BX23" i="5" s="1"/>
  <c r="BX24" i="5" a="1"/>
  <c r="BX24" i="5" s="1"/>
  <c r="BX25" i="5" a="1"/>
  <c r="BX25" i="5" s="1"/>
  <c r="BX26" i="5" a="1"/>
  <c r="BX26" i="5" s="1"/>
  <c r="BX27" i="5" a="1"/>
  <c r="BX27" i="5" s="1"/>
  <c r="BX28" i="5" a="1"/>
  <c r="BX28" i="5" s="1"/>
  <c r="BX29" i="5" a="1"/>
  <c r="BX29" i="5" s="1"/>
  <c r="BX30" i="5" a="1"/>
  <c r="BX30" i="5" s="1"/>
  <c r="BX31" i="5" a="1"/>
  <c r="BX31" i="5" s="1"/>
  <c r="BX32" i="5" a="1"/>
  <c r="BX32" i="5" s="1"/>
  <c r="BX33" i="5" a="1"/>
  <c r="BX33" i="5" s="1"/>
  <c r="BX34" i="5" a="1"/>
  <c r="BX34" i="5" s="1"/>
  <c r="BX35" i="5" a="1"/>
  <c r="BX35" i="5" s="1"/>
  <c r="BX36" i="5" a="1"/>
  <c r="BX36" i="5" s="1"/>
  <c r="AQ5" i="5" a="1"/>
  <c r="AQ5" i="5" s="1"/>
  <c r="AQ6" i="5" a="1"/>
  <c r="AQ6" i="5" s="1"/>
  <c r="AQ7" i="5" a="1"/>
  <c r="AQ7" i="5" s="1"/>
  <c r="AQ8" i="5" a="1"/>
  <c r="AQ8" i="5" s="1"/>
  <c r="AQ9" i="5" a="1"/>
  <c r="AQ9" i="5" s="1"/>
  <c r="AQ10" i="5" a="1"/>
  <c r="AQ10" i="5" s="1"/>
  <c r="AQ11" i="5" a="1"/>
  <c r="AQ11" i="5" s="1"/>
  <c r="AQ12" i="5" a="1"/>
  <c r="AQ12" i="5" s="1"/>
  <c r="AQ13" i="5" a="1"/>
  <c r="AQ13" i="5" s="1"/>
  <c r="AQ14" i="5" a="1"/>
  <c r="AQ14" i="5" s="1"/>
  <c r="AQ15" i="5" a="1"/>
  <c r="AQ15" i="5" s="1"/>
  <c r="AQ16" i="5" a="1"/>
  <c r="AQ16" i="5" s="1"/>
  <c r="AQ17" i="5" a="1"/>
  <c r="AQ17" i="5" s="1"/>
  <c r="AQ18" i="5" a="1"/>
  <c r="AQ18" i="5" s="1"/>
  <c r="AQ19" i="5" a="1"/>
  <c r="AQ19" i="5" s="1"/>
  <c r="AQ20" i="5" a="1"/>
  <c r="AQ20" i="5" s="1"/>
  <c r="AQ21" i="5" a="1"/>
  <c r="AQ21" i="5" s="1"/>
  <c r="AQ22" i="5" a="1"/>
  <c r="AQ22" i="5" s="1"/>
  <c r="AQ23" i="5" a="1"/>
  <c r="AQ23" i="5" s="1"/>
  <c r="AQ24" i="5" a="1"/>
  <c r="AQ24" i="5" s="1"/>
  <c r="AQ25" i="5" a="1"/>
  <c r="AQ25" i="5" s="1"/>
  <c r="AQ26" i="5" a="1"/>
  <c r="AQ26" i="5" s="1"/>
  <c r="AQ27" i="5" a="1"/>
  <c r="AQ27" i="5" s="1"/>
  <c r="AQ28" i="5" a="1"/>
  <c r="AQ28" i="5" s="1"/>
  <c r="AQ29" i="5" a="1"/>
  <c r="AQ29" i="5" s="1"/>
  <c r="AQ30" i="5" a="1"/>
  <c r="AQ30" i="5" s="1"/>
  <c r="AQ31" i="5" a="1"/>
  <c r="AQ31" i="5" s="1"/>
  <c r="AQ32" i="5" a="1"/>
  <c r="AQ32" i="5" s="1"/>
  <c r="AQ33" i="5" a="1"/>
  <c r="AQ33" i="5" s="1"/>
  <c r="AQ34" i="5" a="1"/>
  <c r="AQ34" i="5" s="1"/>
  <c r="AQ35" i="5" a="1"/>
  <c r="AQ35" i="5" s="1"/>
  <c r="AQ36" i="5" a="1"/>
  <c r="AQ36" i="5" s="1"/>
  <c r="AQ37" i="5" a="1"/>
  <c r="AQ37" i="5" s="1"/>
  <c r="AQ38" i="5" a="1"/>
  <c r="AQ38" i="5" s="1"/>
  <c r="AQ39" i="5" a="1"/>
  <c r="AQ39" i="5" s="1"/>
  <c r="U22" i="4"/>
  <c r="U23" i="4"/>
  <c r="U24" i="4"/>
  <c r="U25" i="4"/>
  <c r="U26" i="4"/>
  <c r="U27" i="4"/>
  <c r="U28" i="4"/>
  <c r="U29" i="4"/>
  <c r="U30" i="4"/>
  <c r="U31" i="4"/>
  <c r="U32" i="4"/>
  <c r="U33" i="4"/>
  <c r="U34" i="4"/>
  <c r="U35" i="4"/>
  <c r="U36" i="4"/>
  <c r="U37" i="4"/>
  <c r="U21" i="4"/>
  <c r="AN117" i="6" l="1"/>
  <c r="AN76" i="6"/>
  <c r="AQ49" i="6"/>
  <c r="R49" i="6" s="1" a="1"/>
  <c r="R49" i="6" s="1"/>
  <c r="AN97" i="6"/>
  <c r="AN79" i="6"/>
  <c r="AN152" i="6"/>
  <c r="AN126" i="6"/>
  <c r="AN130" i="6"/>
  <c r="AN81" i="6"/>
  <c r="AQ114" i="6"/>
  <c r="R114" i="6" s="1" a="1"/>
  <c r="R114" i="6" s="1"/>
  <c r="AN153" i="6"/>
  <c r="AN158" i="6"/>
  <c r="AN40" i="6"/>
  <c r="AQ71" i="6"/>
  <c r="R71" i="6" s="1" a="1"/>
  <c r="R71" i="6" s="1"/>
  <c r="AN56" i="6"/>
  <c r="AQ133" i="6"/>
  <c r="R133" i="6" s="1" a="1"/>
  <c r="R133" i="6" s="1"/>
  <c r="AN127" i="6"/>
  <c r="AN45" i="6"/>
  <c r="AN106" i="6"/>
  <c r="AN70" i="6"/>
  <c r="AN136" i="6"/>
  <c r="AN140" i="6"/>
  <c r="AN138" i="6"/>
  <c r="AN74" i="6"/>
  <c r="AN129" i="6"/>
  <c r="AN82" i="6"/>
  <c r="AN90" i="6"/>
  <c r="AN44" i="6"/>
  <c r="AN122" i="6"/>
  <c r="AQ128" i="6"/>
  <c r="R128" i="6" s="1" a="1"/>
  <c r="R128" i="6" s="1"/>
  <c r="AQ100" i="6"/>
  <c r="R100" i="6" s="1" a="1"/>
  <c r="R100" i="6" s="1"/>
  <c r="AQ43" i="6"/>
  <c r="R43" i="6" s="1" a="1"/>
  <c r="R43" i="6" s="1"/>
  <c r="AQ93" i="6"/>
  <c r="R93" i="6" s="1" a="1"/>
  <c r="R93" i="6" s="1"/>
  <c r="AQ112" i="6"/>
  <c r="R112" i="6" s="1" a="1"/>
  <c r="R112" i="6" s="1"/>
  <c r="AQ88" i="6"/>
  <c r="R88" i="6" s="1" a="1"/>
  <c r="R88" i="6" s="1"/>
  <c r="AQ91" i="6"/>
  <c r="R91" i="6" s="1" a="1"/>
  <c r="R91" i="6" s="1"/>
  <c r="AQ75" i="6"/>
  <c r="R75" i="6" s="1" a="1"/>
  <c r="R75" i="6" s="1"/>
  <c r="AQ104" i="6"/>
  <c r="R104" i="6" s="1" a="1"/>
  <c r="R104" i="6" s="1"/>
  <c r="AQ58" i="6"/>
  <c r="R58" i="6" s="1" a="1"/>
  <c r="R58" i="6" s="1"/>
  <c r="AQ50" i="6"/>
  <c r="R50" i="6" s="1" a="1"/>
  <c r="R50" i="6" s="1"/>
  <c r="AQ54" i="6"/>
  <c r="R54" i="6" s="1" a="1"/>
  <c r="R54" i="6" s="1"/>
  <c r="AQ61" i="6"/>
  <c r="R61" i="6" s="1" a="1"/>
  <c r="R61" i="6" s="1"/>
  <c r="AQ154" i="6"/>
  <c r="R154" i="6" s="1" a="1"/>
  <c r="R154" i="6" s="1"/>
  <c r="AQ41" i="6"/>
  <c r="R41" i="6" s="1" a="1"/>
  <c r="R41" i="6" s="1"/>
  <c r="F14" i="5"/>
  <c r="F15" i="5"/>
  <c r="F27" i="5"/>
  <c r="F39" i="5"/>
  <c r="F16" i="5"/>
  <c r="F28" i="5"/>
  <c r="F40" i="5"/>
  <c r="F17" i="5"/>
  <c r="F29" i="5"/>
  <c r="F41" i="5"/>
  <c r="F19" i="5"/>
  <c r="F20" i="5"/>
  <c r="F32" i="5"/>
  <c r="F44" i="5"/>
  <c r="F21" i="5"/>
  <c r="F22" i="5"/>
  <c r="F34" i="5"/>
  <c r="F23" i="5"/>
  <c r="F35" i="5"/>
  <c r="F13" i="5"/>
  <c r="F25" i="5"/>
  <c r="F37" i="5"/>
  <c r="F24" i="5"/>
  <c r="F26" i="5"/>
  <c r="F30" i="5"/>
  <c r="F31" i="5"/>
  <c r="F33" i="5"/>
  <c r="F36" i="5"/>
  <c r="F38" i="5"/>
  <c r="F42" i="5"/>
  <c r="F43" i="5"/>
  <c r="F12" i="5"/>
  <c r="F18" i="5"/>
  <c r="AQ65" i="6"/>
  <c r="R65" i="6" s="1" a="1"/>
  <c r="R65" i="6" s="1"/>
  <c r="AQ113" i="6"/>
  <c r="R113" i="6" s="1" a="1"/>
  <c r="R113" i="6" s="1"/>
  <c r="AQ55" i="6"/>
  <c r="R55" i="6" s="1" a="1"/>
  <c r="R55" i="6" s="1"/>
  <c r="AQ57" i="6"/>
  <c r="R57" i="6" s="1" a="1"/>
  <c r="R57" i="6" s="1"/>
  <c r="F23" i="6"/>
  <c r="F35" i="6"/>
  <c r="F12" i="6"/>
  <c r="F24" i="6"/>
  <c r="F36" i="6"/>
  <c r="F13" i="6"/>
  <c r="F25" i="6"/>
  <c r="F37" i="6"/>
  <c r="F14" i="6"/>
  <c r="F26" i="6"/>
  <c r="F38" i="6"/>
  <c r="F15" i="6"/>
  <c r="F27" i="6"/>
  <c r="F39" i="6"/>
  <c r="F16" i="6"/>
  <c r="F28" i="6"/>
  <c r="F40" i="6"/>
  <c r="F17" i="6"/>
  <c r="F29" i="6"/>
  <c r="F41" i="6"/>
  <c r="F18" i="6"/>
  <c r="F44" i="6"/>
  <c r="F34" i="6"/>
  <c r="F19" i="6"/>
  <c r="F20" i="6"/>
  <c r="F21" i="6"/>
  <c r="F22" i="6"/>
  <c r="F30" i="6"/>
  <c r="F31" i="6"/>
  <c r="F32" i="6"/>
  <c r="F33" i="6"/>
  <c r="F42" i="6"/>
  <c r="F43" i="6"/>
  <c r="G18" i="15"/>
  <c r="F5" i="6"/>
  <c r="F6" i="6"/>
  <c r="F7" i="6"/>
  <c r="F8" i="6"/>
  <c r="F9" i="6"/>
  <c r="F10" i="6"/>
  <c r="F11" i="6"/>
  <c r="L47" i="4"/>
  <c r="L46" i="4"/>
  <c r="CB35" i="5"/>
  <c r="AY35" i="5" s="1" a="1"/>
  <c r="AY35" i="5" s="1"/>
  <c r="CB23" i="5"/>
  <c r="AY23" i="5" s="1" a="1"/>
  <c r="AY23" i="5" s="1"/>
  <c r="CB11" i="5"/>
  <c r="AY11" i="5" s="1" a="1"/>
  <c r="AY11" i="5" s="1"/>
  <c r="CF32" i="5"/>
  <c r="AZ32" i="5" s="1" a="1"/>
  <c r="AZ32" i="5" s="1"/>
  <c r="CF20" i="5"/>
  <c r="AZ20" i="5" s="1" a="1"/>
  <c r="AZ20" i="5" s="1"/>
  <c r="CF8" i="5"/>
  <c r="AZ8" i="5" s="1" a="1"/>
  <c r="AZ8" i="5" s="1"/>
  <c r="CB37" i="5"/>
  <c r="AY37" i="5" s="1" a="1"/>
  <c r="AY37" i="5" s="1"/>
  <c r="CB25" i="5"/>
  <c r="AY25" i="5" s="1" a="1"/>
  <c r="AY25" i="5" s="1"/>
  <c r="CB13" i="5"/>
  <c r="AY13" i="5" s="1" a="1"/>
  <c r="AY13" i="5" s="1"/>
  <c r="CF34" i="5"/>
  <c r="AZ34" i="5" s="1" a="1"/>
  <c r="AZ34" i="5" s="1"/>
  <c r="CF22" i="5"/>
  <c r="AZ22" i="5" s="1" a="1"/>
  <c r="AZ22" i="5" s="1"/>
  <c r="CF10" i="5"/>
  <c r="AZ10" i="5" s="1" a="1"/>
  <c r="AZ10" i="5" s="1"/>
  <c r="BO33" i="6"/>
  <c r="AO33" i="6" s="1" a="1"/>
  <c r="AO33" i="6" s="1"/>
  <c r="CB39" i="5"/>
  <c r="AY39" i="5" s="1" a="1"/>
  <c r="AY39" i="5" s="1"/>
  <c r="CB27" i="5"/>
  <c r="AY27" i="5" s="1" a="1"/>
  <c r="AY27" i="5" s="1"/>
  <c r="CB15" i="5"/>
  <c r="AY15" i="5" s="1" a="1"/>
  <c r="AY15" i="5" s="1"/>
  <c r="CF36" i="5"/>
  <c r="AZ36" i="5" s="1" a="1"/>
  <c r="AZ36" i="5" s="1"/>
  <c r="CF24" i="5"/>
  <c r="AZ24" i="5" s="1" a="1"/>
  <c r="AZ24" i="5" s="1"/>
  <c r="CF12" i="5"/>
  <c r="AZ12" i="5" s="1" a="1"/>
  <c r="AZ12" i="5" s="1"/>
  <c r="BO31" i="6"/>
  <c r="AO31" i="6" s="1" a="1"/>
  <c r="AO31" i="6" s="1"/>
  <c r="CB36" i="5"/>
  <c r="AY36" i="5" s="1" a="1"/>
  <c r="AY36" i="5" s="1"/>
  <c r="CB24" i="5"/>
  <c r="AY24" i="5" s="1" a="1"/>
  <c r="AY24" i="5" s="1"/>
  <c r="CB12" i="5"/>
  <c r="AY12" i="5" s="1" a="1"/>
  <c r="AY12" i="5" s="1"/>
  <c r="CF33" i="5"/>
  <c r="AZ33" i="5" s="1" a="1"/>
  <c r="AZ33" i="5" s="1"/>
  <c r="CF21" i="5"/>
  <c r="AZ21" i="5" s="1" a="1"/>
  <c r="AZ21" i="5" s="1"/>
  <c r="CF9" i="5"/>
  <c r="AZ9" i="5" s="1" a="1"/>
  <c r="AZ9" i="5" s="1"/>
  <c r="CB33" i="5"/>
  <c r="AY33" i="5" s="1" a="1"/>
  <c r="AY33" i="5" s="1"/>
  <c r="CB21" i="5"/>
  <c r="AY21" i="5" s="1" a="1"/>
  <c r="AY21" i="5" s="1"/>
  <c r="CB9" i="5"/>
  <c r="AY9" i="5" s="1" a="1"/>
  <c r="AY9" i="5" s="1"/>
  <c r="CF30" i="5"/>
  <c r="AZ30" i="5" s="1" a="1"/>
  <c r="AZ30" i="5" s="1"/>
  <c r="CF18" i="5"/>
  <c r="AZ18" i="5" s="1" a="1"/>
  <c r="AZ18" i="5" s="1"/>
  <c r="CF6" i="5"/>
  <c r="AZ6" i="5" s="1" a="1"/>
  <c r="AZ6" i="5" s="1"/>
  <c r="CB31" i="5"/>
  <c r="AY31" i="5" s="1" a="1"/>
  <c r="AY31" i="5" s="1"/>
  <c r="CB19" i="5"/>
  <c r="AY19" i="5" s="1" a="1"/>
  <c r="AY19" i="5" s="1"/>
  <c r="CB7" i="5"/>
  <c r="AY7" i="5" s="1" a="1"/>
  <c r="AY7" i="5" s="1"/>
  <c r="CF28" i="5"/>
  <c r="AZ28" i="5" s="1" a="1"/>
  <c r="AZ28" i="5" s="1"/>
  <c r="CF16" i="5"/>
  <c r="AZ16" i="5" s="1" a="1"/>
  <c r="AZ16" i="5" s="1"/>
  <c r="BO13" i="6"/>
  <c r="AO13" i="6" s="1" a="1"/>
  <c r="AO13" i="6" s="1"/>
  <c r="CB38" i="5"/>
  <c r="AY38" i="5" s="1" a="1"/>
  <c r="AY38" i="5" s="1"/>
  <c r="CB26" i="5"/>
  <c r="AY26" i="5" s="1" a="1"/>
  <c r="AY26" i="5" s="1"/>
  <c r="CB14" i="5"/>
  <c r="AY14" i="5" s="1" a="1"/>
  <c r="AY14" i="5" s="1"/>
  <c r="CF35" i="5"/>
  <c r="AZ35" i="5" s="1" a="1"/>
  <c r="AZ35" i="5" s="1"/>
  <c r="CF23" i="5"/>
  <c r="AZ23" i="5" s="1" a="1"/>
  <c r="AZ23" i="5" s="1"/>
  <c r="CF11" i="5"/>
  <c r="AZ11" i="5" s="1" a="1"/>
  <c r="AZ11" i="5" s="1"/>
  <c r="BO32" i="6"/>
  <c r="AO32" i="6" s="1" a="1"/>
  <c r="AO32" i="6" s="1"/>
  <c r="CB30" i="5"/>
  <c r="AY30" i="5" s="1" a="1"/>
  <c r="AY30" i="5" s="1"/>
  <c r="BO36" i="6"/>
  <c r="AO36" i="6" s="1" a="1"/>
  <c r="AO36" i="6" s="1"/>
  <c r="BO24" i="6"/>
  <c r="AO24" i="6" s="1" a="1"/>
  <c r="AO24" i="6" s="1"/>
  <c r="BO12" i="6"/>
  <c r="AO12" i="6" s="1" a="1"/>
  <c r="AO12" i="6" s="1"/>
  <c r="BO34" i="6"/>
  <c r="AO34" i="6" s="1" a="1"/>
  <c r="AO34" i="6" s="1"/>
  <c r="BO10" i="6"/>
  <c r="AO10" i="6" s="1" a="1"/>
  <c r="AO10" i="6" s="1"/>
  <c r="X47" i="4"/>
  <c r="X46" i="4"/>
  <c r="BS36" i="6"/>
  <c r="AP36" i="6" s="1" a="1"/>
  <c r="AP36" i="6" s="1"/>
  <c r="BS24" i="6"/>
  <c r="AP24" i="6" s="1" a="1"/>
  <c r="AP24" i="6" s="1"/>
  <c r="BS12" i="6"/>
  <c r="AP12" i="6" s="1" a="1"/>
  <c r="AP12" i="6" s="1"/>
  <c r="BO8" i="6"/>
  <c r="AO8" i="6" s="1" a="1"/>
  <c r="AO8" i="6" s="1"/>
  <c r="BS34" i="6"/>
  <c r="AP34" i="6" s="1" a="1"/>
  <c r="AP34" i="6" s="1"/>
  <c r="BS20" i="6"/>
  <c r="AP20" i="6" s="1" a="1"/>
  <c r="AP20" i="6" s="1"/>
  <c r="BS9" i="6"/>
  <c r="AP9" i="6" s="1" a="1"/>
  <c r="AP9" i="6" s="1"/>
  <c r="BO6" i="6"/>
  <c r="AO6" i="6" s="1" a="1"/>
  <c r="AO6" i="6" s="1"/>
  <c r="BO35" i="6"/>
  <c r="AO35" i="6" s="1" a="1"/>
  <c r="AO35" i="6" s="1"/>
  <c r="BO11" i="6"/>
  <c r="AO11" i="6" s="1" a="1"/>
  <c r="AO11" i="6" s="1"/>
  <c r="BS26" i="6"/>
  <c r="AP26" i="6" s="1" a="1"/>
  <c r="AP26" i="6" s="1"/>
  <c r="BS8" i="6"/>
  <c r="AP8" i="6" s="1" a="1"/>
  <c r="AP8" i="6" s="1"/>
  <c r="BS7" i="6"/>
  <c r="AP7" i="6" s="1" a="1"/>
  <c r="AP7" i="6" s="1"/>
  <c r="BS6" i="6"/>
  <c r="AP6" i="6" s="1" a="1"/>
  <c r="AP6" i="6" s="1"/>
  <c r="BO21" i="6"/>
  <c r="AO21" i="6" s="1" a="1"/>
  <c r="AO21" i="6" s="1"/>
  <c r="BO9" i="6"/>
  <c r="AO9" i="6" s="1" a="1"/>
  <c r="AO9" i="6" s="1"/>
  <c r="BS39" i="6"/>
  <c r="AP39" i="6" s="1" a="1"/>
  <c r="AP39" i="6" s="1"/>
  <c r="BS28" i="6"/>
  <c r="AP28" i="6" s="1" a="1"/>
  <c r="AP28" i="6" s="1"/>
  <c r="BS16" i="6"/>
  <c r="AP16" i="6" s="1" a="1"/>
  <c r="AP16" i="6" s="1"/>
  <c r="BS5" i="6"/>
  <c r="AP5" i="6" s="1" a="1"/>
  <c r="AP5" i="6" s="1"/>
  <c r="CB34" i="5"/>
  <c r="AY34" i="5" s="1" a="1"/>
  <c r="AY34" i="5" s="1"/>
  <c r="CB22" i="5"/>
  <c r="AY22" i="5" s="1" a="1"/>
  <c r="AY22" i="5" s="1"/>
  <c r="CB10" i="5"/>
  <c r="AY10" i="5" s="1" a="1"/>
  <c r="AY10" i="5" s="1"/>
  <c r="CF31" i="5"/>
  <c r="AZ31" i="5" s="1" a="1"/>
  <c r="AZ31" i="5" s="1"/>
  <c r="CF19" i="5"/>
  <c r="AZ19" i="5" s="1" a="1"/>
  <c r="AZ19" i="5" s="1"/>
  <c r="CF7" i="5"/>
  <c r="AZ7" i="5" s="1" a="1"/>
  <c r="AZ7" i="5" s="1"/>
  <c r="BO20" i="6"/>
  <c r="AO20" i="6" s="1" a="1"/>
  <c r="AO20" i="6" s="1"/>
  <c r="BS38" i="6"/>
  <c r="AP38" i="6" s="1" a="1"/>
  <c r="AP38" i="6" s="1"/>
  <c r="BS27" i="6"/>
  <c r="AP27" i="6" s="1" a="1"/>
  <c r="AP27" i="6" s="1"/>
  <c r="BS32" i="6"/>
  <c r="AP32" i="6" s="1" a="1"/>
  <c r="AP32" i="6" s="1"/>
  <c r="BO22" i="6"/>
  <c r="AO22" i="6" s="1" a="1"/>
  <c r="AO22" i="6" s="1"/>
  <c r="BO19" i="6"/>
  <c r="AO19" i="6" s="1" a="1"/>
  <c r="AO19" i="6" s="1"/>
  <c r="BS37" i="6"/>
  <c r="AP37" i="6" s="1" a="1"/>
  <c r="AP37" i="6" s="1"/>
  <c r="BS15" i="6"/>
  <c r="AP15" i="6" s="1" a="1"/>
  <c r="AP15" i="6" s="1"/>
  <c r="CB32" i="5"/>
  <c r="AY32" i="5" s="1" a="1"/>
  <c r="AY32" i="5" s="1"/>
  <c r="CB20" i="5"/>
  <c r="AY20" i="5" s="1" a="1"/>
  <c r="AY20" i="5" s="1"/>
  <c r="CB8" i="5"/>
  <c r="AY8" i="5" s="1" a="1"/>
  <c r="AY8" i="5" s="1"/>
  <c r="CF29" i="5"/>
  <c r="AZ29" i="5" s="1" a="1"/>
  <c r="AZ29" i="5" s="1"/>
  <c r="CF17" i="5"/>
  <c r="AZ17" i="5" s="1" a="1"/>
  <c r="AZ17" i="5" s="1"/>
  <c r="CF5" i="5"/>
  <c r="AZ5" i="5" s="1" a="1"/>
  <c r="AZ5" i="5" s="1"/>
  <c r="BO30" i="6"/>
  <c r="AO30" i="6" s="1" a="1"/>
  <c r="AO30" i="6" s="1"/>
  <c r="BO18" i="6"/>
  <c r="AO18" i="6" s="1" a="1"/>
  <c r="AO18" i="6" s="1"/>
  <c r="BS25" i="6"/>
  <c r="AP25" i="6" s="1" a="1"/>
  <c r="AP25" i="6" s="1"/>
  <c r="BS14" i="6"/>
  <c r="AP14" i="6" s="1" a="1"/>
  <c r="AP14" i="6" s="1"/>
  <c r="BS31" i="6"/>
  <c r="AP31" i="6" s="1" a="1"/>
  <c r="AP31" i="6" s="1"/>
  <c r="BS17" i="6"/>
  <c r="AP17" i="6" s="1" a="1"/>
  <c r="AP17" i="6" s="1"/>
  <c r="BO29" i="6"/>
  <c r="AO29" i="6" s="1" a="1"/>
  <c r="AO29" i="6" s="1"/>
  <c r="BO17" i="6"/>
  <c r="AO17" i="6" s="1" a="1"/>
  <c r="AO17" i="6" s="1"/>
  <c r="BO7" i="6"/>
  <c r="AO7" i="6" s="1" a="1"/>
  <c r="AO7" i="6" s="1"/>
  <c r="BS13" i="6"/>
  <c r="AP13" i="6" s="1" a="1"/>
  <c r="AP13" i="6" s="1"/>
  <c r="CB18" i="5"/>
  <c r="AY18" i="5" s="1" a="1"/>
  <c r="AY18" i="5" s="1"/>
  <c r="CB6" i="5"/>
  <c r="AY6" i="5" s="1" a="1"/>
  <c r="AY6" i="5" s="1"/>
  <c r="CF39" i="5"/>
  <c r="AZ39" i="5" s="1" a="1"/>
  <c r="AZ39" i="5" s="1"/>
  <c r="CF27" i="5"/>
  <c r="AZ27" i="5" s="1" a="1"/>
  <c r="AZ27" i="5" s="1"/>
  <c r="CF15" i="5"/>
  <c r="AZ15" i="5" s="1" a="1"/>
  <c r="AZ15" i="5" s="1"/>
  <c r="BO39" i="6"/>
  <c r="AO39" i="6" s="1" a="1"/>
  <c r="AO39" i="6" s="1"/>
  <c r="BO28" i="6"/>
  <c r="AO28" i="6" s="1" a="1"/>
  <c r="AO28" i="6" s="1"/>
  <c r="BO16" i="6"/>
  <c r="AO16" i="6" s="1" a="1"/>
  <c r="AO16" i="6" s="1"/>
  <c r="BS35" i="6"/>
  <c r="AP35" i="6" s="1" a="1"/>
  <c r="AP35" i="6" s="1"/>
  <c r="BS23" i="6"/>
  <c r="AP23" i="6" s="1" a="1"/>
  <c r="AP23" i="6" s="1"/>
  <c r="BO23" i="6"/>
  <c r="AO23" i="6" s="1" a="1"/>
  <c r="AO23" i="6" s="1"/>
  <c r="BS30" i="6"/>
  <c r="AP30" i="6" s="1" a="1"/>
  <c r="AP30" i="6" s="1"/>
  <c r="CB29" i="5"/>
  <c r="AY29" i="5" s="1" a="1"/>
  <c r="AY29" i="5" s="1"/>
  <c r="CB17" i="5"/>
  <c r="AY17" i="5" s="1" a="1"/>
  <c r="AY17" i="5" s="1"/>
  <c r="CB5" i="5"/>
  <c r="AY5" i="5" s="1" a="1"/>
  <c r="AY5" i="5" s="1"/>
  <c r="CF38" i="5"/>
  <c r="AZ38" i="5" s="1" a="1"/>
  <c r="AZ38" i="5" s="1"/>
  <c r="CF26" i="5"/>
  <c r="AZ26" i="5" s="1" a="1"/>
  <c r="AZ26" i="5" s="1"/>
  <c r="CF14" i="5"/>
  <c r="AZ14" i="5" s="1" a="1"/>
  <c r="AZ14" i="5" s="1"/>
  <c r="BO38" i="6"/>
  <c r="AO38" i="6" s="1" a="1"/>
  <c r="AO38" i="6" s="1"/>
  <c r="BO27" i="6"/>
  <c r="AO27" i="6" s="1" a="1"/>
  <c r="AO27" i="6" s="1"/>
  <c r="BO15" i="6"/>
  <c r="AO15" i="6" s="1" a="1"/>
  <c r="AO15" i="6" s="1"/>
  <c r="BS22" i="6"/>
  <c r="AP22" i="6" s="1" a="1"/>
  <c r="AP22" i="6" s="1"/>
  <c r="BS11" i="6"/>
  <c r="AP11" i="6" s="1" a="1"/>
  <c r="AP11" i="6" s="1"/>
  <c r="BO25" i="6"/>
  <c r="AO25" i="6" s="1" a="1"/>
  <c r="AO25" i="6" s="1"/>
  <c r="BS19" i="6"/>
  <c r="AP19" i="6" s="1" a="1"/>
  <c r="AP19" i="6" s="1"/>
  <c r="BS18" i="6"/>
  <c r="AP18" i="6" s="1" a="1"/>
  <c r="AP18" i="6" s="1"/>
  <c r="BS29" i="6"/>
  <c r="AP29" i="6" s="1" a="1"/>
  <c r="AP29" i="6" s="1"/>
  <c r="CB28" i="5"/>
  <c r="AY28" i="5" s="1" a="1"/>
  <c r="AY28" i="5" s="1"/>
  <c r="CB16" i="5"/>
  <c r="AY16" i="5" s="1" a="1"/>
  <c r="AY16" i="5" s="1"/>
  <c r="CF37" i="5"/>
  <c r="AZ37" i="5" s="1" a="1"/>
  <c r="AZ37" i="5" s="1"/>
  <c r="CF25" i="5"/>
  <c r="AZ25" i="5" s="1" a="1"/>
  <c r="AZ25" i="5" s="1"/>
  <c r="CF13" i="5"/>
  <c r="AZ13" i="5" s="1" a="1"/>
  <c r="AZ13" i="5" s="1"/>
  <c r="BO37" i="6"/>
  <c r="AO37" i="6" s="1" a="1"/>
  <c r="AO37" i="6" s="1"/>
  <c r="BO26" i="6"/>
  <c r="AO26" i="6" s="1" a="1"/>
  <c r="AO26" i="6" s="1"/>
  <c r="BO14" i="6"/>
  <c r="AO14" i="6" s="1" a="1"/>
  <c r="AO14" i="6" s="1"/>
  <c r="BO5" i="6"/>
  <c r="AO5" i="6" s="1" a="1"/>
  <c r="AO5" i="6" s="1"/>
  <c r="BS33" i="6"/>
  <c r="AP33" i="6" s="1" a="1"/>
  <c r="AP33" i="6" s="1"/>
  <c r="BS21" i="6"/>
  <c r="AP21" i="6" s="1" a="1"/>
  <c r="AP21" i="6" s="1"/>
  <c r="BS10" i="6"/>
  <c r="AP10" i="6" s="1" a="1"/>
  <c r="AP10" i="6" s="1"/>
  <c r="CC37" i="6"/>
  <c r="CC39" i="6"/>
  <c r="CD39" i="6"/>
  <c r="CC38" i="6"/>
  <c r="CD38" i="6"/>
  <c r="CD37" i="6"/>
  <c r="O38" i="6"/>
  <c r="O37" i="6"/>
  <c r="O39" i="6"/>
  <c r="BE5" i="5" a="1"/>
  <c r="BE5" i="5" s="1"/>
  <c r="BE6" i="5" a="1"/>
  <c r="BE6" i="5" s="1"/>
  <c r="BE7" i="5" a="1"/>
  <c r="BE7" i="5" s="1"/>
  <c r="BE8" i="5" a="1"/>
  <c r="BE8" i="5" s="1"/>
  <c r="BE9" i="5" a="1"/>
  <c r="BE9" i="5" s="1"/>
  <c r="BE10" i="5" a="1"/>
  <c r="BE10" i="5" s="1"/>
  <c r="BE11" i="5" a="1"/>
  <c r="BE11" i="5" s="1"/>
  <c r="BE12" i="5" a="1"/>
  <c r="BE12" i="5" s="1"/>
  <c r="BE13" i="5" a="1"/>
  <c r="BE13" i="5" s="1"/>
  <c r="BE14" i="5" a="1"/>
  <c r="BE14" i="5" s="1"/>
  <c r="BE15" i="5" a="1"/>
  <c r="BE15" i="5" s="1"/>
  <c r="BE16" i="5" a="1"/>
  <c r="BE16" i="5" s="1"/>
  <c r="BE17" i="5" a="1"/>
  <c r="BE17" i="5" s="1"/>
  <c r="BE18" i="5" a="1"/>
  <c r="BE18" i="5" s="1"/>
  <c r="BE19" i="5" a="1"/>
  <c r="BE19" i="5" s="1"/>
  <c r="BE20" i="5" a="1"/>
  <c r="BE20" i="5" s="1"/>
  <c r="BE21" i="5" a="1"/>
  <c r="BE21" i="5" s="1"/>
  <c r="BE22" i="5" a="1"/>
  <c r="BE22" i="5" s="1"/>
  <c r="BE23" i="5" a="1"/>
  <c r="BE23" i="5" s="1"/>
  <c r="BE24" i="5" a="1"/>
  <c r="BE24" i="5" s="1"/>
  <c r="BE25" i="5" a="1"/>
  <c r="BE25" i="5" s="1"/>
  <c r="BE26" i="5" a="1"/>
  <c r="BE26" i="5" s="1"/>
  <c r="BE27" i="5" a="1"/>
  <c r="BE27" i="5" s="1"/>
  <c r="BE28" i="5" a="1"/>
  <c r="BE28" i="5" s="1"/>
  <c r="BE29" i="5" a="1"/>
  <c r="BE29" i="5" s="1"/>
  <c r="BE30" i="5" a="1"/>
  <c r="BE30" i="5" s="1"/>
  <c r="BE31" i="5" a="1"/>
  <c r="BE31" i="5" s="1"/>
  <c r="BE32" i="5" a="1"/>
  <c r="BE32" i="5" s="1"/>
  <c r="BE33" i="5" a="1"/>
  <c r="BE33" i="5" s="1"/>
  <c r="BE34" i="5" a="1"/>
  <c r="BE34" i="5" s="1"/>
  <c r="BE35" i="5" a="1"/>
  <c r="BE35" i="5" s="1"/>
  <c r="BE36" i="5" a="1"/>
  <c r="BE36" i="5" s="1"/>
  <c r="BE37" i="5" a="1"/>
  <c r="BE37" i="5" s="1"/>
  <c r="BE38" i="5" a="1"/>
  <c r="BE38" i="5" s="1"/>
  <c r="BE39" i="5" a="1"/>
  <c r="BE39" i="5" s="1"/>
  <c r="BD5" i="5" a="1"/>
  <c r="BD5" i="5" s="1"/>
  <c r="BD6" i="5" a="1"/>
  <c r="BD6" i="5" s="1"/>
  <c r="BD7" i="5" a="1"/>
  <c r="BD7" i="5" s="1"/>
  <c r="BD8" i="5" a="1"/>
  <c r="BD8" i="5" s="1"/>
  <c r="BD9" i="5" a="1"/>
  <c r="BD9" i="5" s="1"/>
  <c r="BD10" i="5" a="1"/>
  <c r="BD10" i="5" s="1"/>
  <c r="BD11" i="5" a="1"/>
  <c r="BD11" i="5" s="1"/>
  <c r="BD12" i="5" a="1"/>
  <c r="BD12" i="5" s="1"/>
  <c r="BD13" i="5" a="1"/>
  <c r="BD13" i="5" s="1"/>
  <c r="BD14" i="5" a="1"/>
  <c r="BD14" i="5" s="1"/>
  <c r="BD15" i="5" a="1"/>
  <c r="BD15" i="5" s="1"/>
  <c r="BD16" i="5" a="1"/>
  <c r="BD16" i="5" s="1"/>
  <c r="BD17" i="5" a="1"/>
  <c r="BD17" i="5" s="1"/>
  <c r="BD18" i="5" a="1"/>
  <c r="BD18" i="5" s="1"/>
  <c r="BD19" i="5" a="1"/>
  <c r="BD19" i="5" s="1"/>
  <c r="BD20" i="5" a="1"/>
  <c r="BD20" i="5" s="1"/>
  <c r="BD21" i="5" a="1"/>
  <c r="BD21" i="5" s="1"/>
  <c r="BD22" i="5" a="1"/>
  <c r="BD22" i="5" s="1"/>
  <c r="BD23" i="5" a="1"/>
  <c r="BD23" i="5" s="1"/>
  <c r="BD24" i="5" a="1"/>
  <c r="BD24" i="5" s="1"/>
  <c r="BD25" i="5" a="1"/>
  <c r="BD25" i="5" s="1"/>
  <c r="BD26" i="5" a="1"/>
  <c r="BD26" i="5" s="1"/>
  <c r="BD27" i="5" a="1"/>
  <c r="BD27" i="5" s="1"/>
  <c r="BD28" i="5" a="1"/>
  <c r="BD28" i="5" s="1"/>
  <c r="BD29" i="5" a="1"/>
  <c r="BD29" i="5" s="1"/>
  <c r="BD30" i="5" a="1"/>
  <c r="BD30" i="5" s="1"/>
  <c r="BD31" i="5" a="1"/>
  <c r="BD31" i="5" s="1"/>
  <c r="BD32" i="5" a="1"/>
  <c r="BD32" i="5" s="1"/>
  <c r="BD33" i="5" a="1"/>
  <c r="BD33" i="5" s="1"/>
  <c r="BD34" i="5" a="1"/>
  <c r="BD34" i="5" s="1"/>
  <c r="BD35" i="5" a="1"/>
  <c r="BD35" i="5" s="1"/>
  <c r="BD36" i="5" a="1"/>
  <c r="BD36" i="5" s="1"/>
  <c r="BD37" i="5" a="1"/>
  <c r="BD37" i="5" s="1"/>
  <c r="BD38" i="5" a="1"/>
  <c r="BD38" i="5" s="1"/>
  <c r="BD39" i="5" a="1"/>
  <c r="BD39" i="5" s="1"/>
  <c r="BB19" i="5" a="1"/>
  <c r="BB19" i="5" s="1"/>
  <c r="BB20" i="5" a="1"/>
  <c r="BB20" i="5" s="1"/>
  <c r="BB21" i="5" a="1"/>
  <c r="BB21" i="5" s="1"/>
  <c r="BB22" i="5" a="1"/>
  <c r="BB22" i="5" s="1"/>
  <c r="BB23" i="5" a="1"/>
  <c r="BB23" i="5" s="1"/>
  <c r="BB24" i="5" a="1"/>
  <c r="BB24" i="5" s="1"/>
  <c r="BB25" i="5" a="1"/>
  <c r="BB25" i="5" s="1"/>
  <c r="BB26" i="5" a="1"/>
  <c r="BB26" i="5" s="1"/>
  <c r="BB27" i="5" a="1"/>
  <c r="BB27" i="5" s="1"/>
  <c r="BB28" i="5" a="1"/>
  <c r="BB28" i="5" s="1"/>
  <c r="BB29" i="5" a="1"/>
  <c r="BB29" i="5" s="1"/>
  <c r="BB30" i="5" a="1"/>
  <c r="BB30" i="5" s="1"/>
  <c r="BB31" i="5" a="1"/>
  <c r="BB31" i="5" s="1"/>
  <c r="BB32" i="5" a="1"/>
  <c r="BB32" i="5" s="1"/>
  <c r="BB34" i="5" a="1"/>
  <c r="BB34" i="5" s="1"/>
  <c r="BB35" i="5" a="1"/>
  <c r="BB35" i="5" s="1"/>
  <c r="BB36" i="5" a="1"/>
  <c r="BB36" i="5" s="1"/>
  <c r="BB37" i="5" a="1"/>
  <c r="BB37" i="5" s="1"/>
  <c r="BB38" i="5" a="1"/>
  <c r="BB38" i="5" s="1"/>
  <c r="BB39" i="5" a="1"/>
  <c r="BB39" i="5" s="1"/>
  <c r="BB33" i="5" a="1"/>
  <c r="BB33" i="5" s="1"/>
  <c r="BB5" i="5" a="1"/>
  <c r="BB5" i="5" s="1"/>
  <c r="BB6" i="5" a="1"/>
  <c r="BB6" i="5" s="1"/>
  <c r="BB7" i="5" a="1"/>
  <c r="BB7" i="5" s="1"/>
  <c r="BB8" i="5" a="1"/>
  <c r="BB8" i="5" s="1"/>
  <c r="BB9" i="5" a="1"/>
  <c r="BB9" i="5" s="1"/>
  <c r="BB11" i="5" a="1"/>
  <c r="BB11" i="5" s="1"/>
  <c r="BB12" i="5" a="1"/>
  <c r="BB12" i="5" s="1"/>
  <c r="BB13" i="5" a="1"/>
  <c r="BB13" i="5" s="1"/>
  <c r="BB14" i="5" a="1"/>
  <c r="BB14" i="5" s="1"/>
  <c r="BB15" i="5" a="1"/>
  <c r="BB15" i="5" s="1"/>
  <c r="BB16" i="5" a="1"/>
  <c r="BB16" i="5" s="1"/>
  <c r="BB17" i="5" a="1"/>
  <c r="BB17" i="5" s="1"/>
  <c r="BB18" i="5" a="1"/>
  <c r="BB18" i="5" s="1"/>
  <c r="BB10" i="5" a="1"/>
  <c r="BB10" i="5" s="1"/>
  <c r="AB6" i="5" a="1"/>
  <c r="AB6" i="5" s="1"/>
  <c r="AB7" i="5" a="1"/>
  <c r="AB7" i="5" s="1"/>
  <c r="AB8" i="5" a="1"/>
  <c r="AB8" i="5" s="1"/>
  <c r="AB9" i="5" a="1"/>
  <c r="AB9" i="5" s="1"/>
  <c r="AB10" i="5" a="1"/>
  <c r="AB10" i="5" s="1"/>
  <c r="AB11" i="5" a="1"/>
  <c r="AB11" i="5" s="1"/>
  <c r="AB12" i="5" a="1"/>
  <c r="AB12" i="5" s="1"/>
  <c r="AB13" i="5" a="1"/>
  <c r="AB13" i="5" s="1"/>
  <c r="AB14" i="5" a="1"/>
  <c r="AB14" i="5" s="1"/>
  <c r="AB15" i="5" a="1"/>
  <c r="AB15" i="5" s="1"/>
  <c r="AB16" i="5" a="1"/>
  <c r="AB16" i="5" s="1"/>
  <c r="AB17" i="5" a="1"/>
  <c r="AB17" i="5" s="1"/>
  <c r="AB18" i="5" a="1"/>
  <c r="AB18" i="5" s="1"/>
  <c r="AB19" i="5" a="1"/>
  <c r="AB19" i="5" s="1"/>
  <c r="AB20" i="5" a="1"/>
  <c r="AB20" i="5" s="1"/>
  <c r="AB21" i="5" a="1"/>
  <c r="AB21" i="5" s="1"/>
  <c r="AB22" i="5" a="1"/>
  <c r="AB22" i="5" s="1"/>
  <c r="AB23" i="5" a="1"/>
  <c r="AB23" i="5" s="1"/>
  <c r="AB24" i="5" a="1"/>
  <c r="AB24" i="5" s="1"/>
  <c r="AB25" i="5" a="1"/>
  <c r="AB25" i="5" s="1"/>
  <c r="AB26" i="5" a="1"/>
  <c r="AB26" i="5" s="1"/>
  <c r="AB27" i="5" a="1"/>
  <c r="AB27" i="5" s="1"/>
  <c r="AB28" i="5" a="1"/>
  <c r="AB28" i="5" s="1"/>
  <c r="AB29" i="5" a="1"/>
  <c r="AB29" i="5" s="1"/>
  <c r="AB30" i="5" a="1"/>
  <c r="AB30" i="5" s="1"/>
  <c r="AB31" i="5" a="1"/>
  <c r="AB31" i="5" s="1"/>
  <c r="AB32" i="5" a="1"/>
  <c r="AB32" i="5" s="1"/>
  <c r="AB33" i="5" a="1"/>
  <c r="AB33" i="5" s="1"/>
  <c r="AB34" i="5" a="1"/>
  <c r="AB34" i="5" s="1"/>
  <c r="AB35" i="5" a="1"/>
  <c r="AB35" i="5" s="1"/>
  <c r="AB36" i="5" a="1"/>
  <c r="AB36" i="5" s="1"/>
  <c r="AA10" i="5" a="1"/>
  <c r="AA10" i="5" s="1"/>
  <c r="AA11" i="5" a="1"/>
  <c r="AA11" i="5" s="1"/>
  <c r="AA12" i="5" a="1"/>
  <c r="AA12" i="5" s="1"/>
  <c r="AA13" i="5" a="1"/>
  <c r="AA13" i="5" s="1"/>
  <c r="AA14" i="5" a="1"/>
  <c r="AA14" i="5" s="1"/>
  <c r="AA15" i="5" a="1"/>
  <c r="AA15" i="5" s="1"/>
  <c r="AA16" i="5" a="1"/>
  <c r="AA16" i="5" s="1"/>
  <c r="AA17" i="5" a="1"/>
  <c r="AA17" i="5" s="1"/>
  <c r="AA18" i="5" a="1"/>
  <c r="AA18" i="5" s="1"/>
  <c r="AA19" i="5" a="1"/>
  <c r="AA19" i="5" s="1"/>
  <c r="AA20" i="5" a="1"/>
  <c r="AA20" i="5" s="1"/>
  <c r="AA21" i="5" a="1"/>
  <c r="AA21" i="5" s="1"/>
  <c r="AA22" i="5" a="1"/>
  <c r="AA22" i="5" s="1"/>
  <c r="AA23" i="5" a="1"/>
  <c r="AA23" i="5" s="1"/>
  <c r="AA24" i="5" a="1"/>
  <c r="AA24" i="5" s="1"/>
  <c r="AA25" i="5" a="1"/>
  <c r="AA25" i="5" s="1"/>
  <c r="AA26" i="5" a="1"/>
  <c r="AA26" i="5" s="1"/>
  <c r="AA27" i="5" a="1"/>
  <c r="AA27" i="5" s="1"/>
  <c r="AA28" i="5" a="1"/>
  <c r="AA28" i="5" s="1"/>
  <c r="AA29" i="5" a="1"/>
  <c r="AA29" i="5" s="1"/>
  <c r="AA30" i="5" a="1"/>
  <c r="AA30" i="5" s="1"/>
  <c r="AA31" i="5" a="1"/>
  <c r="AA31" i="5" s="1"/>
  <c r="AA32" i="5" a="1"/>
  <c r="AA32" i="5" s="1"/>
  <c r="AA33" i="5" a="1"/>
  <c r="AA33" i="5" s="1"/>
  <c r="AA34" i="5" a="1"/>
  <c r="AA34" i="5" s="1"/>
  <c r="AA35" i="5" a="1"/>
  <c r="AA35" i="5" s="1"/>
  <c r="AA36" i="5" a="1"/>
  <c r="AA36" i="5" s="1"/>
  <c r="AA6" i="5" a="1"/>
  <c r="AA6" i="5" s="1"/>
  <c r="AA7" i="5" a="1"/>
  <c r="AA7" i="5" s="1"/>
  <c r="AA8" i="5" a="1"/>
  <c r="AA8" i="5" s="1"/>
  <c r="AA9" i="5" a="1"/>
  <c r="AA9" i="5" s="1"/>
  <c r="AV5" i="5" a="1"/>
  <c r="AV5" i="5" s="1"/>
  <c r="AV6" i="5" a="1"/>
  <c r="AV6" i="5" s="1"/>
  <c r="AV7" i="5" a="1"/>
  <c r="AV7" i="5" s="1"/>
  <c r="AV8" i="5" a="1"/>
  <c r="AV8" i="5" s="1"/>
  <c r="AV9" i="5" a="1"/>
  <c r="AV9" i="5" s="1"/>
  <c r="AV10" i="5" a="1"/>
  <c r="AV10" i="5" s="1"/>
  <c r="AV11" i="5" a="1"/>
  <c r="AV11" i="5" s="1"/>
  <c r="AV12" i="5" a="1"/>
  <c r="AV12" i="5" s="1"/>
  <c r="AV13" i="5" a="1"/>
  <c r="AV13" i="5" s="1"/>
  <c r="AV14" i="5" a="1"/>
  <c r="AV14" i="5" s="1"/>
  <c r="AV15" i="5" a="1"/>
  <c r="AV15" i="5" s="1"/>
  <c r="AV16" i="5" a="1"/>
  <c r="AV16" i="5" s="1"/>
  <c r="AV17" i="5" a="1"/>
  <c r="AV17" i="5" s="1"/>
  <c r="AV18" i="5" a="1"/>
  <c r="AV18" i="5" s="1"/>
  <c r="AV19" i="5" a="1"/>
  <c r="AV19" i="5" s="1"/>
  <c r="AV20" i="5" a="1"/>
  <c r="AV20" i="5" s="1"/>
  <c r="AV21" i="5" a="1"/>
  <c r="AV21" i="5" s="1"/>
  <c r="AV22" i="5" a="1"/>
  <c r="AV22" i="5" s="1"/>
  <c r="AV23" i="5" a="1"/>
  <c r="AV23" i="5" s="1"/>
  <c r="AV24" i="5" a="1"/>
  <c r="AV24" i="5" s="1"/>
  <c r="AV25" i="5" a="1"/>
  <c r="AV25" i="5" s="1"/>
  <c r="AV26" i="5" a="1"/>
  <c r="AV26" i="5" s="1"/>
  <c r="AV27" i="5" a="1"/>
  <c r="AV27" i="5" s="1"/>
  <c r="AV28" i="5" a="1"/>
  <c r="AV28" i="5" s="1"/>
  <c r="AV29" i="5" a="1"/>
  <c r="AV29" i="5" s="1"/>
  <c r="AV30" i="5" a="1"/>
  <c r="AV30" i="5" s="1"/>
  <c r="AV31" i="5" a="1"/>
  <c r="AV31" i="5" s="1"/>
  <c r="AV32" i="5" a="1"/>
  <c r="AV32" i="5" s="1"/>
  <c r="AV33" i="5" a="1"/>
  <c r="AV33" i="5" s="1"/>
  <c r="AV34" i="5" a="1"/>
  <c r="AV34" i="5" s="1"/>
  <c r="AV35" i="5" a="1"/>
  <c r="AV35" i="5" s="1"/>
  <c r="AV36" i="5" a="1"/>
  <c r="AV36" i="5" s="1"/>
  <c r="AV37" i="5" a="1"/>
  <c r="AV37" i="5" s="1"/>
  <c r="AV38" i="5" a="1"/>
  <c r="AV38" i="5" s="1"/>
  <c r="AV39" i="5" a="1"/>
  <c r="AV39" i="5" s="1"/>
  <c r="Z6" i="5" a="1"/>
  <c r="Z6" i="5" s="1"/>
  <c r="Z7" i="5" a="1"/>
  <c r="Z7" i="5" s="1"/>
  <c r="Z8" i="5" a="1"/>
  <c r="Z8" i="5" s="1"/>
  <c r="Z9" i="5" a="1"/>
  <c r="Z9" i="5" s="1"/>
  <c r="Z10" i="5" a="1"/>
  <c r="Z10" i="5" s="1"/>
  <c r="Z11" i="5" a="1"/>
  <c r="Z11" i="5" s="1"/>
  <c r="Z12" i="5" a="1"/>
  <c r="Z12" i="5" s="1"/>
  <c r="Z13" i="5" a="1"/>
  <c r="Z13" i="5" s="1"/>
  <c r="Z14" i="5" a="1"/>
  <c r="Z14" i="5" s="1"/>
  <c r="Z15" i="5" a="1"/>
  <c r="Z15" i="5" s="1"/>
  <c r="Z16" i="5" a="1"/>
  <c r="Z16" i="5" s="1"/>
  <c r="Z17" i="5" a="1"/>
  <c r="Z17" i="5" s="1"/>
  <c r="Z18" i="5" a="1"/>
  <c r="Z18" i="5" s="1"/>
  <c r="Z19" i="5" a="1"/>
  <c r="Z19" i="5" s="1"/>
  <c r="Z20" i="5" a="1"/>
  <c r="Z20" i="5" s="1"/>
  <c r="Z21" i="5" a="1"/>
  <c r="Z21" i="5" s="1"/>
  <c r="Z22" i="5" a="1"/>
  <c r="Z22" i="5" s="1"/>
  <c r="Z23" i="5" a="1"/>
  <c r="Z23" i="5" s="1"/>
  <c r="Z24" i="5" a="1"/>
  <c r="Z24" i="5" s="1"/>
  <c r="Z25" i="5" a="1"/>
  <c r="Z25" i="5" s="1"/>
  <c r="Z26" i="5" a="1"/>
  <c r="Z26" i="5" s="1"/>
  <c r="Z27" i="5" a="1"/>
  <c r="Z27" i="5" s="1"/>
  <c r="Z28" i="5" a="1"/>
  <c r="Z28" i="5" s="1"/>
  <c r="Z29" i="5" a="1"/>
  <c r="Z29" i="5" s="1"/>
  <c r="Z30" i="5" a="1"/>
  <c r="Z30" i="5" s="1"/>
  <c r="Z31" i="5" a="1"/>
  <c r="Z31" i="5" s="1"/>
  <c r="Z32" i="5" a="1"/>
  <c r="Z32" i="5" s="1"/>
  <c r="Z33" i="5" a="1"/>
  <c r="Z33" i="5" s="1"/>
  <c r="Z34" i="5" a="1"/>
  <c r="Z34" i="5" s="1"/>
  <c r="Z35" i="5" a="1"/>
  <c r="Z35" i="5" s="1"/>
  <c r="Z36" i="5" a="1"/>
  <c r="Z36" i="5" s="1"/>
  <c r="L37" i="5" a="1"/>
  <c r="L37" i="5" s="1"/>
  <c r="L38" i="5" a="1"/>
  <c r="L38" i="5" s="1"/>
  <c r="L39" i="5" a="1"/>
  <c r="L39" i="5" s="1"/>
  <c r="L5" i="5" a="1"/>
  <c r="L5" i="5" s="1"/>
  <c r="L6" i="5" a="1"/>
  <c r="L6" i="5" s="1"/>
  <c r="L7" i="5" a="1"/>
  <c r="L7" i="5" s="1"/>
  <c r="L8" i="5" a="1"/>
  <c r="L8" i="5" s="1"/>
  <c r="L9" i="5" a="1"/>
  <c r="L9" i="5" s="1"/>
  <c r="L10" i="5" a="1"/>
  <c r="L10" i="5" s="1"/>
  <c r="L11" i="5" a="1"/>
  <c r="L11" i="5" s="1"/>
  <c r="L12" i="5" a="1"/>
  <c r="L12" i="5" s="1"/>
  <c r="L13" i="5" a="1"/>
  <c r="L13" i="5" s="1"/>
  <c r="L14" i="5" a="1"/>
  <c r="L14" i="5" s="1"/>
  <c r="L15" i="5" a="1"/>
  <c r="L15" i="5" s="1"/>
  <c r="L16" i="5" a="1"/>
  <c r="L16" i="5" s="1"/>
  <c r="L17" i="5" a="1"/>
  <c r="L17" i="5" s="1"/>
  <c r="L18" i="5" a="1"/>
  <c r="L18" i="5" s="1"/>
  <c r="L19" i="5" a="1"/>
  <c r="L19" i="5" s="1"/>
  <c r="L20" i="5" a="1"/>
  <c r="L20" i="5" s="1"/>
  <c r="L21" i="5" a="1"/>
  <c r="L21" i="5" s="1"/>
  <c r="L22" i="5" a="1"/>
  <c r="L22" i="5" s="1"/>
  <c r="L23" i="5" a="1"/>
  <c r="L23" i="5" s="1"/>
  <c r="L24" i="5" a="1"/>
  <c r="L24" i="5" s="1"/>
  <c r="L25" i="5" a="1"/>
  <c r="L25" i="5" s="1"/>
  <c r="L26" i="5" a="1"/>
  <c r="L26" i="5" s="1"/>
  <c r="L27" i="5" a="1"/>
  <c r="L27" i="5" s="1"/>
  <c r="L28" i="5" a="1"/>
  <c r="L28" i="5" s="1"/>
  <c r="L29" i="5" a="1"/>
  <c r="L29" i="5" s="1"/>
  <c r="L30" i="5" a="1"/>
  <c r="L30" i="5" s="1"/>
  <c r="L31" i="5" a="1"/>
  <c r="L31" i="5" s="1"/>
  <c r="L32" i="5" a="1"/>
  <c r="L32" i="5" s="1"/>
  <c r="L33" i="5" a="1"/>
  <c r="L33" i="5" s="1"/>
  <c r="L34" i="5" a="1"/>
  <c r="L34" i="5" s="1"/>
  <c r="L35" i="5" a="1"/>
  <c r="L35" i="5" s="1"/>
  <c r="L36" i="5" a="1"/>
  <c r="L36" i="5" s="1"/>
  <c r="F41" i="4"/>
  <c r="F42" i="4"/>
  <c r="F43" i="4"/>
  <c r="F44" i="4"/>
  <c r="F45" i="4"/>
  <c r="F46" i="4"/>
  <c r="F47" i="4"/>
  <c r="H22" i="4"/>
  <c r="H23" i="4"/>
  <c r="H24" i="4"/>
  <c r="H25" i="4"/>
  <c r="H21" i="4"/>
  <c r="F22" i="4"/>
  <c r="F23" i="4"/>
  <c r="F24" i="4"/>
  <c r="F25" i="4"/>
  <c r="F21" i="4"/>
  <c r="S10" i="3"/>
  <c r="S11" i="3"/>
  <c r="S12" i="3"/>
  <c r="S13" i="3"/>
  <c r="S14" i="3"/>
  <c r="S15" i="3"/>
  <c r="S16" i="3"/>
  <c r="S17" i="3"/>
  <c r="S18" i="3"/>
  <c r="S19" i="3"/>
  <c r="S20" i="3"/>
  <c r="S21" i="3"/>
  <c r="S22" i="3"/>
  <c r="S23" i="3"/>
  <c r="S24" i="3"/>
  <c r="S25" i="3"/>
  <c r="S26" i="3"/>
  <c r="S27" i="3"/>
  <c r="S28" i="3"/>
  <c r="S29" i="3"/>
  <c r="S30" i="3"/>
  <c r="S31" i="3"/>
  <c r="S32" i="3"/>
  <c r="S33" i="3"/>
  <c r="S34" i="3"/>
  <c r="S35" i="3"/>
  <c r="S36" i="3"/>
  <c r="S9" i="3"/>
  <c r="P10" i="3"/>
  <c r="P11" i="3"/>
  <c r="P12" i="3"/>
  <c r="P13" i="3"/>
  <c r="P9" i="3"/>
  <c r="M10" i="3"/>
  <c r="M11" i="3"/>
  <c r="M12" i="3"/>
  <c r="M13" i="3"/>
  <c r="M9" i="3"/>
  <c r="L10" i="3"/>
  <c r="L11" i="3"/>
  <c r="L12" i="3"/>
  <c r="L14" i="3"/>
  <c r="L15" i="3"/>
  <c r="L16" i="3"/>
  <c r="L17" i="3"/>
  <c r="L18" i="3"/>
  <c r="L19" i="3"/>
  <c r="L20" i="3"/>
  <c r="L21" i="3"/>
  <c r="L22" i="3"/>
  <c r="L23" i="3"/>
  <c r="L24" i="3"/>
  <c r="L25" i="3"/>
  <c r="L26" i="3"/>
  <c r="L27" i="3"/>
  <c r="L28" i="3"/>
  <c r="L29" i="3"/>
  <c r="L30" i="3"/>
  <c r="L31" i="3"/>
  <c r="L32" i="3"/>
  <c r="L33" i="3"/>
  <c r="L34" i="3"/>
  <c r="L35" i="3"/>
  <c r="L36" i="3"/>
  <c r="L9"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E10" i="3"/>
  <c r="E11" i="3"/>
  <c r="E12" i="3"/>
  <c r="E13" i="3"/>
  <c r="E14" i="3"/>
  <c r="E15" i="3"/>
  <c r="E16" i="3"/>
  <c r="E17" i="3"/>
  <c r="E18" i="3"/>
  <c r="E19" i="3"/>
  <c r="E20" i="3"/>
  <c r="E21" i="3"/>
  <c r="E22" i="3"/>
  <c r="E23" i="3"/>
  <c r="E24" i="3"/>
  <c r="E25" i="3"/>
  <c r="E26" i="3"/>
  <c r="E27" i="3"/>
  <c r="E28" i="3"/>
  <c r="E29" i="3"/>
  <c r="E30" i="3"/>
  <c r="E31" i="3"/>
  <c r="E32" i="3"/>
  <c r="E33" i="3"/>
  <c r="E34" i="3"/>
  <c r="E35" i="3"/>
  <c r="E36" i="3"/>
  <c r="E9" i="3"/>
  <c r="D10" i="3"/>
  <c r="D42" i="4" s="1"/>
  <c r="D11" i="3"/>
  <c r="D43" i="4" s="1"/>
  <c r="D12" i="3"/>
  <c r="D44" i="4" s="1"/>
  <c r="D13" i="3"/>
  <c r="D45" i="4" s="1"/>
  <c r="D9" i="3"/>
  <c r="D41" i="4" s="1"/>
  <c r="C10" i="3"/>
  <c r="C11" i="3"/>
  <c r="C12" i="3"/>
  <c r="C13" i="3"/>
  <c r="C9" i="3"/>
  <c r="J45" i="4" l="1"/>
  <c r="G20" i="15"/>
  <c r="G21" i="15"/>
  <c r="G19" i="15"/>
  <c r="J42" i="4"/>
  <c r="J41" i="4"/>
  <c r="J44" i="4"/>
  <c r="J43" i="4"/>
  <c r="H45" i="4"/>
  <c r="H44" i="4"/>
  <c r="H41" i="4"/>
  <c r="E41" i="4"/>
  <c r="H43" i="4"/>
  <c r="H42" i="4"/>
  <c r="N5" i="5"/>
  <c r="CE37" i="6"/>
  <c r="Q37" i="6"/>
  <c r="CE39" i="6"/>
  <c r="CE38" i="6"/>
  <c r="Q38" i="6"/>
  <c r="AS5" i="6" a="1"/>
  <c r="AS5" i="6" s="1"/>
  <c r="BC28" i="5" a="1"/>
  <c r="BC28" i="5" s="1"/>
  <c r="AU28" i="5" s="1" a="1"/>
  <c r="AU28" i="5" s="1"/>
  <c r="AS28" i="6" a="1"/>
  <c r="AS28" i="6" s="1"/>
  <c r="BC16" i="5" a="1"/>
  <c r="BC16" i="5" s="1"/>
  <c r="AU16" i="5" s="1" a="1"/>
  <c r="AU16" i="5" s="1"/>
  <c r="AS16" i="6" a="1"/>
  <c r="AS16" i="6" s="1"/>
  <c r="AS37" i="6" a="1"/>
  <c r="AS37" i="6" s="1"/>
  <c r="AS25" i="6" a="1"/>
  <c r="AS25" i="6" s="1"/>
  <c r="AS35" i="6" a="1"/>
  <c r="AS35" i="6" s="1"/>
  <c r="AS23" i="6" a="1"/>
  <c r="AS23" i="6" s="1"/>
  <c r="BC11" i="5" a="1"/>
  <c r="BC11" i="5" s="1"/>
  <c r="AU11" i="5" s="1" a="1"/>
  <c r="AU11" i="5" s="1"/>
  <c r="AS11" i="6" a="1"/>
  <c r="AS11" i="6" s="1"/>
  <c r="BC34" i="5" a="1"/>
  <c r="BC34" i="5" s="1"/>
  <c r="AU34" i="5" s="1" a="1"/>
  <c r="AU34" i="5" s="1"/>
  <c r="AS34" i="6" a="1"/>
  <c r="AS34" i="6" s="1"/>
  <c r="BC22" i="5" a="1"/>
  <c r="BC22" i="5" s="1"/>
  <c r="AU22" i="5" s="1" a="1"/>
  <c r="AU22" i="5" s="1"/>
  <c r="AS22" i="6" a="1"/>
  <c r="AS22" i="6" s="1"/>
  <c r="BC10" i="5" a="1"/>
  <c r="BC10" i="5" s="1"/>
  <c r="AU10" i="5" s="1" a="1"/>
  <c r="AU10" i="5" s="1"/>
  <c r="AS10" i="6" a="1"/>
  <c r="AS10" i="6" s="1"/>
  <c r="BC38" i="5" a="1"/>
  <c r="BC38" i="5" s="1"/>
  <c r="AU38" i="5" s="1" a="1"/>
  <c r="AU38" i="5" s="1"/>
  <c r="AS38" i="6" a="1"/>
  <c r="AS38" i="6" s="1"/>
  <c r="AS14" i="6" a="1"/>
  <c r="AS14" i="6" s="1"/>
  <c r="BC13" i="5" a="1"/>
  <c r="BC13" i="5" s="1"/>
  <c r="AU13" i="5" s="1" a="1"/>
  <c r="AU13" i="5" s="1"/>
  <c r="AS13" i="6" a="1"/>
  <c r="AS13" i="6" s="1"/>
  <c r="AS9" i="6" a="1"/>
  <c r="AS9" i="6" s="1"/>
  <c r="AM9" i="6" s="1"/>
  <c r="BC39" i="5" a="1"/>
  <c r="BC39" i="5" s="1"/>
  <c r="AU39" i="5" s="1" a="1"/>
  <c r="AU39" i="5" s="1"/>
  <c r="AS39" i="6" a="1"/>
  <c r="AS39" i="6" s="1"/>
  <c r="BC27" i="5" a="1"/>
  <c r="BC27" i="5" s="1"/>
  <c r="AU27" i="5" s="1" a="1"/>
  <c r="AU27" i="5" s="1"/>
  <c r="AS27" i="6" a="1"/>
  <c r="AS27" i="6" s="1"/>
  <c r="AM27" i="6" s="1"/>
  <c r="AN27" i="6" s="1"/>
  <c r="BC15" i="5" a="1"/>
  <c r="BC15" i="5" s="1"/>
  <c r="AU15" i="5" s="1" a="1"/>
  <c r="AU15" i="5" s="1"/>
  <c r="AS15" i="6" a="1"/>
  <c r="AS15" i="6" s="1"/>
  <c r="AM15" i="6" s="1"/>
  <c r="AN15" i="6" s="1"/>
  <c r="BC26" i="5" a="1"/>
  <c r="BC26" i="5" s="1"/>
  <c r="AU26" i="5" s="1" a="1"/>
  <c r="AU26" i="5" s="1"/>
  <c r="AS26" i="6" a="1"/>
  <c r="AS26" i="6" s="1"/>
  <c r="AM26" i="6" s="1"/>
  <c r="AN26" i="6" s="1"/>
  <c r="BC36" i="5" a="1"/>
  <c r="BC36" i="5" s="1"/>
  <c r="AU36" i="5" s="1" a="1"/>
  <c r="AU36" i="5" s="1"/>
  <c r="AS36" i="6" a="1"/>
  <c r="AS36" i="6" s="1"/>
  <c r="BC24" i="5" a="1"/>
  <c r="BC24" i="5" s="1"/>
  <c r="AU24" i="5" s="1" a="1"/>
  <c r="AU24" i="5" s="1"/>
  <c r="AS24" i="6" a="1"/>
  <c r="AS24" i="6" s="1"/>
  <c r="BC12" i="5" a="1"/>
  <c r="BC12" i="5" s="1"/>
  <c r="AU12" i="5" s="1" a="1"/>
  <c r="AU12" i="5" s="1"/>
  <c r="AS12" i="6" a="1"/>
  <c r="AS12" i="6" s="1"/>
  <c r="BC33" i="5" a="1"/>
  <c r="BC33" i="5" s="1"/>
  <c r="AU33" i="5" s="1" a="1"/>
  <c r="AU33" i="5" s="1"/>
  <c r="AS33" i="6" a="1"/>
  <c r="AS33" i="6" s="1"/>
  <c r="AS21" i="6" a="1"/>
  <c r="AS21" i="6" s="1"/>
  <c r="AS32" i="6" a="1"/>
  <c r="AS32" i="6" s="1"/>
  <c r="AS20" i="6" a="1"/>
  <c r="AS20" i="6" s="1"/>
  <c r="AM20" i="6" s="1"/>
  <c r="AN20" i="6" s="1"/>
  <c r="AS8" i="6" a="1"/>
  <c r="AS8" i="6" s="1"/>
  <c r="AS31" i="6" a="1"/>
  <c r="AS31" i="6" s="1"/>
  <c r="AS7" i="6" a="1"/>
  <c r="AS7" i="6" s="1"/>
  <c r="AS30" i="6" a="1"/>
  <c r="AS30" i="6" s="1"/>
  <c r="AS18" i="6" a="1"/>
  <c r="AS18" i="6" s="1"/>
  <c r="BC6" i="5" a="1"/>
  <c r="BC6" i="5" s="1"/>
  <c r="AU6" i="5" s="1" a="1"/>
  <c r="AU6" i="5" s="1"/>
  <c r="AS6" i="6" a="1"/>
  <c r="AS6" i="6" s="1"/>
  <c r="BC19" i="5" a="1"/>
  <c r="BC19" i="5" s="1"/>
  <c r="AU19" i="5" s="1" a="1"/>
  <c r="AU19" i="5" s="1"/>
  <c r="AS19" i="6" a="1"/>
  <c r="AS19" i="6" s="1"/>
  <c r="AS29" i="6" a="1"/>
  <c r="AS29" i="6" s="1"/>
  <c r="BC17" i="5" a="1"/>
  <c r="BC17" i="5" s="1"/>
  <c r="AU17" i="5" s="1" a="1"/>
  <c r="AU17" i="5" s="1"/>
  <c r="AS17" i="6" a="1"/>
  <c r="AS17" i="6" s="1"/>
  <c r="BC5" i="5" a="1"/>
  <c r="BC5" i="5" s="1"/>
  <c r="AU5" i="5" s="1" a="1"/>
  <c r="AU5" i="5" s="1"/>
  <c r="BC14" i="5" a="1"/>
  <c r="BC14" i="5" s="1"/>
  <c r="AU14" i="5" s="1" a="1"/>
  <c r="AU14" i="5" s="1"/>
  <c r="BC23" i="5" a="1"/>
  <c r="BC23" i="5" s="1"/>
  <c r="AU23" i="5" s="1" a="1"/>
  <c r="AU23" i="5" s="1"/>
  <c r="Q39" i="6"/>
  <c r="BC18" i="5" a="1"/>
  <c r="BC18" i="5" s="1"/>
  <c r="AU18" i="5" s="1" a="1"/>
  <c r="AU18" i="5" s="1"/>
  <c r="BC9" i="5" a="1"/>
  <c r="BC9" i="5" s="1"/>
  <c r="AU9" i="5" s="1" a="1"/>
  <c r="AU9" i="5" s="1"/>
  <c r="BC32" i="5" a="1"/>
  <c r="BC32" i="5" s="1"/>
  <c r="AU32" i="5" s="1" a="1"/>
  <c r="AU32" i="5" s="1"/>
  <c r="N31" i="5"/>
  <c r="N7" i="5"/>
  <c r="N19" i="5"/>
  <c r="N17" i="5"/>
  <c r="N29" i="5"/>
  <c r="N6" i="5"/>
  <c r="N28" i="5"/>
  <c r="N30" i="5"/>
  <c r="N18" i="5"/>
  <c r="N16" i="5"/>
  <c r="N27" i="5"/>
  <c r="N15" i="5"/>
  <c r="N39" i="5"/>
  <c r="N25" i="5"/>
  <c r="N38" i="5"/>
  <c r="N24" i="5"/>
  <c r="N37" i="5"/>
  <c r="N35" i="5"/>
  <c r="N23" i="5"/>
  <c r="N11" i="5"/>
  <c r="N13" i="5"/>
  <c r="N34" i="5"/>
  <c r="N22" i="5"/>
  <c r="N10" i="5"/>
  <c r="N26" i="5"/>
  <c r="N12" i="5"/>
  <c r="N33" i="5"/>
  <c r="N21" i="5"/>
  <c r="N9" i="5"/>
  <c r="N14" i="5"/>
  <c r="N36" i="5"/>
  <c r="N32" i="5"/>
  <c r="N20" i="5"/>
  <c r="N8" i="5"/>
  <c r="R9" i="3"/>
  <c r="M41" i="4" s="1"/>
  <c r="K41" i="4" s="1"/>
  <c r="R13" i="3"/>
  <c r="M45" i="4" s="1"/>
  <c r="K45" i="4" s="1"/>
  <c r="V26" i="4"/>
  <c r="V27" i="4"/>
  <c r="V28" i="4"/>
  <c r="V29" i="4"/>
  <c r="V30" i="4"/>
  <c r="V31" i="4"/>
  <c r="V32" i="4"/>
  <c r="V33" i="4"/>
  <c r="V34" i="4"/>
  <c r="V35" i="4"/>
  <c r="V36" i="4"/>
  <c r="V37" i="4"/>
  <c r="T26" i="4"/>
  <c r="T27" i="4"/>
  <c r="T28" i="4"/>
  <c r="T29" i="4"/>
  <c r="T30" i="4"/>
  <c r="T31" i="4"/>
  <c r="T32" i="4"/>
  <c r="T33" i="4"/>
  <c r="T34" i="4"/>
  <c r="T35" i="4"/>
  <c r="T36" i="4"/>
  <c r="T37" i="4"/>
  <c r="U36" i="3"/>
  <c r="V36" i="3"/>
  <c r="N36" i="3"/>
  <c r="T36" i="3" s="1"/>
  <c r="W36" i="3" s="1"/>
  <c r="X36" i="3" s="1"/>
  <c r="U10" i="3"/>
  <c r="U11" i="3"/>
  <c r="U12" i="3"/>
  <c r="U13" i="3"/>
  <c r="U14" i="3"/>
  <c r="U15" i="3"/>
  <c r="U16" i="3"/>
  <c r="U17" i="3"/>
  <c r="U18" i="3"/>
  <c r="U19" i="3"/>
  <c r="U20" i="3"/>
  <c r="U21" i="3"/>
  <c r="U22" i="3"/>
  <c r="U23" i="3"/>
  <c r="U24" i="3"/>
  <c r="U25" i="3"/>
  <c r="U26" i="3"/>
  <c r="U27" i="3"/>
  <c r="U28" i="3"/>
  <c r="U29" i="3"/>
  <c r="U30" i="3"/>
  <c r="U31" i="3"/>
  <c r="U32" i="3"/>
  <c r="U33" i="3"/>
  <c r="U34" i="3"/>
  <c r="U35" i="3"/>
  <c r="U9" i="3"/>
  <c r="V14" i="3"/>
  <c r="V15" i="3"/>
  <c r="V16" i="3"/>
  <c r="V17" i="3"/>
  <c r="V18" i="3"/>
  <c r="V19" i="3"/>
  <c r="V20" i="3"/>
  <c r="V21" i="3"/>
  <c r="V22" i="3"/>
  <c r="V23" i="3"/>
  <c r="V24" i="3"/>
  <c r="V25" i="3"/>
  <c r="V26" i="3"/>
  <c r="V27" i="3"/>
  <c r="V28" i="3"/>
  <c r="V29" i="3"/>
  <c r="V30" i="3"/>
  <c r="V31" i="3"/>
  <c r="V32" i="3"/>
  <c r="V33" i="3"/>
  <c r="V34" i="3"/>
  <c r="V35" i="3"/>
  <c r="T30" i="3"/>
  <c r="W30" i="3" s="1"/>
  <c r="N14" i="3"/>
  <c r="T14" i="3" s="1"/>
  <c r="W14" i="3" s="1"/>
  <c r="N15" i="3"/>
  <c r="T15" i="3" s="1"/>
  <c r="W15" i="3" s="1"/>
  <c r="N16" i="3"/>
  <c r="T16" i="3" s="1"/>
  <c r="W16" i="3" s="1"/>
  <c r="N17" i="3"/>
  <c r="T17" i="3" s="1"/>
  <c r="W17" i="3" s="1"/>
  <c r="N18" i="3"/>
  <c r="T18" i="3" s="1"/>
  <c r="W18" i="3" s="1"/>
  <c r="N19" i="3"/>
  <c r="T19" i="3" s="1"/>
  <c r="W19" i="3" s="1"/>
  <c r="N20" i="3"/>
  <c r="T20" i="3" s="1"/>
  <c r="W20" i="3" s="1"/>
  <c r="N21" i="3"/>
  <c r="T21" i="3" s="1"/>
  <c r="W21" i="3" s="1"/>
  <c r="N22" i="3"/>
  <c r="T22" i="3" s="1"/>
  <c r="W22" i="3" s="1"/>
  <c r="N23" i="3"/>
  <c r="T23" i="3" s="1"/>
  <c r="W23" i="3" s="1"/>
  <c r="N24" i="3"/>
  <c r="T24" i="3" s="1"/>
  <c r="W24" i="3" s="1"/>
  <c r="N25" i="3"/>
  <c r="T25" i="3" s="1"/>
  <c r="W25" i="3" s="1"/>
  <c r="N26" i="3"/>
  <c r="T26" i="3" s="1"/>
  <c r="W26" i="3" s="1"/>
  <c r="N27" i="3"/>
  <c r="T27" i="3" s="1"/>
  <c r="W27" i="3" s="1"/>
  <c r="N28" i="3"/>
  <c r="T28" i="3" s="1"/>
  <c r="W28" i="3" s="1"/>
  <c r="N29" i="3"/>
  <c r="T29" i="3" s="1"/>
  <c r="W29" i="3" s="1"/>
  <c r="N30" i="3"/>
  <c r="N31" i="3"/>
  <c r="T31" i="3" s="1"/>
  <c r="W31" i="3" s="1"/>
  <c r="N32" i="3"/>
  <c r="T32" i="3" s="1"/>
  <c r="W32" i="3" s="1"/>
  <c r="N33" i="3"/>
  <c r="T33" i="3" s="1"/>
  <c r="W33" i="3" s="1"/>
  <c r="N34" i="3"/>
  <c r="T34" i="3" s="1"/>
  <c r="W34" i="3" s="1"/>
  <c r="N35" i="3"/>
  <c r="T35" i="3" s="1"/>
  <c r="W35" i="3" s="1"/>
  <c r="F10" i="3"/>
  <c r="N10" i="3" s="1"/>
  <c r="F11" i="3"/>
  <c r="N11" i="3" s="1"/>
  <c r="F12" i="3"/>
  <c r="N12" i="3" s="1"/>
  <c r="F13" i="3"/>
  <c r="N13" i="3" s="1"/>
  <c r="F14" i="3"/>
  <c r="F15" i="3"/>
  <c r="F16" i="3"/>
  <c r="F17" i="3"/>
  <c r="F18" i="3"/>
  <c r="F19" i="3"/>
  <c r="F20" i="3"/>
  <c r="F21" i="3"/>
  <c r="F22" i="3"/>
  <c r="F23" i="3"/>
  <c r="F24" i="3"/>
  <c r="F25" i="3"/>
  <c r="F26" i="3"/>
  <c r="F27" i="3"/>
  <c r="F28" i="3"/>
  <c r="F29" i="3"/>
  <c r="F30" i="3"/>
  <c r="F31" i="3"/>
  <c r="F32" i="3"/>
  <c r="F33" i="3"/>
  <c r="F34" i="3"/>
  <c r="F35" i="3"/>
  <c r="F36" i="3"/>
  <c r="F9" i="3"/>
  <c r="N9" i="3" s="1"/>
  <c r="E38" i="10" l="1" a="1"/>
  <c r="E38" i="10" s="1"/>
  <c r="AM5" i="6"/>
  <c r="AN5" i="6" s="1"/>
  <c r="G22" i="15"/>
  <c r="T9" i="3"/>
  <c r="AQ26" i="6"/>
  <c r="AQ20" i="6"/>
  <c r="AQ27" i="6"/>
  <c r="AQ9" i="6"/>
  <c r="AN9" i="6"/>
  <c r="AQ15" i="6"/>
  <c r="E41" i="10" a="1"/>
  <c r="E41" i="10" s="1"/>
  <c r="E40" i="10" a="1"/>
  <c r="E40" i="10" s="1"/>
  <c r="E21" i="10" a="1"/>
  <c r="E21" i="10" s="1"/>
  <c r="E37" i="10" a="1"/>
  <c r="E37" i="10" s="1"/>
  <c r="E42" i="10" a="1"/>
  <c r="E42" i="10" s="1"/>
  <c r="T13" i="3"/>
  <c r="L41" i="4"/>
  <c r="L45" i="4"/>
  <c r="BC37" i="5" a="1"/>
  <c r="BC37" i="5" s="1"/>
  <c r="AU37" i="5" s="1" a="1"/>
  <c r="AU37" i="5" s="1"/>
  <c r="BC29" i="5" a="1"/>
  <c r="BC29" i="5" s="1"/>
  <c r="AU29" i="5" s="1" a="1"/>
  <c r="AU29" i="5" s="1"/>
  <c r="BC21" i="5" a="1"/>
  <c r="BC21" i="5" s="1"/>
  <c r="AU21" i="5" s="1" a="1"/>
  <c r="AU21" i="5" s="1"/>
  <c r="BC8" i="5" a="1"/>
  <c r="BC8" i="5" s="1"/>
  <c r="AU8" i="5" s="1" a="1"/>
  <c r="AU8" i="5" s="1"/>
  <c r="BC35" i="5" a="1"/>
  <c r="BC35" i="5" s="1"/>
  <c r="AU35" i="5" s="1" a="1"/>
  <c r="AU35" i="5" s="1"/>
  <c r="BC7" i="5" a="1"/>
  <c r="BC7" i="5" s="1"/>
  <c r="AU7" i="5" s="1" a="1"/>
  <c r="AU7" i="5" s="1"/>
  <c r="BC25" i="5" a="1"/>
  <c r="BC25" i="5" s="1"/>
  <c r="AU25" i="5" s="1" a="1"/>
  <c r="AU25" i="5" s="1"/>
  <c r="BC30" i="5" a="1"/>
  <c r="BC30" i="5" s="1"/>
  <c r="AU30" i="5" s="1" a="1"/>
  <c r="AU30" i="5" s="1"/>
  <c r="BC31" i="5" a="1"/>
  <c r="BC31" i="5" s="1"/>
  <c r="AU31" i="5" s="1" a="1"/>
  <c r="AU31" i="5" s="1"/>
  <c r="BC20" i="5" a="1"/>
  <c r="BC20" i="5" s="1"/>
  <c r="AU20" i="5" s="1" a="1"/>
  <c r="AU20" i="5" s="1"/>
  <c r="C22" i="10" l="1" a="1"/>
  <c r="C22" i="10" s="1"/>
  <c r="C17" i="10" a="1"/>
  <c r="C17" i="10" s="1"/>
  <c r="R5" i="10"/>
  <c r="AM23" i="6"/>
  <c r="AN23" i="6" s="1"/>
  <c r="E35" i="10" a="1"/>
  <c r="E35" i="10" s="1"/>
  <c r="E19" i="10" a="1"/>
  <c r="E19" i="10" s="1"/>
  <c r="AM13" i="6"/>
  <c r="AQ13" i="6" s="1"/>
  <c r="AM18" i="6"/>
  <c r="E33" i="10" a="1"/>
  <c r="E33" i="10" s="1"/>
  <c r="E16" i="10" a="1"/>
  <c r="E16" i="10" s="1"/>
  <c r="AM31" i="6"/>
  <c r="AN31" i="6" s="1"/>
  <c r="AM14" i="6"/>
  <c r="AN14" i="6" s="1"/>
  <c r="AM6" i="6"/>
  <c r="AQ6" i="6" s="1"/>
  <c r="E26" i="10" a="1"/>
  <c r="E26" i="10" s="1"/>
  <c r="E15" i="10" a="1"/>
  <c r="E15" i="10" s="1"/>
  <c r="E34" i="10" a="1"/>
  <c r="E34" i="10" s="1"/>
  <c r="AM11" i="6"/>
  <c r="AN11" i="6" s="1"/>
  <c r="AM22" i="6"/>
  <c r="AN22" i="6" s="1"/>
  <c r="E44" i="10" a="1"/>
  <c r="E44" i="10" s="1"/>
  <c r="AM30" i="6"/>
  <c r="AN30" i="6" s="1"/>
  <c r="AM19" i="6"/>
  <c r="E18" i="10" a="1"/>
  <c r="E18" i="10" s="1"/>
  <c r="E43" i="10" a="1"/>
  <c r="E43" i="10" s="1"/>
  <c r="E27" i="10" a="1"/>
  <c r="E27" i="10" s="1"/>
  <c r="AM21" i="6"/>
  <c r="AN21" i="6" s="1"/>
  <c r="AM32" i="6"/>
  <c r="AN32" i="6" s="1"/>
  <c r="AM8" i="6"/>
  <c r="AN8" i="6" s="1"/>
  <c r="E28" i="10" a="1"/>
  <c r="E28" i="10" s="1"/>
  <c r="E36" i="10" a="1"/>
  <c r="E36" i="10" s="1"/>
  <c r="AM7" i="6"/>
  <c r="AN7" i="6" s="1"/>
  <c r="E29" i="10" a="1"/>
  <c r="E29" i="10" s="1"/>
  <c r="E32" i="10" a="1"/>
  <c r="E32" i="10" s="1"/>
  <c r="AQ5" i="6"/>
  <c r="E22" i="10" a="1"/>
  <c r="E22" i="10" s="1"/>
  <c r="E23" i="10" a="1"/>
  <c r="E23" i="10" s="1"/>
  <c r="AM28" i="6"/>
  <c r="AM16" i="6"/>
  <c r="AM25" i="6"/>
  <c r="AN25" i="6" s="1"/>
  <c r="AM24" i="6"/>
  <c r="AN24" i="6" s="1"/>
  <c r="AM29" i="6"/>
  <c r="AN29" i="6" s="1"/>
  <c r="E25" i="10" a="1"/>
  <c r="E25" i="10" s="1"/>
  <c r="E39" i="10" a="1"/>
  <c r="E39" i="10" s="1"/>
  <c r="E20" i="10" a="1"/>
  <c r="E20" i="10" s="1"/>
  <c r="E24" i="10" a="1"/>
  <c r="E24" i="10" s="1"/>
  <c r="E30" i="10" a="1"/>
  <c r="E30" i="10" s="1"/>
  <c r="AM10" i="6"/>
  <c r="AQ10" i="6" s="1"/>
  <c r="AM12" i="6"/>
  <c r="AN12" i="6" s="1"/>
  <c r="AM17" i="6"/>
  <c r="AN17" i="6" s="1"/>
  <c r="E17" i="10" a="1"/>
  <c r="E17" i="10" s="1"/>
  <c r="E31" i="10" a="1"/>
  <c r="E31" i="10" s="1"/>
  <c r="C42" i="10" a="1"/>
  <c r="C42" i="10" s="1"/>
  <c r="C38" i="10" a="1"/>
  <c r="C38" i="10" s="1"/>
  <c r="C36" i="10" a="1"/>
  <c r="C36" i="10" s="1"/>
  <c r="C31" i="10" a="1"/>
  <c r="C31" i="10" s="1"/>
  <c r="C26" i="10" a="1"/>
  <c r="C26" i="10" s="1"/>
  <c r="C37" i="10" a="1"/>
  <c r="C37" i="10" s="1"/>
  <c r="C30" i="10" a="1"/>
  <c r="C30" i="10" s="1"/>
  <c r="C35" i="10" a="1"/>
  <c r="C35" i="10" s="1"/>
  <c r="C32" i="10" a="1"/>
  <c r="C32" i="10" s="1"/>
  <c r="C23" i="10" a="1"/>
  <c r="C23" i="10" s="1"/>
  <c r="C27" i="10" a="1"/>
  <c r="C27" i="10" s="1"/>
  <c r="C24" i="10" a="1"/>
  <c r="C24" i="10" s="1"/>
  <c r="C33" i="10" a="1"/>
  <c r="C33" i="10" s="1"/>
  <c r="C21" i="10" a="1"/>
  <c r="C21" i="10" s="1"/>
  <c r="C44" i="10" a="1"/>
  <c r="C44" i="10" s="1"/>
  <c r="C20" i="10" a="1"/>
  <c r="C20" i="10" s="1"/>
  <c r="C43" i="10" a="1"/>
  <c r="C43" i="10" s="1"/>
  <c r="C39" i="10" a="1"/>
  <c r="C39" i="10" s="1"/>
  <c r="C29" i="10" a="1"/>
  <c r="C29" i="10" s="1"/>
  <c r="C25" i="10" a="1"/>
  <c r="C25" i="10" s="1"/>
  <c r="C15" i="10" a="1"/>
  <c r="C15" i="10" s="1"/>
  <c r="C34" i="10" a="1"/>
  <c r="C34" i="10" s="1"/>
  <c r="C41" i="10" a="1"/>
  <c r="C41" i="10" s="1"/>
  <c r="C16" i="10" a="1"/>
  <c r="C16" i="10" s="1"/>
  <c r="C19" i="10" a="1"/>
  <c r="C19" i="10" s="1"/>
  <c r="C40" i="10" a="1"/>
  <c r="C40" i="10" s="1"/>
  <c r="C28" i="10" a="1"/>
  <c r="C28" i="10" s="1"/>
  <c r="C18" i="10" a="1"/>
  <c r="C18" i="10" s="1"/>
  <c r="G23" i="15"/>
  <c r="C14" i="10" a="1"/>
  <c r="C14" i="10" s="1"/>
  <c r="C11" i="10" a="1"/>
  <c r="C11" i="10" s="1"/>
  <c r="C8" i="10" a="1"/>
  <c r="C8" i="10" s="1"/>
  <c r="C5" i="10" a="1"/>
  <c r="C5" i="10" s="1"/>
  <c r="C12" i="10" a="1"/>
  <c r="C12" i="10" s="1"/>
  <c r="C6" i="10" a="1"/>
  <c r="C6" i="10" s="1"/>
  <c r="C10" i="10" a="1"/>
  <c r="C10" i="10" s="1"/>
  <c r="C9" i="10" a="1"/>
  <c r="C9" i="10" s="1"/>
  <c r="C7" i="10" a="1"/>
  <c r="C7" i="10" s="1"/>
  <c r="C13" i="10" a="1"/>
  <c r="C13" i="10" s="1"/>
  <c r="E13" i="10" a="1"/>
  <c r="E13" i="10" s="1"/>
  <c r="E7" i="10" a="1"/>
  <c r="E7" i="10" s="1"/>
  <c r="E12" i="10" a="1"/>
  <c r="E12" i="10" s="1"/>
  <c r="E6" i="10" a="1"/>
  <c r="E6" i="10" s="1"/>
  <c r="E14" i="10" a="1"/>
  <c r="E14" i="10" s="1"/>
  <c r="E11" i="10" a="1"/>
  <c r="E11" i="10" s="1"/>
  <c r="E9" i="10" a="1"/>
  <c r="E9" i="10" s="1"/>
  <c r="E5" i="10" a="1"/>
  <c r="E5" i="10" s="1"/>
  <c r="E10" i="10" a="1"/>
  <c r="E10" i="10" s="1"/>
  <c r="E8" i="10" a="1"/>
  <c r="E8" i="10" s="1"/>
  <c r="AM37" i="6"/>
  <c r="AM35" i="6"/>
  <c r="AN35" i="6" s="1"/>
  <c r="AM34" i="6"/>
  <c r="AM38" i="6"/>
  <c r="AN38" i="6" s="1"/>
  <c r="AM39" i="6"/>
  <c r="AN39" i="6" s="1"/>
  <c r="AM36" i="6"/>
  <c r="AM33" i="6"/>
  <c r="AN33" i="6" s="1"/>
  <c r="AQ28" i="6" l="1"/>
  <c r="AN28" i="6"/>
  <c r="AQ36" i="6"/>
  <c r="AN36" i="6"/>
  <c r="AQ11" i="6"/>
  <c r="AQ37" i="6"/>
  <c r="AN37" i="6"/>
  <c r="AQ19" i="6"/>
  <c r="AN19" i="6"/>
  <c r="AQ18" i="6"/>
  <c r="AN18" i="6"/>
  <c r="AQ34" i="6"/>
  <c r="AN34" i="6"/>
  <c r="AQ16" i="6"/>
  <c r="AN16" i="6"/>
  <c r="AQ23" i="6"/>
  <c r="AQ17" i="6"/>
  <c r="AQ25" i="6"/>
  <c r="AQ8" i="6"/>
  <c r="AQ32" i="6"/>
  <c r="AQ24" i="6"/>
  <c r="AQ21" i="6"/>
  <c r="AN6" i="6"/>
  <c r="AQ12" i="6"/>
  <c r="AQ14" i="6"/>
  <c r="AQ30" i="6"/>
  <c r="AQ22" i="6"/>
  <c r="AQ7" i="6"/>
  <c r="AN10" i="6"/>
  <c r="AQ31" i="6"/>
  <c r="AQ29" i="6"/>
  <c r="AN13" i="6"/>
  <c r="G24" i="15"/>
  <c r="G25" i="15"/>
  <c r="G26" i="15"/>
  <c r="F52" i="10"/>
  <c r="F50" i="10"/>
  <c r="F53" i="10"/>
  <c r="F49" i="10"/>
  <c r="F48" i="10"/>
  <c r="F51" i="10"/>
  <c r="F47" i="10"/>
  <c r="AQ33" i="6"/>
  <c r="AQ38" i="6"/>
  <c r="AQ39" i="6"/>
  <c r="AQ35" i="6"/>
  <c r="CA5" i="6"/>
  <c r="CC5" i="6" s="1"/>
  <c r="CB5" i="6"/>
  <c r="CD5" i="6" s="1"/>
  <c r="CA6" i="6"/>
  <c r="CC6" i="6" s="1"/>
  <c r="CB6" i="6"/>
  <c r="CD6" i="6" s="1"/>
  <c r="CA7" i="6"/>
  <c r="CC7" i="6" s="1"/>
  <c r="CB7" i="6"/>
  <c r="CD7" i="6" s="1"/>
  <c r="CA8" i="6"/>
  <c r="CC8" i="6" s="1"/>
  <c r="CB8" i="6"/>
  <c r="CD8" i="6" s="1"/>
  <c r="CA9" i="6"/>
  <c r="CC9" i="6" s="1"/>
  <c r="CB9" i="6"/>
  <c r="CD9" i="6" s="1"/>
  <c r="CA10" i="6"/>
  <c r="CC10" i="6" s="1"/>
  <c r="CB10" i="6"/>
  <c r="CD10" i="6" s="1"/>
  <c r="CA11" i="6"/>
  <c r="CC11" i="6" s="1"/>
  <c r="CB11" i="6"/>
  <c r="CD11" i="6" s="1"/>
  <c r="CA12" i="6"/>
  <c r="CC12" i="6" s="1"/>
  <c r="CB12" i="6"/>
  <c r="CD12" i="6" s="1"/>
  <c r="CA13" i="6"/>
  <c r="CC13" i="6" s="1"/>
  <c r="CB13" i="6"/>
  <c r="CD13" i="6" s="1"/>
  <c r="CA14" i="6"/>
  <c r="CC14" i="6" s="1"/>
  <c r="CB14" i="6"/>
  <c r="CD14" i="6" s="1"/>
  <c r="CA15" i="6"/>
  <c r="CC15" i="6" s="1"/>
  <c r="CB15" i="6"/>
  <c r="CD15" i="6" s="1"/>
  <c r="CA16" i="6"/>
  <c r="CC16" i="6" s="1"/>
  <c r="CB16" i="6"/>
  <c r="CD16" i="6" s="1"/>
  <c r="CA17" i="6"/>
  <c r="CC17" i="6" s="1"/>
  <c r="CB17" i="6"/>
  <c r="CD17" i="6" s="1"/>
  <c r="CA18" i="6"/>
  <c r="CC18" i="6" s="1"/>
  <c r="CB18" i="6"/>
  <c r="CD18" i="6" s="1"/>
  <c r="CA19" i="6"/>
  <c r="CC19" i="6" s="1"/>
  <c r="CB19" i="6"/>
  <c r="CD19" i="6" s="1"/>
  <c r="CA20" i="6"/>
  <c r="CC20" i="6" s="1"/>
  <c r="CB20" i="6"/>
  <c r="CD20" i="6" s="1"/>
  <c r="CA21" i="6"/>
  <c r="CC21" i="6" s="1"/>
  <c r="CB21" i="6"/>
  <c r="CD21" i="6" s="1"/>
  <c r="CA22" i="6"/>
  <c r="CC22" i="6" s="1"/>
  <c r="CB22" i="6"/>
  <c r="CD22" i="6" s="1"/>
  <c r="CA23" i="6"/>
  <c r="CC23" i="6" s="1"/>
  <c r="CB23" i="6"/>
  <c r="CD23" i="6" s="1"/>
  <c r="CA24" i="6"/>
  <c r="CC24" i="6" s="1"/>
  <c r="CB24" i="6"/>
  <c r="CD24" i="6" s="1"/>
  <c r="CA25" i="6"/>
  <c r="CC25" i="6" s="1"/>
  <c r="CB25" i="6"/>
  <c r="CD25" i="6" s="1"/>
  <c r="CA26" i="6"/>
  <c r="CC26" i="6" s="1"/>
  <c r="CB26" i="6"/>
  <c r="CD26" i="6" s="1"/>
  <c r="CA27" i="6"/>
  <c r="CC27" i="6" s="1"/>
  <c r="CB27" i="6"/>
  <c r="CD27" i="6" s="1"/>
  <c r="CA28" i="6"/>
  <c r="CC28" i="6" s="1"/>
  <c r="CB28" i="6"/>
  <c r="CD28" i="6" s="1"/>
  <c r="CA29" i="6"/>
  <c r="CC29" i="6" s="1"/>
  <c r="CB29" i="6"/>
  <c r="CD29" i="6" s="1"/>
  <c r="CA30" i="6"/>
  <c r="CC30" i="6" s="1"/>
  <c r="CB30" i="6"/>
  <c r="CD30" i="6" s="1"/>
  <c r="CA31" i="6"/>
  <c r="CC31" i="6" s="1"/>
  <c r="CB31" i="6"/>
  <c r="CD31" i="6" s="1"/>
  <c r="CA32" i="6"/>
  <c r="CC32" i="6" s="1"/>
  <c r="CB32" i="6"/>
  <c r="CD32" i="6" s="1"/>
  <c r="CA33" i="6"/>
  <c r="CC33" i="6" s="1"/>
  <c r="CB33" i="6"/>
  <c r="CD33" i="6" s="1"/>
  <c r="CA34" i="6"/>
  <c r="CC34" i="6" s="1"/>
  <c r="CB34" i="6"/>
  <c r="CD34" i="6" s="1"/>
  <c r="CA35" i="6"/>
  <c r="CC35" i="6" s="1"/>
  <c r="CB35" i="6"/>
  <c r="CD35" i="6" s="1"/>
  <c r="CA36" i="6"/>
  <c r="CC36" i="6" s="1"/>
  <c r="CB36" i="6"/>
  <c r="CD36" i="6" s="1"/>
  <c r="O36" i="6"/>
  <c r="O35" i="6"/>
  <c r="O34" i="6"/>
  <c r="O33" i="6"/>
  <c r="O32" i="6"/>
  <c r="O31" i="6"/>
  <c r="O30" i="6"/>
  <c r="O29" i="6"/>
  <c r="O28" i="6"/>
  <c r="O27" i="6"/>
  <c r="O26" i="6"/>
  <c r="O25" i="6"/>
  <c r="O24" i="6"/>
  <c r="O23" i="6"/>
  <c r="O22" i="6"/>
  <c r="O21" i="6"/>
  <c r="O20" i="6"/>
  <c r="O19" i="6"/>
  <c r="O18" i="6"/>
  <c r="O17" i="6"/>
  <c r="O16" i="6"/>
  <c r="O15" i="6"/>
  <c r="O14" i="6"/>
  <c r="O13" i="6"/>
  <c r="O12" i="6"/>
  <c r="O11" i="6"/>
  <c r="O10" i="6"/>
  <c r="O9" i="6"/>
  <c r="O8" i="6"/>
  <c r="O7" i="6"/>
  <c r="O6" i="6"/>
  <c r="O5" i="6"/>
  <c r="Q5" i="6" s="1"/>
  <c r="R23" i="10" l="1"/>
  <c r="R27" i="10"/>
  <c r="R43" i="10"/>
  <c r="R8" i="10"/>
  <c r="R35" i="10"/>
  <c r="R39" i="10"/>
  <c r="R41" i="10"/>
  <c r="R20" i="10"/>
  <c r="R12" i="10"/>
  <c r="R16" i="10"/>
  <c r="R32" i="10"/>
  <c r="R24" i="10"/>
  <c r="R28" i="10"/>
  <c r="R17" i="10"/>
  <c r="R44" i="10"/>
  <c r="R36" i="10"/>
  <c r="R40" i="10"/>
  <c r="R29" i="10"/>
  <c r="R9" i="10"/>
  <c r="R13" i="10"/>
  <c r="R6" i="10"/>
  <c r="R21" i="10"/>
  <c r="R25" i="10"/>
  <c r="R18" i="10"/>
  <c r="R33" i="10"/>
  <c r="R37" i="10"/>
  <c r="R30" i="10"/>
  <c r="R10" i="10"/>
  <c r="R14" i="10"/>
  <c r="R42" i="10"/>
  <c r="R22" i="10"/>
  <c r="R26" i="10"/>
  <c r="R7" i="10"/>
  <c r="R34" i="10"/>
  <c r="R38" i="10"/>
  <c r="R19" i="10"/>
  <c r="R11" i="10"/>
  <c r="R15" i="10"/>
  <c r="R31" i="10"/>
  <c r="G27" i="15"/>
  <c r="CE20" i="6"/>
  <c r="CE21" i="6"/>
  <c r="CE7" i="6"/>
  <c r="CE22" i="6"/>
  <c r="CE31" i="6"/>
  <c r="CE32" i="6"/>
  <c r="CE29" i="6"/>
  <c r="CE30" i="6"/>
  <c r="CE6" i="6"/>
  <c r="CE5" i="6"/>
  <c r="CE16" i="6"/>
  <c r="CE27" i="6"/>
  <c r="CE8" i="6"/>
  <c r="CE13" i="6"/>
  <c r="CE19" i="6"/>
  <c r="CE12" i="6"/>
  <c r="CE18" i="6"/>
  <c r="CE23" i="6"/>
  <c r="CE10" i="6"/>
  <c r="CE9" i="6"/>
  <c r="CE14" i="6"/>
  <c r="CE24" i="6"/>
  <c r="CE17" i="6"/>
  <c r="CE34" i="6"/>
  <c r="CE35" i="6"/>
  <c r="CE28" i="6"/>
  <c r="CE15" i="6"/>
  <c r="CE26" i="6"/>
  <c r="CE25" i="6"/>
  <c r="CE36" i="6"/>
  <c r="CE11" i="6"/>
  <c r="CE33" i="6"/>
  <c r="Q9" i="6"/>
  <c r="Q10" i="6"/>
  <c r="Q7" i="6"/>
  <c r="Q8" i="6"/>
  <c r="Q18" i="6"/>
  <c r="Q28" i="6"/>
  <c r="Q21" i="6"/>
  <c r="Q15" i="6"/>
  <c r="Q27" i="6"/>
  <c r="Q26" i="6"/>
  <c r="Q20" i="6"/>
  <c r="Q14" i="6"/>
  <c r="Q36" i="6"/>
  <c r="Q25" i="6"/>
  <c r="Q19" i="6"/>
  <c r="Q13" i="6"/>
  <c r="Q35" i="6"/>
  <c r="Q16" i="6"/>
  <c r="Q22" i="6"/>
  <c r="Q31" i="6"/>
  <c r="Q29" i="6"/>
  <c r="Q24" i="6"/>
  <c r="Q17" i="6"/>
  <c r="Q34" i="6"/>
  <c r="Q30" i="6"/>
  <c r="Q32" i="6"/>
  <c r="Q33" i="6"/>
  <c r="Q23" i="6"/>
  <c r="Q12" i="6"/>
  <c r="Q11" i="6"/>
  <c r="Q6" i="6"/>
  <c r="D13" i="6" l="1"/>
  <c r="S13" i="10" s="1"/>
  <c r="D20" i="6"/>
  <c r="S20" i="10" s="1"/>
  <c r="D30" i="6"/>
  <c r="S30" i="10" s="1"/>
  <c r="D41" i="6"/>
  <c r="S41" i="10" s="1"/>
  <c r="D42" i="6"/>
  <c r="S42" i="10" s="1"/>
  <c r="D12" i="6"/>
  <c r="S12" i="10" s="1"/>
  <c r="D37" i="6"/>
  <c r="S37" i="10" s="1"/>
  <c r="D33" i="6"/>
  <c r="S33" i="10" s="1"/>
  <c r="D28" i="6"/>
  <c r="S28" i="10" s="1"/>
  <c r="D24" i="6"/>
  <c r="S24" i="10" s="1"/>
  <c r="D44" i="6"/>
  <c r="S44" i="10" s="1"/>
  <c r="D39" i="6"/>
  <c r="S39" i="10" s="1"/>
  <c r="D35" i="6"/>
  <c r="S35" i="10" s="1"/>
  <c r="D29" i="6"/>
  <c r="S29" i="10" s="1"/>
  <c r="D32" i="6"/>
  <c r="S32" i="10" s="1"/>
  <c r="D27" i="6"/>
  <c r="S27" i="10" s="1"/>
  <c r="D23" i="6"/>
  <c r="S23" i="10" s="1"/>
  <c r="D43" i="6"/>
  <c r="S43" i="10" s="1"/>
  <c r="D15" i="6"/>
  <c r="S15" i="10" s="1"/>
  <c r="D25" i="6"/>
  <c r="S25" i="10" s="1"/>
  <c r="D31" i="6"/>
  <c r="S31" i="10" s="1"/>
  <c r="D19" i="6"/>
  <c r="S19" i="10" s="1"/>
  <c r="D40" i="6"/>
  <c r="S40" i="10" s="1"/>
  <c r="D34" i="6"/>
  <c r="S34" i="10" s="1"/>
  <c r="D36" i="6"/>
  <c r="S36" i="10" s="1"/>
  <c r="D18" i="6"/>
  <c r="S18" i="10" s="1"/>
  <c r="D38" i="6"/>
  <c r="S38" i="10" s="1"/>
  <c r="D22" i="6"/>
  <c r="S22" i="10" s="1"/>
  <c r="D17" i="6"/>
  <c r="S17" i="10" s="1"/>
  <c r="D26" i="6"/>
  <c r="S26" i="10" s="1"/>
  <c r="D21" i="6"/>
  <c r="S21" i="10" s="1"/>
  <c r="D16" i="6"/>
  <c r="S16" i="10" s="1"/>
  <c r="D14" i="6"/>
  <c r="S14" i="10" s="1"/>
  <c r="G28" i="15"/>
  <c r="G5" i="6"/>
  <c r="G6" i="6"/>
  <c r="G7" i="6"/>
  <c r="G8" i="6"/>
  <c r="G9" i="6"/>
  <c r="G10" i="6"/>
  <c r="G11" i="6"/>
  <c r="D6" i="6"/>
  <c r="S6" i="10" s="1"/>
  <c r="D5" i="6"/>
  <c r="S5" i="10" s="1"/>
  <c r="D10" i="6"/>
  <c r="S10" i="10" s="1"/>
  <c r="D9" i="6"/>
  <c r="S9" i="10" s="1"/>
  <c r="D8" i="6"/>
  <c r="S8" i="10" s="1"/>
  <c r="D7" i="6"/>
  <c r="S7" i="10" s="1"/>
  <c r="D11" i="6"/>
  <c r="S11" i="10" s="1"/>
  <c r="G29" i="15" l="1"/>
  <c r="G30" i="15"/>
  <c r="G31" i="15"/>
  <c r="F5" i="5"/>
  <c r="F6" i="5"/>
  <c r="F7" i="5"/>
  <c r="F8" i="5"/>
  <c r="F9" i="5"/>
  <c r="F11" i="5"/>
  <c r="F10" i="5"/>
  <c r="G32" i="15" l="1"/>
  <c r="AB41" i="4"/>
  <c r="AD41" i="4" s="1"/>
  <c r="AB42" i="4"/>
  <c r="AD42" i="4" s="1"/>
  <c r="AB43" i="4"/>
  <c r="AD43" i="4" s="1"/>
  <c r="AB44" i="4"/>
  <c r="AD44" i="4" s="1"/>
  <c r="AB45" i="4"/>
  <c r="AD45" i="4" s="1"/>
  <c r="AB46" i="4"/>
  <c r="AD46" i="4" s="1"/>
  <c r="AB47" i="4"/>
  <c r="AD47" i="4" s="1"/>
  <c r="AA41" i="4"/>
  <c r="AC41" i="4" s="1"/>
  <c r="AA42" i="4"/>
  <c r="AC42" i="4" s="1"/>
  <c r="AA43" i="4"/>
  <c r="AC43" i="4" s="1"/>
  <c r="AA44" i="4"/>
  <c r="AC44" i="4" s="1"/>
  <c r="AA45" i="4"/>
  <c r="AC45" i="4" s="1"/>
  <c r="AA46" i="4"/>
  <c r="AC46" i="4" s="1"/>
  <c r="AA47" i="4"/>
  <c r="AC47" i="4" s="1"/>
  <c r="Z41" i="4"/>
  <c r="Z42" i="4"/>
  <c r="Z43" i="4"/>
  <c r="Z44" i="4"/>
  <c r="Z45" i="4"/>
  <c r="Z46" i="4"/>
  <c r="Z47" i="4"/>
  <c r="W41" i="4"/>
  <c r="Y41" i="4" s="1"/>
  <c r="W42" i="4"/>
  <c r="Y42" i="4" s="1"/>
  <c r="W43" i="4"/>
  <c r="Y43" i="4" s="1"/>
  <c r="W44" i="4"/>
  <c r="Y44" i="4" s="1"/>
  <c r="W45" i="4"/>
  <c r="Y45" i="4" s="1"/>
  <c r="S25" i="4"/>
  <c r="S24" i="4"/>
  <c r="S23" i="4"/>
  <c r="S22" i="4"/>
  <c r="S21" i="4"/>
  <c r="R10" i="3"/>
  <c r="R11" i="3"/>
  <c r="R12" i="3"/>
  <c r="N46" i="4"/>
  <c r="N47" i="4"/>
  <c r="E47" i="4"/>
  <c r="D21" i="4"/>
  <c r="D22" i="4"/>
  <c r="D23" i="4"/>
  <c r="D24" i="4"/>
  <c r="D25" i="4"/>
  <c r="H12" i="3"/>
  <c r="V12" i="3" s="1"/>
  <c r="H14" i="3"/>
  <c r="H15" i="3"/>
  <c r="H16" i="3"/>
  <c r="H17" i="3"/>
  <c r="H18" i="3"/>
  <c r="H19" i="3"/>
  <c r="H20" i="3"/>
  <c r="H21" i="3"/>
  <c r="H22" i="3"/>
  <c r="H23" i="3"/>
  <c r="H24" i="3"/>
  <c r="H25" i="3"/>
  <c r="H26" i="3"/>
  <c r="H27" i="3"/>
  <c r="H28" i="3"/>
  <c r="H29" i="3"/>
  <c r="H30" i="3"/>
  <c r="H31" i="3"/>
  <c r="H32" i="3"/>
  <c r="H33" i="3"/>
  <c r="H34" i="3"/>
  <c r="H35" i="3"/>
  <c r="H36" i="3"/>
  <c r="X14" i="3"/>
  <c r="X15" i="3"/>
  <c r="X16" i="3"/>
  <c r="X17" i="3"/>
  <c r="X18" i="3"/>
  <c r="X19" i="3"/>
  <c r="X20" i="3"/>
  <c r="X21" i="3"/>
  <c r="X22" i="3"/>
  <c r="X23" i="3"/>
  <c r="X24" i="3"/>
  <c r="X25" i="3"/>
  <c r="X26" i="3"/>
  <c r="X27" i="3"/>
  <c r="X28" i="3"/>
  <c r="X29" i="3"/>
  <c r="X30" i="3"/>
  <c r="X31" i="3"/>
  <c r="X32" i="3"/>
  <c r="X33" i="3"/>
  <c r="X34" i="3"/>
  <c r="X35" i="3"/>
  <c r="G33" i="15" l="1"/>
  <c r="G34" i="15"/>
  <c r="M43" i="4"/>
  <c r="K43" i="4" s="1"/>
  <c r="T11" i="3"/>
  <c r="W11" i="3" s="1"/>
  <c r="M44" i="4"/>
  <c r="K44" i="4" s="1"/>
  <c r="T12" i="3"/>
  <c r="W12" i="3" s="1"/>
  <c r="X12" i="3" s="1"/>
  <c r="R31" i="6" a="1"/>
  <c r="R31" i="6" s="1"/>
  <c r="AS26" i="5"/>
  <c r="AS27" i="5"/>
  <c r="R26" i="6" a="1"/>
  <c r="R26" i="6" s="1"/>
  <c r="AS28" i="5"/>
  <c r="AS32" i="5"/>
  <c r="R27" i="6" a="1"/>
  <c r="R27" i="6" s="1"/>
  <c r="AS29" i="5"/>
  <c r="AS30" i="5"/>
  <c r="AS31" i="5"/>
  <c r="E42" i="4"/>
  <c r="L43" i="4"/>
  <c r="T10" i="3"/>
  <c r="M42" i="4"/>
  <c r="K42" i="4" s="1"/>
  <c r="E43" i="4"/>
  <c r="E45" i="4"/>
  <c r="E44" i="4"/>
  <c r="T21" i="4"/>
  <c r="X21" i="4" s="1"/>
  <c r="T23" i="4"/>
  <c r="X23" i="4" s="1"/>
  <c r="T22" i="4"/>
  <c r="X22" i="4" s="1"/>
  <c r="T25" i="4"/>
  <c r="X25" i="4" s="1"/>
  <c r="V22" i="4"/>
  <c r="Y22" i="4" s="1"/>
  <c r="V24" i="4"/>
  <c r="Y24" i="4" s="1"/>
  <c r="V23" i="4"/>
  <c r="Y23" i="4" s="1"/>
  <c r="V21" i="4"/>
  <c r="Y21" i="4" s="1"/>
  <c r="V25" i="4"/>
  <c r="Y25" i="4" s="1"/>
  <c r="T24" i="4"/>
  <c r="X24" i="4" s="1"/>
  <c r="N42" i="4"/>
  <c r="N45" i="4"/>
  <c r="G25" i="4" s="1"/>
  <c r="I47" i="4"/>
  <c r="G47" i="4"/>
  <c r="N43" i="4"/>
  <c r="N41" i="4"/>
  <c r="I41" i="4" s="1"/>
  <c r="N44" i="4"/>
  <c r="I46" i="4"/>
  <c r="G46" i="4"/>
  <c r="H9" i="3"/>
  <c r="H13" i="3"/>
  <c r="V13" i="3" s="1"/>
  <c r="H11" i="3"/>
  <c r="H10" i="3"/>
  <c r="E46" i="4"/>
  <c r="L44" i="4" l="1"/>
  <c r="G35" i="15"/>
  <c r="H12" i="4"/>
  <c r="H13" i="4"/>
  <c r="H16" i="4"/>
  <c r="H14" i="4"/>
  <c r="H9" i="4"/>
  <c r="H10" i="4"/>
  <c r="H11" i="4"/>
  <c r="H15" i="4"/>
  <c r="AR31" i="5"/>
  <c r="AW31" i="5" s="1"/>
  <c r="AX31" i="5" s="1"/>
  <c r="AR30" i="5"/>
  <c r="AW30" i="5" s="1"/>
  <c r="AX30" i="5" s="1"/>
  <c r="AR29" i="5"/>
  <c r="AW29" i="5" s="1"/>
  <c r="AX29" i="5" s="1"/>
  <c r="AR32" i="5"/>
  <c r="AW32" i="5" s="1"/>
  <c r="AX32" i="5" s="1"/>
  <c r="AR28" i="5"/>
  <c r="AW28" i="5" s="1"/>
  <c r="AX28" i="5" s="1"/>
  <c r="AR27" i="5"/>
  <c r="AW27" i="5" s="1"/>
  <c r="AX27" i="5" s="1"/>
  <c r="AR26" i="5"/>
  <c r="AW26" i="5" s="1"/>
  <c r="AX26" i="5" s="1"/>
  <c r="R28" i="6" a="1"/>
  <c r="R28" i="6" s="1"/>
  <c r="R30" i="6" a="1"/>
  <c r="R30" i="6" s="1"/>
  <c r="R32" i="6" a="1"/>
  <c r="R32" i="6" s="1"/>
  <c r="R29" i="6" a="1"/>
  <c r="R29" i="6" s="1"/>
  <c r="AS33" i="5"/>
  <c r="AR33" i="5" s="1"/>
  <c r="AW33" i="5" s="1"/>
  <c r="AX33" i="5" s="1"/>
  <c r="AS36" i="5"/>
  <c r="AS37" i="5"/>
  <c r="AS38" i="5"/>
  <c r="AS39" i="5"/>
  <c r="AS35" i="5"/>
  <c r="AR35" i="5" s="1"/>
  <c r="AW35" i="5" s="1"/>
  <c r="AX35" i="5" s="1"/>
  <c r="AS34" i="5"/>
  <c r="AR34" i="5" s="1"/>
  <c r="AW34" i="5" s="1"/>
  <c r="AX34" i="5" s="1"/>
  <c r="AT32" i="5"/>
  <c r="AT26" i="5"/>
  <c r="AT27" i="5"/>
  <c r="AT28" i="5"/>
  <c r="AT29" i="5"/>
  <c r="AT30" i="5"/>
  <c r="AT31" i="5"/>
  <c r="G21" i="4"/>
  <c r="L42" i="4"/>
  <c r="W13" i="3"/>
  <c r="X13" i="3" s="1"/>
  <c r="I45" i="4"/>
  <c r="G45" i="4"/>
  <c r="E25" i="4" s="1"/>
  <c r="I43" i="4"/>
  <c r="G23" i="4" s="1"/>
  <c r="G43" i="4"/>
  <c r="E23" i="4" s="1"/>
  <c r="I44" i="4"/>
  <c r="G24" i="4" s="1"/>
  <c r="G44" i="4"/>
  <c r="E24" i="4" s="1"/>
  <c r="G41" i="4"/>
  <c r="G42" i="4"/>
  <c r="I42" i="4"/>
  <c r="G22" i="4" s="1"/>
  <c r="V10" i="3"/>
  <c r="X11" i="3"/>
  <c r="V11" i="3"/>
  <c r="V9" i="3"/>
  <c r="G36" i="15" l="1"/>
  <c r="BA31" i="5"/>
  <c r="Q31" i="5" s="1" a="1"/>
  <c r="Q31" i="5" s="1"/>
  <c r="BA30" i="5"/>
  <c r="Q30" i="5" s="1" a="1"/>
  <c r="Q30" i="5" s="1"/>
  <c r="BA29" i="5"/>
  <c r="Q29" i="5" s="1" a="1"/>
  <c r="Q29" i="5" s="1"/>
  <c r="BA28" i="5"/>
  <c r="Q28" i="5" s="1" a="1"/>
  <c r="Q28" i="5" s="1"/>
  <c r="BA32" i="5"/>
  <c r="Q32" i="5" s="1" a="1"/>
  <c r="Q32" i="5" s="1"/>
  <c r="BA27" i="5"/>
  <c r="Q27" i="5" s="1" a="1"/>
  <c r="Q27" i="5" s="1"/>
  <c r="BA26" i="5"/>
  <c r="Q26" i="5" s="1" a="1"/>
  <c r="Q26" i="5" s="1"/>
  <c r="AR38" i="5"/>
  <c r="AW38" i="5" s="1"/>
  <c r="AX38" i="5" s="1"/>
  <c r="AR37" i="5"/>
  <c r="AW37" i="5" s="1"/>
  <c r="AX37" i="5" s="1"/>
  <c r="AR36" i="5"/>
  <c r="AW36" i="5" s="1"/>
  <c r="AX36" i="5" s="1"/>
  <c r="AR39" i="5"/>
  <c r="AW39" i="5" s="1"/>
  <c r="AX39" i="5" s="1"/>
  <c r="E9" i="4" a="1"/>
  <c r="E9" i="4" s="1"/>
  <c r="E10" i="4" a="1"/>
  <c r="E10" i="4" s="1"/>
  <c r="F10" i="4" s="1"/>
  <c r="G10" i="4" s="1"/>
  <c r="E12" i="4" a="1"/>
  <c r="E12" i="4" s="1"/>
  <c r="F12" i="4" s="1"/>
  <c r="G12" i="4" s="1"/>
  <c r="E14" i="4" a="1"/>
  <c r="E14" i="4" s="1"/>
  <c r="F14" i="4" s="1"/>
  <c r="G14" i="4" s="1"/>
  <c r="E11" i="4" a="1"/>
  <c r="E11" i="4" s="1"/>
  <c r="F11" i="4" s="1"/>
  <c r="G11" i="4" s="1"/>
  <c r="E16" i="4" a="1"/>
  <c r="E16" i="4" s="1"/>
  <c r="F16" i="4" s="1"/>
  <c r="G16" i="4" s="1"/>
  <c r="E13" i="4" a="1"/>
  <c r="E13" i="4" s="1"/>
  <c r="F13" i="4" s="1"/>
  <c r="G13" i="4" s="1"/>
  <c r="E15" i="4" a="1"/>
  <c r="E15" i="4" s="1"/>
  <c r="F15" i="4" s="1"/>
  <c r="G15" i="4" s="1"/>
  <c r="AS9" i="5"/>
  <c r="AS10" i="5"/>
  <c r="AS11" i="5"/>
  <c r="AS5" i="5"/>
  <c r="AS6" i="5"/>
  <c r="AS8" i="5"/>
  <c r="AS7" i="5"/>
  <c r="AS21" i="5"/>
  <c r="R20" i="6" a="1"/>
  <c r="R20" i="6" s="1"/>
  <c r="R21" i="6" a="1"/>
  <c r="R21" i="6" s="1"/>
  <c r="AS24" i="5"/>
  <c r="AS23" i="5"/>
  <c r="AS25" i="5"/>
  <c r="AS22" i="5"/>
  <c r="AS19" i="5"/>
  <c r="AS20" i="5"/>
  <c r="R33" i="6" a="1"/>
  <c r="R33" i="6" s="1"/>
  <c r="AT35" i="5"/>
  <c r="BA35" i="5" s="1"/>
  <c r="AT37" i="5"/>
  <c r="AT36" i="5"/>
  <c r="AT38" i="5"/>
  <c r="AT39" i="5"/>
  <c r="AT34" i="5"/>
  <c r="BA34" i="5" s="1"/>
  <c r="R39" i="6" a="1"/>
  <c r="R39" i="6" s="1"/>
  <c r="AT33" i="5"/>
  <c r="BA33" i="5" s="1"/>
  <c r="AT20" i="5"/>
  <c r="AT23" i="5"/>
  <c r="AT25" i="5"/>
  <c r="AT24" i="5"/>
  <c r="AT19" i="5"/>
  <c r="AT21" i="5"/>
  <c r="AT22" i="5"/>
  <c r="AS12" i="5"/>
  <c r="AS13" i="5"/>
  <c r="AS14" i="5"/>
  <c r="AS15" i="5"/>
  <c r="AS16" i="5"/>
  <c r="AS18" i="5"/>
  <c r="AS17" i="5"/>
  <c r="E22" i="4"/>
  <c r="E21" i="4"/>
  <c r="R25" i="6" a="1"/>
  <c r="R25" i="6" s="1"/>
  <c r="W9" i="3"/>
  <c r="X9" i="3" s="1"/>
  <c r="W10" i="3"/>
  <c r="X10" i="3" s="1"/>
  <c r="G37" i="15" l="1"/>
  <c r="D44" i="15"/>
  <c r="BA36" i="5"/>
  <c r="Q36" i="5" s="1" a="1"/>
  <c r="Q36" i="5" s="1"/>
  <c r="BA37" i="5"/>
  <c r="Q37" i="5" s="1" a="1"/>
  <c r="Q37" i="5" s="1"/>
  <c r="BA39" i="5"/>
  <c r="Q39" i="5" s="1" a="1"/>
  <c r="Q39" i="5" s="1"/>
  <c r="BA38" i="5"/>
  <c r="Q38" i="5" s="1" a="1"/>
  <c r="Q38" i="5" s="1"/>
  <c r="AR16" i="5"/>
  <c r="AW16" i="5" s="1"/>
  <c r="AX16" i="5" s="1"/>
  <c r="AR25" i="5"/>
  <c r="AW25" i="5" s="1"/>
  <c r="AX25" i="5" s="1"/>
  <c r="AR23" i="5"/>
  <c r="AW23" i="5" s="1"/>
  <c r="AX23" i="5" s="1"/>
  <c r="BA23" i="5"/>
  <c r="Q23" i="5" s="1" a="1"/>
  <c r="Q23" i="5" s="1"/>
  <c r="AR14" i="5"/>
  <c r="AW14" i="5" s="1"/>
  <c r="AX14" i="5" s="1"/>
  <c r="AR24" i="5"/>
  <c r="AW24" i="5" s="1"/>
  <c r="AX24" i="5" s="1"/>
  <c r="AR13" i="5"/>
  <c r="AW13" i="5" s="1"/>
  <c r="AX13" i="5" s="1"/>
  <c r="AR12" i="5"/>
  <c r="AW12" i="5" s="1"/>
  <c r="AX12" i="5" s="1"/>
  <c r="AR8" i="5"/>
  <c r="AW8" i="5" s="1"/>
  <c r="AX8" i="5" s="1"/>
  <c r="AR6" i="5"/>
  <c r="AW6" i="5" s="1"/>
  <c r="AX6" i="5" s="1"/>
  <c r="AR20" i="5"/>
  <c r="AW20" i="5" s="1"/>
  <c r="AX20" i="5" s="1"/>
  <c r="AR5" i="5"/>
  <c r="AW5" i="5" s="1"/>
  <c r="AX5" i="5" s="1"/>
  <c r="AR18" i="5"/>
  <c r="AW18" i="5" s="1"/>
  <c r="AX18" i="5" s="1"/>
  <c r="AR22" i="5"/>
  <c r="AW22" i="5" s="1"/>
  <c r="AX22" i="5" s="1"/>
  <c r="BA22" i="5"/>
  <c r="Q22" i="5" s="1" a="1"/>
  <c r="Q22" i="5" s="1"/>
  <c r="AR10" i="5"/>
  <c r="AW10" i="5" s="1"/>
  <c r="AX10" i="5" s="1"/>
  <c r="AR9" i="5"/>
  <c r="AW9" i="5" s="1"/>
  <c r="AX9" i="5" s="1"/>
  <c r="AR15" i="5"/>
  <c r="AW15" i="5" s="1"/>
  <c r="AX15" i="5" s="1"/>
  <c r="AR21" i="5"/>
  <c r="AW21" i="5" s="1"/>
  <c r="AX21" i="5" s="1"/>
  <c r="AR7" i="5"/>
  <c r="AW7" i="5" s="1"/>
  <c r="AX7" i="5" s="1"/>
  <c r="AR17" i="5"/>
  <c r="AW17" i="5" s="1"/>
  <c r="AX17" i="5" s="1"/>
  <c r="AR19" i="5"/>
  <c r="AW19" i="5" s="1"/>
  <c r="AX19" i="5" s="1"/>
  <c r="AR11" i="5"/>
  <c r="AW11" i="5" s="1"/>
  <c r="AX11" i="5" s="1"/>
  <c r="R19" i="6" a="1"/>
  <c r="R19" i="6" s="1"/>
  <c r="R7" i="6" a="1"/>
  <c r="R7" i="6" s="1"/>
  <c r="R5" i="6" a="1"/>
  <c r="R5" i="6" s="1"/>
  <c r="R36" i="6" a="1"/>
  <c r="R36" i="6" s="1"/>
  <c r="R23" i="6" a="1"/>
  <c r="R23" i="6" s="1"/>
  <c r="R17" i="6" a="1"/>
  <c r="R17" i="6" s="1"/>
  <c r="R12" i="6" a="1"/>
  <c r="R12" i="6" s="1"/>
  <c r="R16" i="6" a="1"/>
  <c r="R16" i="6" s="1"/>
  <c r="R34" i="6" a="1"/>
  <c r="R34" i="6" s="1"/>
  <c r="R24" i="6" a="1"/>
  <c r="R24" i="6" s="1"/>
  <c r="R15" i="6" a="1"/>
  <c r="R15" i="6" s="1"/>
  <c r="R18" i="6" a="1"/>
  <c r="R18" i="6" s="1"/>
  <c r="R38" i="6" a="1"/>
  <c r="R38" i="6" s="1"/>
  <c r="R14" i="6" a="1"/>
  <c r="R14" i="6" s="1"/>
  <c r="R6" i="6" a="1"/>
  <c r="R6" i="6" s="1"/>
  <c r="R13" i="6" a="1"/>
  <c r="R13" i="6" s="1"/>
  <c r="R37" i="6" a="1"/>
  <c r="R37" i="6" s="1"/>
  <c r="R35" i="6" a="1"/>
  <c r="R35" i="6" s="1"/>
  <c r="R22" i="6" a="1"/>
  <c r="R22" i="6" s="1"/>
  <c r="D9" i="4" a="1"/>
  <c r="D9" i="4" s="1"/>
  <c r="AT13" i="5"/>
  <c r="AT12" i="5"/>
  <c r="AT14" i="5"/>
  <c r="AT15" i="5"/>
  <c r="AT16" i="5"/>
  <c r="AT17" i="5"/>
  <c r="AT18" i="5"/>
  <c r="AT8" i="5"/>
  <c r="R8" i="6" a="1"/>
  <c r="R8" i="6" s="1"/>
  <c r="AT11" i="5"/>
  <c r="AT9" i="5"/>
  <c r="AT10" i="5"/>
  <c r="AT5" i="5"/>
  <c r="AT6" i="5"/>
  <c r="AT7" i="5"/>
  <c r="Q34" i="5" a="1"/>
  <c r="Q34" i="5" s="1"/>
  <c r="Q35" i="5" a="1"/>
  <c r="Q35" i="5" s="1"/>
  <c r="Q33" i="5" a="1"/>
  <c r="Q33" i="5" s="1"/>
  <c r="P24" i="10" l="1"/>
  <c r="P36" i="10"/>
  <c r="P25" i="10"/>
  <c r="P37" i="10"/>
  <c r="P26" i="10"/>
  <c r="P38" i="10"/>
  <c r="P15" i="10"/>
  <c r="P27" i="10"/>
  <c r="P39" i="10"/>
  <c r="P16" i="10"/>
  <c r="P28" i="10"/>
  <c r="P40" i="10"/>
  <c r="P17" i="10"/>
  <c r="P29" i="10"/>
  <c r="P41" i="10"/>
  <c r="P18" i="10"/>
  <c r="P30" i="10"/>
  <c r="P42" i="10"/>
  <c r="P19" i="10"/>
  <c r="P31" i="10"/>
  <c r="P43" i="10"/>
  <c r="P20" i="10"/>
  <c r="P32" i="10"/>
  <c r="P44" i="10"/>
  <c r="P34" i="10"/>
  <c r="P21" i="10"/>
  <c r="P22" i="10"/>
  <c r="P13" i="10"/>
  <c r="P33" i="10"/>
  <c r="P35" i="10"/>
  <c r="P14" i="10"/>
  <c r="P12" i="10"/>
  <c r="P23" i="10"/>
  <c r="G42" i="15"/>
  <c r="G40" i="15"/>
  <c r="G43" i="15" s="1"/>
  <c r="G38" i="15"/>
  <c r="G39" i="15" s="1"/>
  <c r="G41" i="15"/>
  <c r="BA5" i="5"/>
  <c r="Q5" i="5" s="1" a="1"/>
  <c r="Q5" i="5" s="1"/>
  <c r="BA11" i="5"/>
  <c r="Q11" i="5" s="1" a="1"/>
  <c r="Q11" i="5" s="1"/>
  <c r="BA10" i="5"/>
  <c r="Q10" i="5" s="1" a="1"/>
  <c r="Q10" i="5" s="1"/>
  <c r="F9" i="4"/>
  <c r="G9" i="4" s="1"/>
  <c r="E5" i="4" s="1"/>
  <c r="BA9" i="5"/>
  <c r="Q9" i="5" s="1" a="1"/>
  <c r="Q9" i="5" s="1"/>
  <c r="BA21" i="5"/>
  <c r="Q21" i="5" s="1" a="1"/>
  <c r="Q21" i="5" s="1"/>
  <c r="BA24" i="5"/>
  <c r="Q24" i="5" s="1" a="1"/>
  <c r="Q24" i="5" s="1"/>
  <c r="BA20" i="5"/>
  <c r="Q20" i="5" s="1" a="1"/>
  <c r="Q20" i="5" s="1"/>
  <c r="BA25" i="5"/>
  <c r="Q25" i="5" s="1" a="1"/>
  <c r="Q25" i="5" s="1"/>
  <c r="BA8" i="5"/>
  <c r="Q8" i="5" s="1" a="1"/>
  <c r="Q8" i="5" s="1"/>
  <c r="BA15" i="5"/>
  <c r="Q15" i="5" s="1" a="1"/>
  <c r="Q15" i="5" s="1"/>
  <c r="BA7" i="5"/>
  <c r="Q7" i="5" s="1" a="1"/>
  <c r="Q7" i="5" s="1"/>
  <c r="BA14" i="5"/>
  <c r="Q14" i="5" s="1" a="1"/>
  <c r="Q14" i="5" s="1"/>
  <c r="BA6" i="5"/>
  <c r="Q6" i="5" s="1" a="1"/>
  <c r="Q6" i="5" s="1"/>
  <c r="BA19" i="5"/>
  <c r="Q19" i="5" s="1" a="1"/>
  <c r="Q19" i="5" s="1"/>
  <c r="BA12" i="5"/>
  <c r="Q12" i="5" s="1" a="1"/>
  <c r="Q12" i="5" s="1"/>
  <c r="BA13" i="5"/>
  <c r="Q13" i="5" s="1" a="1"/>
  <c r="Q13" i="5" s="1"/>
  <c r="BA18" i="5"/>
  <c r="Q18" i="5" s="1" a="1"/>
  <c r="Q18" i="5" s="1"/>
  <c r="BA17" i="5"/>
  <c r="Q17" i="5" s="1" a="1"/>
  <c r="Q17" i="5" s="1"/>
  <c r="BA16" i="5"/>
  <c r="Q16" i="5" s="1" a="1"/>
  <c r="Q16" i="5" s="1"/>
  <c r="P6" i="10"/>
  <c r="P11" i="10"/>
  <c r="P9" i="10"/>
  <c r="P8" i="10"/>
  <c r="P7" i="10"/>
  <c r="P10" i="10"/>
  <c r="P5" i="10"/>
  <c r="E5" i="6"/>
  <c r="E6" i="6"/>
  <c r="E7" i="6"/>
  <c r="E8" i="6"/>
  <c r="R10" i="6" a="1"/>
  <c r="R10" i="6" s="1"/>
  <c r="R11" i="6" a="1"/>
  <c r="R11" i="6" s="1"/>
  <c r="R9" i="6" a="1"/>
  <c r="R9" i="6" s="1"/>
  <c r="X11" i="5" a="1"/>
  <c r="X11" i="5" s="1"/>
  <c r="X23" i="5" a="1"/>
  <c r="X23" i="5" s="1"/>
  <c r="X27" i="5" a="1"/>
  <c r="X27" i="5" s="1"/>
  <c r="X24" i="5" a="1"/>
  <c r="X24" i="5" s="1"/>
  <c r="X8" i="5" a="1"/>
  <c r="X8" i="5" s="1"/>
  <c r="AC8" i="5" s="1"/>
  <c r="X33" i="5" a="1"/>
  <c r="X33" i="5" s="1"/>
  <c r="X7" i="5" a="1"/>
  <c r="X7" i="5" s="1"/>
  <c r="AC7" i="5" s="1"/>
  <c r="X28" i="5" a="1"/>
  <c r="X28" i="5" s="1"/>
  <c r="X36" i="5" a="1"/>
  <c r="X36" i="5" s="1"/>
  <c r="X21" i="5" a="1"/>
  <c r="X21" i="5" s="1"/>
  <c r="X9" i="5" a="1"/>
  <c r="X9" i="5" s="1"/>
  <c r="X16" i="5" a="1"/>
  <c r="X16" i="5" s="1"/>
  <c r="X17" i="5" a="1"/>
  <c r="X17" i="5" s="1"/>
  <c r="X29" i="5" a="1"/>
  <c r="X29" i="5" s="1"/>
  <c r="X19" i="5" a="1"/>
  <c r="X19" i="5" s="1"/>
  <c r="X14" i="5" a="1"/>
  <c r="X14" i="5" s="1"/>
  <c r="X10" i="5" a="1"/>
  <c r="X10" i="5" s="1"/>
  <c r="X35" i="5" a="1"/>
  <c r="X35" i="5" s="1"/>
  <c r="X12" i="5" a="1"/>
  <c r="X12" i="5" s="1"/>
  <c r="X31" i="5" a="1"/>
  <c r="X31" i="5" s="1"/>
  <c r="X6" i="5" a="1"/>
  <c r="X6" i="5" s="1"/>
  <c r="AC6" i="5" s="1"/>
  <c r="X20" i="5" a="1"/>
  <c r="X20" i="5" s="1"/>
  <c r="X32" i="5" a="1"/>
  <c r="X32" i="5" s="1"/>
  <c r="X22" i="5" a="1"/>
  <c r="X22" i="5" s="1"/>
  <c r="X18" i="5" a="1"/>
  <c r="X18" i="5" s="1"/>
  <c r="X30" i="5" a="1"/>
  <c r="X30" i="5" s="1"/>
  <c r="X13" i="5" a="1"/>
  <c r="X13" i="5" s="1"/>
  <c r="X15" i="5" a="1"/>
  <c r="X15" i="5" s="1"/>
  <c r="X34" i="5" a="1"/>
  <c r="X34" i="5" s="1"/>
  <c r="X25" i="5" a="1"/>
  <c r="X25" i="5" s="1"/>
  <c r="X26" i="5" a="1"/>
  <c r="X26" i="5" s="1"/>
  <c r="E21" i="6" l="1"/>
  <c r="H21" i="6" s="1"/>
  <c r="G21" i="10" s="1"/>
  <c r="E32" i="6"/>
  <c r="H32" i="6" s="1"/>
  <c r="E35" i="6"/>
  <c r="H35" i="6" s="1"/>
  <c r="E43" i="6"/>
  <c r="H43" i="6" s="1"/>
  <c r="E31" i="6"/>
  <c r="H31" i="6" s="1"/>
  <c r="E41" i="6"/>
  <c r="H41" i="6" s="1"/>
  <c r="E14" i="6"/>
  <c r="H14" i="6" s="1"/>
  <c r="E15" i="6"/>
  <c r="H15" i="6" s="1"/>
  <c r="E28" i="6"/>
  <c r="H28" i="6" s="1"/>
  <c r="E20" i="6"/>
  <c r="H20" i="6" s="1"/>
  <c r="E25" i="6"/>
  <c r="H25" i="6" s="1"/>
  <c r="E19" i="6"/>
  <c r="H19" i="6" s="1"/>
  <c r="E29" i="6"/>
  <c r="H29" i="6" s="1"/>
  <c r="E34" i="6"/>
  <c r="H34" i="6" s="1"/>
  <c r="E36" i="6"/>
  <c r="H36" i="6" s="1"/>
  <c r="E16" i="6"/>
  <c r="H16" i="6" s="1"/>
  <c r="E26" i="6"/>
  <c r="H26" i="6" s="1"/>
  <c r="E38" i="6"/>
  <c r="H38" i="6" s="1"/>
  <c r="E42" i="6"/>
  <c r="H42" i="6" s="1"/>
  <c r="E17" i="6"/>
  <c r="H17" i="6" s="1"/>
  <c r="E22" i="6"/>
  <c r="H22" i="6" s="1"/>
  <c r="E40" i="6"/>
  <c r="H40" i="6" s="1"/>
  <c r="E24" i="6"/>
  <c r="H24" i="6" s="1"/>
  <c r="E44" i="6"/>
  <c r="H44" i="6" s="1"/>
  <c r="E23" i="6"/>
  <c r="H23" i="6" s="1"/>
  <c r="E30" i="6"/>
  <c r="H30" i="6" s="1"/>
  <c r="E39" i="6"/>
  <c r="H39" i="6" s="1"/>
  <c r="E33" i="6"/>
  <c r="H33" i="6" s="1"/>
  <c r="E12" i="6"/>
  <c r="H12" i="6" s="1"/>
  <c r="E37" i="6"/>
  <c r="H37" i="6" s="1"/>
  <c r="E13" i="6"/>
  <c r="H13" i="6" s="1"/>
  <c r="E18" i="6"/>
  <c r="H18" i="6" s="1"/>
  <c r="E27" i="6"/>
  <c r="H27" i="6" s="1"/>
  <c r="E22" i="5"/>
  <c r="E34" i="5"/>
  <c r="E23" i="5"/>
  <c r="E35" i="5"/>
  <c r="E12" i="5"/>
  <c r="E24" i="5"/>
  <c r="E36" i="5"/>
  <c r="E13" i="5"/>
  <c r="E25" i="5"/>
  <c r="E37" i="5"/>
  <c r="E14" i="5"/>
  <c r="E26" i="5"/>
  <c r="E38" i="5"/>
  <c r="E15" i="5"/>
  <c r="E27" i="5"/>
  <c r="E39" i="5"/>
  <c r="E16" i="5"/>
  <c r="E28" i="5"/>
  <c r="E40" i="5"/>
  <c r="E17" i="5"/>
  <c r="E29" i="5"/>
  <c r="E41" i="5"/>
  <c r="E18" i="5"/>
  <c r="E33" i="5"/>
  <c r="E42" i="5"/>
  <c r="E43" i="5"/>
  <c r="E44" i="5"/>
  <c r="E19" i="5"/>
  <c r="E20" i="5"/>
  <c r="E21" i="5"/>
  <c r="E30" i="5"/>
  <c r="E31" i="5"/>
  <c r="E32" i="5"/>
  <c r="G44" i="15"/>
  <c r="E8" i="5"/>
  <c r="E7" i="5"/>
  <c r="E6" i="5"/>
  <c r="E5" i="5"/>
  <c r="E11" i="6"/>
  <c r="E10" i="6"/>
  <c r="H10" i="6" s="1"/>
  <c r="G10" i="10" s="1"/>
  <c r="E9" i="6"/>
  <c r="H9" i="6" s="1"/>
  <c r="H6" i="6"/>
  <c r="G6" i="10" s="1"/>
  <c r="H5" i="6"/>
  <c r="C5" i="15" s="1"/>
  <c r="H8" i="6"/>
  <c r="G8" i="10" s="1"/>
  <c r="H7" i="6"/>
  <c r="G7" i="10" s="1"/>
  <c r="E9" i="5"/>
  <c r="E11" i="5"/>
  <c r="E10" i="5"/>
  <c r="G27" i="10" l="1"/>
  <c r="C27" i="15"/>
  <c r="G31" i="10"/>
  <c r="C31" i="15"/>
  <c r="G24" i="10"/>
  <c r="C24" i="15"/>
  <c r="G13" i="10"/>
  <c r="C13" i="15"/>
  <c r="G12" i="10"/>
  <c r="G25" i="10"/>
  <c r="C25" i="15"/>
  <c r="G35" i="10"/>
  <c r="C35" i="15"/>
  <c r="G42" i="10"/>
  <c r="C42" i="15"/>
  <c r="G20" i="10"/>
  <c r="C20" i="15"/>
  <c r="G33" i="10"/>
  <c r="C33" i="15"/>
  <c r="G39" i="10"/>
  <c r="C39" i="15"/>
  <c r="G38" i="10"/>
  <c r="C38" i="15"/>
  <c r="G28" i="10"/>
  <c r="C28" i="15"/>
  <c r="G34" i="10"/>
  <c r="C34" i="15"/>
  <c r="G18" i="10"/>
  <c r="C18" i="15"/>
  <c r="G29" i="10"/>
  <c r="C29" i="15"/>
  <c r="G43" i="10"/>
  <c r="C43" i="15"/>
  <c r="G22" i="10"/>
  <c r="C22" i="15"/>
  <c r="G17" i="10"/>
  <c r="C17" i="15"/>
  <c r="G37" i="10"/>
  <c r="C37" i="15"/>
  <c r="G30" i="10"/>
  <c r="C30" i="15"/>
  <c r="G26" i="10"/>
  <c r="C26" i="15"/>
  <c r="G15" i="10"/>
  <c r="C15" i="15"/>
  <c r="G40" i="10"/>
  <c r="C40" i="15"/>
  <c r="G19" i="10"/>
  <c r="C19" i="15"/>
  <c r="G32" i="10"/>
  <c r="C32" i="15"/>
  <c r="G23" i="10"/>
  <c r="C23" i="15"/>
  <c r="G16" i="10"/>
  <c r="C16" i="15"/>
  <c r="G14" i="10"/>
  <c r="C14" i="15"/>
  <c r="C21" i="15"/>
  <c r="G44" i="10"/>
  <c r="C44" i="15"/>
  <c r="G36" i="10"/>
  <c r="C36" i="15"/>
  <c r="G41" i="10"/>
  <c r="C41" i="15"/>
  <c r="G5" i="10"/>
  <c r="C6" i="15"/>
  <c r="H11" i="6"/>
  <c r="G11" i="10" s="1"/>
  <c r="C8" i="15"/>
  <c r="C7" i="15"/>
  <c r="C9" i="15"/>
  <c r="C10" i="15"/>
  <c r="G9" i="10"/>
  <c r="T18" i="5" a="1"/>
  <c r="T18" i="5" s="1"/>
  <c r="P18" i="5" s="1"/>
  <c r="T17" i="5" a="1"/>
  <c r="T17" i="5" s="1"/>
  <c r="P17" i="5" s="1"/>
  <c r="T39" i="5" a="1"/>
  <c r="T39" i="5" s="1"/>
  <c r="P39" i="5" s="1"/>
  <c r="T24" i="5" a="1"/>
  <c r="T24" i="5" s="1"/>
  <c r="P24" i="5" s="1"/>
  <c r="T10" i="5" a="1"/>
  <c r="T10" i="5" s="1"/>
  <c r="P10" i="5" s="1"/>
  <c r="T37" i="5" a="1"/>
  <c r="T37" i="5" s="1"/>
  <c r="P37" i="5" s="1"/>
  <c r="T21" i="5" a="1"/>
  <c r="T21" i="5" s="1"/>
  <c r="P21" i="5" s="1"/>
  <c r="T33" i="5" a="1"/>
  <c r="T33" i="5" s="1"/>
  <c r="P33" i="5" s="1"/>
  <c r="T31" i="5" a="1"/>
  <c r="T31" i="5" s="1"/>
  <c r="P31" i="5" s="1"/>
  <c r="T14" i="5" a="1"/>
  <c r="T14" i="5" s="1"/>
  <c r="P14" i="5" s="1"/>
  <c r="T35" i="5" a="1"/>
  <c r="T35" i="5" s="1"/>
  <c r="P35" i="5" s="1"/>
  <c r="T23" i="5" a="1"/>
  <c r="T23" i="5" s="1"/>
  <c r="P23" i="5" s="1"/>
  <c r="T12" i="5" a="1"/>
  <c r="T12" i="5" s="1"/>
  <c r="P12" i="5" s="1"/>
  <c r="T30" i="5" a="1"/>
  <c r="T30" i="5" s="1"/>
  <c r="P30" i="5" s="1"/>
  <c r="T29" i="5" a="1"/>
  <c r="T29" i="5" s="1"/>
  <c r="P29" i="5" s="1"/>
  <c r="T20" i="5" a="1"/>
  <c r="T20" i="5" s="1"/>
  <c r="P20" i="5" s="1"/>
  <c r="T16" i="5" a="1"/>
  <c r="T16" i="5" s="1"/>
  <c r="P16" i="5" s="1"/>
  <c r="T22" i="5" a="1"/>
  <c r="T22" i="5" s="1"/>
  <c r="P22" i="5" s="1"/>
  <c r="T25" i="5" a="1"/>
  <c r="T25" i="5" s="1"/>
  <c r="P25" i="5" s="1"/>
  <c r="T9" i="5" a="1"/>
  <c r="T9" i="5" s="1"/>
  <c r="P9" i="5" s="1"/>
  <c r="T34" i="5" a="1"/>
  <c r="T34" i="5" s="1"/>
  <c r="P34" i="5" s="1"/>
  <c r="T13" i="5" a="1"/>
  <c r="T13" i="5" s="1"/>
  <c r="P13" i="5" s="1"/>
  <c r="T32" i="5" a="1"/>
  <c r="T32" i="5" s="1"/>
  <c r="P32" i="5" s="1"/>
  <c r="T11" i="5" a="1"/>
  <c r="T11" i="5" s="1"/>
  <c r="P11" i="5" s="1"/>
  <c r="T36" i="5" a="1"/>
  <c r="T36" i="5" s="1"/>
  <c r="P36" i="5" s="1"/>
  <c r="T26" i="5" a="1"/>
  <c r="T26" i="5" s="1"/>
  <c r="P26" i="5" s="1"/>
  <c r="T19" i="5" a="1"/>
  <c r="T19" i="5" s="1"/>
  <c r="P19" i="5" s="1"/>
  <c r="T28" i="5" a="1"/>
  <c r="T28" i="5" s="1"/>
  <c r="P28" i="5" s="1"/>
  <c r="T27" i="5" a="1"/>
  <c r="T27" i="5" s="1"/>
  <c r="P27" i="5" s="1"/>
  <c r="AA5" i="5" a="1"/>
  <c r="AA5" i="5" s="1"/>
  <c r="T15" i="5" a="1"/>
  <c r="T15" i="5" s="1"/>
  <c r="P15" i="5" s="1"/>
  <c r="T38" i="5" a="1"/>
  <c r="T38" i="5" s="1"/>
  <c r="P38" i="5" s="1"/>
  <c r="X5" i="5" a="1"/>
  <c r="X5" i="5" s="1"/>
  <c r="AB5" i="5" a="1"/>
  <c r="AB5" i="5" s="1"/>
  <c r="Z5" i="5" a="1"/>
  <c r="Z5" i="5" s="1"/>
  <c r="C12" i="15" l="1"/>
  <c r="AC5" i="5"/>
  <c r="T5" i="5" s="1" a="1"/>
  <c r="T5" i="5" s="1"/>
  <c r="P5" i="5" s="1"/>
  <c r="C11" i="15"/>
  <c r="C45" i="15" l="1"/>
  <c r="T8" i="5" a="1"/>
  <c r="T8" i="5" s="1"/>
  <c r="P8" i="5" s="1"/>
  <c r="D5" i="5"/>
  <c r="Q5" i="10" s="1"/>
  <c r="T5" i="10" s="1"/>
  <c r="T7" i="5" a="1"/>
  <c r="T7" i="5" s="1"/>
  <c r="P7" i="5" s="1"/>
  <c r="T6" i="5" a="1"/>
  <c r="T6" i="5" s="1"/>
  <c r="P6" i="5" s="1"/>
  <c r="D19" i="5" l="1"/>
  <c r="Q19" i="10" s="1"/>
  <c r="T19" i="10" s="1"/>
  <c r="D23" i="5"/>
  <c r="Q23" i="10" s="1"/>
  <c r="T23" i="10" s="1"/>
  <c r="D43" i="5"/>
  <c r="Q43" i="10" s="1"/>
  <c r="T43" i="10" s="1"/>
  <c r="D38" i="5"/>
  <c r="G38" i="5" s="1"/>
  <c r="D38" i="10" s="1"/>
  <c r="J38" i="10" s="1"/>
  <c r="K38" i="10" s="1"/>
  <c r="L38" i="10" s="1"/>
  <c r="O38" i="10" s="1"/>
  <c r="D32" i="5"/>
  <c r="G32" i="5" s="1"/>
  <c r="D32" i="10" s="1"/>
  <c r="J32" i="10" s="1"/>
  <c r="K32" i="10" s="1"/>
  <c r="L32" i="10" s="1"/>
  <c r="O32" i="10" s="1"/>
  <c r="D44" i="5"/>
  <c r="D20" i="5"/>
  <c r="D12" i="5"/>
  <c r="D31" i="5"/>
  <c r="D40" i="5"/>
  <c r="D15" i="5"/>
  <c r="D28" i="5"/>
  <c r="D33" i="5"/>
  <c r="D17" i="5"/>
  <c r="D25" i="5"/>
  <c r="D24" i="5"/>
  <c r="D16" i="5"/>
  <c r="D37" i="5"/>
  <c r="D42" i="5"/>
  <c r="D30" i="5"/>
  <c r="D36" i="5"/>
  <c r="D35" i="5"/>
  <c r="D27" i="5"/>
  <c r="D22" i="5"/>
  <c r="D34" i="5"/>
  <c r="D21" i="5"/>
  <c r="D26" i="5"/>
  <c r="D41" i="5"/>
  <c r="D14" i="5"/>
  <c r="D39" i="5"/>
  <c r="D29" i="5"/>
  <c r="D13" i="5"/>
  <c r="D18" i="5"/>
  <c r="D9" i="5"/>
  <c r="G9" i="5" s="1"/>
  <c r="D7" i="5"/>
  <c r="G7" i="5" s="1"/>
  <c r="D6" i="5"/>
  <c r="G6" i="5" s="1"/>
  <c r="D10" i="5"/>
  <c r="G10" i="5" s="1"/>
  <c r="D11" i="5"/>
  <c r="G11" i="5" s="1"/>
  <c r="D8" i="5"/>
  <c r="Q8" i="10" s="1"/>
  <c r="T8" i="10" s="1"/>
  <c r="G5" i="5"/>
  <c r="B5" i="15" s="1"/>
  <c r="G43" i="5" l="1"/>
  <c r="D43" i="10" s="1"/>
  <c r="J43" i="10" s="1"/>
  <c r="K43" i="10" s="1"/>
  <c r="L43" i="10" s="1"/>
  <c r="O43" i="10" s="1"/>
  <c r="Q38" i="10"/>
  <c r="T38" i="10" s="1"/>
  <c r="G19" i="5"/>
  <c r="D19" i="10" s="1"/>
  <c r="J19" i="10" s="1"/>
  <c r="K19" i="10" s="1"/>
  <c r="L19" i="10" s="1"/>
  <c r="O19" i="10" s="1"/>
  <c r="G23" i="5"/>
  <c r="D23" i="10" s="1"/>
  <c r="J23" i="10" s="1"/>
  <c r="K23" i="10" s="1"/>
  <c r="L23" i="10" s="1"/>
  <c r="O23" i="10" s="1"/>
  <c r="Q32" i="10"/>
  <c r="T32" i="10" s="1"/>
  <c r="Q39" i="10"/>
  <c r="G39" i="5"/>
  <c r="D39" i="10" s="1"/>
  <c r="J39" i="10" s="1"/>
  <c r="K39" i="10" s="1"/>
  <c r="L39" i="10" s="1"/>
  <c r="O39" i="10" s="1"/>
  <c r="Q29" i="10"/>
  <c r="T29" i="10" s="1"/>
  <c r="G29" i="5"/>
  <c r="D29" i="10" s="1"/>
  <c r="J29" i="10" s="1"/>
  <c r="K29" i="10" s="1"/>
  <c r="L29" i="10" s="1"/>
  <c r="O29" i="10" s="1"/>
  <c r="Q42" i="10"/>
  <c r="G42" i="5"/>
  <c r="D42" i="10" s="1"/>
  <c r="J42" i="10" s="1"/>
  <c r="K42" i="10" s="1"/>
  <c r="L42" i="10" s="1"/>
  <c r="O42" i="10" s="1"/>
  <c r="Q20" i="10"/>
  <c r="G20" i="5"/>
  <c r="D20" i="10" s="1"/>
  <c r="J20" i="10" s="1"/>
  <c r="K20" i="10" s="1"/>
  <c r="L20" i="10" s="1"/>
  <c r="O20" i="10" s="1"/>
  <c r="Q26" i="10"/>
  <c r="T26" i="10" s="1"/>
  <c r="G26" i="5"/>
  <c r="D26" i="10" s="1"/>
  <c r="J26" i="10" s="1"/>
  <c r="K26" i="10" s="1"/>
  <c r="L26" i="10" s="1"/>
  <c r="O26" i="10" s="1"/>
  <c r="Q25" i="10"/>
  <c r="T25" i="10" s="1"/>
  <c r="G25" i="5"/>
  <c r="D25" i="10" s="1"/>
  <c r="J25" i="10" s="1"/>
  <c r="K25" i="10" s="1"/>
  <c r="L25" i="10" s="1"/>
  <c r="O25" i="10" s="1"/>
  <c r="Q16" i="10"/>
  <c r="T16" i="10" s="1"/>
  <c r="G16" i="5"/>
  <c r="D16" i="10" s="1"/>
  <c r="J16" i="10" s="1"/>
  <c r="K16" i="10" s="1"/>
  <c r="L16" i="10" s="1"/>
  <c r="O16" i="10" s="1"/>
  <c r="Q21" i="10"/>
  <c r="T21" i="10" s="1"/>
  <c r="G21" i="5"/>
  <c r="D21" i="10" s="1"/>
  <c r="J21" i="10" s="1"/>
  <c r="K21" i="10" s="1"/>
  <c r="L21" i="10" s="1"/>
  <c r="O21" i="10" s="1"/>
  <c r="Q17" i="10"/>
  <c r="T17" i="10" s="1"/>
  <c r="G17" i="5"/>
  <c r="D17" i="10" s="1"/>
  <c r="J17" i="10" s="1"/>
  <c r="K17" i="10" s="1"/>
  <c r="L17" i="10" s="1"/>
  <c r="O17" i="10" s="1"/>
  <c r="Q44" i="10"/>
  <c r="G44" i="5"/>
  <c r="D44" i="10" s="1"/>
  <c r="J44" i="10" s="1"/>
  <c r="K44" i="10" s="1"/>
  <c r="L44" i="10" s="1"/>
  <c r="O44" i="10" s="1"/>
  <c r="F44" i="15" s="1"/>
  <c r="Q41" i="10"/>
  <c r="T41" i="10" s="1"/>
  <c r="G41" i="5"/>
  <c r="D41" i="10" s="1"/>
  <c r="J41" i="10" s="1"/>
  <c r="K41" i="10" s="1"/>
  <c r="L41" i="10" s="1"/>
  <c r="O41" i="10" s="1"/>
  <c r="Q34" i="10"/>
  <c r="T34" i="10" s="1"/>
  <c r="G34" i="5"/>
  <c r="D34" i="10" s="1"/>
  <c r="J34" i="10" s="1"/>
  <c r="K34" i="10" s="1"/>
  <c r="L34" i="10" s="1"/>
  <c r="O34" i="10" s="1"/>
  <c r="Q33" i="10"/>
  <c r="G33" i="5"/>
  <c r="D33" i="10" s="1"/>
  <c r="J33" i="10" s="1"/>
  <c r="K33" i="10" s="1"/>
  <c r="L33" i="10" s="1"/>
  <c r="O33" i="10" s="1"/>
  <c r="Q28" i="10"/>
  <c r="T28" i="10" s="1"/>
  <c r="G28" i="5"/>
  <c r="D28" i="10" s="1"/>
  <c r="J28" i="10" s="1"/>
  <c r="K28" i="10" s="1"/>
  <c r="L28" i="10" s="1"/>
  <c r="O28" i="10" s="1"/>
  <c r="Q27" i="10"/>
  <c r="T27" i="10" s="1"/>
  <c r="G27" i="5"/>
  <c r="D27" i="10" s="1"/>
  <c r="J27" i="10" s="1"/>
  <c r="K27" i="10" s="1"/>
  <c r="L27" i="10" s="1"/>
  <c r="O27" i="10" s="1"/>
  <c r="Q15" i="10"/>
  <c r="T15" i="10" s="1"/>
  <c r="G15" i="5"/>
  <c r="D15" i="10" s="1"/>
  <c r="J15" i="10" s="1"/>
  <c r="K15" i="10" s="1"/>
  <c r="L15" i="10" s="1"/>
  <c r="O15" i="10" s="1"/>
  <c r="Q37" i="10"/>
  <c r="T37" i="10" s="1"/>
  <c r="G37" i="5"/>
  <c r="D37" i="10" s="1"/>
  <c r="J37" i="10" s="1"/>
  <c r="K37" i="10" s="1"/>
  <c r="L37" i="10" s="1"/>
  <c r="O37" i="10" s="1"/>
  <c r="F38" i="15" s="1"/>
  <c r="Q35" i="10"/>
  <c r="T35" i="10" s="1"/>
  <c r="G35" i="5"/>
  <c r="D35" i="10" s="1"/>
  <c r="J35" i="10" s="1"/>
  <c r="K35" i="10" s="1"/>
  <c r="L35" i="10" s="1"/>
  <c r="O35" i="10" s="1"/>
  <c r="Q40" i="10"/>
  <c r="G40" i="5"/>
  <c r="D40" i="10" s="1"/>
  <c r="J40" i="10" s="1"/>
  <c r="K40" i="10" s="1"/>
  <c r="L40" i="10" s="1"/>
  <c r="O40" i="10" s="1"/>
  <c r="Q14" i="10"/>
  <c r="T14" i="10" s="1"/>
  <c r="G14" i="5"/>
  <c r="D14" i="10" s="1"/>
  <c r="Q22" i="10"/>
  <c r="G22" i="5"/>
  <c r="D22" i="10" s="1"/>
  <c r="J22" i="10" s="1"/>
  <c r="K22" i="10" s="1"/>
  <c r="L22" i="10" s="1"/>
  <c r="O22" i="10" s="1"/>
  <c r="Q31" i="10"/>
  <c r="T31" i="10" s="1"/>
  <c r="G31" i="5"/>
  <c r="D31" i="10" s="1"/>
  <c r="J31" i="10" s="1"/>
  <c r="K31" i="10" s="1"/>
  <c r="L31" i="10" s="1"/>
  <c r="O31" i="10" s="1"/>
  <c r="F32" i="15" s="1"/>
  <c r="Q24" i="10"/>
  <c r="G24" i="5"/>
  <c r="D24" i="10" s="1"/>
  <c r="J24" i="10" s="1"/>
  <c r="K24" i="10" s="1"/>
  <c r="L24" i="10" s="1"/>
  <c r="O24" i="10" s="1"/>
  <c r="Q18" i="10"/>
  <c r="T18" i="10" s="1"/>
  <c r="G18" i="5"/>
  <c r="D18" i="10" s="1"/>
  <c r="J18" i="10" s="1"/>
  <c r="K18" i="10" s="1"/>
  <c r="L18" i="10" s="1"/>
  <c r="O18" i="10" s="1"/>
  <c r="Q36" i="10"/>
  <c r="T36" i="10" s="1"/>
  <c r="G36" i="5"/>
  <c r="D36" i="10" s="1"/>
  <c r="J36" i="10" s="1"/>
  <c r="K36" i="10" s="1"/>
  <c r="L36" i="10" s="1"/>
  <c r="O36" i="10" s="1"/>
  <c r="Q13" i="10"/>
  <c r="T13" i="10" s="1"/>
  <c r="G13" i="5"/>
  <c r="D13" i="10" s="1"/>
  <c r="Q30" i="10"/>
  <c r="T30" i="10" s="1"/>
  <c r="G30" i="5"/>
  <c r="D30" i="10" s="1"/>
  <c r="J30" i="10" s="1"/>
  <c r="K30" i="10" s="1"/>
  <c r="L30" i="10" s="1"/>
  <c r="O30" i="10" s="1"/>
  <c r="Q12" i="10"/>
  <c r="T12" i="10" s="1"/>
  <c r="G12" i="5"/>
  <c r="D12" i="10" s="1"/>
  <c r="Q6" i="10"/>
  <c r="T6" i="10" s="1"/>
  <c r="Q10" i="10"/>
  <c r="T10" i="10" s="1"/>
  <c r="Q9" i="10"/>
  <c r="G8" i="5"/>
  <c r="B8" i="15" s="1"/>
  <c r="Q11" i="10"/>
  <c r="T11" i="10" s="1"/>
  <c r="Q7" i="10"/>
  <c r="T7" i="10" s="1"/>
  <c r="B6" i="15"/>
  <c r="B11" i="15"/>
  <c r="B7" i="15"/>
  <c r="B10" i="15"/>
  <c r="D10" i="10"/>
  <c r="D9" i="10"/>
  <c r="D6" i="10"/>
  <c r="D7" i="10"/>
  <c r="D5" i="10"/>
  <c r="D11" i="10"/>
  <c r="F23" i="15" l="1"/>
  <c r="F43" i="15"/>
  <c r="F19" i="15"/>
  <c r="T24" i="10"/>
  <c r="V24" i="10" s="1"/>
  <c r="E24" i="15" s="1"/>
  <c r="T20" i="10"/>
  <c r="V21" i="10" s="1"/>
  <c r="E21" i="15" s="1"/>
  <c r="T9" i="10"/>
  <c r="V9" i="10" s="1"/>
  <c r="E9" i="15" s="1"/>
  <c r="T44" i="10"/>
  <c r="V44" i="10" s="1"/>
  <c r="T22" i="10"/>
  <c r="V22" i="10" s="1"/>
  <c r="E22" i="15" s="1"/>
  <c r="T42" i="10"/>
  <c r="V42" i="10" s="1"/>
  <c r="E42" i="15" s="1"/>
  <c r="T40" i="10"/>
  <c r="V41" i="10" s="1"/>
  <c r="E41" i="15" s="1"/>
  <c r="T33" i="10"/>
  <c r="V33" i="10" s="1"/>
  <c r="E33" i="15" s="1"/>
  <c r="T39" i="10"/>
  <c r="V39" i="10" s="1"/>
  <c r="V30" i="10"/>
  <c r="E30" i="15" s="1"/>
  <c r="V17" i="10"/>
  <c r="E17" i="15" s="1"/>
  <c r="V36" i="10"/>
  <c r="E36" i="15" s="1"/>
  <c r="V31" i="10"/>
  <c r="E31" i="15" s="1"/>
  <c r="V14" i="10"/>
  <c r="E14" i="15" s="1"/>
  <c r="V35" i="10"/>
  <c r="E35" i="15" s="1"/>
  <c r="V37" i="10"/>
  <c r="E37" i="15" s="1"/>
  <c r="V28" i="10"/>
  <c r="E28" i="15" s="1"/>
  <c r="V27" i="10"/>
  <c r="E27" i="15" s="1"/>
  <c r="V18" i="10"/>
  <c r="E18" i="15" s="1"/>
  <c r="F24" i="15"/>
  <c r="F28" i="15"/>
  <c r="F35" i="15"/>
  <c r="F17" i="15"/>
  <c r="V38" i="10"/>
  <c r="E38" i="15" s="1"/>
  <c r="F21" i="15"/>
  <c r="F20" i="15"/>
  <c r="F37" i="15"/>
  <c r="F30" i="15"/>
  <c r="F33" i="15"/>
  <c r="F16" i="15"/>
  <c r="F22" i="15"/>
  <c r="V16" i="10"/>
  <c r="E16" i="15" s="1"/>
  <c r="F42" i="15"/>
  <c r="F31" i="15"/>
  <c r="V13" i="10"/>
  <c r="E13" i="15" s="1"/>
  <c r="F34" i="15"/>
  <c r="V32" i="10"/>
  <c r="E32" i="15" s="1"/>
  <c r="F36" i="15"/>
  <c r="V15" i="10"/>
  <c r="E15" i="15" s="1"/>
  <c r="F25" i="15"/>
  <c r="F29" i="15"/>
  <c r="F27" i="15"/>
  <c r="F41" i="15"/>
  <c r="V29" i="10"/>
  <c r="E29" i="15" s="1"/>
  <c r="F18" i="15"/>
  <c r="V19" i="10"/>
  <c r="E19" i="15" s="1"/>
  <c r="F26" i="15"/>
  <c r="F39" i="15"/>
  <c r="F40" i="15"/>
  <c r="V26" i="10"/>
  <c r="E26" i="15" s="1"/>
  <c r="V11" i="10"/>
  <c r="V12" i="10"/>
  <c r="E12" i="15" s="1"/>
  <c r="D8" i="10"/>
  <c r="B9" i="15"/>
  <c r="V25" i="10" l="1"/>
  <c r="E25" i="15" s="1"/>
  <c r="V10" i="10"/>
  <c r="E10" i="15" s="1"/>
  <c r="W17" i="10"/>
  <c r="H17" i="15" s="1"/>
  <c r="V43" i="10"/>
  <c r="E43" i="15" s="1"/>
  <c r="V20" i="10"/>
  <c r="E20" i="15" s="1"/>
  <c r="E39" i="15"/>
  <c r="W39" i="10"/>
  <c r="H39" i="15" s="1"/>
  <c r="V40" i="10"/>
  <c r="V23" i="10"/>
  <c r="E23" i="15" s="1"/>
  <c r="V34" i="10"/>
  <c r="E34" i="15" s="1"/>
  <c r="E44" i="15"/>
  <c r="W44" i="10"/>
  <c r="H44" i="15" s="1"/>
  <c r="W36" i="10"/>
  <c r="H36" i="15" s="1"/>
  <c r="W33" i="10"/>
  <c r="H33" i="15" s="1"/>
  <c r="W24" i="10"/>
  <c r="H24" i="15" s="1"/>
  <c r="W30" i="10"/>
  <c r="H30" i="15" s="1"/>
  <c r="W31" i="10"/>
  <c r="H31" i="15" s="1"/>
  <c r="W37" i="10"/>
  <c r="H37" i="15" s="1"/>
  <c r="W18" i="10"/>
  <c r="H18" i="15" s="1"/>
  <c r="W35" i="10"/>
  <c r="H35" i="15" s="1"/>
  <c r="W28" i="10"/>
  <c r="H28" i="15" s="1"/>
  <c r="W27" i="10"/>
  <c r="H27" i="15" s="1"/>
  <c r="W26" i="10"/>
  <c r="H26" i="15" s="1"/>
  <c r="W38" i="10"/>
  <c r="H38" i="15" s="1"/>
  <c r="W29" i="10"/>
  <c r="H29" i="15" s="1"/>
  <c r="W21" i="10"/>
  <c r="H21" i="15" s="1"/>
  <c r="W16" i="10"/>
  <c r="H16" i="15" s="1"/>
  <c r="W19" i="10"/>
  <c r="H19" i="15" s="1"/>
  <c r="W42" i="10"/>
  <c r="H42" i="15" s="1"/>
  <c r="W32" i="10"/>
  <c r="H32" i="15" s="1"/>
  <c r="W22" i="10"/>
  <c r="H22" i="15" s="1"/>
  <c r="W41" i="10"/>
  <c r="H41" i="15" s="1"/>
  <c r="V7" i="10"/>
  <c r="E7" i="15" s="1"/>
  <c r="V8" i="10"/>
  <c r="E8" i="15" s="1"/>
  <c r="B12" i="15"/>
  <c r="B13" i="15" s="1"/>
  <c r="E11" i="15"/>
  <c r="W25" i="10" l="1"/>
  <c r="H25" i="15" s="1"/>
  <c r="W20" i="10"/>
  <c r="H20" i="15" s="1"/>
  <c r="W43" i="10"/>
  <c r="H43" i="15" s="1"/>
  <c r="W34" i="10"/>
  <c r="H34" i="15" s="1"/>
  <c r="W23" i="10"/>
  <c r="H23" i="15" s="1"/>
  <c r="E40" i="15"/>
  <c r="W40" i="10"/>
  <c r="H40" i="15" s="1"/>
  <c r="B14" i="15"/>
  <c r="G51" i="10"/>
  <c r="G53" i="10"/>
  <c r="G52" i="10"/>
  <c r="F45" i="10"/>
  <c r="G47" i="10"/>
  <c r="G48" i="10"/>
  <c r="G49" i="10"/>
  <c r="G50" i="10"/>
  <c r="F14" i="10"/>
  <c r="J14" i="10" s="1"/>
  <c r="F12" i="10"/>
  <c r="J12" i="10" s="1"/>
  <c r="F13" i="10"/>
  <c r="J13" i="10" s="1"/>
  <c r="F7" i="10"/>
  <c r="J7" i="10" s="1"/>
  <c r="F8" i="10"/>
  <c r="J8" i="10" s="1"/>
  <c r="F5" i="10"/>
  <c r="J5" i="10" s="1"/>
  <c r="F6" i="10"/>
  <c r="J6" i="10" s="1"/>
  <c r="F10" i="10"/>
  <c r="J10" i="10" s="1"/>
  <c r="F11" i="10"/>
  <c r="J11" i="10" s="1"/>
  <c r="F9" i="10"/>
  <c r="J9" i="10" s="1"/>
  <c r="B15" i="15" l="1"/>
  <c r="B16" i="15" s="1"/>
  <c r="V5" i="10"/>
  <c r="E5" i="15" s="1"/>
  <c r="V6" i="10"/>
  <c r="E6" i="15" s="1"/>
  <c r="K12" i="10"/>
  <c r="L12" i="10" s="1"/>
  <c r="O12" i="10" s="1"/>
  <c r="K13" i="10"/>
  <c r="L13" i="10" s="1"/>
  <c r="O13" i="10" s="1"/>
  <c r="K14" i="10"/>
  <c r="L14" i="10" s="1"/>
  <c r="O14" i="10" s="1"/>
  <c r="K9" i="10"/>
  <c r="L9" i="10" s="1"/>
  <c r="O9" i="10" s="1"/>
  <c r="K11" i="10"/>
  <c r="L11" i="10" s="1"/>
  <c r="O11" i="10" s="1"/>
  <c r="K10" i="10"/>
  <c r="L10" i="10" s="1"/>
  <c r="O10" i="10" s="1"/>
  <c r="K6" i="10"/>
  <c r="L6" i="10" s="1"/>
  <c r="O6" i="10" s="1"/>
  <c r="K8" i="10"/>
  <c r="L8" i="10" s="1"/>
  <c r="O8" i="10" s="1"/>
  <c r="K7" i="10"/>
  <c r="L7" i="10" s="1"/>
  <c r="O7" i="10" s="1"/>
  <c r="K5" i="10"/>
  <c r="L5" i="10" s="1"/>
  <c r="O5" i="10" s="1"/>
  <c r="F12" i="15" l="1"/>
  <c r="F14" i="15"/>
  <c r="F15" i="15"/>
  <c r="W13" i="10"/>
  <c r="H13" i="15" s="1"/>
  <c r="F13" i="15"/>
  <c r="E45" i="15"/>
  <c r="W11" i="10"/>
  <c r="H11" i="15" s="1"/>
  <c r="W9" i="10"/>
  <c r="H9" i="15" s="1"/>
  <c r="W10" i="10"/>
  <c r="H10" i="15" s="1"/>
  <c r="W12" i="10"/>
  <c r="H12" i="15" s="1"/>
  <c r="B17" i="15"/>
  <c r="B18" i="15" s="1"/>
  <c r="W14" i="10"/>
  <c r="H14" i="15" s="1"/>
  <c r="W15" i="10"/>
  <c r="H15" i="15" s="1"/>
  <c r="G12" i="15"/>
  <c r="W7" i="10"/>
  <c r="H7" i="15" s="1"/>
  <c r="F7" i="15"/>
  <c r="W8" i="10"/>
  <c r="H8" i="15" s="1"/>
  <c r="F8" i="15"/>
  <c r="F10" i="15"/>
  <c r="F11" i="15"/>
  <c r="F9" i="15"/>
  <c r="F5" i="15"/>
  <c r="W5" i="10"/>
  <c r="H5" i="15" s="1"/>
  <c r="F6" i="15"/>
  <c r="W6" i="10"/>
  <c r="H6" i="15" s="1"/>
  <c r="F45" i="15" l="1"/>
  <c r="H45" i="15"/>
  <c r="B19" i="15"/>
  <c r="B20" i="15" l="1"/>
  <c r="B21" i="15" l="1"/>
  <c r="B22" i="15" l="1"/>
  <c r="B23" i="15" l="1"/>
  <c r="B24" i="15" l="1"/>
  <c r="B25" i="15" l="1"/>
  <c r="B26" i="15" l="1"/>
  <c r="B27" i="15" l="1"/>
  <c r="B28" i="15" l="1"/>
  <c r="B29" i="15" l="1"/>
  <c r="B30" i="15" s="1"/>
  <c r="B31" i="15" s="1"/>
  <c r="B32" i="15" l="1"/>
  <c r="B33" i="15" l="1"/>
  <c r="B34" i="15" l="1"/>
  <c r="B35" i="15" s="1"/>
  <c r="B36" i="15" l="1"/>
  <c r="B37" i="15" s="1"/>
  <c r="B38" i="15" l="1"/>
  <c r="B39" i="15" s="1"/>
  <c r="B40" i="15" s="1"/>
  <c r="B41" i="15" s="1"/>
  <c r="B42" i="15" l="1"/>
  <c r="B43" i="15" s="1"/>
  <c r="B44"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tc={BA115EA1-377F-4F15-B1D8-31A3ADE29E38}</author>
  </authors>
  <commentList>
    <comment ref="D2" authorId="0" shapeId="0" xr:uid="{BA115EA1-377F-4F15-B1D8-31A3ADE29E38}">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Hello @Liz Guinessey  I deleted the comment in the quantification approach column and copied and pasted it here. With the comment there, I wasn’t able to change the quantification approach in the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tc={223DCCEE-03BC-4BF8-933C-A1ABE9A1BF47}</author>
    <author>tc={FA4F2560-3151-417E-A368-C11FC0E9DA9D}</author>
    <author>tc={66F776D9-A592-4723-B4FE-78ABD068527D}</author>
  </authors>
  <commentList>
    <comment ref="B7" authorId="0" shapeId="0" xr:uid="{223DCCEE-03BC-4BF8-933C-A1ABE9A1BF47}">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What is the source of the 0.1? The % contribution to the buffer should come from the NPRT
Reply:
    Yes, Buffer% is the NPR% estimate from NPRT. </t>
        </r>
      </text>
    </comment>
    <comment ref="B8" authorId="1" shapeId="0" xr:uid="{FA4F2560-3151-417E-A368-C11FC0E9DA9D}">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What is the source of this value? Is this just a hypothetical value?
Reply:
    Yes this is an hypothetical value. </t>
        </r>
      </text>
    </comment>
    <comment ref="B9" authorId="2" shapeId="0" xr:uid="{66F776D9-A592-4723-B4FE-78ABD068527D}">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where does this value come from? 
Reply:
    @Liz Guinessey  this is the output from equation 91, however on page 103, it is a parameter monitored. 
Reply:
    It is a hypothetical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tc={B1427BE5-BA57-4F98-B63F-4817C82B7FBD}</author>
  </authors>
  <commentList>
    <comment ref="G7" authorId="0" shapeId="0" xr:uid="{B1427BE5-BA57-4F98-B63F-4817C82B7FBD}">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just flagging that in one single stratum, you would select either the total stock approach or the stock loss approach (not both)
Reply:
    Yes, currently, the user has to select either one of the approaches, total stock approach or stock loss approach, and only one approach will be used in the calculation engine. However, currently the setting is for an entire project instance. For the MVP, would only allowing project-instance level selection of maximum SOC loss estimation approaches be okay?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tc={3188B9AA-33CA-44BA-A997-537A4A25B201}</author>
  </authors>
  <commentList>
    <comment ref="G1" authorId="0" shapeId="0" xr:uid="{3188B9AA-33CA-44BA-A997-537A4A25B201}">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parameter isn't necessarily all removals. rather, it's any emission reduction with a risk of non-permanence, which must be included in the NPR assessment. however, there could be avoided emissions from the SOC pool included in the NERstock term.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tc={CB4AC9CD-FB4A-4A79-AAC0-6F3EDDF721E9}</author>
    <author>tc={72D7E2CB-3EAF-41B1-8210-4CF47082F6AA}</author>
    <author>tc={1068A5F7-7EDD-48C5-A19D-3C0E192DF4E7}</author>
    <author>tc={BAB1488E-D6CD-4280-BB4C-DDECE28F8F8E}</author>
    <author>tc={EF52C55B-08D8-44F2-B489-A24C7DC40795}</author>
    <author>tc={3D3CE9E0-8788-42DA-AFEF-1173764310A1}</author>
  </authors>
  <commentList>
    <comment ref="E4" authorId="0" shapeId="0" xr:uid="{CB4AC9CD-FB4A-4A79-AAC0-6F3EDDF721E9}">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@Liz Guinessey  I also remove the minus sign in equation here. </t>
        </r>
      </text>
    </comment>
    <comment ref="F4" authorId="1" shapeId="0" xr:uid="{72D7E2CB-3EAF-41B1-8210-4CF47082F6AA}">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@Liz Guinessey The minus sign in the equation was removed</t>
        </r>
      </text>
    </comment>
    <comment ref="G4" authorId="2" shapeId="0" xr:uid="{1068A5F7-7EDD-48C5-A19D-3C0E192DF4E7}">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@Liz Guinessey  the minus sign in the equation was removed.</t>
        </r>
      </text>
    </comment>
    <comment ref="AI4" authorId="3" shapeId="0" xr:uid="{BAB1488E-D6CD-4280-BB4C-DDECE28F8F8E}">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@Liz Guinessey  according to equation 79, the temporal boundary seems to be not applicable on the GHGWPS-soil,i,t</t>
        </r>
      </text>
    </comment>
    <comment ref="AM4" authorId="4" shapeId="0" xr:uid="{EF52C55B-08D8-44F2-B489-A24C7DC40795}">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@Liz Guinessey  I have updated the calculation logic for the peat soil for Deduction(alloch) in the project scenario as well. </t>
        </r>
      </text>
    </comment>
    <comment ref="AH12" authorId="5" shapeId="0" xr:uid="{3D3CE9E0-8788-42DA-AFEF-1173764310A1}">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if the soil is peat, then only the PDT would apply. If the soils were mineral, then the SDT would apply. 
Reply:
    Because in section 5.1.1, if the end of peat depletion falls inside a crediting period, the soil depletion time would be calculated using 5.1.2 for the remaining mineral soil layers underneath the peat, that is the my understanding of that last sentence of 5.1.1; 
Currently the temporal boundary calculation for each stratum is
- peat soil: 5.1.1 + 5.1.2 (depending on if PDT falls inside a crediting period, if not, it would be only 5.1.1, if fall inside a crediting period, it will also use 5.1.2 to calculate the SDT)
- mineral soil: 5.1.2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Qing (Summer) Xia</author>
    <author>tc={9835138E-D66A-4594-A319-58DDE7B8FCE5}</author>
  </authors>
  <commentList>
    <comment ref="AU4" authorId="0" shapeId="0" xr:uid="{4B4FE89D-5FE2-49DD-ACA2-61AD60DD7431}">
      <text>
        <r>
          <rPr>
            <b/>
            <sz val="9"/>
            <color indexed="81"/>
            <rFont val="Tahoma"/>
            <family val="2"/>
          </rPr>
          <t>Qing (Summer) Xia:</t>
        </r>
        <r>
          <rPr>
            <sz val="9"/>
            <color indexed="81"/>
            <rFont val="Tahoma"/>
            <family val="2"/>
          </rPr>
          <t xml:space="preserve">
Field-collected daata: equation 36
Proxy: equation 30
Others: equation 27</t>
        </r>
      </text>
    </comment>
    <comment ref="AW5" authorId="1" shapeId="0" xr:uid="{9835138E-D66A-4594-A319-58DDE7B8FCE5}">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for strata with organic soils (i.e., peat), deductionalloch should be set to 0.
Reply:
    Thank you Liz, I will make changes to the calculation logic here.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tc={8ECB028C-98F5-4645-B4EC-3FC85A2DCE62}</author>
    <author>tc={52EB0BE9-43BE-4F1D-9748-001178C22AAC}</author>
    <author>Qing (Summer) Xia</author>
  </authors>
  <commentList>
    <comment ref="C4" authorId="0" shapeId="0" xr:uid="{8ECB028C-98F5-4645-B4EC-3FC85A2DCE62}">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@Liz Guinessey  I have updated baseline emission from SOC pool loss. It is a summation of products of (GHGBSL-soil-CO2,I,t*Ai,t) for year &lt;= calculation year t.</t>
        </r>
      </text>
    </comment>
    <comment ref="E4" authorId="1" shapeId="0" xr:uid="{52EB0BE9-43BE-4F1D-9748-001178C22AAC}">
      <text>
        <r>
          <rPr>
            <sz val="11"/>
            <color theme="1"/>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Hello @Liz Guinessey ,  I have updated project emission from SOC pool loss. It is a summation of products of (GHGWPS-soil-CO2,I,t*Ai,t) for year &lt;= calculation year t.
</t>
        </r>
      </text>
    </comment>
    <comment ref="W5" authorId="2" shapeId="0" xr:uid="{DFE9BE84-88BA-4872-894F-DB7E45534417}">
      <text>
        <r>
          <rPr>
            <b/>
            <sz val="9"/>
            <color indexed="81"/>
            <rFont val="Tahoma"/>
            <family val="2"/>
          </rPr>
          <t>Qing (Summer) Xia:</t>
        </r>
        <r>
          <rPr>
            <sz val="9"/>
            <color indexed="81"/>
            <rFont val="Tahoma"/>
            <family val="2"/>
          </rPr>
          <t xml:space="preserve">
the "extra"is from the soil SOC pool; after year 1 no credits claimed from the SOC pool as it reaches the SOC cap at year 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<sst xmlns="http://schemas.openxmlformats.org/spreadsheetml/2006/main" count="1016" uniqueCount="539">
  <si>
    <t>Source</t>
  </si>
  <si>
    <t>Gas</t>
  </si>
  <si>
    <t>Included?</t>
  </si>
  <si>
    <t>Justification/Explanation</t>
  </si>
  <si>
    <t>Baseline</t>
  </si>
  <si>
    <t>Aboveground tree biomass</t>
  </si>
  <si>
    <t>CO2</t>
  </si>
  <si>
    <t>Included</t>
  </si>
  <si>
    <t>Major carbon pool may significantly increase 
or decrease in both the baseline and project scenarios, in the case of establishment or 
presence of tree vegetation.
Aboveground tree biomass in the baseline 
scenario must be included.
Aboveground tree biomass in the project 
scenario may be included or conservatively 
omitted.</t>
  </si>
  <si>
    <t>Aboveground non-tree biomass</t>
  </si>
  <si>
    <t>Carbon stock in this pool may increase in the 
baseline scenario and may increase or 
decrease in the project scenario.</t>
  </si>
  <si>
    <t>this doesn't go into the calculation engine</t>
  </si>
  <si>
    <t>Excluded</t>
  </si>
  <si>
    <t>Below-ground biomass</t>
  </si>
  <si>
    <t>Major carbon pool may significantly increase in 
the baseline, or decrease in the project, or 
both, in case of presence of tree vegetation.
Below-ground biomass in the baseline 
scenario must be included.
Below-ground biomass in the project scenario 
may be included or conservatively omitted.</t>
  </si>
  <si>
    <t>Litter</t>
  </si>
  <si>
    <t>This pool is optional for WRC methodologies. Litter is only included indirectly in association with the quantification of herbal mass.</t>
  </si>
  <si>
    <t>Dead wood</t>
  </si>
  <si>
    <t>This pool is optional for WRC methodologies.</t>
  </si>
  <si>
    <t xml:space="preserve">Soil </t>
  </si>
  <si>
    <t>The soil organic carbon stock may increase due to the implementation of the project activity.</t>
  </si>
  <si>
    <t>This goes into the calculation engine</t>
  </si>
  <si>
    <t>Wood products</t>
  </si>
  <si>
    <t>Carbon stock in this pool may increase in the project scenario.</t>
  </si>
  <si>
    <t>The production of methane by microbes</t>
  </si>
  <si>
    <t>CH4</t>
  </si>
  <si>
    <t>May be conservatively excluded in the 
baseline scenario.</t>
  </si>
  <si>
    <t>Denitrification/nitrification</t>
  </si>
  <si>
    <t>N2O</t>
  </si>
  <si>
    <t>May be conservatively excluded in the baseline scenario.</t>
  </si>
  <si>
    <t>Burning of biomass and organic soil</t>
  </si>
  <si>
    <r>
      <rPr>
        <b/>
        <sz val="11"/>
        <color theme="2"/>
        <rFont val="Aptos Narrow"/>
        <family val="2"/>
        <scheme val="minor"/>
      </rPr>
      <t xml:space="preserve">CO2, </t>
    </r>
    <r>
      <rPr>
        <b/>
        <sz val="11"/>
        <color theme="1"/>
        <rFont val="Aptos Narrow"/>
        <family val="2"/>
        <scheme val="minor"/>
      </rPr>
      <t>CH4, N2O</t>
    </r>
  </si>
  <si>
    <r>
      <t>Implicitly included in the</t>
    </r>
    <r>
      <rPr>
        <b/>
        <sz val="11"/>
        <rFont val="Aptos Narrow"/>
        <family val="2"/>
        <scheme val="minor"/>
      </rPr>
      <t xml:space="preserve"> Fire Reduction Premium approach</t>
    </r>
    <r>
      <rPr>
        <b/>
        <sz val="11"/>
        <color theme="2" tint="-9.9978637043366805E-2"/>
        <rFont val="Aptos Narrow"/>
        <family val="2"/>
        <scheme val="minor"/>
      </rPr>
      <t>.</t>
    </r>
  </si>
  <si>
    <t>Fossil fuel use</t>
  </si>
  <si>
    <t>Conservatively excluded in the baseline scenario.</t>
  </si>
  <si>
    <t>Project</t>
  </si>
  <si>
    <t>This will decide whether input parameters will be provided in the wood product sheet</t>
  </si>
  <si>
    <t>Potential major source of emissions in the project in low salinity and freshwater areas.</t>
  </si>
  <si>
    <t>May increase as a result of the project activity.</t>
  </si>
  <si>
    <t>Burning of biomass</t>
  </si>
  <si>
    <t>CO2 is addressed in carbon stock 
change procedures. CH4 and N2O are potential major GHG sources of fire emissions.</t>
  </si>
  <si>
    <t>Potential major source of emissions in 
an RWE project scenario where 
movement of soil material with 
machines and trucks occurs.
Not included in a project scenario 
where planting or sowing occurs 
without soil movement (e.g., mangrove 
planting).</t>
  </si>
  <si>
    <t>Not a significant source of emissions in project fuel use.</t>
  </si>
  <si>
    <t xml:space="preserve">N2O </t>
  </si>
  <si>
    <t>Emission source</t>
  </si>
  <si>
    <t>Quantification approach</t>
  </si>
  <si>
    <t>UI</t>
  </si>
  <si>
    <t>Comment from Liz</t>
  </si>
  <si>
    <t>My response</t>
  </si>
  <si>
    <t>Total stock approach</t>
  </si>
  <si>
    <t>CO2 emissions from soil</t>
  </si>
  <si>
    <t>Others</t>
  </si>
  <si>
    <t>4.1 Baseline Emissions</t>
  </si>
  <si>
    <t>should this include all of the relevant methods to estimate CO2 emission from the soil? (i.e., models, default factors)</t>
  </si>
  <si>
    <t xml:space="preserve">Hello Liz, the user will select "others" if the quantification approach is neither Proxies nor field-collected data. This selection will be used to configure the calculation engine. After the selection, the user will provide additional information on UI describing the quantification approach adopted for the project. All of the six quantification approaches will be provided with textboxes for users to provide description. </t>
  </si>
  <si>
    <t>Stock loss approach</t>
  </si>
  <si>
    <t>CH4 emissions from soil</t>
  </si>
  <si>
    <t>Proxies</t>
  </si>
  <si>
    <t>N2O emissions from soil</t>
  </si>
  <si>
    <t>Field-collected data</t>
  </si>
  <si>
    <t>IPCC emission factors</t>
  </si>
  <si>
    <t>SOC Cap Approach</t>
  </si>
  <si>
    <t>3.3 Project Boundary</t>
  </si>
  <si>
    <t>Does the project quantify baseline CO2 emission reduction from carbon stock loss?</t>
  </si>
  <si>
    <t>NERRWE-max Cap?</t>
  </si>
  <si>
    <t>4.4 Net GHG Emission Reductions and Removals</t>
  </si>
  <si>
    <t>Fire Reduction Premium</t>
  </si>
  <si>
    <t>Parameter</t>
  </si>
  <si>
    <t>Value Used in the Calculation Sheet</t>
  </si>
  <si>
    <t>Location on UI</t>
  </si>
  <si>
    <t>When to ask for input for a parameter</t>
  </si>
  <si>
    <t>GWP(CH4)</t>
  </si>
  <si>
    <t>5.1 Data and Parameters at Validation</t>
  </si>
  <si>
    <t>When (baseline_soil_CH4 == "Included") or (baseline_burning == "Included") or (project_soil_CH4 == "Included") or (project_prescribed_burning == "Included")</t>
  </si>
  <si>
    <t>GWP(N2O)</t>
  </si>
  <si>
    <t>when (baseline_soil_N2O == "Included") or (baseline_burning == "Included") or (project_soil_N2O == "Included" ) or (project_prescribed_burning == "Included")</t>
  </si>
  <si>
    <t>EF(N2O,burn)</t>
  </si>
  <si>
    <t>when (project_prescribed_burning == "Included")</t>
  </si>
  <si>
    <t>EF(CH4,burn)</t>
  </si>
  <si>
    <t>allowable_uncert</t>
  </si>
  <si>
    <t>Always</t>
  </si>
  <si>
    <t>Buffer%</t>
  </si>
  <si>
    <t xml:space="preserve">NPR% in section 4.4 Estimated GHG Emission Reductions and Carbon Dioxide Removals </t>
  </si>
  <si>
    <t xml:space="preserve">NERRWE-max </t>
  </si>
  <si>
    <t xml:space="preserve">4.4 Estimated GHG Emission Reductions and Carbon Dioxide Removals </t>
  </si>
  <si>
    <t>when NERRWE_Cap == TRUE</t>
  </si>
  <si>
    <t>NER_ERROR</t>
  </si>
  <si>
    <t>5.2 Data and Parameters Monitored</t>
  </si>
  <si>
    <t>Crediting period</t>
  </si>
  <si>
    <t>from the project crediting period input on UI</t>
  </si>
  <si>
    <t>Year t</t>
  </si>
  <si>
    <t>FRP</t>
  </si>
  <si>
    <t>When Fire_reduction_premium == TRUE</t>
  </si>
  <si>
    <t>Table 31</t>
  </si>
  <si>
    <t>Key</t>
  </si>
  <si>
    <t>Stratum Characteristics</t>
  </si>
  <si>
    <t>Submit soil sampling data via file uploader</t>
  </si>
  <si>
    <t>Stratum i</t>
  </si>
  <si>
    <t>Soil type (t=0)</t>
  </si>
  <si>
    <t>Depthpeat,i,t0</t>
  </si>
  <si>
    <t>Ratepeatloss-BSL,I</t>
  </si>
  <si>
    <t>Soil disturbance type</t>
  </si>
  <si>
    <t>Drained more than 20 years ago before t = 0 as non peat soil</t>
  </si>
  <si>
    <t>Significant soil erosion as non peat soil</t>
  </si>
  <si>
    <t>Column1</t>
  </si>
  <si>
    <t>Depthsoil,i,t0</t>
  </si>
  <si>
    <t>RateCloss-BSL,i</t>
  </si>
  <si>
    <t>AWPS,i,t100</t>
  </si>
  <si>
    <t>ABSL,i,t100</t>
  </si>
  <si>
    <t>ABSL,i</t>
  </si>
  <si>
    <t>AWPS,i</t>
  </si>
  <si>
    <t>VC,I (peat portion)</t>
  </si>
  <si>
    <t>VC,I (mineral soil portion)</t>
  </si>
  <si>
    <t>ecosystem</t>
  </si>
  <si>
    <t>Ratesubs-BSL,i</t>
  </si>
  <si>
    <t>Ratesubs-WPS,i</t>
  </si>
  <si>
    <t>BD</t>
  </si>
  <si>
    <t>%OMsoil (BSL)</t>
  </si>
  <si>
    <t>%Csoil (BSL)</t>
  </si>
  <si>
    <t>%OMdepsed (BSL)</t>
  </si>
  <si>
    <t>%Cdepsed (BSL)</t>
  </si>
  <si>
    <t>SA (BSL)</t>
  </si>
  <si>
    <t>i</t>
  </si>
  <si>
    <t>𝑅𝑎𝑡𝑒𝑝𝑒𝑎𝑡𝑙𝑜𝑠𝑠−𝑊𝑃𝑆,𝑖,t</t>
  </si>
  <si>
    <t>𝑅𝑎𝑡𝑒𝐶𝑙𝑜𝑠𝑠−𝑊𝑃𝑆,𝑖,t</t>
  </si>
  <si>
    <t>Erosion</t>
  </si>
  <si>
    <t>User provide stratum and horizon average in the value applied field</t>
  </si>
  <si>
    <t>User provide value used in calculation</t>
  </si>
  <si>
    <t>Excavation</t>
  </si>
  <si>
    <t>Not applicable</t>
  </si>
  <si>
    <t>These are soil characteristics data from soil sample data. Soil sampling data has measurements from multiple horizons and multiple sampling locations inside the stratum; thus user needs to upload the soil sampling data showing soil sampling points, lab measurement results for the initial soil conditions of a stratum, BD can be one single entity used between project scenario and baseline scenario, however, %OMsoil and %OCsoil will be updated in project scenario; Only parameter BD will be used in the Calculation Engine.</t>
  </si>
  <si>
    <t>Stratum level input parameters</t>
  </si>
  <si>
    <t>File Upload</t>
  </si>
  <si>
    <t>When to ask for input</t>
  </si>
  <si>
    <t>Dummy Table</t>
  </si>
  <si>
    <t>Parameters that can be entered via one table</t>
  </si>
  <si>
    <t>CPDE</t>
  </si>
  <si>
    <t>Dummpy parameter entry table</t>
  </si>
  <si>
    <t>Group</t>
  </si>
  <si>
    <t>when (Emission_reduction_from_stock_loss? == TRUE)</t>
  </si>
  <si>
    <t>Drained more than 20 years ago before t = 0?</t>
  </si>
  <si>
    <t>Significant soil erosion in baseline scenario?</t>
  </si>
  <si>
    <t>ask user to provide table for the 100 year projection, so t will be from 1 to 100</t>
  </si>
  <si>
    <t>when (Emission_reduction_from_stock_loss? == TRUE) and (SOC_Cap_Approach == "Total stock approach")</t>
  </si>
  <si>
    <t xml:space="preserve">when (soil_insitu_approach == "Proxy-based approach") </t>
  </si>
  <si>
    <t>Dummy parameter entry table</t>
  </si>
  <si>
    <t>in the field "Source of data" provide a textbox and a file upload field</t>
  </si>
  <si>
    <r>
      <t xml:space="preserve">when ((baseline_soil_SOC == "Included") </t>
    </r>
    <r>
      <rPr>
        <b/>
        <sz val="11"/>
        <color theme="1"/>
        <rFont val="Aptos Narrow"/>
        <family val="2"/>
        <scheme val="minor"/>
      </rPr>
      <t>and</t>
    </r>
    <r>
      <rPr>
        <sz val="11"/>
        <color theme="1"/>
        <rFont val="Aptos Narrow"/>
        <family val="2"/>
        <scheme val="minor"/>
      </rPr>
      <t xml:space="preserve"> (soil_insitu_approach != "Proxies")</t>
    </r>
  </si>
  <si>
    <t>when (baseline_soil_SOC == "Included")</t>
  </si>
  <si>
    <t>provide dummy parameter entry table in the value applied field; in the field "Source of data", provide a textbox and  a file upload field</t>
  </si>
  <si>
    <t>Provide dummy parameter tables listed in this sheet when wood_product is selected "Included" in project scenario</t>
  </si>
  <si>
    <t>5.1 Data and Parameters Validated</t>
  </si>
  <si>
    <t xml:space="preserve">Provide this input table for parameters Dj, CFj, BCEF in section 5.1 </t>
  </si>
  <si>
    <t>Provide this input table for parameter Vex,ty,i,t and Pcomi,j in section 5.2</t>
  </si>
  <si>
    <t>Species J</t>
  </si>
  <si>
    <t>Dj</t>
  </si>
  <si>
    <t>CFj</t>
  </si>
  <si>
    <t>BCEF</t>
  </si>
  <si>
    <t>year t</t>
  </si>
  <si>
    <t>product type ty</t>
  </si>
  <si>
    <t>Vex,ty,i,t</t>
  </si>
  <si>
    <t>Pcomi,t</t>
  </si>
  <si>
    <t xml:space="preserve">Provide this input table for parameters SLFty in section 5.1 </t>
  </si>
  <si>
    <t>Wood product class ty</t>
  </si>
  <si>
    <t>SLFty</t>
  </si>
  <si>
    <t>Provide below input table for parameter 𝐶𝐴𝑉𝐺−𝑇𝑅𝐸𝐸,i in section 5.2</t>
  </si>
  <si>
    <t>stratum i</t>
  </si>
  <si>
    <t>𝐶𝐴𝑉𝐺−𝑇𝑅𝐸𝐸,I, BSL</t>
  </si>
  <si>
    <t>𝐶𝐴𝑉𝐺−𝑇𝑅𝐸𝐸,I, WPS</t>
  </si>
  <si>
    <t>Provide this input table for parameter Ofty in 5.1</t>
  </si>
  <si>
    <t>Forest region</t>
  </si>
  <si>
    <t>OFty</t>
  </si>
  <si>
    <t>Stratum sampling data</t>
  </si>
  <si>
    <t>submergence</t>
  </si>
  <si>
    <t>Always provide this table in 5.2</t>
  </si>
  <si>
    <t>Herbaceous vegetation</t>
  </si>
  <si>
    <t>Submergence</t>
  </si>
  <si>
    <t>Submergence_T</t>
  </si>
  <si>
    <t>Area submerged %</t>
  </si>
  <si>
    <t>CBSL-agbiomass,i,t (AR tool 14, tC)</t>
  </si>
  <si>
    <t>CBSL-agbiomass,i,t-T (AR tool 14, tC)</t>
  </si>
  <si>
    <t>Dummy Parameter</t>
  </si>
  <si>
    <t>Ai,t</t>
  </si>
  <si>
    <t>ΔCTREE_BSL,i,t (AR Tool 14) t C/yr</t>
  </si>
  <si>
    <t>ΔCSHRUB_BSL,i,t (AR Tool 14) t C/yr</t>
  </si>
  <si>
    <t>%Calloch BSL</t>
  </si>
  <si>
    <t>ET(FC,I,t) AR-Tool 5 BSL</t>
  </si>
  <si>
    <t>when (baseline_ff_CO2 = "Included")</t>
  </si>
  <si>
    <t>GHGBSL-insitu-CO2,i,t (Eq 28)</t>
  </si>
  <si>
    <t>when (baseline_soil_SOC == "Included") and (soil_insitu_approach == "Others")</t>
  </si>
  <si>
    <t>GHGBSL-eroded-CO2,i,t (Eq 48)</t>
  </si>
  <si>
    <t>GHGBSL-excav-CO2,i,t (Eq 56)</t>
  </si>
  <si>
    <t>C%BSL-emitted,i,t (in-situ)</t>
  </si>
  <si>
    <t>this doesn't go into calculation engine</t>
  </si>
  <si>
    <t>Depth_iBSL,i,t</t>
  </si>
  <si>
    <t>C%BSL-soil,i,t</t>
  </si>
  <si>
    <t>CBSL-soil,i,t (Eq 29)</t>
  </si>
  <si>
    <t>C%BSL-eroded,i,t</t>
  </si>
  <si>
    <t>Depth_eBSL,i,t</t>
  </si>
  <si>
    <t>CBSL-eroded,i,t</t>
  </si>
  <si>
    <t>C%BSL-emitted,i,t (erosion)</t>
  </si>
  <si>
    <t>Depth_exBSL,i,t</t>
  </si>
  <si>
    <t>CBSL-excav,i,t</t>
  </si>
  <si>
    <t>C%BSL-emitted,i,t (excavation)</t>
  </si>
  <si>
    <t>C%BSL-excav,i,t</t>
  </si>
  <si>
    <t>ƒ (GHG emission proxy): GHGBSL-soil-CO2,i,t</t>
  </si>
  <si>
    <t>when (baseline_soil_SOC == "Included") and (soil_insitu_approach == "Proxies")</t>
  </si>
  <si>
    <t>IPCC Emission factor EF(CH4) BSL</t>
  </si>
  <si>
    <t>when (baseline_soil_CH4 == "Included") and (soil_CH4_approach =="IPCC emission factors")</t>
  </si>
  <si>
    <t>CH4(BSL-soil,I,t)</t>
  </si>
  <si>
    <t>when (baseline_soil_CH4 == "Included") and (soil_CH4_approach =="Others")</t>
  </si>
  <si>
    <t>ƒ (GHG emission proxy: CH4) BSL</t>
  </si>
  <si>
    <t>when (baseline_soil_CH4 == "Included") and (soil_CH4_approach =="Proxies")</t>
  </si>
  <si>
    <t>IPCC Emission factor EF(N2O) BSL</t>
  </si>
  <si>
    <t>when (baseline_soil_N2O == "Included") and (soil_N2O_approach =="IPCC emission factors")</t>
  </si>
  <si>
    <t>N2O (BSL-soil,I,t)</t>
  </si>
  <si>
    <t>when (baseline_soil_N2O == "Included") and (soil_N2O_approach =="Others")</t>
  </si>
  <si>
    <t>ƒ (N2O emission proxy: N2O) BSL</t>
  </si>
  <si>
    <t>when (baseline_soil_N2O == "Included") and (soil_N2O_approach =="Proxies")</t>
  </si>
  <si>
    <t>ΔCTREE_PROJ,i,t (AR Tool 14) t C/yr</t>
  </si>
  <si>
    <t>ΔCSHRUB_PROJ,i,t (AR Tool 14) t C/yr</t>
  </si>
  <si>
    <t>%Calloch WPS</t>
  </si>
  <si>
    <t>when (project_soil_SOC == "Included")</t>
  </si>
  <si>
    <t>GHGWPS-insitu-CO2,i,t (Eq 28)</t>
  </si>
  <si>
    <t>when (project_soil_SOC == "Included") and (soil_insitu_approach == "Others")</t>
  </si>
  <si>
    <t>GHGWPS-eroded-CO2,i,t (Eq 48)</t>
  </si>
  <si>
    <t>GHGWPS-excav-CO2,i,t (Eq 56)</t>
  </si>
  <si>
    <t>C%WPS-emitted,i,t (in-situ)</t>
  </si>
  <si>
    <t>Depth_iWPS,i,t</t>
  </si>
  <si>
    <t>C%WPS-soil,i,t</t>
  </si>
  <si>
    <t>CWPS-soil,i,t (Eq 29)</t>
  </si>
  <si>
    <t>C%WPS-eroded,i,t</t>
  </si>
  <si>
    <t>Depth_eWPS,i,t</t>
  </si>
  <si>
    <t>CWPS-eroded,i,t</t>
  </si>
  <si>
    <t>C%WPS-emitted,i,t (erosion)</t>
  </si>
  <si>
    <t>Depth_exWPSi,t</t>
  </si>
  <si>
    <t>CWPS-excav,i,t</t>
  </si>
  <si>
    <t>C%WPS-emitted,i,t (excavation)</t>
  </si>
  <si>
    <t>C%WPS-excav,i,t</t>
  </si>
  <si>
    <t>ƒ (GHG emission proxy): GHGWPS-soil-CO2,i,t</t>
  </si>
  <si>
    <t>when (project_soil_SOC == "Included") and (soil_insitu_approach == "Proxies")</t>
  </si>
  <si>
    <t>IPCC Emission factor EF(CH4) WPS</t>
  </si>
  <si>
    <t>when (project_soil_CH4 == "Included") and (soil_CH4_approach =="IPCC emission factors")</t>
  </si>
  <si>
    <t>CH4(WPS-soil,I,t)</t>
  </si>
  <si>
    <t>when (project_soil_CH4 == "Included") and (soil_CH4_approach =="Others")</t>
  </si>
  <si>
    <t>ƒ (GHG emission proxy: CH4) WPS</t>
  </si>
  <si>
    <t>when (project_soil_CH4 == "Included") and (soil_CH4_approach =="Proxies")</t>
  </si>
  <si>
    <t>IPCC Emission factor EF(N2O) WPS</t>
  </si>
  <si>
    <t>when (project_soil_N2O == "Included") and (soil_N2O_approach =="IPCC emission factors")</t>
  </si>
  <si>
    <t>N2O (WPS-soil,I,t)</t>
  </si>
  <si>
    <t>when (project_soil_N2O == "Included") and (soil_N2O_approach =="Others")</t>
  </si>
  <si>
    <t>ƒ (N2O emission proxy: N2O) WPS</t>
  </si>
  <si>
    <t>when (project_soil_N2O == "Included") and (soil_N2O_approach =="Proxies")</t>
  </si>
  <si>
    <t>Biomassi,t</t>
  </si>
  <si>
    <t>ET(FC,I,t) AR-Tool 5 WPS</t>
  </si>
  <si>
    <t>when (project_ff_CO2 == "Included")</t>
  </si>
  <si>
    <t>Table 32</t>
  </si>
  <si>
    <t>Unit should be t C/yr</t>
  </si>
  <si>
    <t>project Scenario</t>
  </si>
  <si>
    <t>IPCC Emission factor EF(CH4)</t>
  </si>
  <si>
    <t>IPCC Emission factor EF(N2O)</t>
  </si>
  <si>
    <t>ƒ (N2O emission proxy: N2O)</t>
  </si>
  <si>
    <t>Vintage period</t>
  </si>
  <si>
    <t>Estimated baseline emissions (tCO2e)</t>
  </si>
  <si>
    <t>Estimated project emissions (tCO2e)</t>
  </si>
  <si>
    <t>Estimated leakage emissions (tCO2e)</t>
  </si>
  <si>
    <t>Estimated buffer pool allocation (tCO2e)</t>
  </si>
  <si>
    <t>Estimated reduction VCUs (tCO2e)</t>
  </si>
  <si>
    <t>Estimated removal VCUs (tCO2e)</t>
  </si>
  <si>
    <t>Estimated total VCU issuance (tCO2e)</t>
  </si>
  <si>
    <t xml:space="preserve">DD-MMM-YYYY to 31-Dec-YYYY </t>
  </si>
  <si>
    <t xml:space="preserve">Example: </t>
  </si>
  <si>
    <t>GHG(BSL) Eq 18</t>
  </si>
  <si>
    <t>GHG(WPS) Eq 69</t>
  </si>
  <si>
    <t>LK=0 if meeting the applicabiity conditions</t>
  </si>
  <si>
    <t>Buffer_deduction (Eq 94)</t>
  </si>
  <si>
    <t>adjusted_NERt (Eq 92)</t>
  </si>
  <si>
    <t>system will assign zero to this column, as it is not applicable to VM0033</t>
  </si>
  <si>
    <t>VCUt(Eq 93)</t>
  </si>
  <si>
    <t>Does the project quantify baseline emission reduction? If Yes temporal boundary will be assigned to each stratum for the SOC pool</t>
  </si>
  <si>
    <t>If YES then equation 2</t>
  </si>
  <si>
    <t>Table 1</t>
  </si>
  <si>
    <t>Equation 1 in 5.1.1 Peat depletion time (PDT)</t>
  </si>
  <si>
    <t>Table 2</t>
  </si>
  <si>
    <t>Equation 12</t>
  </si>
  <si>
    <t>This is for one stratum and for the all the pedons and mineral soil horizons inside a stratum</t>
  </si>
  <si>
    <t>Equation 1, and 2 in 5.1.2 Soil organic carbon depletion time (SDT)</t>
  </si>
  <si>
    <t>This goes to the next step of calculation.</t>
  </si>
  <si>
    <t>Soil type (at Project Start)</t>
  </si>
  <si>
    <t>tPDT-BSL,i</t>
  </si>
  <si>
    <t>Start_PDT</t>
  </si>
  <si>
    <t>End_PDT</t>
  </si>
  <si>
    <t>Number of crediting years</t>
  </si>
  <si>
    <t>VC, I (mineral soil portion)</t>
  </si>
  <si>
    <t>CBSL,i,t0</t>
  </si>
  <si>
    <t>tSDT-BSL,i</t>
  </si>
  <si>
    <t>Start_SDT</t>
  </si>
  <si>
    <t>End_SDT</t>
  </si>
  <si>
    <t>m</t>
  </si>
  <si>
    <t>m/year</t>
  </si>
  <si>
    <t>year</t>
  </si>
  <si>
    <t>Yes/No</t>
  </si>
  <si>
    <t>years</t>
  </si>
  <si>
    <t>kg cm-3</t>
  </si>
  <si>
    <t>t C/ha</t>
  </si>
  <si>
    <t>t C/ha/year</t>
  </si>
  <si>
    <t>Does the project quantify emission reduction from SOC pool? If Yes the maximum amount below will be assigned to each stratum for the SOC pool</t>
  </si>
  <si>
    <t xml:space="preserve">Maximum quantity of GHG emission reduction that can be claimed from Soil carbon pool </t>
  </si>
  <si>
    <t>Project instance</t>
  </si>
  <si>
    <t>𝐶𝑊𝑃𝑆−𝐵𝑆𝐿,𝑡100</t>
  </si>
  <si>
    <t>SOC_Max</t>
  </si>
  <si>
    <t>Equation 4 (Total stock approach)</t>
  </si>
  <si>
    <t>Equation 3</t>
  </si>
  <si>
    <t>Equation 13</t>
  </si>
  <si>
    <t>Table 4</t>
  </si>
  <si>
    <t>∑ 𝐶𝑊𝑃𝑆,𝑖,𝑡100 × 𝐴𝑊𝑃𝑆,𝑖,𝑡00</t>
  </si>
  <si>
    <t xml:space="preserve"> ∑ 𝐶𝐵𝑆𝐿,𝑖,𝑡100 × 𝐴𝐵𝑆𝐿,𝑖,𝑡100</t>
  </si>
  <si>
    <t>[@[∑ 𝐶𝑊𝑃𝑆,𝑖,𝑡100 × 𝐴𝑊𝑃𝑆,𝑖,𝑡00]]&gt;=1.05*[@[ ∑ 𝐶𝐵𝑆𝐿,𝑖,𝑡100 × 𝐴𝐵𝑆𝐿,𝑖,𝑡100]]?</t>
  </si>
  <si>
    <t>𝐶𝑊𝑃𝑆−𝐵𝑆𝐿,𝑡100 (Total stock approach)</t>
  </si>
  <si>
    <t>CWPS-BSL,t100 (Stock-loss approach)</t>
  </si>
  <si>
    <t>Table 8</t>
  </si>
  <si>
    <t>1. Total stock approach</t>
  </si>
  <si>
    <t>Equation 3 input</t>
  </si>
  <si>
    <t>2. Stock loss approach</t>
  </si>
  <si>
    <t>Table 3</t>
  </si>
  <si>
    <t>Soil Type</t>
  </si>
  <si>
    <t>𝐶𝑊𝑃𝑆,i, t100</t>
  </si>
  <si>
    <t>CBSL,i,t100</t>
  </si>
  <si>
    <t>𝐶𝑙𝑜𝑠𝑠−𝐵𝑆𝐿,𝑖,𝑡100</t>
  </si>
  <si>
    <t>𝐶𝑙𝑜𝑠𝑠−𝑊𝑃𝑆,𝑖,𝑡,100</t>
  </si>
  <si>
    <t>[@[𝐶𝑙𝑜𝑠𝑠−𝐵𝑆𝐿,𝑖,𝑡100]]*[@[ABSL,i]]</t>
  </si>
  <si>
    <t>[@[𝐶𝑙𝑜𝑠𝑠−𝑊𝑃𝑆,𝑖,𝑡,100]]*[@[AWPS,i]]</t>
  </si>
  <si>
    <t>categorical</t>
  </si>
  <si>
    <t>hectare</t>
  </si>
  <si>
    <t>ha</t>
  </si>
  <si>
    <t>Equation 9</t>
  </si>
  <si>
    <t>Equation 6</t>
  </si>
  <si>
    <t>Equation 8</t>
  </si>
  <si>
    <t>Equation 7</t>
  </si>
  <si>
    <t>Equation 10</t>
  </si>
  <si>
    <t>Equation 11</t>
  </si>
  <si>
    <t>Equation 14</t>
  </si>
  <si>
    <t>Equation 15</t>
  </si>
  <si>
    <t>Equation 16</t>
  </si>
  <si>
    <t>Equation 17</t>
  </si>
  <si>
    <t>Table 5</t>
  </si>
  <si>
    <t>𝐷𝑒𝑝𝑡ℎ𝑝𝑒𝑎𝑡,𝑖,𝑡,0</t>
  </si>
  <si>
    <t>Depthpeat-WPS,i,t100</t>
  </si>
  <si>
    <t>CWPS,i,t100 (organic soil)</t>
  </si>
  <si>
    <t>Depthpeat-BSL,i,t100</t>
  </si>
  <si>
    <t>CBSL,i,t100 (organic soil)</t>
  </si>
  <si>
    <t>Remaining years after peat depletion (BSL)</t>
  </si>
  <si>
    <t>𝐶𝐵𝑆𝐿,𝑖,𝑡100 (mineral soil)</t>
  </si>
  <si>
    <t>𝐶𝑊𝑃𝑆,𝑖,𝑡100 (mineral soil)</t>
  </si>
  <si>
    <t>𝐶𝐵𝑆𝐿,𝑖,𝑡0</t>
  </si>
  <si>
    <t>Soil type</t>
  </si>
  <si>
    <t>Table 9</t>
  </si>
  <si>
    <t>VC,i mineral horizon</t>
  </si>
  <si>
    <t>VC,i peat horizon</t>
  </si>
  <si>
    <t>𝑅𝑎𝑡𝑒𝑝𝑒𝑎𝑡𝑙𝑜𝑠𝑠−𝐵𝑆𝐿,𝑖,t</t>
  </si>
  <si>
    <t xml:space="preserve"> ∑𝑅𝑎𝑡𝑒𝑝𝑒𝑎𝑡𝑙𝑜𝑠𝑠−𝑊𝑃𝑆,𝑖,t*VC,I peat horizon</t>
  </si>
  <si>
    <t>𝐶𝑙𝑜𝑠𝑠−𝐵𝑆𝐿,𝑡,100 (organic soil)</t>
  </si>
  <si>
    <t>𝐶𝑙𝑜𝑠𝑠−𝑊𝑃𝑆,𝑡,100 (organic soil)</t>
  </si>
  <si>
    <t>𝑅𝑎𝑡𝑒𝐶𝑙𝑜𝑠𝑠−𝐵𝑆𝐿,𝑖,t</t>
  </si>
  <si>
    <t xml:space="preserve"> ∑𝑅𝑎𝑡𝑒𝐶𝑙𝑜𝑠𝑠−𝑊𝑃𝑆,𝑖,t*VC</t>
  </si>
  <si>
    <t>𝐶𝑙𝑜𝑠𝑠−𝐵𝑆𝐿,𝑡,100 (mineral soil)</t>
  </si>
  <si>
    <t>𝐶𝑙𝑜𝑠𝑠−𝑊𝑃𝑆,𝑡,100 (mineral soil)</t>
  </si>
  <si>
    <t>Net GHG emissions from soil in baseline scenario</t>
  </si>
  <si>
    <t>CO2 emissions from soil in-situ</t>
  </si>
  <si>
    <t>t CO2e</t>
  </si>
  <si>
    <t>8.1.2 Accounting for sea level rise</t>
  </si>
  <si>
    <t>Table 11</t>
  </si>
  <si>
    <t>Equation 19</t>
  </si>
  <si>
    <t>Equation 20</t>
  </si>
  <si>
    <t>Equation 21</t>
  </si>
  <si>
    <t>Equation 18</t>
  </si>
  <si>
    <t>Table 12</t>
  </si>
  <si>
    <t>CDM AR Tool 14</t>
  </si>
  <si>
    <t>Equation 24</t>
  </si>
  <si>
    <t>Equation 25</t>
  </si>
  <si>
    <t>Equation 23 - Submergence</t>
  </si>
  <si>
    <t>Equation 26</t>
  </si>
  <si>
    <t>Equation 84</t>
  </si>
  <si>
    <t>Equation 22 Submergence from Sea Level Rise</t>
  </si>
  <si>
    <t>Table 30</t>
  </si>
  <si>
    <t>Equation 22</t>
  </si>
  <si>
    <t>Table 13</t>
  </si>
  <si>
    <t>Table 14</t>
  </si>
  <si>
    <t>Although soil type will be identified before project start, the soil type can change after peat depletion</t>
  </si>
  <si>
    <t>From temporal boundary</t>
  </si>
  <si>
    <t>t CO2e/ha/yr  Equation 27</t>
  </si>
  <si>
    <t>Input (Equation 39)</t>
  </si>
  <si>
    <t>When GHG(BSL-insitu-CO2, I, t) is not available, use GHG(BSL-soil-CO2,I,t) instead; Equation 38</t>
  </si>
  <si>
    <t>Equation 59</t>
  </si>
  <si>
    <t>Equation 62</t>
  </si>
  <si>
    <t>Input (equation 28, and equation 29)</t>
  </si>
  <si>
    <t>Input (equations 48, 49)</t>
  </si>
  <si>
    <t>Input (equations 56 and 57)</t>
  </si>
  <si>
    <t>Input</t>
  </si>
  <si>
    <t>Equation 36</t>
  </si>
  <si>
    <t>GHG(BSL-biomass)</t>
  </si>
  <si>
    <t>GHG(BSL-soil)</t>
  </si>
  <si>
    <t>GHG(BSL-fuel)</t>
  </si>
  <si>
    <t>GHG(BSL)</t>
  </si>
  <si>
    <t>ΔCTREE_BSL,i,t (AR Tool 14) t CO2e/yr</t>
  </si>
  <si>
    <t>ΔCSHRUB_BSL,i,t (AR Tool 14) t CO2e/yr</t>
  </si>
  <si>
    <t>ΔCBSL-tree/shrub,i,t (t C/yr) (Eq 24)</t>
  </si>
  <si>
    <t>ΔCBSL-herb,i,t (t C/yr)</t>
  </si>
  <si>
    <t>∆𝐶𝐵𝑆𝐿−𝑏𝑖𝑜𝑚𝑎𝑠𝑠,𝑖,t (equation 23)</t>
  </si>
  <si>
    <t>𝐺𝐻𝐺𝐵𝑆𝐿−𝑠𝑜𝑖𝑙,𝑖,t</t>
  </si>
  <si>
    <t>𝐺𝐻𝐺𝐵𝑆𝐿−𝑓𝑢𝑒𝑙,𝑖,t</t>
  </si>
  <si>
    <t>ET(FC,I,t) AR-Tool 5</t>
  </si>
  <si>
    <t>ΔCBSL-agbiomass,i,t; t C yr-1 (submergence)</t>
  </si>
  <si>
    <t>T</t>
  </si>
  <si>
    <t>Year of reporting</t>
  </si>
  <si>
    <t>Area submerged%</t>
  </si>
  <si>
    <t>ΔCBSL-agbiomass,i,t (equation 22) t C yr-1</t>
  </si>
  <si>
    <t>ΔCBSL-herb,i,t (Eq 25)</t>
  </si>
  <si>
    <t>Soil</t>
  </si>
  <si>
    <t>GHGBSL-soil-CO2,i,t (Eq 27)</t>
  </si>
  <si>
    <t>Deductionalloch (Eq 38)</t>
  </si>
  <si>
    <t>GHGBSL-soil-CH4,i,t</t>
  </si>
  <si>
    <t>GHGBSL-soil-N2O,i,t</t>
  </si>
  <si>
    <t>GHGBSL-soil,i,t (Eq 26)</t>
  </si>
  <si>
    <t>GHGBSL-insitu-CO2,i,t</t>
  </si>
  <si>
    <t>GHGBSL-eroded-CO2,i,t</t>
  </si>
  <si>
    <t>GHGBSL-excav-CO2,i,t</t>
  </si>
  <si>
    <t xml:space="preserve">ƒ (GHG emission proxy) </t>
  </si>
  <si>
    <t>Column5</t>
  </si>
  <si>
    <t>Column2</t>
  </si>
  <si>
    <t>Column3</t>
  </si>
  <si>
    <t>Column4</t>
  </si>
  <si>
    <t>GHGWPS-soil-CO2,i,t (Eq 36)</t>
  </si>
  <si>
    <t>ƒ (GHG emission proxy: CH4)</t>
  </si>
  <si>
    <t>GHGBSL-soil-CH4,i,t (Eq 59)</t>
  </si>
  <si>
    <t>GHGBSL-soil-N2O,i,t (Eq 62)</t>
  </si>
  <si>
    <t xml:space="preserve"> </t>
  </si>
  <si>
    <t>Net GHG emissions from soil in project scenario</t>
  </si>
  <si>
    <t>Net non-CO2 emissions from prescribed burning of herbaceous biomass and shrub in project scenario</t>
  </si>
  <si>
    <t>Table 1120</t>
  </si>
  <si>
    <t>Equation 70</t>
  </si>
  <si>
    <t>Equation 71</t>
  </si>
  <si>
    <t>Equation 73</t>
  </si>
  <si>
    <t>Equation 72</t>
  </si>
  <si>
    <t>Equation 69</t>
  </si>
  <si>
    <t>𝐶𝐴𝑉𝐺−𝑇𝑅𝐸𝐸,I cap will be done by Project proponent</t>
  </si>
  <si>
    <t>𝐶𝐴𝑉𝐺−𝑆𝐻𝑅𝑈𝐵,I cap will be done by project proponent</t>
  </si>
  <si>
    <t>Equation 75</t>
  </si>
  <si>
    <t>Equation 78</t>
  </si>
  <si>
    <t>Equation 74</t>
  </si>
  <si>
    <t>Equation 79</t>
  </si>
  <si>
    <t>t CO2e/ha/yr, Equation 80</t>
  </si>
  <si>
    <t>When GHG(BSL-insitu-CO2, I, t) is not available, use GHG(BSL-soil-CO2,I,t) instead</t>
  </si>
  <si>
    <t>input</t>
  </si>
  <si>
    <t>t CO2e/yr/ha</t>
  </si>
  <si>
    <t>Equation 82</t>
  </si>
  <si>
    <t>Equation 83</t>
  </si>
  <si>
    <t>Equation 81</t>
  </si>
  <si>
    <t>GHG(WPS-biomass)</t>
  </si>
  <si>
    <t>GHG(WPS-soil)</t>
  </si>
  <si>
    <t>GHG(WPS-fuel)</t>
  </si>
  <si>
    <t>GHG(WPS-burn)</t>
  </si>
  <si>
    <t>GHG(WPS) (Eq 69)</t>
  </si>
  <si>
    <t>ΔCTREE_PROJ,t (AR Tool 14) t CO2e/yr</t>
  </si>
  <si>
    <t>ΔCSHRUB_PROJ,t (AR Tool 14) t CO2e/yr</t>
  </si>
  <si>
    <t>ΔCWPS-tree/shrub,i,t (t C/yr) (Eq 75)</t>
  </si>
  <si>
    <t>ΔCWPS-herb,i,t (t C/yr)</t>
  </si>
  <si>
    <t>∆𝐶WPS−𝑏𝑖𝑜𝑚𝑎𝑠𝑠,𝑖,t (equation 74)</t>
  </si>
  <si>
    <t>𝐺𝐻𝐺WPS−𝑠𝑜𝑖𝑙,𝑖,t</t>
  </si>
  <si>
    <t>𝐺𝐻𝐺WPS−𝑓𝑢𝑒𝑙,𝑖,t</t>
  </si>
  <si>
    <t>ΔCWPS-herb,i,t (Eq 78)</t>
  </si>
  <si>
    <t>GHGWPS-soil-CO2,i,t</t>
  </si>
  <si>
    <t>Deductionalloch WPS (Eq 38)</t>
  </si>
  <si>
    <t>GHGWPS-soil-CH4,i,t</t>
  </si>
  <si>
    <t>GHGWPS-soil-N2O,i,t</t>
  </si>
  <si>
    <t>GHGWPS-soil,i,t</t>
  </si>
  <si>
    <t>GHGWPS-insitu-CO2,i,t</t>
  </si>
  <si>
    <t>GHGWPS-eroded-CO2,i,t</t>
  </si>
  <si>
    <t>GHGWPS-excav-CO2,i,t</t>
  </si>
  <si>
    <t>ƒ (GHG emission proxy) WPS</t>
  </si>
  <si>
    <t>GHGWPS-soil-CH4,i,t (Eq 59)</t>
  </si>
  <si>
    <t>GHGWPS-soil-N2O,i,t (Eq 62)</t>
  </si>
  <si>
    <t>CO2eN2O,i,t (Eq 82)</t>
  </si>
  <si>
    <t>CO2eCH4,i,t (Eq 83)</t>
  </si>
  <si>
    <t>GHGWPS-burn,i,t (Eq 81)</t>
  </si>
  <si>
    <t>Calculation of net GHG emissions reductions</t>
  </si>
  <si>
    <t>Equation 85</t>
  </si>
  <si>
    <t>SUM(GHGBSL-soil-CO2,i,t (Eq 27) * Ai,t)</t>
  </si>
  <si>
    <t>SUM(GHGWPS-soil-CO2,i,t* Ai,t)</t>
  </si>
  <si>
    <t>VMD0046</t>
  </si>
  <si>
    <t>pre-defined zero in system</t>
  </si>
  <si>
    <t>Net CO2e emission reductions from the RWE project activity; t CO2e</t>
  </si>
  <si>
    <t>Equation 92</t>
  </si>
  <si>
    <t>Net GHG emission reductions from the project activity up to year t, 
discarding non-CO2 emissions from soil and biomass burning and 
emissions from fossil fuel use</t>
  </si>
  <si>
    <t>Equation 94</t>
  </si>
  <si>
    <t>Equation 93</t>
  </si>
  <si>
    <t xml:space="preserve">GHGBSL-soil-CO2,t </t>
  </si>
  <si>
    <t>GHGBSL</t>
  </si>
  <si>
    <t>GHGWPS-soil-CO2,t</t>
  </si>
  <si>
    <t>GHG(WPS-soil)_Deduction</t>
  </si>
  <si>
    <t>GHGWPS</t>
  </si>
  <si>
    <t>GHGLK</t>
  </si>
  <si>
    <t>NERRWE (Eq 85)</t>
  </si>
  <si>
    <t>NERRWE Capped</t>
  </si>
  <si>
    <t>NERt</t>
  </si>
  <si>
    <t>NER(ERROR)</t>
  </si>
  <si>
    <t>Sum(GHGBSL-soil-CO2,i,t (Eq 27)-Deductionalloch (Eq 38)),t</t>
  </si>
  <si>
    <t>GHG(BSL-biomass),t</t>
  </si>
  <si>
    <t>Sum([@[GHGWPS-soil-CO2,i,t (Eq 80)]]-[@Deductionalloch])</t>
  </si>
  <si>
    <t>𝑁𝐸𝑅𝑠𝑡𝑜𝑐𝑘,t</t>
  </si>
  <si>
    <t>SOC_Max (maximum quantifity of emission reductions) is:</t>
  </si>
  <si>
    <t>baseline - project</t>
  </si>
  <si>
    <t>Deduction</t>
  </si>
  <si>
    <t>Ex Ante</t>
  </si>
  <si>
    <t>Ex Post</t>
  </si>
  <si>
    <r>
      <rPr>
        <sz val="11"/>
        <color theme="0"/>
        <rFont val="Aptos Narrow"/>
        <family val="2"/>
      </rPr>
      <t>∆</t>
    </r>
    <r>
      <rPr>
        <sz val="11"/>
        <color theme="0"/>
        <rFont val="Aptos Narrow"/>
        <family val="2"/>
        <scheme val="minor"/>
      </rPr>
      <t>CWPS-soil,i,t (tC/ha)</t>
    </r>
  </si>
  <si>
    <t>∆CBSL-soil,i,t (tC/ha)</t>
  </si>
  <si>
    <t>ΔCWPS-herb,i,t (tC/ha)</t>
  </si>
  <si>
    <t>ΔCBSL-herb,i,t (tC/ha)</t>
  </si>
  <si>
    <t>when (ERR_calculation_type == "Ex Ante") and (project_soil_SOC == "Included") and (soil_insitu_approach == "Field-collected data")</t>
  </si>
  <si>
    <t>when (ERR_calculation_type == "Ex Ante") and (baseline_soil_SOC == "Included") and (soil_insitu_approach == "Field-collected data")</t>
  </si>
  <si>
    <t>when (baseline_abground_nontree == "Included")</t>
  </si>
  <si>
    <t>Updated  (Feb 13)</t>
  </si>
  <si>
    <t>Updated (Feb 13)</t>
  </si>
  <si>
    <t>when (ERR_calculation_type == "Ex Ante") and (baseline_abground_nontree == "Included")</t>
  </si>
  <si>
    <t>when (ERR_calculation_type == "Ex Ante") and (project_abground_nontree == "Included")</t>
  </si>
  <si>
    <t>([@[GHGBSL-soil-CO2,i,t (Eq 27)]]-[@[Deductionalloch (Eq 38)]])*Ai,t</t>
  </si>
  <si>
    <t>Updated on Feb 13</t>
  </si>
  <si>
    <t>GHGBSL-soil-CO2,i,t (Eq 36)</t>
  </si>
  <si>
    <t>([@[GHGWPS-soil-CO2,i,t (Eq 27)]]-[@[Deductionalloch WPS (Eq 38)]])*Ai,t</t>
  </si>
  <si>
    <t>Ex Ante projection</t>
  </si>
  <si>
    <t>Ex Ante Projection</t>
  </si>
  <si>
    <t>Mineral soil</t>
  </si>
  <si>
    <t>?</t>
  </si>
  <si>
    <t>Total</t>
  </si>
  <si>
    <r>
      <rPr>
        <sz val="11"/>
        <rFont val="Aptos Narrow"/>
        <family val="2"/>
      </rPr>
      <t>∆</t>
    </r>
    <r>
      <rPr>
        <sz val="11"/>
        <rFont val="Aptos Narrow"/>
        <family val="2"/>
        <scheme val="minor"/>
      </rPr>
      <t>CWPS-soil,i,t (tC/ha)</t>
    </r>
  </si>
  <si>
    <t>when (project_aboveground_tree == "Included")</t>
  </si>
  <si>
    <t>when (project_aboveground_nontree == "Included")</t>
  </si>
  <si>
    <t>not rele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</si>
</sst>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
    <numFmt numFmtId="165" formatCode="0.00000000000000"/>
    <numFmt numFmtId="166" formatCode="0.0"/>
    <numFmt numFmtId="167" formatCode="0.00000000"/>
    <numFmt numFmtId="168" formatCode="0.000000000000000"/>
    <numFmt numFmtId="169" formatCode="0.0000000000000000"/>
    <numFmt numFmtId="170" formatCode="0.00000000000000000"/>
    <numFmt numFmtId="171" formatCode="0.000000000000000000000"/>
  </numFmts>
  <fonts count="28" x14ac:knownFonts="1">
    <font>
      <sz val="11"/>
      <color theme="1"/>
      <name val="Aptos Narrow"/>
      <family val="2"/>
      <scheme val="minor"/>
    </font>
    <font>
      <sz val="11"/>
      <color rgb="FFFF0000"/>
      <name val="Aptos Narrow"/>
      <family val="2"/>
      <scheme val="minor"/>
    </font>
    <font>
      <b/>
      <sz val="10.5"/>
      <color rgb="FFFFFFFF"/>
      <name val="Franklin Gothic Book"/>
      <family val="2"/>
    </font>
    <font>
      <sz val="11"/>
      <color theme="2" tint="-9.9978637043366805E-2"/>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
      <b/>
      <sz val="9.5"/>
      <color rgb="FFFFFFFF"/>
      <name val="Franklin Gothic Book"/>
      <family val="2"/>
    </font>
    <font>
      <i/>
      <sz val="9.5"/>
      <color rgb="FF766A62"/>
      <name val="Franklin Gothic Book"/>
      <family val="2"/>
    </font>
    <font>
      <b/>
      <sz val="18"/>
      <color theme="1"/>
      <name val="Aptos Narrow"/>
      <family val="2"/>
      <scheme val="minor"/>
    </font>
    <font>
      <b/>
      <sz val="15"/>
      <color theme="1"/>
      <name val="Aptos Narrow"/>
      <family val="2"/>
      <scheme val="minor"/>
    </font>
    <font>
      <sz val="11"/>
      <name val="Aptos Narrow"/>
      <family val="2"/>
      <scheme val="minor"/>
    </font>
    <font>
      <sz val="11"/>
      <color theme="1"/>
      <name val="Aptos Narrow"/>
      <family val="2"/>
      <scheme val="minor"/>
    </font>
    <font>
      <b/>
      <sz val="11"/>
      <name val="Aptos Narrow"/>
      <family val="2"/>
      <scheme val="minor"/>
    </font>
    <font>
      <sz val="9"/>
      <color indexed="81"/>
      <name val="Tahoma"/>
      <family val="2"/>
    </font>
    <font>
      <b/>
      <sz val="9"/>
      <color indexed="81"/>
      <name val="Tahoma"/>
      <family val="2"/>
    </font>
    <font>
      <b/>
      <sz val="16"/>
      <color theme="1"/>
      <name val="Aptos Narrow"/>
      <family val="2"/>
      <scheme val="minor"/>
    </font>
    <font>
      <b/>
      <sz val="11"/>
      <color theme="2" tint="-9.9978637043366805E-2"/>
      <name val="Aptos Narrow"/>
      <family val="2"/>
      <scheme val="minor"/>
    </font>
    <font>
      <b/>
      <sz val="11"/>
      <color theme="2"/>
      <name val="Aptos Narrow"/>
      <family val="2"/>
      <scheme val="minor"/>
    </font>
    <font>
      <b/>
      <sz val="11"/>
      <color theme="0" tint="-0.14999847407452621"/>
      <name val="Aptos Narrow"/>
      <family val="2"/>
      <scheme val="minor"/>
    </font>
    <font>
      <b/>
      <sz val="11"/>
      <color rgb="FFFF0000"/>
      <name val="Aptos Narrow"/>
      <family val="2"/>
      <scheme val="minor"/>
    </font>
    <font>
      <sz val="9"/>
      <color theme="1"/>
      <name val="Segoe UI"/>
      <family val="2"/>
    </font>
    <font>
      <sz val="11"/>
      <color theme="0"/>
      <name val="Aptos Narrow"/>
      <family val="2"/>
      <scheme val="minor"/>
    </font>
    <font>
      <strike/>
      <sz val="11"/>
      <color rgb="FFFF0000"/>
      <name val="Aptos Narrow"/>
      <family val="2"/>
      <scheme val="minor"/>
    </font>
    <font>
      <b/>
      <sz val="11"/>
      <color theme="1"/>
      <name val="Aptos Narrow"/>
      <family val="2"/>
      <scheme val="minor"/>
    </font>
    <font>
      <sz val="11"/>
      <color theme="0"/>
      <name val="Aptos Narrow"/>
      <family val="2"/>
    </font>
    <font>
      <b/>
      <i/>
      <sz val="9.5"/>
      <color rgb="FF00B050"/>
      <name val="Franklin Gothic Book"/>
      <family val="2"/>
    </font>
    <font>
      <sz val="11"/>
      <name val="Aptos Narrow"/>
      <family val="2"/>
    </font>
  </fonts>
  <fills count="12">
    <fill>
      <patternFill patternType="none"/>
    </fill>
    <fill>
      <patternFill patternType="gray125"/>
    </fill>
    <fill>
      <patternFill patternType="solid">
        <fgColor rgb="FF2B3957"/>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92D050"/>
        <bgColor indexed="64"/>
      </patternFill>
    </fill>
    <fill>
      <patternFill patternType="solid">
        <fgColor rgb="FFF2F2F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rgb="FFFFFFFF"/>
      </right>
      <top style="medium">
        <color indexed="64"/>
      </top>
      <bottom/>
      <diagonal/>
    </border>
    <border>
      <left/>
      <right style="medium">
        <color rgb="FFFFFFFF"/>
      </right>
      <top style="medium">
        <color indexed="64"/>
      </top>
      <bottom/>
      <diagonal/>
    </border>
    <border>
      <left/>
      <right style="medium">
        <color indexed="64"/>
      </right>
      <top style="medium">
        <color indexed="64"/>
      </top>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medium">
        <color indexed="64"/>
      </left>
      <right style="thin">
        <color indexed="64"/>
      </right>
      <top style="medium">
        <color indexed="64"/>
      </top>
      <bottom style="medium">
        <color indexed="64"/>
      </bottom>
      <diagonal/>
    </border>
    <border>
      <left/>
      <right/>
      <top style="thin">
        <color theme="4" tint="0.39997558519241921"/>
      </top>
      <bottom/>
      <diagonal/>
    </border>
    <border>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2" fillId="0" borderId="0" applyFont="0" applyFill="0" applyBorder="0" applyAlignment="0" applyProtection="0"/>
  </cellStyleXfs>
  <cellXfs count="2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1" fillId="0" borderId="0" xfId="0" applyFont="1"/>
    <xf numFmtId="0" fontId="0" fillId="0" borderId="3" xfId="0" applyBorder="1" applyAlignment="1">
      <alignment wrapText="1"/>
    </xf>
    <xf numFmtId="0" fontId="0" fillId="0" borderId="3" xfId="0" applyBorder="1"/>
    <xf numFmtId="0" fontId="0" fillId="0" borderId="8" xfId="0" applyBorder="1"/>
    <xf numFmtId="0" fontId="3" fillId="0" borderId="4" xfId="0" applyFont="1" applyBorder="1" applyAlignment="1">
      <alignment wrapText="1"/>
    </xf>
    <xf numFmtId="0" fontId="3" fillId="0" borderId="6" xfId="0" applyFont="1" applyBorder="1" applyAlignment="1">
      <alignment wrapText="1"/>
    </xf>
    <xf numFmtId="0" fontId="3" fillId="0" borderId="6" xfId="0" applyFont="1" applyBorder="1"/>
    <xf numFmtId="0" fontId="3" fillId="0" borderId="9" xfId="0" applyFont="1" applyBorder="1"/>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3" fillId="0" borderId="9" xfId="0" applyFont="1" applyBorder="1" applyAlignment="1">
      <alignment wrapText="1"/>
    </xf>
    <xf numFmtId="0" fontId="4" fillId="4" borderId="13" xfId="0" applyFont="1" applyFill="1" applyBorder="1"/>
    <xf numFmtId="0" fontId="0" fillId="5" borderId="13" xfId="0" applyFill="1" applyBorder="1"/>
    <xf numFmtId="0" fontId="0" fillId="0" borderId="13" xfId="0" applyBorder="1"/>
    <xf numFmtId="0" fontId="5" fillId="0" borderId="0" xfId="0" applyFont="1"/>
    <xf numFmtId="0" fontId="4" fillId="4" borderId="1" xfId="0" applyFont="1" applyFill="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4" fillId="4" borderId="22" xfId="0" applyFont="1" applyFill="1" applyBorder="1"/>
    <xf numFmtId="0" fontId="0" fillId="3" borderId="0" xfId="0" applyFill="1"/>
    <xf numFmtId="0" fontId="4" fillId="4" borderId="0" xfId="0" applyFont="1" applyFill="1"/>
    <xf numFmtId="0" fontId="0" fillId="5" borderId="0" xfId="0" applyFill="1"/>
    <xf numFmtId="0" fontId="0" fillId="6" borderId="0" xfId="0" applyFill="1"/>
    <xf numFmtId="0" fontId="0" fillId="3" borderId="13" xfId="0" applyFill="1" applyBorder="1"/>
    <xf numFmtId="0" fontId="0" fillId="0" borderId="23" xfId="0" applyBorder="1"/>
    <xf numFmtId="0" fontId="0" fillId="7" borderId="0" xfId="0" applyFill="1"/>
    <xf numFmtId="0" fontId="0" fillId="0" borderId="0" xfId="0" quotePrefix="1"/>
    <xf numFmtId="0" fontId="9" fillId="0" borderId="0" xfId="0" applyFont="1"/>
    <xf numFmtId="0" fontId="10" fillId="0" borderId="0" xfId="0" applyFont="1"/>
    <xf numFmtId="164" fontId="0" fillId="0" borderId="0" xfId="0" applyNumberFormat="1"/>
    <xf numFmtId="165" fontId="0" fillId="0" borderId="0" xfId="0" applyNumberFormat="1"/>
    <xf numFmtId="0" fontId="0" fillId="7" borderId="1" xfId="0" applyFill="1" applyBorder="1"/>
    <xf numFmtId="0" fontId="0" fillId="0" borderId="24" xfId="0" applyBorder="1"/>
    <xf numFmtId="0" fontId="4" fillId="4" borderId="25" xfId="0" applyFont="1" applyFill="1" applyBorder="1"/>
    <xf numFmtId="1" fontId="0" fillId="0" borderId="0" xfId="0" applyNumberFormat="1"/>
    <xf numFmtId="0" fontId="4" fillId="0" borderId="13" xfId="0" applyFont="1" applyBorder="1"/>
    <xf numFmtId="0" fontId="11" fillId="9" borderId="0" xfId="0" applyFont="1" applyFill="1"/>
    <xf numFmtId="0" fontId="1" fillId="0" borderId="0" xfId="0" applyFont="1" applyAlignment="1">
      <alignment wrapText="1"/>
    </xf>
    <xf numFmtId="166" fontId="0" fillId="0" borderId="0" xfId="0" applyNumberFormat="1"/>
    <xf numFmtId="0" fontId="11" fillId="9" borderId="0" xfId="0" applyFont="1" applyFill="1" applyAlignment="1">
      <alignment wrapText="1"/>
    </xf>
    <xf numFmtId="0" fontId="13" fillId="0" borderId="1" xfId="0" applyFont="1" applyBorder="1"/>
    <xf numFmtId="0" fontId="7" fillId="2" borderId="1" xfId="0" applyFont="1" applyFill="1" applyBorder="1" applyAlignment="1">
      <alignment vertical="center" wrapText="1"/>
    </xf>
    <xf numFmtId="0" fontId="8" fillId="8" borderId="1" xfId="0" applyFont="1" applyFill="1" applyBorder="1" applyAlignment="1">
      <alignment vertical="center" wrapText="1"/>
    </xf>
    <xf numFmtId="3" fontId="8" fillId="8" borderId="1" xfId="0" applyNumberFormat="1" applyFont="1" applyFill="1" applyBorder="1" applyAlignment="1">
      <alignment vertical="center" wrapText="1"/>
    </xf>
    <xf numFmtId="43" fontId="8" fillId="8" borderId="1" xfId="1" applyFont="1" applyFill="1" applyBorder="1" applyAlignment="1">
      <alignment vertical="center" wrapText="1"/>
    </xf>
    <xf numFmtId="43" fontId="0" fillId="0" borderId="0" xfId="0" applyNumberFormat="1"/>
    <xf numFmtId="0" fontId="11" fillId="0" borderId="0" xfId="0" applyFont="1"/>
    <xf numFmtId="0" fontId="0" fillId="0" borderId="18" xfId="0" applyBorder="1" applyAlignment="1">
      <alignment wrapText="1"/>
    </xf>
    <xf numFmtId="0" fontId="0" fillId="0" borderId="26" xfId="0" applyBorder="1"/>
    <xf numFmtId="0" fontId="0" fillId="0" borderId="27" xfId="0" applyBorder="1"/>
    <xf numFmtId="0" fontId="0" fillId="3" borderId="15" xfId="0" applyFill="1" applyBorder="1"/>
    <xf numFmtId="0" fontId="5" fillId="0" borderId="1" xfId="0" applyFont="1" applyBorder="1"/>
    <xf numFmtId="0" fontId="16" fillId="0" borderId="0" xfId="0" applyFont="1"/>
    <xf numFmtId="0" fontId="11" fillId="0" borderId="1" xfId="0" applyFont="1" applyBorder="1"/>
    <xf numFmtId="0" fontId="5" fillId="0" borderId="1" xfId="0" applyFont="1" applyBorder="1" applyAlignment="1">
      <alignment wrapText="1"/>
    </xf>
    <xf numFmtId="0" fontId="5" fillId="3" borderId="1" xfId="0" applyFont="1" applyFill="1" applyBorder="1"/>
    <xf numFmtId="0" fontId="17" fillId="0" borderId="6" xfId="0" applyFont="1" applyBorder="1" applyAlignment="1">
      <alignment wrapText="1"/>
    </xf>
    <xf numFmtId="0" fontId="17" fillId="0" borderId="6" xfId="0" applyFont="1" applyBorder="1"/>
    <xf numFmtId="0" fontId="19" fillId="0" borderId="6" xfId="0" applyFont="1" applyBorder="1" applyAlignment="1">
      <alignment wrapText="1"/>
    </xf>
    <xf numFmtId="0" fontId="20" fillId="0" borderId="0" xfId="0" applyFont="1"/>
    <xf numFmtId="0" fontId="0" fillId="3" borderId="21" xfId="0" applyFill="1" applyBorder="1"/>
    <xf numFmtId="0" fontId="5" fillId="3" borderId="0" xfId="0" applyFont="1" applyFill="1"/>
    <xf numFmtId="0" fontId="5" fillId="0" borderId="0" xfId="0" applyFont="1" applyAlignment="1">
      <alignment wrapText="1"/>
    </xf>
    <xf numFmtId="0" fontId="0" fillId="10" borderId="1" xfId="0" applyFill="1" applyBorder="1"/>
    <xf numFmtId="0" fontId="0" fillId="10" borderId="1" xfId="0" applyFill="1" applyBorder="1" applyAlignment="1">
      <alignment wrapText="1"/>
    </xf>
    <xf numFmtId="0" fontId="0" fillId="10" borderId="20" xfId="0" applyFill="1" applyBorder="1" applyAlignment="1">
      <alignment horizontal="center"/>
    </xf>
    <xf numFmtId="0" fontId="5" fillId="0" borderId="3" xfId="0" applyFont="1" applyBorder="1"/>
    <xf numFmtId="0" fontId="0" fillId="0" borderId="5" xfId="0" applyBorder="1"/>
    <xf numFmtId="0" fontId="0" fillId="0" borderId="5" xfId="0" applyBorder="1" applyAlignment="1">
      <alignment wrapText="1"/>
    </xf>
    <xf numFmtId="0" fontId="0" fillId="10" borderId="5" xfId="0" applyFill="1" applyBorder="1"/>
    <xf numFmtId="0" fontId="0" fillId="0" borderId="7" xfId="0" applyBorder="1"/>
    <xf numFmtId="0" fontId="5" fillId="0" borderId="23" xfId="0" applyFont="1" applyBorder="1"/>
    <xf numFmtId="0" fontId="5" fillId="0" borderId="31" xfId="0" applyFont="1" applyBorder="1"/>
    <xf numFmtId="0" fontId="0" fillId="0" borderId="31" xfId="0" applyBorder="1" applyAlignment="1">
      <alignment wrapText="1"/>
    </xf>
    <xf numFmtId="0" fontId="5" fillId="10" borderId="1" xfId="0" applyFont="1" applyFill="1" applyBorder="1"/>
    <xf numFmtId="0" fontId="0" fillId="0" borderId="31" xfId="0" applyBorder="1" applyAlignment="1">
      <alignment vertical="center" wrapText="1"/>
    </xf>
    <xf numFmtId="0" fontId="0" fillId="0" borderId="1" xfId="0" applyBorder="1" applyAlignment="1">
      <alignment vertical="center"/>
    </xf>
    <xf numFmtId="0" fontId="0" fillId="0" borderId="20" xfId="0" applyBorder="1" applyAlignment="1">
      <alignment vertical="center"/>
    </xf>
    <xf numFmtId="0" fontId="0" fillId="10" borderId="0" xfId="0" applyFill="1"/>
    <xf numFmtId="0" fontId="0" fillId="0" borderId="32" xfId="0" applyBorder="1"/>
    <xf numFmtId="0" fontId="5" fillId="0" borderId="29" xfId="0" applyFont="1" applyBorder="1"/>
    <xf numFmtId="0" fontId="0" fillId="0" borderId="29" xfId="0" applyBorder="1" applyAlignment="1">
      <alignment wrapText="1"/>
    </xf>
    <xf numFmtId="0" fontId="5" fillId="0" borderId="1" xfId="0" applyFont="1" applyBorder="1" applyAlignment="1">
      <alignment horizontal="center"/>
    </xf>
    <xf numFmtId="0" fontId="0" fillId="10" borderId="2" xfId="0" applyFill="1" applyBorder="1"/>
    <xf numFmtId="0" fontId="0" fillId="10" borderId="3" xfId="0" applyFill="1" applyBorder="1"/>
    <xf numFmtId="0" fontId="0" fillId="10" borderId="3" xfId="0" applyFill="1" applyBorder="1" applyAlignment="1">
      <alignment wrapText="1"/>
    </xf>
    <xf numFmtId="0" fontId="0" fillId="10" borderId="7" xfId="0" applyFill="1" applyBorder="1"/>
    <xf numFmtId="0" fontId="0" fillId="10" borderId="8" xfId="0" applyFill="1" applyBorder="1"/>
    <xf numFmtId="0" fontId="0" fillId="10" borderId="8" xfId="0" applyFill="1" applyBorder="1" applyAlignment="1">
      <alignment wrapText="1"/>
    </xf>
    <xf numFmtId="0" fontId="0" fillId="0" borderId="33" xfId="0" applyBorder="1"/>
    <xf numFmtId="0" fontId="0" fillId="0" borderId="29" xfId="0" applyBorder="1" applyAlignment="1">
      <alignment horizontal="center" wrapText="1"/>
    </xf>
    <xf numFmtId="0" fontId="0" fillId="0" borderId="29" xfId="0" applyBorder="1"/>
    <xf numFmtId="0" fontId="0" fillId="0" borderId="28" xfId="0" applyBorder="1" applyAlignment="1">
      <alignment wrapText="1"/>
    </xf>
    <xf numFmtId="0" fontId="0" fillId="0" borderId="29" xfId="0" applyBorder="1" applyAlignment="1">
      <alignment horizontal="center"/>
    </xf>
    <xf numFmtId="0" fontId="5" fillId="10" borderId="7" xfId="0" applyFont="1" applyFill="1" applyBorder="1"/>
    <xf numFmtId="0" fontId="5" fillId="10" borderId="8" xfId="0" applyFont="1" applyFill="1" applyBorder="1"/>
    <xf numFmtId="0" fontId="0" fillId="0" borderId="2" xfId="0" applyBorder="1"/>
    <xf numFmtId="0" fontId="0" fillId="0" borderId="39" xfId="0" applyBorder="1"/>
    <xf numFmtId="0" fontId="0" fillId="0" borderId="8" xfId="0" applyBorder="1" applyAlignment="1">
      <alignment wrapText="1"/>
    </xf>
    <xf numFmtId="0" fontId="0" fillId="0" borderId="40" xfId="0" applyBorder="1"/>
    <xf numFmtId="0" fontId="5" fillId="0" borderId="20" xfId="0" applyFont="1" applyBorder="1"/>
    <xf numFmtId="0" fontId="5" fillId="0" borderId="17" xfId="0" applyFont="1" applyBorder="1"/>
    <xf numFmtId="0" fontId="0" fillId="0" borderId="17" xfId="0" applyBorder="1" applyAlignment="1">
      <alignment vertical="center"/>
    </xf>
    <xf numFmtId="0" fontId="0" fillId="0" borderId="4" xfId="0" applyBorder="1" applyAlignment="1">
      <alignment vertical="center"/>
    </xf>
    <xf numFmtId="0" fontId="5" fillId="0" borderId="8" xfId="0" applyFont="1" applyBorder="1"/>
    <xf numFmtId="0" fontId="0" fillId="0" borderId="9" xfId="0" applyBorder="1" applyAlignment="1">
      <alignment vertical="center"/>
    </xf>
    <xf numFmtId="0" fontId="5" fillId="10" borderId="17" xfId="0" applyFont="1" applyFill="1" applyBorder="1"/>
    <xf numFmtId="0" fontId="0" fillId="10" borderId="17" xfId="0" applyFill="1" applyBorder="1" applyAlignment="1">
      <alignment wrapText="1"/>
    </xf>
    <xf numFmtId="0" fontId="0" fillId="0" borderId="6" xfId="0" applyBorder="1" applyAlignment="1">
      <alignment vertical="center"/>
    </xf>
    <xf numFmtId="0" fontId="0" fillId="0" borderId="29" xfId="0" applyBorder="1" applyAlignment="1">
      <alignment vertical="center"/>
    </xf>
    <xf numFmtId="0" fontId="13" fillId="0" borderId="0" xfId="0" applyFont="1" applyAlignment="1">
      <alignment wrapText="1"/>
    </xf>
    <xf numFmtId="0" fontId="0" fillId="0" borderId="37" xfId="0" applyBorder="1"/>
    <xf numFmtId="0" fontId="0" fillId="0" borderId="38" xfId="0" applyBorder="1"/>
    <xf numFmtId="0" fontId="0" fillId="10" borderId="34" xfId="0" applyFill="1" applyBorder="1"/>
    <xf numFmtId="0" fontId="0" fillId="10" borderId="20" xfId="0" applyFill="1" applyBorder="1"/>
    <xf numFmtId="0" fontId="13" fillId="0" borderId="0" xfId="0" applyFont="1"/>
    <xf numFmtId="0" fontId="0" fillId="10" borderId="36" xfId="0" applyFill="1" applyBorder="1"/>
    <xf numFmtId="0" fontId="1" fillId="9" borderId="0" xfId="0" applyFont="1" applyFill="1"/>
    <xf numFmtId="0" fontId="21" fillId="0" borderId="0" xfId="0" applyFont="1" applyAlignment="1">
      <alignment vertical="center" wrapText="1"/>
    </xf>
    <xf numFmtId="0" fontId="21" fillId="0" borderId="0" xfId="0" applyFont="1" applyAlignment="1">
      <alignment wrapText="1"/>
    </xf>
    <xf numFmtId="0" fontId="22" fillId="11" borderId="0" xfId="0" applyFont="1" applyFill="1"/>
    <xf numFmtId="0" fontId="0" fillId="0" borderId="44" xfId="0" applyBorder="1" applyAlignment="1">
      <alignment vertical="center" wrapText="1"/>
    </xf>
    <xf numFmtId="164" fontId="0" fillId="3" borderId="15" xfId="0" applyNumberFormat="1" applyFill="1" applyBorder="1"/>
    <xf numFmtId="164" fontId="11" fillId="3" borderId="15" xfId="0" applyNumberFormat="1" applyFont="1" applyFill="1" applyBorder="1"/>
    <xf numFmtId="0" fontId="23" fillId="0" borderId="1" xfId="0" applyFont="1" applyBorder="1"/>
    <xf numFmtId="0" fontId="23" fillId="0" borderId="0" xfId="0" applyFont="1"/>
    <xf numFmtId="0" fontId="24" fillId="0" borderId="20" xfId="0" applyFont="1" applyBorder="1"/>
    <xf numFmtId="0" fontId="22" fillId="4" borderId="25" xfId="0" applyFont="1" applyFill="1" applyBorder="1"/>
    <xf numFmtId="0" fontId="0" fillId="0" borderId="41" xfId="0" applyBorder="1"/>
    <xf numFmtId="0" fontId="1" fillId="0" borderId="42" xfId="0" applyFont="1" applyBorder="1"/>
    <xf numFmtId="0" fontId="20" fillId="0" borderId="8" xfId="0" applyFont="1" applyBorder="1"/>
    <xf numFmtId="0" fontId="1" fillId="0" borderId="8" xfId="0" applyFont="1" applyBorder="1"/>
    <xf numFmtId="0" fontId="1" fillId="0" borderId="9" xfId="0" applyFont="1" applyBorder="1" applyAlignment="1">
      <alignment vertical="center"/>
    </xf>
    <xf numFmtId="0" fontId="11" fillId="0" borderId="0" xfId="0" applyFont="1" applyAlignment="1">
      <alignment wrapText="1"/>
    </xf>
    <xf numFmtId="0" fontId="22" fillId="0" borderId="0" xfId="0" applyFont="1"/>
    <xf numFmtId="37" fontId="8" fillId="8" borderId="1" xfId="1" applyNumberFormat="1" applyFont="1" applyFill="1" applyBorder="1" applyAlignment="1">
      <alignment vertical="center" wrapText="1"/>
    </xf>
    <xf numFmtId="43" fontId="26" fillId="8" borderId="1" xfId="1" applyFont="1" applyFill="1" applyBorder="1" applyAlignment="1">
      <alignment vertical="center" wrapText="1"/>
    </xf>
    <xf numFmtId="0" fontId="11" fillId="0" borderId="5" xfId="0" applyFont="1" applyBorder="1"/>
    <xf numFmtId="0" fontId="11" fillId="0" borderId="20" xfId="0" applyFont="1" applyBorder="1"/>
    <xf numFmtId="0" fontId="11" fillId="0" borderId="1" xfId="0" applyFont="1" applyBorder="1" applyAlignment="1">
      <alignment vertical="center"/>
    </xf>
    <xf numFmtId="0" fontId="11" fillId="0" borderId="17" xfId="0" applyFont="1" applyBorder="1"/>
    <xf numFmtId="0" fontId="11" fillId="0" borderId="42" xfId="0" applyFont="1" applyBorder="1"/>
    <xf numFmtId="0" fontId="13" fillId="0" borderId="8" xfId="0" applyFont="1" applyBorder="1"/>
    <xf numFmtId="0" fontId="11" fillId="0" borderId="8" xfId="0" applyFont="1" applyBorder="1"/>
    <xf numFmtId="0" fontId="11" fillId="0" borderId="9" xfId="0" applyFont="1" applyBorder="1" applyAlignment="1">
      <alignment vertical="center"/>
    </xf>
    <xf numFmtId="0" fontId="11" fillId="3" borderId="1" xfId="0" applyFont="1" applyFill="1" applyBorder="1"/>
    <xf numFmtId="0" fontId="11" fillId="0" borderId="13" xfId="0" applyFont="1" applyBorder="1"/>
    <xf numFmtId="164" fontId="11" fillId="0" borderId="0" xfId="0" applyNumberFormat="1" applyFont="1"/>
    <xf numFmtId="0" fontId="0" fillId="10" borderId="1" xfId="0" applyFill="1" applyBorder="1" applyAlignment="1">
      <alignment horizontal="left"/>
    </xf>
    <xf numFmtId="0" fontId="0" fillId="10" borderId="18" xfId="0" applyFill="1" applyBorder="1"/>
    <xf numFmtId="0" fontId="0" fillId="10" borderId="15" xfId="0" applyFill="1" applyBorder="1"/>
    <xf numFmtId="0" fontId="22" fillId="4" borderId="13" xfId="0" applyFont="1" applyFill="1" applyBorder="1"/>
    <xf numFmtId="0" fontId="22" fillId="0" borderId="0" xfId="0" applyFont="1" applyAlignment="1">
      <alignment wrapText="1"/>
    </xf>
    <xf numFmtId="167" fontId="0" fillId="3" borderId="0" xfId="0" applyNumberFormat="1" applyFill="1"/>
    <xf numFmtId="168" fontId="0" fillId="6" borderId="0" xfId="0" applyNumberFormat="1" applyFill="1"/>
    <xf numFmtId="168" fontId="0" fillId="3" borderId="0" xfId="0" applyNumberFormat="1" applyFill="1"/>
    <xf numFmtId="169" fontId="0" fillId="3" borderId="0" xfId="0" applyNumberFormat="1" applyFill="1"/>
    <xf numFmtId="170" fontId="0" fillId="3" borderId="0" xfId="0" applyNumberFormat="1" applyFill="1"/>
    <xf numFmtId="171" fontId="0" fillId="6" borderId="0" xfId="0" applyNumberFormat="1" applyFill="1"/>
    <xf numFmtId="171" fontId="0" fillId="3" borderId="0" xfId="0" applyNumberFormat="1" applyFill="1"/>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8" xfId="0" applyFont="1" applyBorder="1" applyAlignment="1">
      <alignment horizontal="lef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left" wrapText="1"/>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38" xfId="0" applyBorder="1" applyAlignment="1">
      <alignment horizontal="center" vertical="center"/>
    </xf>
    <xf numFmtId="0" fontId="0" fillId="10" borderId="35"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43" xfId="0" applyFill="1" applyBorder="1" applyAlignment="1">
      <alignment horizontal="center" vertical="center" wrapText="1"/>
    </xf>
    <xf numFmtId="0" fontId="0" fillId="0" borderId="37" xfId="0" applyBorder="1" applyAlignment="1">
      <alignment horizontal="center"/>
    </xf>
    <xf numFmtId="0" fontId="0" fillId="0" borderId="30" xfId="0" applyBorder="1" applyAlignment="1">
      <alignment horizontal="center"/>
    </xf>
    <xf numFmtId="0" fontId="0" fillId="0" borderId="38" xfId="0" applyBorder="1" applyAlignment="1">
      <alignment horizontal="center"/>
    </xf>
    <xf numFmtId="0" fontId="0" fillId="0" borderId="41" xfId="0" applyBorder="1" applyAlignment="1">
      <alignment horizontal="center" vertical="center"/>
    </xf>
    <xf numFmtId="0" fontId="0" fillId="0" borderId="33" xfId="0" applyBorder="1" applyAlignment="1">
      <alignment horizontal="center" vertical="center"/>
    </xf>
    <xf numFmtId="0" fontId="0" fillId="0" borderId="42" xfId="0" applyBorder="1" applyAlignment="1">
      <alignment horizontal="center" vertical="center"/>
    </xf>
    <xf numFmtId="0" fontId="0" fillId="10" borderId="20" xfId="0" applyFill="1" applyBorder="1" applyAlignment="1">
      <alignment horizontal="center"/>
    </xf>
    <xf numFmtId="0" fontId="0" fillId="10" borderId="29" xfId="0" applyFill="1" applyBorder="1" applyAlignment="1">
      <alignment horizontal="center"/>
    </xf>
    <xf numFmtId="0" fontId="0" fillId="10" borderId="17" xfId="0" applyFill="1" applyBorder="1" applyAlignment="1">
      <alignment horizontal="center"/>
    </xf>
    <xf numFmtId="0" fontId="0" fillId="10" borderId="29" xfId="0" applyFill="1" applyBorder="1" applyAlignment="1">
      <alignment horizontal="left" vertical="center" wrapText="1"/>
    </xf>
    <xf numFmtId="0" fontId="0" fillId="10" borderId="17" xfId="0" applyFill="1" applyBorder="1" applyAlignment="1">
      <alignment horizontal="left" vertical="center" wrapText="1"/>
    </xf>
    <xf numFmtId="0" fontId="0" fillId="10" borderId="20" xfId="0" applyFill="1" applyBorder="1" applyAlignment="1">
      <alignment horizontal="left" vertical="center" wrapText="1"/>
    </xf>
    <xf numFmtId="0" fontId="0" fillId="10" borderId="20" xfId="0" applyFill="1" applyBorder="1" applyAlignment="1">
      <alignment horizontal="left" vertical="center"/>
    </xf>
    <xf numFmtId="0" fontId="0" fillId="10" borderId="29" xfId="0" applyFill="1" applyBorder="1" applyAlignment="1">
      <alignment horizontal="left" vertical="center"/>
    </xf>
    <xf numFmtId="0" fontId="0" fillId="10" borderId="17" xfId="0" applyFill="1" applyBorder="1" applyAlignment="1">
      <alignment horizontal="left" vertical="center"/>
    </xf>
    <xf numFmtId="0" fontId="0" fillId="10" borderId="29" xfId="0" applyFill="1" applyBorder="1" applyAlignment="1">
      <alignment vertical="center" wrapText="1"/>
    </xf>
    <xf numFmtId="0" fontId="0" fillId="10" borderId="17" xfId="0" applyFill="1" applyBorder="1" applyAlignment="1">
      <alignment vertical="center" wrapText="1"/>
    </xf>
    <xf numFmtId="0" fontId="0" fillId="10" borderId="20" xfId="0" applyFill="1" applyBorder="1" applyAlignment="1">
      <alignment vertical="center"/>
    </xf>
    <xf numFmtId="0" fontId="0" fillId="10" borderId="29" xfId="0" applyFill="1" applyBorder="1" applyAlignment="1">
      <alignment vertical="center"/>
    </xf>
    <xf numFmtId="0" fontId="0" fillId="10" borderId="17" xfId="0" applyFill="1" applyBorder="1" applyAlignment="1">
      <alignment vertical="center"/>
    </xf>
    <xf numFmtId="0" fontId="0" fillId="0" borderId="0" xfId="0" applyAlignment="1">
      <alignment horizontal="center"/>
    </xf>
    <xf numFmtId="0" fontId="8" fillId="8" borderId="1" xfId="0" applyFont="1" applyFill="1" applyBorder="1" applyAlignment="1">
      <alignment vertical="center" wrapText="1"/>
    </xf>
  </cellXfs>
  <cellStyles count="2">
    <cellStyle name="Comma" xfId="1" builtinId="3"/>
    <cellStyle name="Normal" xfId="0" builtinId="0"/>
  </cellStyles>
  <dxfs count="253">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0.000"/>
      <fill>
        <patternFill patternType="none">
          <fgColor indexed="64"/>
          <bgColor auto="1"/>
        </patternFill>
      </fill>
    </dxf>
    <dxf>
      <numFmt numFmtId="164" formatCode="0.000"/>
      <fill>
        <patternFill patternType="none">
          <fgColor indexed="64"/>
          <bgColor auto="1"/>
        </patternFill>
      </fill>
    </dxf>
    <dxf>
      <numFmt numFmtId="0" formatCode="General"/>
    </dxf>
    <dxf>
      <numFmt numFmtId="0" formatCode="General"/>
    </dxf>
    <dxf>
      <numFmt numFmtId="0" formatCode="Genera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numFmt numFmtId="0" formatCode="Genera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dxf>
    <dxf>
      <numFmt numFmtId="0" formatCode="General"/>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solid">
          <fgColor indexed="64"/>
          <bgColor rgb="FFFFFF00"/>
        </patternFill>
      </fill>
    </dxf>
    <dxf>
      <numFmt numFmtId="0" formatCode="General"/>
      <fill>
        <patternFill patternType="none">
          <fgColor indexed="64"/>
          <bgColor auto="1"/>
        </patternFill>
      </fil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Aptos Narrow"/>
        <family val="2"/>
        <scheme val="minor"/>
      </font>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166" formatCode="0.0"/>
    </dxf>
    <dxf>
      <numFmt numFmtId="166" formatCode="0.0"/>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0" formatCode="General"/>
    </dxf>
    <dxf>
      <fill>
        <patternFill patternType="none">
          <fgColor indexed="64"/>
          <bgColor auto="1"/>
        </patternFill>
      </fil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numFmt numFmtId="0" formatCode="General"/>
    </dxf>
    <dxf>
      <border diagonalUp="0" diagonalDown="0">
        <left/>
        <right/>
        <top style="thin">
          <color theme="4" tint="0.39997558519241921"/>
        </top>
        <bottom style="thin">
          <color theme="4" tint="0.39997558519241921"/>
        </bottom>
        <vertical/>
        <horizontal/>
      </border>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dxf>
    <dxf>
      <numFmt numFmtId="0" formatCode="General"/>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dxf>
    <dxf>
      <numFmt numFmtId="0" formatCode="Genera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solid">
          <fgColor indexed="64"/>
          <bgColor rgb="FFFFFF00"/>
        </patternFill>
      </fill>
    </dxf>
    <dxf>
      <numFmt numFmtId="0" formatCode="General"/>
      <fill>
        <patternFill patternType="none">
          <fgColor indexed="64"/>
          <bgColor auto="1"/>
        </patternFill>
      </fil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1" formatCode="0"/>
    </dxf>
    <dxf>
      <numFmt numFmtId="1" formatCode="0"/>
    </dxf>
    <dxf>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ont>
        <strike val="0"/>
        <outline val="0"/>
        <shadow val="0"/>
        <u val="none"/>
        <vertAlign val="baseline"/>
        <sz val="11"/>
        <color auto="1"/>
        <name val="Aptos Narrow"/>
        <family val="2"/>
        <scheme val="minor"/>
      </font>
      <numFmt numFmtId="0" formatCode="General"/>
      <fill>
        <patternFill patternType="none">
          <fgColor indexed="64"/>
          <bgColor auto="1"/>
        </patternFill>
      </fill>
    </dxf>
    <dxf>
      <numFmt numFmtId="0" formatCode="General"/>
      <fill>
        <patternFill patternType="none">
          <fgColor indexed="64"/>
          <bgColor auto="1"/>
        </patternFill>
      </fill>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0" formatCode="General"/>
    </dxf>
    <dxf>
      <numFmt numFmtId="164" formatCode="0.000"/>
    </dxf>
    <dxf>
      <numFmt numFmtId="164" formatCode="0.000"/>
    </dxf>
    <dxf>
      <numFmt numFmtId="0" formatCode="General"/>
    </dxf>
    <dxf>
      <numFmt numFmtId="0" formatCode="General"/>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167" formatCode="0.00000000"/>
      <fill>
        <patternFill patternType="solid">
          <fgColor indexed="64"/>
          <bgColor rgb="FFFFFF00"/>
        </patternFill>
      </fill>
    </dxf>
    <dxf>
      <numFmt numFmtId="169" formatCode="0.0000000000000000"/>
      <fill>
        <patternFill patternType="solid">
          <fgColor indexed="64"/>
          <bgColor rgb="FFFFFF00"/>
        </patternFill>
      </fill>
    </dxf>
    <dxf>
      <numFmt numFmtId="170" formatCode="0.00000000000000000"/>
      <fill>
        <patternFill patternType="solid">
          <fgColor indexed="64"/>
          <bgColor rgb="FFFFFF00"/>
        </patternFill>
      </fill>
    </dxf>
    <dxf>
      <fill>
        <patternFill patternType="solid">
          <fgColor indexed="64"/>
          <bgColor rgb="FFFFFF00"/>
        </patternFill>
      </fill>
    </dxf>
    <dxf>
      <numFmt numFmtId="168" formatCode="0.000000000000000"/>
      <fill>
        <patternFill patternType="solid">
          <fgColor indexed="64"/>
          <bgColor rgb="FFFFFF00"/>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ont>
        <b/>
      </font>
      <fill>
        <patternFill patternType="solid">
          <fgColor indexed="64"/>
          <bgColor rgb="FFFFFF00"/>
        </patternFill>
      </fill>
    </dxf>
    <dxf>
      <fill>
        <patternFill patternType="solid">
          <fgColor indexed="64"/>
          <bgColor rgb="FFFFFF00"/>
        </patternFill>
      </fill>
    </dxf>
    <dxf>
      <fill>
        <patternFill patternType="solid">
          <fgColor theme="4" tint="0.79998168889431442"/>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FFFF00"/>
        </patternFill>
      </fill>
      <border diagonalUp="0" diagonalDown="0">
        <left/>
        <right/>
        <top style="thin">
          <color theme="4" tint="0.39997558519241921"/>
        </top>
        <bottom style="thin">
          <color theme="4" tint="0.39997558519241921"/>
        </bottom>
        <vertical/>
        <horizontal/>
      </border>
    </dxf>
    <dxf>
      <fill>
        <patternFill patternType="solid">
          <fgColor indexed="64"/>
          <bgColor rgb="FFFFFF00"/>
        </patternFill>
      </fill>
    </dxf>
    <dxf>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00"/>
        </patternFill>
      </fill>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colors>
    <mruColors>
      <color rgb="FFECFD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1138238</xdr:colOff>
      <xdr:row>2</xdr:row>
      <xdr:rowOff>276225</xdr:rowOff>
    </xdr:from>
    <xdr:to>
      <xdr:col>4</xdr:col>
      <xdr:colOff>1652588</xdr:colOff>
      <xdr:row>2</xdr:row>
      <xdr:rowOff>666750</xdr:rowOff>
    </xdr:to>
    <xdr:sp macro="" textlink="">
      <xdr:nvSpPr>
        <xdr:cNvPr id="2" name="Arrow: Right 1">
          <a:extLst>
            <a:ext uri="{FF2B5EF4-FFF2-40B4-BE49-F238E27FC236}">
              <a16:creationId xmlns:a16="http://schemas.microsoft.com/office/drawing/2014/main" id="{3047FE87-84EB-3C58-7A11-5C0A73042E74}"/>
            </a:ext>
          </a:extLst>
        </xdr:cNvPr>
        <xdr:cNvSpPr/>
      </xdr:nvSpPr>
      <xdr:spPr>
        <a:xfrm>
          <a:off x="46153388" y="457200"/>
          <a:ext cx="514350" cy="390525"/>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628650</xdr:colOff>
      <xdr:row>45</xdr:row>
      <xdr:rowOff>161925</xdr:rowOff>
    </xdr:from>
    <xdr:to>
      <xdr:col>5</xdr:col>
      <xdr:colOff>724349</xdr:colOff>
      <xdr:row>59</xdr:row>
      <xdr:rowOff>114299</xdr:rowOff>
    </xdr:to>
    <xdr:pic>
      <xdr:nvPicPr>
        <xdr:cNvPr id="2" name="Picture 1">
          <a:extLst>
            <a:ext uri="{FF2B5EF4-FFF2-40B4-BE49-F238E27FC236}">
              <a16:creationId xmlns:a16="http://schemas.microsoft.com/office/drawing/2014/main" id="{48A374D9-71BC-432B-B90B-F5880182EECB}"/>
            </a:ext>
          </a:extLst>
        </xdr:cNvPr>
        <xdr:cNvPicPr>
          <a:picLocks noChangeAspect="1"/>
        </xdr:cNvPicPr>
      </xdr:nvPicPr>
      <xdr:blipFill>
        <a:blip xmlns:r="http://schemas.openxmlformats.org/officeDocument/2006/relationships" r:embed="rId1"/>
        <a:stretch>
          <a:fillRect/>
        </a:stretch>
      </xdr:blipFill>
      <xdr:spPr>
        <a:xfrm>
          <a:off x="1276350" y="9467850"/>
          <a:ext cx="4915349" cy="24860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352425</xdr:colOff>
      <xdr:row>45</xdr:row>
      <xdr:rowOff>153240</xdr:rowOff>
    </xdr:from>
    <xdr:to>
      <xdr:col>5</xdr:col>
      <xdr:colOff>991192</xdr:colOff>
      <xdr:row>57</xdr:row>
      <xdr:rowOff>19344</xdr:rowOff>
    </xdr:to>
    <xdr:pic>
      <xdr:nvPicPr>
        <xdr:cNvPr id="3" name="Picture 2">
          <a:extLst>
            <a:ext uri="{FF2B5EF4-FFF2-40B4-BE49-F238E27FC236}">
              <a16:creationId xmlns:a16="http://schemas.microsoft.com/office/drawing/2014/main" id="{254588B8-23EE-7ECB-FA83-E6C7B5AA8025}"/>
            </a:ext>
          </a:extLst>
        </xdr:cNvPr>
        <xdr:cNvPicPr>
          <a:picLocks noChangeAspect="1"/>
        </xdr:cNvPicPr>
      </xdr:nvPicPr>
      <xdr:blipFill>
        <a:blip xmlns:r="http://schemas.openxmlformats.org/officeDocument/2006/relationships" r:embed="rId1"/>
        <a:stretch>
          <a:fillRect/>
        </a:stretch>
      </xdr:blipFill>
      <xdr:spPr>
        <a:xfrm>
          <a:off x="1647825" y="9373440"/>
          <a:ext cx="4467817" cy="203780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iz Guinessey" id="{6F3ED161-477C-4B8A-8B7F-F8CE70AB22A3}" userId="eguinessey@verra.org" providerId="PeoplePicker"/>
  <person displayName="Qing (Summer) Xia" id="{A96D2900-7C63-4DD3-8E0E-97C9373E076F}" userId="S::QXia@verra.org::76051c39-8ab3-4b24-b6ec-7a9f52eb0dda" providerId="AD"/>
  <person displayName="Liz Guinessey" id="{46EF21BF-9964-4ED3-A81E-ECB7D7BD8E1B}" userId="S::eguinessey@verra.org::659a4c13-11f8-479f-b55a-5f0a008ec44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4CC20C6-C1A1-4BB7-A11A-CD8D83B3A78B}" name="Table24" displayName="Table24" ref="A1:C8" totalsRowShown="0" headerRowDxfId="252" headerRowBorderDxfId="251" tableBorderDxfId="250" totalsRowBorderDxfId="249">
  <autoFilter ref="A1:C8" xr:uid="{E4CC20C6-C1A1-4BB7-A11A-CD8D83B3A78B}"/>
  <tableColumns count="3">
    <tableColumn id="1" xr3:uid="{A53F4DF9-1312-4041-966B-85780D7D9B92}" name="Year t" dataDxfId="248"/>
    <tableColumn id="2" xr3:uid="{93B909BF-88E0-458B-AF2A-32BA7383196E}" name="FRP" dataDxfId="247"/>
    <tableColumn id="3" xr3:uid="{6CD85FB7-B0D1-4725-AB26-774CAE7419B4}" name="UI" dataDxfId="2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AB15100-98CE-40E1-8EDF-98E483690F51}" name="Table31" displayName="Table31" ref="A4:Y9" totalsRowShown="0" dataDxfId="245">
  <autoFilter ref="A4:Y9" xr:uid="{DAB15100-98CE-40E1-8EDF-98E483690F51}"/>
  <tableColumns count="25">
    <tableColumn id="1" xr3:uid="{CB9754C2-E35A-4A14-A91A-F7D1E55DAA03}" name="Stratum i"/>
    <tableColumn id="2" xr3:uid="{7934E9FF-B3B6-4A50-8967-3BA08590D476}" name="Soil type (t=0)" dataDxfId="244"/>
    <tableColumn id="3" xr3:uid="{471AC58A-43D2-45C5-82F2-9183DBC26E1E}" name="Depthpeat,i,t0" dataDxfId="243"/>
    <tableColumn id="4" xr3:uid="{99289466-BFA7-4145-9B2B-A04CF1682C72}" name="Ratepeatloss-BSL,I" dataDxfId="242"/>
    <tableColumn id="5" xr3:uid="{1D7C3C5D-E5E2-4D1F-BB0A-753628468955}" name="Soil disturbance type" dataDxfId="241"/>
    <tableColumn id="6" xr3:uid="{1E819317-F0EA-4DFC-A45B-6262EF5A01B2}" name="Drained more than 20 years ago before t = 0 as non peat soil" dataDxfId="240"/>
    <tableColumn id="7" xr3:uid="{7C577E2E-771C-4885-91CA-3E903C158B09}" name="Significant soil erosion as non peat soil" dataDxfId="239"/>
    <tableColumn id="8" xr3:uid="{919BB238-6EA4-4902-9E0E-8036876C787D}" name="Column1" dataDxfId="238"/>
    <tableColumn id="9" xr3:uid="{9F807290-988B-48BC-A502-2EAE4F1FD3D7}" name="Depthsoil,i,t0" dataDxfId="237"/>
    <tableColumn id="11" xr3:uid="{AE6510B2-3B99-4E62-AEED-B87DEB3A72B6}" name="RateCloss-BSL,i" dataDxfId="236"/>
    <tableColumn id="12" xr3:uid="{980B418C-28BB-4F17-90A2-5034BF0BABDD}" name="AWPS,i,t100" dataDxfId="235"/>
    <tableColumn id="13" xr3:uid="{E7918ACB-7437-4556-AB76-5CF55D4FF8C6}" name="ABSL,i,t100" dataDxfId="234"/>
    <tableColumn id="28" xr3:uid="{45DF720F-DA13-4BEC-925E-7A85B8DD6B30}" name="ABSL,i" dataDxfId="233"/>
    <tableColumn id="10" xr3:uid="{BDB8DAF2-1271-40CF-83A3-EE0B31F22E97}" name="AWPS,i" dataDxfId="232"/>
    <tableColumn id="14" xr3:uid="{E2F4B0A8-8CF7-45D1-BEEB-64FB10BC48CC}" name="VC,I (peat portion)" dataDxfId="231"/>
    <tableColumn id="16" xr3:uid="{A866498A-1900-4E70-8C7E-71161815262E}" name="VC,I (mineral soil portion)" dataDxfId="230"/>
    <tableColumn id="15" xr3:uid="{7EFB8295-D7E1-44FA-AFA1-140F2057534C}" name="ecosystem" dataDxfId="229"/>
    <tableColumn id="25" xr3:uid="{364BF811-0BAE-4CDE-864C-F3CEDD5EAF08}" name="Ratesubs-BSL,i" dataDxfId="228"/>
    <tableColumn id="30" xr3:uid="{DC524A41-D328-41D1-BC51-4CEED5B242A2}" name="Ratesubs-WPS,i" dataDxfId="227"/>
    <tableColumn id="31" xr3:uid="{91893CB7-8A65-40DB-BC2D-2F896497320A}" name="BD" dataDxfId="226"/>
    <tableColumn id="17" xr3:uid="{D989A7D0-D2EB-4929-9023-7EF2D57F7710}" name="%OMsoil (BSL)" dataDxfId="225"/>
    <tableColumn id="18" xr3:uid="{3B0A9113-9733-4359-8E94-8653E7DB2315}" name="%Csoil (BSL)" dataDxfId="224"/>
    <tableColumn id="19" xr3:uid="{1C960B53-A0DC-487E-84B2-EF5A16CD8EC3}" name="%OMdepsed (BSL)" dataDxfId="223"/>
    <tableColumn id="20" xr3:uid="{17DF0229-E095-4BD5-8261-4CE5A470177E}" name="%Cdepsed (BSL)" dataDxfId="222"/>
    <tableColumn id="26" xr3:uid="{C32852C9-B59D-49D1-93C6-574A2EE6B62C}" name="SA (BSL)" dataDxfId="2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DA73434-5F95-429C-B06E-49E2DABB9BB0}" name="Table34" displayName="Table34" ref="B4:H158" totalsRowShown="0" dataDxfId="220" tableBorderDxfId="219">
  <autoFilter ref="B4:H158" xr:uid="{DDA73434-5F95-429C-B06E-49E2DABB9BB0}"/>
  <tableColumns count="7">
    <tableColumn id="1" xr3:uid="{6274F2B0-3248-42FF-A779-48C90A3C2B0C}" name="year t" dataDxfId="218"/>
    <tableColumn id="2" xr3:uid="{65AEE1C0-6AE0-49FB-9DF4-2B20CFF42C0D}" name="stratum i" dataDxfId="217"/>
    <tableColumn id="7" xr3:uid="{EDF6889B-CF8D-4854-B93C-BA0F0BA70746}" name="Submergence" dataDxfId="216"/>
    <tableColumn id="3" xr3:uid="{9FB49854-4CE7-40FF-B8A6-66D52B1780FB}" name="Submergence_T" dataDxfId="215"/>
    <tableColumn id="4" xr3:uid="{FCF7D5FC-BDC3-418B-A4E5-336E6031A7FB}" name="Area submerged %" dataDxfId="214"/>
    <tableColumn id="5" xr3:uid="{26C52729-4FAE-4CDF-AA6C-BC71D06A58E5}" name="CBSL-agbiomass,i,t (AR tool 14, tC)" dataDxfId="213"/>
    <tableColumn id="6" xr3:uid="{0921235C-7AC3-4E6C-8610-BCD0EB431799}" name="CBSL-agbiomass,i,t-T (AR tool 14, tC)" dataDxfId="2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FA89379-9965-47F7-9AAF-3385B44756E0}" name="Table32" displayName="Table32" ref="A4:G158" totalsRowShown="0" headerRowDxfId="211" headerRowBorderDxfId="210" tableBorderDxfId="209">
  <autoFilter ref="A4:G158" xr:uid="{3FA89379-9965-47F7-9AAF-3385B44756E0}"/>
  <tableColumns count="7">
    <tableColumn id="1" xr3:uid="{B0166A93-2D66-4815-BD08-52AB65A7A3C4}" name="year t" dataDxfId="208"/>
    <tableColumn id="2" xr3:uid="{1814D9EA-B866-48EF-AE12-049F71B2E119}" name="stratum i" dataDxfId="207"/>
    <tableColumn id="41" xr3:uid="{0BDE1C21-7A2E-4277-818B-5983CD88005F}" name="Ai,t" dataDxfId="206"/>
    <tableColumn id="3" xr3:uid="{C1E5A2A8-6041-4D16-8638-B49537302C2E}" name="ΔCTREE_BSL,i,t (AR Tool 14) t C/yr" dataDxfId="205"/>
    <tableColumn id="51" xr3:uid="{8A3BACD6-4060-47BD-9D67-FC93436884A7}" name="ΔCTREE_PROJ,i,t (AR Tool 14) t C/yr" dataDxfId="204"/>
    <tableColumn id="53" xr3:uid="{775E0CAD-FB25-4D59-9A1F-83F21795D8CA}" name="%Calloch WPS" dataDxfId="203"/>
    <tableColumn id="7" xr3:uid="{EC8093DC-FFF8-4027-9264-0B12EF5F6783}" name="∆CWPS-soil,i,t (tC/ha)" dataDxfId="20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6B06D-2D0E-4AAD-B0A2-9D4F8AD1E1FA}" name="Table1" displayName="Table1" ref="B7:H36" totalsRowShown="0">
  <autoFilter ref="B7:H36" xr:uid="{61D6B06D-2D0E-4AAD-B0A2-9D4F8AD1E1FA}"/>
  <tableColumns count="7">
    <tableColumn id="1" xr3:uid="{E9D11B12-632D-4177-BF63-64190DB050E8}" name="stratum i"/>
    <tableColumn id="5" xr3:uid="{0D6EEDA0-9010-4A04-8527-16D1DB990233}" name="Soil type (at Project Start)"/>
    <tableColumn id="2" xr3:uid="{21479AEE-520F-4BEE-B13C-08A638FE0167}" name="Depthpeat,i,t0"/>
    <tableColumn id="3" xr3:uid="{725FE6F9-F16F-412F-9DB7-24D8F42CB5C3}" name="Ratepeatloss-BSL,I"/>
    <tableColumn id="4" xr3:uid="{05F342A0-BCD6-4D47-92B9-D8264AC3FE43}" name="tPDT-BSL,i"/>
    <tableColumn id="6" xr3:uid="{5B949C7A-FA86-49E8-A9FE-93B21A5007E4}" name="Start_PDT"/>
    <tableColumn id="7" xr3:uid="{C2CCCA5F-47CE-486F-878D-7EAD791D673D}" name="End_PD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A190DE-EC9A-40A0-A6CA-550AF62EA2E4}" name="Table2" displayName="Table2" ref="J7:X36" totalsRowShown="0">
  <autoFilter ref="J7:X36" xr:uid="{D6A190DE-EC9A-40A0-A6CA-550AF62EA2E4}"/>
  <tableColumns count="15">
    <tableColumn id="1" xr3:uid="{CCA34199-E3A0-4F52-9F75-92E117A3738E}" name="stratum i"/>
    <tableColumn id="2" xr3:uid="{2CDC9399-0F6A-4431-B185-D3317F9CF4EF}" name="Soil disturbance type" dataDxfId="201">
      <calculatedColumnFormula>INDEX(Table31[[#All],[Soil disturbance type]], MATCH(Table2[[#This Row],[stratum i]], Table31[[#All],[Stratum i]]))</calculatedColumnFormula>
    </tableColumn>
    <tableColumn id="8" xr3:uid="{5B021FDD-7C40-491E-86A3-2EA88915C3AC}" name="Drained more than 20 years ago before t = 0?"/>
    <tableColumn id="9" xr3:uid="{E40EED74-ECC1-4199-9188-B75B9C7580C6}" name="Significant soil erosion in baseline scenario?"/>
    <tableColumn id="7" xr3:uid="{6DB15354-37BD-4502-95F8-99C3D68B6198}" name="tPDT-BSL,i" dataDxfId="200">
      <calculatedColumnFormula>INDEX(Table1[[#All],[tPDT-BSL,i]], MATCH(Table2[[#This Row],[stratum i]], Table1[[#All],[stratum i]]))</calculatedColumnFormula>
    </tableColumn>
    <tableColumn id="6" xr3:uid="{B3B301DE-48AA-4825-9E54-8223E9FEA84C}" name="Number of crediting years"/>
    <tableColumn id="12" xr3:uid="{265E94A8-BDBC-41D1-93C9-772C187139D9}" name="Depthsoil,i,t0"/>
    <tableColumn id="11" xr3:uid="{0344E4FF-AA7E-4C2C-BAA8-77BF72906A74}" name="VC, I (mineral soil portion)" dataDxfId="199">
      <calculatedColumnFormula>INDEX(#REF!, MATCH(Table2[[#This Row],[stratum i]], Table31[[#All],[Stratum i]]))</calculatedColumnFormula>
    </tableColumn>
    <tableColumn id="3" xr3:uid="{809395AF-699F-4CBB-A2C6-C98857D6C7F6}" name="CBSL,i,t0"/>
    <tableColumn id="4" xr3:uid="{36059B57-DF42-42E4-9F48-FF56859B3046}" name="RateCloss-BSL,i" dataDxfId="198"/>
    <tableColumn id="5" xr3:uid="{104D14E8-1994-41A7-A5BD-27471EB207E7}" name="tSDT-BSL,i"/>
    <tableColumn id="15" xr3:uid="{5473EB50-9F8C-4019-99D8-FDAAFD444E46}" name="Start_PDT" dataDxfId="197"/>
    <tableColumn id="14" xr3:uid="{F92519C3-3FC4-47A4-AA54-2F720C145ACD}" name="End_PDT"/>
    <tableColumn id="10" xr3:uid="{9D6D933B-E2DC-4940-A91E-861E1225E48A}" name="Start_SDT"/>
    <tableColumn id="13" xr3:uid="{5B42FB7E-F202-4A4D-824C-38045F83D0A7}" name="End_SD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F48C1B-EBAF-4AA8-BC9C-CF08BDDE0E4B}" name="Table3" displayName="Table3" ref="C19:H37" totalsRowShown="0">
  <autoFilter ref="C19:H37" xr:uid="{A0F48C1B-EBAF-4AA8-BC9C-CF08BDDE0E4B}"/>
  <tableColumns count="6">
    <tableColumn id="1" xr3:uid="{9BE933E5-7C45-41D6-B659-7ACAF5B615FA}" name="stratum i"/>
    <tableColumn id="8" xr3:uid="{C663FC57-0B52-4A0C-BA7E-CC82A0915D3E}" name="Soil Type" dataDxfId="196">
      <calculatedColumnFormula>INDEX(Table1[[#All],[Soil type (at Project Start)]], MATCH(Table3[[#This Row],[stratum i]], Table1[[#All],[stratum i]]))</calculatedColumnFormula>
    </tableColumn>
    <tableColumn id="2" xr3:uid="{2865C677-444E-4B64-AF59-D84D7588163C}" name="𝐶𝑊𝑃𝑆,i, t100" dataDxfId="195">
      <calculatedColumnFormula>IF(Table3[[#This Row],[Soil Type]]="Organic soil", INDEX(Table5[[#All],[CWPS,i,t100 (organic soil)]], MATCH(Table3[[#This Row],[stratum i]], Table5[[#All],[i]])), INDEX(Table5[[#All],[𝐶𝑊𝑃𝑆,𝑖,𝑡100 (mineral soil)]], MATCH(Table3[[#This Row],[stratum i]], Table5[[#All],[i]])))</calculatedColumnFormula>
    </tableColumn>
    <tableColumn id="3" xr3:uid="{A8E35976-6466-4399-B95B-4729C30715E3}" name="AWPS,i,t100"/>
    <tableColumn id="4" xr3:uid="{D07C64FC-6967-4801-A40A-E55ECC74B3FB}" name="CBSL,i,t100" dataDxfId="194">
      <calculatedColumnFormula>IF(Table3[[#This Row],[Soil Type]]="Organic soil", INDEX(Table5[[#All],[CBSL,i,t100 (organic soil)]], MATCH(Table3[[#This Row],[stratum i]], Table5[[#All],[i]])), INDEX(Table5[[#All],[𝐶𝐵𝑆𝐿,𝑖,𝑡100 (mineral soil)]], MATCH(Table3[[#This Row],[stratum i]], Table5[[#All],[i]])))</calculatedColumnFormula>
    </tableColumn>
    <tableColumn id="5" xr3:uid="{3AD64729-CD7F-4B14-BF94-1B7770E058DA}" name="ABSL,i,t10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262C6E-4AB2-4CD9-A8FB-DBB36BE274F1}" name="Table4" displayName="Table4" ref="C8:H16" totalsRowShown="0">
  <autoFilter ref="C8:H16" xr:uid="{44262C6E-4AB2-4CD9-A8FB-DBB36BE274F1}"/>
  <tableColumns count="6">
    <tableColumn id="1" xr3:uid="{A34484F3-66D3-4862-9E4C-1F15071829FB}" name="Project instance"/>
    <tableColumn id="2" xr3:uid="{2821DB18-5115-4226-A385-F3D6916F0EF8}" name="∑ 𝐶𝑊𝑃𝑆,𝑖,𝑡100 × 𝐴𝑊𝑃𝑆,𝑖,𝑡00" dataDxfId="193">
      <calculatedColumnFormula array="1">SUMPRODUCT(($E$21:$E$25)*($F$21:$F$25))</calculatedColumnFormula>
    </tableColumn>
    <tableColumn id="3" xr3:uid="{35668154-0425-4DD0-976B-1AAF8A40B461}" name=" ∑ 𝐶𝐵𝑆𝐿,𝑖,𝑡100 × 𝐴𝐵𝑆𝐿,𝑖,𝑡100" dataDxfId="192">
      <calculatedColumnFormula array="1">SUMPRODUCT(($G$21:$G$25)*($H$21:$H$25))</calculatedColumnFormula>
    </tableColumn>
    <tableColumn id="4" xr3:uid="{33D21030-ACD0-4618-B119-2A498295E570}" name="[@[∑ 𝐶𝑊𝑃𝑆,𝑖,𝑡100 × 𝐴𝑊𝑃𝑆,𝑖,𝑡00]]&gt;=1.05*[@[ ∑ 𝐶𝐵𝑆𝐿,𝑖,𝑡100 × 𝐴𝐵𝑆𝐿,𝑖,𝑡100]]?" dataDxfId="191">
      <calculatedColumnFormula>IF(Table4[[#This Row],[∑ 𝐶𝑊𝑃𝑆,𝑖,𝑡100 × 𝐴𝑊𝑃𝑆,𝑖,𝑡00]]&gt;=1.05*Table4[[#This Row],[ ∑ 𝐶𝐵𝑆𝐿,𝑖,𝑡100 × 𝐴𝐵𝑆𝐿,𝑖,𝑡100]], TRUE, FALSE)</calculatedColumnFormula>
    </tableColumn>
    <tableColumn id="5" xr3:uid="{9FD79193-81F9-49C4-B1C3-E6B1E58CA738}" name="𝐶𝑊𝑃𝑆−𝐵𝑆𝐿,𝑡100 (Total stock approach)" dataDxfId="190">
      <calculatedColumnFormula>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calculatedColumnFormula>
    </tableColumn>
    <tableColumn id="6" xr3:uid="{C8CFD1C5-9C1D-4BD9-A592-678B2410C08C}" name="CWPS-BSL,t100 (Stock-loss approach)" dataDxfId="189">
      <calculatedColumnFormula>SUM(Table8[[#All],['[@'[𝐶𝑙𝑜𝑠𝑠−𝐵𝑆𝐿,𝑖,𝑡100']']*'[@'[ABSL,i']']]])-SUM(Table8[[#All],['[@'[𝐶𝑙𝑜𝑠𝑠−𝑊𝑃𝑆,𝑖,𝑡,100']']*'[@'[AWPS,i']']]])</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C7E6C0-2D11-44CD-9A96-09977788032C}" name="Table5" displayName="Table5" ref="C40:N47" totalsRowShown="0" headerRowDxfId="188" headerRowBorderDxfId="187" tableBorderDxfId="186" totalsRowBorderDxfId="185">
  <autoFilter ref="C40:N47" xr:uid="{5EC7E6C0-2D11-44CD-9A96-09977788032C}"/>
  <tableColumns count="12">
    <tableColumn id="1" xr3:uid="{AF3935D4-DEED-4E5C-ADA2-5FC50A0B47AC}" name="i" dataDxfId="184"/>
    <tableColumn id="9" xr3:uid="{A1E11164-8D72-4446-8DF4-67F0C4ECDA67}" name="𝐷𝑒𝑝𝑡ℎ𝑝𝑒𝑎𝑡,𝑖,𝑡,0" dataDxfId="183">
      <calculatedColumnFormula>INDEX(Table1[[#All],[Depthpeat,i,t0]], MATCH(Table5[[#This Row],[i]], Table1[[#All],[stratum i]]))</calculatedColumnFormula>
    </tableColumn>
    <tableColumn id="2" xr3:uid="{27DBDF6A-29EE-4D74-8EF1-9B2D574EE4E5}" name="Depthpeat-WPS,i,t100" dataDxfId="182">
      <calculatedColumnFormula>IF(Table5[[#This Row],[𝐷𝑒𝑝𝑡ℎ𝑝𝑒𝑎𝑡,𝑖,𝑡,0]]- SUMIF(#REF!, Table5[[#This Row],[i]],#REF!)&lt;= 0, 0, Table5[[#This Row],[𝐷𝑒𝑝𝑡ℎ𝑝𝑒𝑎𝑡,𝑖,𝑡,0]]- SUMIF(#REF!, Table5[[#This Row],[i]],#REF!))</calculatedColumnFormula>
    </tableColumn>
    <tableColumn id="3" xr3:uid="{07183B71-A777-414C-BB09-127923D0366E}" name="VC,I (peat portion)" dataDxfId="181">
      <calculatedColumnFormula>INDEX(Table31[[#All],[VC,I (peat portion)]], MATCH(Table5[[#This Row],[i]], Table31[[#All],[Stratum i]]))</calculatedColumnFormula>
    </tableColumn>
    <tableColumn id="4" xr3:uid="{F30B2A41-00A9-4FF6-B32C-C76BD1463190}" name="CWPS,i,t100 (organic soil)" dataDxfId="180">
      <calculatedColumnFormula>IF(Table5[[#This Row],[Soil type]]="Peat soil", Table5[[#This Row],[Depthpeat-WPS,i,t100]]*Table5[[#This Row],[VC,I (peat portion)]]*10, 0)</calculatedColumnFormula>
    </tableColumn>
    <tableColumn id="5" xr3:uid="{88B8AF86-D799-4CEF-9AD6-8C3DC1980EE3}" name="Depthpeat-BSL,i,t100" dataDxfId="179">
      <calculatedColumnFormula>IF(Table5[[#This Row],[𝐷𝑒𝑝𝑡ℎ𝑝𝑒𝑎𝑡,𝑖,𝑡,0]]-100*INDEX(Table1[[#All],[Ratepeatloss-BSL,I]], MATCH(Table5[[#This Row],[i]], Table1[[#All],[stratum i]])) &lt;=0, 0, Table5[[#This Row],[𝐷𝑒𝑝𝑡ℎ𝑝𝑒𝑎𝑡,𝑖,𝑡,0]]-100*INDEX(Table1[[#All],[Ratepeatloss-BSL,I]], MATCH(Table5[[#This Row],[i]], Table1[[#All],[stratum i]])))</calculatedColumnFormula>
    </tableColumn>
    <tableColumn id="7" xr3:uid="{BCEAFC44-742F-40FE-85B9-0DA04B9BB919}" name="CBSL,i,t100 (organic soil)" dataDxfId="178">
      <calculatedColumnFormula>IF(Table5[[#This Row],[Soil type]]="Peat soil", Table5[[#This Row],[Depthpeat-BSL,i,t100]]*Table5[[#This Row],[VC,I (peat portion)]]*10, 0)</calculatedColumnFormula>
    </tableColumn>
    <tableColumn id="6" xr3:uid="{63A88330-08F5-4F84-8636-E9213F69F4E2}" name="Remaining years after peat depletion (BSL)" dataDxfId="177">
      <calculatedColumnFormula>IFERROR(100 - (Table5[[#This Row],[𝐷𝑒𝑝𝑡ℎ𝑝𝑒𝑎𝑡,𝑖,𝑡,0]]/INDEX(Table1[[#All],[Ratepeatloss-BSL,I]], MATCH(Table5[[#This Row],[i]], Table1[[#All],[stratum i]]))), 100)</calculatedColumnFormula>
    </tableColumn>
    <tableColumn id="10" xr3:uid="{BF92D32E-737C-4859-9B7B-58A36CEC8396}" name="𝐶𝐵𝑆𝐿,𝑖,𝑡100 (mineral soil)" dataDxfId="176">
      <calculatedColumnFormula>IF(Table5[[#This Row],[𝐶𝐵𝑆𝐿,𝑖,𝑡0]]-Table5[[#This Row],[Remaining years after peat depletion (BSL)]]*INDEX(Table2[[#All],[RateCloss-BSL,i]], MATCH(Table5[[#This Row],[i]], Table2[[#All],[stratum i]]))&gt;0, Table5[[#This Row],[𝐶𝐵𝑆𝐿,𝑖,𝑡0]]-100*INDEX(Table2[[#All],[RateCloss-BSL,i]], MATCH(Table5[[#This Row],[i]], Table2[[#All],[stratum i]])), 0)</calculatedColumnFormula>
    </tableColumn>
    <tableColumn id="11" xr3:uid="{38AD0B2D-363E-4D89-BEDA-87925B7BFC0C}" name="𝐶𝑊𝑃𝑆,𝑖,𝑡100 (mineral soil)" dataDxfId="175">
      <calculatedColumnFormula>IF((Table5[[#This Row],[𝐶𝐵𝑆𝐿,𝑖,𝑡0]]- SUMIF(#REF!, Table5[[#This Row],[i]],#REF!))&gt;0, (Table5[[#This Row],[𝐶𝐵𝑆𝐿,𝑖,𝑡0]]- SUMIF(#REF!, Table5[[#This Row],[i]],#REF!)), 0)</calculatedColumnFormula>
    </tableColumn>
    <tableColumn id="12" xr3:uid="{648E61CE-CEA8-4543-8612-5A4B8DE38B5F}" name="𝐶𝐵𝑆𝐿,𝑖,𝑡0" dataDxfId="174">
      <calculatedColumnFormula>INDEX(Table2[[#All],[CBSL,i,t0]], MATCH(Table5[[#This Row],[i]], Table2[[#All],[stratum i]]))</calculatedColumnFormula>
    </tableColumn>
    <tableColumn id="13" xr3:uid="{0BE14CA8-B57B-486B-BBBC-11C5A52C4759}" name="Soil type" dataDxfId="173">
      <calculatedColumnFormula>INDEX(Table3[[#All],[Soil Type]], MATCH(Table5[[#This Row],[i]], Table3[[#All],[stratum i]]))</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44771F1-9457-431A-8CCC-CBA5051C28B5}" name="Table8" displayName="Table8" ref="R19:Y37" totalsRowShown="0" tableBorderDxfId="172">
  <autoFilter ref="R19:Y37" xr:uid="{144771F1-9457-431A-8CCC-CBA5051C28B5}"/>
  <tableColumns count="8">
    <tableColumn id="1" xr3:uid="{0D25C3B5-6682-46F8-9787-B385D8743DED}" name="i" dataDxfId="171"/>
    <tableColumn id="2" xr3:uid="{C47922C2-520B-4B73-933F-DA660679D6A9}" name="Soil Type" dataDxfId="170"/>
    <tableColumn id="3" xr3:uid="{9EFE785D-84C4-4B78-9233-27F046E73E62}" name="𝐶𝑙𝑜𝑠𝑠−𝐵𝑆𝐿,𝑖,𝑡100" dataDxfId="169">
      <calculatedColumnFormula>IF(Table8[[#This Row],[Soil Type]]="Organic soil", INDEX(Table9[[#All],[𝐶𝑙𝑜𝑠𝑠−𝐵𝑆𝐿,𝑡,100 (organic soil)]], MATCH(Table8[[#This Row],[i]],Table9[[#All],[i]])), INDEX(Table9[[#All],[𝐶𝑙𝑜𝑠𝑠−𝐵𝑆𝐿,𝑡,100 (mineral soil)]], MATCH(Table8[[#This Row],[i]], Table9[[#All],[i]])))</calculatedColumnFormula>
    </tableColumn>
    <tableColumn id="4" xr3:uid="{A2900A1C-6357-41D8-A714-FC3A182D44CF}" name="ABSL,i"/>
    <tableColumn id="5" xr3:uid="{1AE50447-B45E-4B56-83A4-25BDF76FC601}" name="𝐶𝑙𝑜𝑠𝑠−𝑊𝑃𝑆,𝑖,𝑡,100"/>
    <tableColumn id="6" xr3:uid="{9E464730-80E7-4A86-B4B7-87149CC683CD}" name="AWPS,i"/>
    <tableColumn id="8" xr3:uid="{1B6569D4-00A8-417A-97F3-5D300B687A2B}" name="[@[𝐶𝑙𝑜𝑠𝑠−𝐵𝑆𝐿,𝑖,𝑡100]]*[@[ABSL,i]]" dataDxfId="168">
      <calculatedColumnFormula>Table8[[#This Row],[𝐶𝑙𝑜𝑠𝑠−𝐵𝑆𝐿,𝑖,𝑡100]]*Table8[[#This Row],[ABSL,i]]</calculatedColumnFormula>
    </tableColumn>
    <tableColumn id="9" xr3:uid="{A4EB1CAC-161C-4F8D-A2D9-0992124AA016}" name="[@[𝐶𝑙𝑜𝑠𝑠−𝑊𝑃𝑆,𝑖,𝑡,100]]*[@[AWPS,i]]" dataDxfId="167">
      <calculatedColumnFormula>Table8[[#This Row],[𝐶𝑙𝑜𝑠𝑠−𝑊𝑃𝑆,𝑖,𝑡,100]]*Table8[[#This Row],[AWPS,i]]</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13A87C5-7630-424B-966F-E472EEBF730E}" name="Table9" displayName="Table9" ref="T40:AD47" totalsRowShown="0">
  <autoFilter ref="T40:AD47" xr:uid="{B13A87C5-7630-424B-966F-E472EEBF730E}"/>
  <tableColumns count="11">
    <tableColumn id="1" xr3:uid="{D7E5BA97-D3E2-467D-877C-87E21320CB33}" name="i"/>
    <tableColumn id="3" xr3:uid="{73409DEB-B760-4BEE-A08C-25AAB13FBA89}" name="VC,i mineral horizon"/>
    <tableColumn id="2" xr3:uid="{B36ACC38-5A7B-4070-B735-6C7687655646}" name="VC,i peat horizon" dataDxfId="166">
      <calculatedColumnFormula>INDEX(Table31[[#All],[VC,I (peat portion)]], MATCH(Table9[[#This Row],[i]], Table31[[#All],[Stratum i]]))</calculatedColumnFormula>
    </tableColumn>
    <tableColumn id="5" xr3:uid="{7D49066E-14EC-4F21-A491-8D5141CBF24C}" name="𝑅𝑎𝑡𝑒𝑝𝑒𝑎𝑡𝑙𝑜𝑠𝑠−𝐵𝑆𝐿,𝑖,t" dataDxfId="165">
      <calculatedColumnFormula>INDEX(Table1[[#All],[Ratepeatloss-BSL,I]], MATCH(Table9[[#This Row],[i]], Table1[[#All],[stratum i]]))</calculatedColumnFormula>
    </tableColumn>
    <tableColumn id="6" xr3:uid="{1DCB2684-FB33-40A6-8A9B-7AB28BE4CEB1}" name=" ∑𝑅𝑎𝑡𝑒𝑝𝑒𝑎𝑡𝑙𝑜𝑠𝑠−𝑊𝑃𝑆,𝑖,t*VC,I peat horizon" dataDxfId="164">
      <calculatedColumnFormula xml:space="preserve"> SUMIF(#REF!, Table9[[#This Row],[i]],#REF!)*Table9[[#This Row],[VC,i peat horizon]]</calculatedColumnFormula>
    </tableColumn>
    <tableColumn id="7" xr3:uid="{F15B1A44-D001-4960-9692-B62F0F145909}" name="𝐶𝑙𝑜𝑠𝑠−𝐵𝑆𝐿,𝑡,100 (organic soil)" dataDxfId="163">
      <calculatedColumnFormula>10*100*(Table9[[#This Row],[𝑅𝑎𝑡𝑒𝑝𝑒𝑎𝑡𝑙𝑜𝑠𝑠−𝐵𝑆𝐿,𝑖,t]]*Table9[[#This Row],[VC,i peat horizon]])</calculatedColumnFormula>
    </tableColumn>
    <tableColumn id="8" xr3:uid="{5A7C3ED9-98D0-46C2-9541-735E5EEE8449}" name="𝐶𝑙𝑜𝑠𝑠−𝑊𝑃𝑆,𝑡,100 (organic soil)" dataDxfId="162">
      <calculatedColumnFormula>10*Table9[[#This Row],[ ∑𝑅𝑎𝑡𝑒𝑝𝑒𝑎𝑡𝑙𝑜𝑠𝑠−𝑊𝑃𝑆,𝑖,t*VC,I peat horizon]]</calculatedColumnFormula>
    </tableColumn>
    <tableColumn id="9" xr3:uid="{C5F31A79-3B3C-40EB-B36F-F8B0020CEED8}" name="𝑅𝑎𝑡𝑒𝐶𝑙𝑜𝑠𝑠−𝐵𝑆𝐿,𝑖,t" dataDxfId="161">
      <calculatedColumnFormula>INDEX(Table2[[#All],[RateCloss-BSL,i]], MATCH(Table9[[#This Row],[i]], Table2[[#All],[stratum i]]))</calculatedColumnFormula>
    </tableColumn>
    <tableColumn id="10" xr3:uid="{41369ED7-32C4-48B1-B25D-23D463F7D2C8}" name=" ∑𝑅𝑎𝑡𝑒𝐶𝑙𝑜𝑠𝑠−𝑊𝑃𝑆,𝑖,t*VC" dataDxfId="160">
      <calculatedColumnFormula xml:space="preserve"> SUMIF(#REF!, Table9[[#This Row],[i]],#REF!)*Table9[[#This Row],[VC,i mineral horizon]]</calculatedColumnFormula>
    </tableColumn>
    <tableColumn id="11" xr3:uid="{D068CD1A-CEB9-4C74-B955-C15B415FB106}" name="𝐶𝑙𝑜𝑠𝑠−𝐵𝑆𝐿,𝑡,100 (mineral soil)" dataDxfId="159">
      <calculatedColumnFormula>10*100*(Table9[[#This Row],[𝑅𝑎𝑡𝑒𝐶𝑙𝑜𝑠𝑠−𝐵𝑆𝐿,𝑖,t]]*Table9[[#This Row],[VC,i mineral horizon]])</calculatedColumnFormula>
    </tableColumn>
    <tableColumn id="12" xr3:uid="{A51667BF-0A08-41FA-BCB8-BA913F34C024}" name="𝐶𝑙𝑜𝑠𝑠−𝑊𝑃𝑆,𝑡,100 (mineral soil)" dataDxfId="158">
      <calculatedColumnFormula>10*Table9[[#This Row],[ ∑𝑅𝑎𝑡𝑒𝐶𝑙𝑜𝑠𝑠−𝑊𝑃𝑆,𝑖,t*VC]]</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36C4F36-B962-4EB7-8EFD-22AA51077B73}" name="Table1120" displayName="Table1120" ref="C4:H44" totalsRowShown="0">
  <autoFilter ref="C4:H44" xr:uid="{136C4F36-B962-4EB7-8EFD-22AA51077B73}"/>
  <tableColumns count="6">
    <tableColumn id="1" xr3:uid="{AB6F7480-A427-46E4-8E96-5EB91B027D0A}" name="year t" dataDxfId="157"/>
    <tableColumn id="2" xr3:uid="{094BA554-6B68-45AB-B158-91CF5CC2BA5E}" name="GHG(WPS-biomass)" dataDxfId="156">
      <calculatedColumnFormula>-SUMIF( Table1221[[#All],[year t]],  "&lt;="&amp;Table1120[[#This Row],[year t]], Table1221[[#All],[∆𝐶WPS−𝑏𝑖𝑜𝑚𝑎𝑠𝑠,𝑖,t (equation 74)]])*44/12</calculatedColumnFormula>
    </tableColumn>
    <tableColumn id="3" xr3:uid="{909F0C85-0111-4FC1-817F-4AE86AE60E5F}" name="GHG(WPS-soil)" dataDxfId="155">
      <calculatedColumnFormula>SUMIF(Table1221[[#All],[year t]], "&lt;="&amp;Table1120[[#This Row],[year t]],  Table1221[[#All],[𝐺𝐻𝐺WPS−𝑠𝑜𝑖𝑙,𝑖,t]])</calculatedColumnFormula>
    </tableColumn>
    <tableColumn id="4" xr3:uid="{CBB30C81-395B-4A9E-BBC9-A6A18B732DB8}" name="GHG(WPS-fuel)" dataDxfId="154">
      <calculatedColumnFormula>SUMIF(Table1221[[#All],[year t]], "&lt;="&amp;Table1120[[#This Row],[year t]], Table1221[[#All],[𝐺𝐻𝐺WPS−𝑓𝑢𝑒𝑙,𝑖,t]])</calculatedColumnFormula>
    </tableColumn>
    <tableColumn id="6" xr3:uid="{D1FC9B47-3CA4-4013-AA33-D0812ADCBA6A}" name="GHG(WPS-burn)" dataDxfId="153">
      <calculatedColumnFormula>IF(project_prescribed_burning = "Included", SUMIF(Table10[[#All],[year t]], "&lt;="&amp;Table1120[[#This Row],[year t]], Table10[[#All],[GHGWPS-burn,i,t (Eq 81)]]), 0)</calculatedColumnFormula>
    </tableColumn>
    <tableColumn id="5" xr3:uid="{8F55EB19-2D0D-46A8-9EE4-AF6F227CD9BF}" name="GHG(WPS) (Eq 69)" dataDxfId="152">
      <calculatedColumnFormula>Table1120[[#This Row],[GHG(WPS-biomass)]]+Table1120[[#This Row],[GHG(WPS-soil)]]+Table1120[[#This Row],[GHG(WPS-burn)]]+Table1120[[#This Row],[GHG(WPS-fuel)]]</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7F798C9-7268-4620-81DF-4184B0B12A90}" name="Table1221" displayName="Table1221" ref="K4:T158" totalsRowShown="0">
  <autoFilter ref="K4:T158" xr:uid="{67F798C9-7268-4620-81DF-4184B0B12A90}"/>
  <tableColumns count="10">
    <tableColumn id="1" xr3:uid="{E2FBAAA1-21DB-495B-B3EE-47D524901D5B}" name="year t" dataDxfId="151"/>
    <tableColumn id="2" xr3:uid="{777203C0-1C2C-4E48-B502-E53BABE6EE9E}" name="stratum i" dataDxfId="150"/>
    <tableColumn id="11" xr3:uid="{27200F4C-82F9-47D7-BD39-74257565C75D}" name="ΔCTREE_PROJ,t (AR Tool 14) t CO2e/yr" dataDxfId="149">
      <calculatedColumnFormula array="1">IF(project_aboveground_tree = "Included", INDEX(Table32[[#All],[ΔCTREE_PROJ,i,t (AR Tool 14) t C/yr]], MATCH(1, (Table1221[[#This Row],[year t]]=Table32[[#All],[year t]])*(Table1221[[#This Row],[stratum i]]=Table32[[#All],[stratum i]]), 0)), 0)</calculatedColumnFormula>
    </tableColumn>
    <tableColumn id="10" xr3:uid="{CC6E3540-7B79-48EF-BF75-1BFEA2470407}" name="ΔCSHRUB_PROJ,t (AR Tool 14) t CO2e/yr" dataDxfId="148">
      <calculatedColumnFormula array="1">IF(project_aboveground_nontree = "Included", INDEX(#REF!, MATCH(1, (Table1221[[#This Row],[year t]]=Table32[[#All],[year t]])*(Table1221[[#This Row],[stratum i]]=Table32[[#All],[stratum i]]), 0)), 0)</calculatedColumnFormula>
    </tableColumn>
    <tableColumn id="8" xr3:uid="{33A82331-068A-4EF4-8076-72EEA453DCD5}" name="ΔCWPS-tree/shrub,i,t (t C/yr) (Eq 75)" dataDxfId="147">
      <calculatedColumnFormula>12/44*(Table1221[[#This Row],[ΔCTREE_PROJ,t (AR Tool 14) t CO2e/yr]]+Table1221[[#This Row],[ΔCSHRUB_PROJ,t (AR Tool 14) t CO2e/yr]])</calculatedColumnFormula>
    </tableColumn>
    <tableColumn id="9" xr3:uid="{BDC57B80-5335-4B00-84D8-3A5F9CFD4FF6}" name="ΔCWPS-herb,i,t (t C/yr)" dataDxfId="146">
      <calculatedColumnFormula array="1">IF(project_aboveground_nontree = "Included", IFERROR(INDEX(Table1322[[#All],[ΔCWPS-herb,i,t (Eq 78)]], MATCH(1, (Table1221[[#This Row],[stratum i]]=Table1322[[#All],[stratum i]])*(Table1221[[#This Row],[year t]]&gt;=#REF!)*(Table1221[[#This Row],[year t]]&lt;=Table1322[[#All],[year t]]), 0)), 0), 0)</calculatedColumnFormula>
    </tableColumn>
    <tableColumn id="3" xr3:uid="{CC1196D9-4297-4335-86F0-5D46F2CE5E7A}" name="∆𝐶WPS−𝑏𝑖𝑜𝑚𝑎𝑠𝑠,𝑖,t (equation 74)" dataDxfId="145">
      <calculatedColumnFormula>Table1221[[#This Row],[ΔCWPS-tree/shrub,i,t (t C/yr) (Eq 75)]]+Table1221[[#This Row],[ΔCWPS-herb,i,t (t C/yr)]]</calculatedColumnFormula>
    </tableColumn>
    <tableColumn id="4" xr3:uid="{6277F45C-76D3-4E81-883A-FFAE38CA8011}" name="𝐺𝐻𝐺WPS−𝑠𝑜𝑖𝑙,𝑖,t" dataDxfId="144">
      <calculatedColumnFormula array="1">INDEX(Table1423[[#All],[GHGWPS-soil,i,t]], MATCH(1, (Table1221[[#This Row],[year t]]=Table1423[[#All],[year t]])*(Table1221[[#This Row],[stratum i]]=Table1423[[#All],[stratum i]]), 0))</calculatedColumnFormula>
    </tableColumn>
    <tableColumn id="5" xr3:uid="{B91073CB-D2B9-49E2-AA44-0745D1A6C0FD}" name="𝐺𝐻𝐺WPS−𝑓𝑢𝑒𝑙,𝑖,t" dataDxfId="143">
      <calculatedColumnFormula>IF(project_ff_CO2 = "Included", Table1221[[#This Row],[ET(FC,I,t) AR-Tool 5 WPS]], 0)</calculatedColumnFormula>
    </tableColumn>
    <tableColumn id="17" xr3:uid="{CF319C14-D6CD-496C-981B-B717E4FB0008}" name="ET(FC,I,t) AR-Tool 5 WPS" dataDxfId="142">
      <calculatedColumnFormula array="1">INDEX(#REF!, MATCH(1, (Table1221[[#This Row],[year t]]=Table32[[#All],[year t]])*(Table1221[[#This Row],[stratum i]]=Table32[[#All],[stratum i]]), 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F650ADA-2B88-4CBD-A8EA-C387AB4635D6}" name="Table1322" displayName="Table1322" ref="Y4:AB25" totalsRowShown="0">
  <autoFilter ref="Y4:AB25" xr:uid="{8F650ADA-2B88-4CBD-A8EA-C387AB4635D6}"/>
  <tableColumns count="4">
    <tableColumn id="1" xr3:uid="{C75F00B8-C1E7-4887-A7B8-773E4D2D871D}" name="year t"/>
    <tableColumn id="2" xr3:uid="{0F429D54-6E90-4898-97F6-F8C6268C5A6C}" name="stratum i"/>
    <tableColumn id="5" xr3:uid="{AA7F0368-5349-4DCA-81E1-5743C9ED99D4}" name="ΔCWPS-herb,i,t (tC/ha)" dataDxfId="141">
      <calculatedColumnFormula array="1">INDEX(#REF!, MATCH(1, (Table1322[[#This Row],[year t]]=Table32[[#All],[year t]])*(Table1322[[#This Row],[stratum i]]=Table32[[#All],[stratum i]]), 0))</calculatedColumnFormula>
    </tableColumn>
    <tableColumn id="8" xr3:uid="{8BE73D37-219E-4DFB-AEBB-B9F40671F0D6}" name="ΔCWPS-herb,i,t (Eq 78)" dataDxfId="140">
      <calculatedColumnFormula>Table1322[[#This Row],[ΔCWPS-herb,i,t (tC/ha)]]</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D1D68F-A3FE-4930-BEF2-14EE5B8C8869}" name="Table10" displayName="Table10" ref="BW4:CE39" totalsRowShown="0" tableBorderDxfId="139">
  <autoFilter ref="BW4:CE39" xr:uid="{7BD1D68F-A3FE-4930-BEF2-14EE5B8C8869}"/>
  <tableColumns count="9">
    <tableColumn id="1" xr3:uid="{508AEF7A-ED2A-4656-BC76-3CC2A0DF9B61}" name="year t" dataDxfId="138"/>
    <tableColumn id="2" xr3:uid="{5C4C3019-AC9E-4CF9-A3CC-EDF3D4B1506E}" name="stratum i" dataDxfId="137"/>
    <tableColumn id="3" xr3:uid="{02FD99A1-A9B9-4377-A7F6-BACD769B88F4}" name="Ai,t" dataDxfId="136">
      <calculatedColumnFormula array="1">INDEX(Table32[[#All],[Ai,t]], MATCH(1, (Table10[[#This Row],[year t]]=Table32[[#All],[year t]])*(Table10[[#This Row],[stratum i]]=Table32[[#All],[stratum i]]), 0))</calculatedColumnFormula>
    </tableColumn>
    <tableColumn id="4" xr3:uid="{955ED658-4DF5-40BC-A238-09D3B6019DB0}" name="Biomassi,t" dataDxfId="135">
      <calculatedColumnFormula array="1">INDEX(#REF!, MATCH(1, (Table10[[#This Row],[year t]]=Table32[[#All],[year t]])*(Table10[[#This Row],[stratum i]]=Table32[[#All],[stratum i]]), 0))</calculatedColumnFormula>
    </tableColumn>
    <tableColumn id="5" xr3:uid="{E09FE9E9-4266-4F22-A363-AB0128729E53}" name="EF(N2O,burn)" dataDxfId="134">
      <calculatedColumnFormula>EF_N2O_burn</calculatedColumnFormula>
    </tableColumn>
    <tableColumn id="6" xr3:uid="{387CFABF-734F-4EB5-9EDB-E76702BD3192}" name="EF(CH4,burn)" dataDxfId="133">
      <calculatedColumnFormula>EF_CH4_burn</calculatedColumnFormula>
    </tableColumn>
    <tableColumn id="7" xr3:uid="{747CCD93-ADC8-4CAB-876E-14770D146408}" name="CO2eN2O,i,t (Eq 82)" dataDxfId="132">
      <calculatedColumnFormula>Table10[[#This Row],[Biomassi,t]]*Table10[[#This Row],[EF(N2O,burn)]]*GWP_N2O*10^(-6)*Table10[[#This Row],[Ai,t]]</calculatedColumnFormula>
    </tableColumn>
    <tableColumn id="8" xr3:uid="{904F01E7-D62C-4981-B0A8-CDEC9C13D0F2}" name="CO2eCH4,i,t (Eq 83)" dataDxfId="131">
      <calculatedColumnFormula>Table10[[#This Row],[Biomassi,t]]*Table10[[#This Row],[EF(CH4,burn)]]*GWP_CH4*10^(-6)*Table10[[#This Row],[Ai,t]]</calculatedColumnFormula>
    </tableColumn>
    <tableColumn id="9" xr3:uid="{F13DF1CD-5644-498D-99CB-9270DF70ADFE}" name="GHGWPS-burn,i,t (Eq 81)" dataDxfId="130">
      <calculatedColumnFormula>Table10[[#This Row],[CO2eN2O,i,t (Eq 82)]]+Table10[[#This Row],[CO2eCH4,i,t (Eq 83)]]</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1275756-8091-47EF-B2AC-7B9CE66B3C1F}" name="Table1423" displayName="Table1423" ref="AE4:AZ158" totalsRowShown="0" tableBorderDxfId="129">
  <autoFilter ref="AE4:AZ158" xr:uid="{A1275756-8091-47EF-B2AC-7B9CE66B3C1F}"/>
  <tableColumns count="22">
    <tableColumn id="1" xr3:uid="{E8BA84A6-13B3-4B41-8ED0-82A2C6A9F4C0}" name="year t" dataDxfId="128"/>
    <tableColumn id="2" xr3:uid="{D7EFD0FA-E8C7-4D5E-B471-CB64C9DCCE34}" name="stratum i" dataDxfId="127"/>
    <tableColumn id="3" xr3:uid="{BB5452B3-5CB1-48B5-A7E1-98F08AFF9924}" name="Ai,t" dataDxfId="126">
      <calculatedColumnFormula array="1">INDEX(Table32[[#All],[Ai,t]], MATCH(1, (Table1423[[#This Row],[year t]]=Table32[[#All],[year t]])*(Table1423[[#This Row],[stratum i]]=Table32[[#All],[stratum i]]), 0))</calculatedColumnFormula>
    </tableColumn>
    <tableColumn id="4" xr3:uid="{FF97D3F6-688E-44FA-AF75-4528A66CCE25}" name="Soil" dataDxfId="125">
      <calculatedColumnFormula>INDEX(Table31[[#All],[Soil type (t=0)]], MATCH(Table1423[[#This Row],[stratum i]], Table31[[#All],[Stratum i]]))</calculatedColumnFormula>
    </tableColumn>
    <tableColumn id="5" xr3:uid="{37DF3BE6-B9EB-46B1-B726-02BF7A31FB35}" name="End_PDT" dataDxfId="124">
      <calculatedColumnFormula>IF(Emission_reduction_from_stock_loss?, INDEX(Table2[[#All],[End_PDT]], MATCH(Table1423[[#This Row],[stratum i]], Table2[[#All],[stratum i]])), crediting_period)</calculatedColumnFormula>
    </tableColumn>
    <tableColumn id="6" xr3:uid="{B3CFB0AF-4EEA-44AD-9C56-0EB70DEDEC10}" name="End_SDT" dataDxfId="123">
      <calculatedColumnFormula>IF(Emission_reduction_from_stock_loss?, INDEX(Table2[[#All],[End_SDT]], MATCH(Table1423[[#This Row],[stratum i]], Table2[[#All],[stratum i]])), crediting_period)</calculatedColumnFormula>
    </tableColumn>
    <tableColumn id="7" xr3:uid="{29CFCF4A-B86A-401D-9C0B-2A0B5378D3DF}" name="GHGWPS-soil-CO2,i,t" dataDxfId="122">
      <calculatedColumnFormula array="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calculatedColumnFormula>
    </tableColumn>
    <tableColumn id="15" xr3:uid="{F69D2C87-5864-44D4-A7FC-22CC069EDB5F}" name="%Calloch WPS" dataDxfId="121">
      <calculatedColumnFormula array="1">INDEX(Table32[[#All],[%Calloch WPS]], MATCH(1, (Table1423[[#This Row],[year t]]=Table32[[#All],[year t]])*(Table1423[[#This Row],[stratum i]]=Table32[[#All],[stratum i]]), 0))</calculatedColumnFormula>
    </tableColumn>
    <tableColumn id="8" xr3:uid="{F5C70B25-24E5-4F21-ABFF-528E35B6511B}" name="Deductionalloch WPS (Eq 38)" dataDxfId="120">
      <calculatedColumnFormula>IF(project_soil_SOC="Included", IF(Table1423[[#This Row],[Soil]]="Peat soil",0, IF(OR(soil_insitu_approach = "Proxies", soil_insitu_approach = "Field-collected data"), Table1423[[#This Row],[GHGWPS-soil-CO2,i,t]]*(Table1423[[#This Row],[%Calloch WPS]]/100),  Table1423[[#This Row],[GHGWPS-insitu-CO2,i,t]]*(Table1423[[#This Row],[%Calloch WPS]]/100))), 0)</calculatedColumnFormula>
    </tableColumn>
    <tableColumn id="24" xr3:uid="{55C0DD36-8ABB-4936-9D30-10AFEF92D247}" name="([@[GHGWPS-soil-CO2,i,t (Eq 27)]]-[@[Deductionalloch WPS (Eq 38)]])*Ai,t" dataDxfId="119">
      <calculatedColumnFormula>(Table1423[[#This Row],[GHGWPS-soil-CO2,i,t]]-Table1423[[#This Row],[Deductionalloch WPS (Eq 38)]])*Table1423[[#This Row],[Ai,t]]</calculatedColumnFormula>
    </tableColumn>
    <tableColumn id="9" xr3:uid="{35D0766C-A650-43A5-AFBB-10421BE196BF}" name="GHGWPS-soil-CH4,i,t" dataDxfId="118">
      <calculatedColumnFormula array="1">IF(project_soil_CH4 = "Included", INDEX(Table1830[[#All],[GHGWPS-soil-CH4,i,t (Eq 59)]], MATCH(1, (Table1423[[#This Row],[year t]]=Table1830[[#All],[year t]])*(Table1423[[#This Row],[stratum i]]=Table1830[[#All],[stratum i]]), 0)), 0)</calculatedColumnFormula>
    </tableColumn>
    <tableColumn id="10" xr3:uid="{052A0F2B-1B11-4CF5-81F5-772C12CBD286}" name="GHGWPS-soil-N2O,i,t" dataDxfId="117">
      <calculatedColumnFormula array="1">IF(project_soil_N2O = "Included", INDEX(Table1830[[#All],[GHGWPS-soil-N2O,i,t (Eq 62)]], MATCH(1, (Table1423[[#This Row],[year t]]=Table1830[[#All],[year t]])*(Table1423[[#This Row],[stratum i]]=Table1830[[#All],[stratum i]]), 0)), 0)</calculatedColumnFormula>
    </tableColumn>
    <tableColumn id="11" xr3:uid="{D82078EC-B754-42B4-AF94-1958D830663C}" name="GHGWPS-soil,i,t" dataDxfId="116">
      <calculatedColumnFormula>Table1423[[#This Row],[Ai,t]]*(Table1423[[#This Row],[GHGWPS-soil-CO2,i,t]]-Table1423[[#This Row],[Deductionalloch WPS (Eq 38)]]+Table1423[[#This Row],[GHGWPS-soil-CH4,i,t]]+Table1423[[#This Row],[GHGWPS-soil-N2O,i,t]])</calculatedColumnFormula>
    </tableColumn>
    <tableColumn id="12" xr3:uid="{AD980DFA-FF6C-4BCA-B3FC-916A6C691510}" name="GHGWPS-insitu-CO2,i,t" dataDxfId="115">
      <calculatedColumnFormula array="1">INDEX(#REF!, MATCH(1, (Table1423[[#This Row],[year t]]=Table32[[#All],[year t]])*(Table1423[[#This Row],[stratum i]]=Table32[[#All],[stratum i]]), 0))</calculatedColumnFormula>
    </tableColumn>
    <tableColumn id="13" xr3:uid="{B27C7B19-B5AF-4AA0-B19B-942D7FA37817}" name="GHGWPS-eroded-CO2,i,t" dataDxfId="114">
      <calculatedColumnFormula array="1">INDEX(#REF!, MATCH(1, (Table1423[[#This Row],[year t]]=Table32[[#All],[year t]])*(Table1423[[#This Row],[stratum i]]=Table32[[#All],[stratum i]]), 0))</calculatedColumnFormula>
    </tableColumn>
    <tableColumn id="14" xr3:uid="{3D9A7F45-21B4-4219-A9C2-B11B2C5414E9}" name="GHGWPS-excav-CO2,i,t" dataDxfId="113">
      <calculatedColumnFormula array="1">INDEX(#REF!, MATCH(1, (Table1423[[#This Row],[year t]]=Table32[[#All],[year t]])*(Table1423[[#This Row],[stratum i]]=Table32[[#All],[stratum i]]), 0))</calculatedColumnFormula>
    </tableColumn>
    <tableColumn id="16" xr3:uid="{84A007C8-EA97-4C9F-9DF3-EC95D15DAC78}" name="ƒ (GHG emission proxy) WPS" dataDxfId="112">
      <calculatedColumnFormula array="1">INDEX(#REF!, MATCH(1, (Table1423[[#This Row],[year t]]=Table32[[#All],[year t]])*(Table1423[[#This Row],[stratum i]]=Table32[[#All],[stratum i]]), 0))</calculatedColumnFormula>
    </tableColumn>
    <tableColumn id="18" xr3:uid="{9C2BD55C-EC5B-4845-A607-12CDBE4F29FA}" name="Column1" dataDxfId="111"/>
    <tableColumn id="17" xr3:uid="{5ED47F9A-66D4-4D2F-AF63-4FFB21B40D4F}" name="Column2" dataDxfId="110"/>
    <tableColumn id="20" xr3:uid="{E390EB9C-785E-474A-A0C1-68FA59509054}" name="Column3" dataDxfId="109"/>
    <tableColumn id="19" xr3:uid="{51B17FF0-C3E6-42BC-B69D-5E37F7ECF562}" name="Column4" dataDxfId="108"/>
    <tableColumn id="21" xr3:uid="{051C79D0-6D25-497A-93CF-4EDD1ECAA812}" name="Column5" dataDxfId="10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D70FBED-32E7-485A-9AB6-8E769AE324C4}" name="Table1329" displayName="Table1329" ref="BB4:BE158" totalsRowShown="0">
  <autoFilter ref="BB4:BE158" xr:uid="{AD70FBED-32E7-485A-9AB6-8E769AE324C4}"/>
  <tableColumns count="4">
    <tableColumn id="1" xr3:uid="{0FEF6C0B-92C3-4F13-87B5-C765960B0660}" name="year t" dataDxfId="106"/>
    <tableColumn id="2" xr3:uid="{F001BD62-2491-4C20-9C61-91EF45A239A1}" name="stratum i" dataDxfId="105"/>
    <tableColumn id="6" xr3:uid="{1985980E-10E4-407A-B560-9B7856E3CA23}" name="∆CWPS-soil,i,t (tC/ha)" dataDxfId="104">
      <calculatedColumnFormula array="1">INDEX(Table32[[#All],[∆CWPS-soil,i,t (tC/ha)]], MATCH(1, (Table1329[[#This Row],[year t]]=Table32[[#All],[year t]])*(Table1329[[#This Row],[stratum i]]=Table32[[#All],[stratum i]]), 0))</calculatedColumnFormula>
    </tableColumn>
    <tableColumn id="8" xr3:uid="{674BE3AB-5580-4F43-93A1-2D2795DC5F9F}" name="GHGWPS-soil-CO2,i,t (Eq 36)" dataDxfId="103">
      <calculatedColumnFormula>-44/12*Table1329[[#This Row],[∆CWPS-soil,i,t (tC/ha)]]</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B2B93E6D-2CA7-4255-BEFA-5D24314FEFD4}" name="Table1830" displayName="Table1830" ref="BI4:BS39" totalsRowShown="0" tableBorderDxfId="102">
  <autoFilter ref="BI4:BS39" xr:uid="{B2B93E6D-2CA7-4255-BEFA-5D24314FEFD4}"/>
  <tableColumns count="11">
    <tableColumn id="1" xr3:uid="{1BB0B07D-C24A-4A62-8058-0DD342CEE7B5}" name="year t" dataDxfId="101"/>
    <tableColumn id="2" xr3:uid="{5983B19E-0154-4FB7-9BF4-EC299B404CB4}" name="stratum i" dataDxfId="100"/>
    <tableColumn id="7" xr3:uid="{94A87937-9406-4363-A6F1-1E10447B6866}" name="Ai,t" dataDxfId="99">
      <calculatedColumnFormula array="1">INDEX(Table32[[#All],[Ai,t]], MATCH(1, (Table1830[[#This Row],[year t]]=Table32[[#All],[year t]])*(Table1830[[#This Row],[stratum i]]=Table32[[#All],[stratum i]]), 0))</calculatedColumnFormula>
    </tableColumn>
    <tableColumn id="9" xr3:uid="{661FE28A-C4E1-4CC7-9C03-33449538D219}" name="IPCC Emission factor EF(CH4) WPS" dataDxfId="98">
      <calculatedColumnFormula array="1">INDEX(#REF!, MATCH(1, (Table1830[[#This Row],[year t]]=Table32[[#All],[year t]])*(Table1830[[#This Row],[stratum i]]=Table32[[#All],[stratum i]]), 0))</calculatedColumnFormula>
    </tableColumn>
    <tableColumn id="3" xr3:uid="{E03D61BE-0E7B-43F7-837A-7FA9BC6E0595}" name="CH4(WPS-soil,I,t)" dataDxfId="97">
      <calculatedColumnFormula array="1">INDEX(#REF!, MATCH(1, (Table1830[[#This Row],[year t]]=Table32[[#All],[year t]])*(Table1830[[#This Row],[stratum i]]=Table32[[#All],[stratum i]]), 0))</calculatedColumnFormula>
    </tableColumn>
    <tableColumn id="4" xr3:uid="{8322D852-310F-40B2-8FF5-52C6669D07FC}" name="ƒ (GHG emission proxy: CH4) WPS" dataDxfId="96">
      <calculatedColumnFormula array="1">INDEX(#REF!, MATCH(1, (Table1830[[#This Row],[year t]]=Table32[[#All],[year t]])*(Table1830[[#This Row],[stratum i]]=Table32[[#All],[stratum i]]), 0))</calculatedColumnFormula>
    </tableColumn>
    <tableColumn id="5" xr3:uid="{AAB90A17-E557-41BF-8361-1C7B2A3E56B8}" name="GHGWPS-soil-CH4,i,t (Eq 59)" dataDxfId="95">
      <calculatedColumnFormula>IF(soil_CH4_approach = "Proxies", Table1830[[#This Row],[ƒ (GHG emission proxy: CH4) WPS]]*GWP_CH4, IF(soil_CH4_approach = "IPCC emission factors", Table1830[[#This Row],[IPCC Emission factor EF(CH4) WPS]]*Table1830[[#This Row],[Ai,t]]*GWP_CH4, Table1830[[#This Row],[CH4(WPS-soil,I,t)]]*GWP_CH4))</calculatedColumnFormula>
    </tableColumn>
    <tableColumn id="10" xr3:uid="{A3A218EA-BF36-4EA7-BB3E-B33EA90541E8}" name="IPCC Emission factor EF(N2O) WPS" dataDxfId="94">
      <calculatedColumnFormula array="1">INDEX(#REF!, MATCH(1, (Table1830[[#This Row],[year t]]=Table32[[#All],[year t]])*(Table1830[[#This Row],[stratum i]]=Table32[[#All],[stratum i]]), 0))</calculatedColumnFormula>
    </tableColumn>
    <tableColumn id="11" xr3:uid="{980AC002-F873-416D-ACFE-75DE00C98C50}" name="N2O (WPS-soil,I,t)" dataDxfId="93">
      <calculatedColumnFormula array="1">INDEX(#REF!, MATCH(1, (Table1830[[#This Row],[year t]]=Table32[[#All],[year t]])*(Table1830[[#This Row],[stratum i]]=Table32[[#All],[stratum i]]), 0))</calculatedColumnFormula>
    </tableColumn>
    <tableColumn id="12" xr3:uid="{3F5EF5D3-907F-49C8-A0CB-EA8D8AC832DA}" name="ƒ (N2O emission proxy: N2O) WPS" dataDxfId="92">
      <calculatedColumnFormula array="1">INDEX(#REF!, MATCH(1, (Table1830[[#This Row],[year t]]=Table32[[#All],[year t]])*(Table1830[[#This Row],[stratum i]]=Table32[[#All],[stratum i]]), 0))</calculatedColumnFormula>
    </tableColumn>
    <tableColumn id="13" xr3:uid="{EB0CBE22-5398-4671-8649-DB9B989EEAB6}" name="GHGWPS-soil-N2O,i,t (Eq 62)" dataDxfId="91">
      <calculatedColumnFormula>IF(soil_N2O_approach = "Proxies", Table1830[[#This Row],[ƒ (N2O emission proxy: N2O) WPS]]*GWP_N2O, IF(soil_N2O_approach = "IPCC emission factors", Table1830[[#This Row],[IPCC Emission factor EF(N2O) WPS]]*Table1830[[#This Row],[Ai,t]]*GWP_N2O, Table1830[[#This Row],[N2O (WPS-soil,I,t)]]*GWP_N2O))</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D70B14-D757-4557-A388-BA4B11940586}" name="Table11" displayName="Table11" ref="C4:G44" totalsRowShown="0">
  <autoFilter ref="C4:G44" xr:uid="{40D70B14-D757-4557-A388-BA4B11940586}"/>
  <tableColumns count="5">
    <tableColumn id="1" xr3:uid="{9F585370-2C46-445C-A205-25C5F663AD18}" name="year t" dataDxfId="90"/>
    <tableColumn id="2" xr3:uid="{B24FC6B6-E8EA-4469-A2AF-B90C55C5669E}" name="GHG(BSL-biomass)" dataDxfId="89">
      <calculatedColumnFormula>-SUMIF(Table12[[#All],[year t]], "&lt;="&amp;Table11[[#This Row],[year t]], Table12[[#All],[∆𝐶𝐵𝑆𝐿−𝑏𝑖𝑜𝑚𝑎𝑠𝑠,𝑖,t (equation 23)]])*44/12</calculatedColumnFormula>
    </tableColumn>
    <tableColumn id="3" xr3:uid="{BA8C5808-6B68-4FF5-BB74-03D1D02EFDC7}" name="GHG(BSL-soil)" dataDxfId="88">
      <calculatedColumnFormula>SUMIF(Table12[[#All],[year t]], "&lt;="&amp;Table11[[#This Row],[year t]], Table12[[#All],[𝐺𝐻𝐺𝐵𝑆𝐿−𝑠𝑜𝑖𝑙,𝑖,t]])</calculatedColumnFormula>
    </tableColumn>
    <tableColumn id="4" xr3:uid="{4C9478D3-5431-45C1-9384-67E1354C53B3}" name="GHG(BSL-fuel)" dataDxfId="87">
      <calculatedColumnFormula>SUMIF(Table12[[#All],[year t]], "&lt;="&amp;Table11[[#This Row],[year t]], Table12[[#All],[𝐺𝐻𝐺𝐵𝑆𝐿−𝑓𝑢𝑒𝑙,𝑖,t]])</calculatedColumnFormula>
    </tableColumn>
    <tableColumn id="5" xr3:uid="{E91469FF-4C66-40D2-92CC-A326338EB028}" name="GHG(BSL)" dataDxfId="86">
      <calculatedColumnFormula>Table11[[#This Row],[GHG(BSL-biomass)]]+Table11[[#This Row],[GHG(BSL-soil)]]+Table11[[#This Row],[GHG(BSL-fuel)]]</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F3670CC-8364-4CF5-B783-6361E8275D4F}" name="Table12" displayName="Table12" ref="J4:T158" totalsRowShown="0">
  <autoFilter ref="J4:T158" xr:uid="{8F3670CC-8364-4CF5-B783-6361E8275D4F}"/>
  <tableColumns count="11">
    <tableColumn id="1" xr3:uid="{55E5AA98-CE59-4F38-8550-3A864F6ECAD9}" name="year t" dataDxfId="85"/>
    <tableColumn id="2" xr3:uid="{976E2513-7F91-4E09-B559-3C26007B64F5}" name="stratum i" dataDxfId="84"/>
    <tableColumn id="11" xr3:uid="{A68DADB9-063C-4022-8791-EBF927B5FF9B}" name="ΔCTREE_BSL,i,t (AR Tool 14) t CO2e/yr" dataDxfId="83">
      <calculatedColumnFormula array="1">INDEX(Table32[[#All],[ΔCTREE_BSL,i,t (AR Tool 14) t C/yr]], MATCH(1, (Table12[[#This Row],[year t]]=Table32[[#All],[year t]])*(Table12[[#This Row],[stratum i]]=Table32[[#All],[stratum i]]), 0))</calculatedColumnFormula>
    </tableColumn>
    <tableColumn id="10" xr3:uid="{4C4A7CA6-A6D9-44D7-A924-9D654B526363}" name="ΔCSHRUB_BSL,i,t (AR Tool 14) t CO2e/yr" dataDxfId="82">
      <calculatedColumnFormula array="1">IF(baseline_abground_nontree = "Included", INDEX(#REF!, MATCH(1, (Table12[[#This Row],[year t]]=Table32[[#All],[year t]])*(Table12[[#This Row],[stratum i]]=Table32[[#All],[stratum i]]), 0)), 0)</calculatedColumnFormula>
    </tableColumn>
    <tableColumn id="8" xr3:uid="{5DCB77CA-167D-410D-B54E-4FDC23E7BFE8}" name="ΔCBSL-tree/shrub,i,t (t C/yr) (Eq 24)" dataDxfId="81">
      <calculatedColumnFormula>12/44*(Table12[[#This Row],[ΔCTREE_BSL,i,t (AR Tool 14) t CO2e/yr]]+Table12[[#This Row],[ΔCSHRUB_BSL,i,t (AR Tool 14) t CO2e/yr]])</calculatedColumnFormula>
    </tableColumn>
    <tableColumn id="9" xr3:uid="{78CBDD3F-E4A5-43C1-A0DD-303BF798DAFF}" name="ΔCBSL-herb,i,t (t C/yr)" dataDxfId="80">
      <calculatedColumnFormula array="1">IF(baseline_abground_nontree = "Included", IFERROR(INDEX(Table13[[#All],[ΔCBSL-herb,i,t (Eq 25)]], MATCH(1, (Table12[[#This Row],[stratum i]]=Table13[[#All],[stratum i]])*(Table12[[#This Row],[year t]]&gt;=#REF!)*(Table12[[#This Row],[year t]]&lt;=Table13[[#All],[year t]]), 0)), 0), 0)</calculatedColumnFormula>
    </tableColumn>
    <tableColumn id="3" xr3:uid="{016AF6C5-471C-44C2-AEF2-0D0C68E4F9CC}" name="∆𝐶𝐵𝑆𝐿−𝑏𝑖𝑜𝑚𝑎𝑠𝑠,𝑖,t (equation 23)" dataDxfId="79">
      <calculatedColumnFormula>Table12[[#This Row],[ΔCBSL-tree/shrub,i,t (t C/yr) (Eq 24)]]+Table12[[#This Row],[ΔCBSL-herb,i,t (t C/yr)]]-Table12[[#This Row],[ΔCBSL-agbiomass,i,t; t C yr-1 (submergence)]]</calculatedColumnFormula>
    </tableColumn>
    <tableColumn id="4" xr3:uid="{304D5543-56DF-451B-8B7D-A64D3C63136E}" name="𝐺𝐻𝐺𝐵𝑆𝐿−𝑠𝑜𝑖𝑙,𝑖,t" dataDxfId="78">
      <calculatedColumnFormula array="1">IFERROR(INDEX(Table14[[#All],[GHGBSL-soil,i,t (Eq 26)]], MATCH(1, (Table12[[#This Row],[year t]]=Table14[[#All],[year t]])*(Table12[[#This Row],[stratum i]]=Table14[[#All],[stratum i]]), 0)), 0)</calculatedColumnFormula>
    </tableColumn>
    <tableColumn id="5" xr3:uid="{9538D1CF-13BE-4885-8576-7CD077DBA6DF}" name="𝐺𝐻𝐺𝐵𝑆𝐿−𝑓𝑢𝑒𝑙,𝑖,t" dataDxfId="77">
      <calculatedColumnFormula>IF(baseline_ff_CO2 = "Included", Table12[[#This Row],[ET(FC,I,t) AR-Tool 5]], 0)</calculatedColumnFormula>
    </tableColumn>
    <tableColumn id="17" xr3:uid="{8528E08B-93B7-4302-971A-9A19EEB47AE6}" name="ET(FC,I,t) AR-Tool 5" dataDxfId="76">
      <calculatedColumnFormula array="1">INDEX(#REF!, MATCH(1, (Table12[[#This Row],[year t]]=Table32[[#All],[year t]])*(Table12[[#This Row],[stratum i]]=Table32[[#All],[stratum i]]), 0))</calculatedColumnFormula>
    </tableColumn>
    <tableColumn id="16" xr3:uid="{08639FB5-E765-482D-921C-70E9E153C002}" name="ΔCBSL-agbiomass,i,t; t C yr-1 (submergence)" dataDxfId="75">
      <calculatedColumnFormula array="1">IFERROR(INDEX(Table30[[#All],[ΔCBSL-agbiomass,i,t (equation 22) t C yr-1]], MATCH(1, (Table12[[#This Row],[stratum i]]=Table30[[#All],[Stratum i]])*(Table12[[#This Row],[year t]]&lt;Table30[[#All],[Year of reporting]]), 0)), 0)</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1B20D4-7A98-4485-8A46-A80A86A2CF2E}" name="Table13" displayName="Table13" ref="AG4:AJ158" totalsRowShown="0">
  <autoFilter ref="AG4:AJ158" xr:uid="{FA1B20D4-7A98-4485-8A46-A80A86A2CF2E}"/>
  <tableColumns count="4">
    <tableColumn id="1" xr3:uid="{FC321095-2CBC-4D12-897F-2941513B509E}" name="year t" dataDxfId="74"/>
    <tableColumn id="2" xr3:uid="{934299F8-B540-44BE-BD81-F95CB37ED4E7}" name="stratum i" dataDxfId="73"/>
    <tableColumn id="4" xr3:uid="{27B5A935-8C89-4850-854F-D2EFB86CDDEB}" name="ΔCBSL-herb,i,t (tC/ha)" dataDxfId="72">
      <calculatedColumnFormula array="1">INDEX(#REF!, MATCH(1, (Table13[[#This Row],[year t]]=Table32[[#All],[year t]])*(Table13[[#This Row],[stratum i]]=Table32[[#All],[stratum i]]), 0))</calculatedColumnFormula>
    </tableColumn>
    <tableColumn id="8" xr3:uid="{71AD4225-DD4B-4AE7-9815-CAEF7CC2F075}" name="ΔCBSL-herb,i,t (Eq 25)" dataDxfId="71">
      <calculatedColumnFormula>Table13[[#This Row],[ΔCBSL-herb,i,t (tC/ha)]]</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255E73B-7605-4F85-85ED-AD7BED2385C3}" name="Table14" displayName="Table14" ref="AO4:BJ158" totalsRowShown="0" tableBorderDxfId="70">
  <autoFilter ref="AO4:BJ158" xr:uid="{4255E73B-7605-4F85-85ED-AD7BED2385C3}"/>
  <tableColumns count="22">
    <tableColumn id="1" xr3:uid="{FB6B75E0-3111-4021-BE76-9D8F7A0BB00D}" name="year t" dataDxfId="69"/>
    <tableColumn id="2" xr3:uid="{757C1FB4-3023-4E38-8E0E-B9631A729BF7}" name="stratum i" dataDxfId="68"/>
    <tableColumn id="3" xr3:uid="{033C2A77-3F71-4D7B-9618-9DC2422F6C15}" name="Ai,t" dataDxfId="67">
      <calculatedColumnFormula array="1">INDEX(Table32[[#All],[Ai,t]], MATCH(1, (Table14[[#This Row],[year t]]=Table32[[#All],[year t]])*(Table14[[#This Row],[stratum i]]=Table32[[#All],[stratum i]]), 0))</calculatedColumnFormula>
    </tableColumn>
    <tableColumn id="4" xr3:uid="{E20220D6-1E55-4C6A-ADD4-A28A5D604880}" name="Soil" dataDxfId="66">
      <calculatedColumnFormula>IF(AND(INDEX(Table31[[#All],[Soil type (t=0)]], MATCH(Table14[[#This Row],[stratum i]], Table31[[#All],[Stratum i]]))="Peat soil", Table14[[#This Row],[year t]]&lt;=Table14[[#This Row],[End_PDT]]), "Peat soil", "Non-peat soil")</calculatedColumnFormula>
    </tableColumn>
    <tableColumn id="5" xr3:uid="{51ED5CF7-6C19-4A65-99E3-C670C18B4EBA}" name="End_PDT" dataDxfId="65">
      <calculatedColumnFormula>IF(Emission_reduction_from_stock_loss?, INDEX(Table2[[#All],[End_PDT]], MATCH(Table14[[#This Row],[stratum i]], Table2[[#All],[stratum i]])), crediting_period)</calculatedColumnFormula>
    </tableColumn>
    <tableColumn id="6" xr3:uid="{1163C0E7-0E4E-420D-B2BB-DE173458E397}" name="End_SDT" dataDxfId="64">
      <calculatedColumnFormula>IF(Emission_reduction_from_stock_loss?, INDEX(Table2[[#All],[End_SDT]], MATCH(Table14[[#This Row],[stratum i]], Table2[[#All],[stratum i]])), crediting_period)</calculatedColumnFormula>
    </tableColumn>
    <tableColumn id="7" xr3:uid="{8AA72132-6BA4-4DB4-A5E8-D14AF0C5641E}" name="GHGBSL-soil-CO2,i,t (Eq 27)" dataDxfId="63">
      <calculatedColumnFormula array="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calculatedColumnFormula>
    </tableColumn>
    <tableColumn id="15" xr3:uid="{E4240719-2118-4E74-A45B-0F992260E296}" name="%Calloch BSL" dataDxfId="62">
      <calculatedColumnFormula array="1">INDEX(#REF!, MATCH(1, (Table14[[#This Row],[year t]]=Table32[[#All],[year t]])*(Table14[[#This Row],[stratum i]]=Table32[[#All],[stratum i]]), 0))</calculatedColumnFormula>
    </tableColumn>
    <tableColumn id="8" xr3:uid="{3C72464A-007F-4352-B450-1CA870ED2564}" name="Deductionalloch (Eq 38)" dataDxfId="61">
      <calculatedColumnFormula>IF(baseline_soil_SOC = "Included", IF(Table14[[#This Row],[Soil]]="Peat soil", 0, IF(OR(soil_insitu_approach = "Proxies", soil_insitu_approach = "Field-collected data"), Table14[[#This Row],[GHGBSL-soil-CO2,i,t (Eq 27)]]*(Table14[[#This Row],[%Calloch BSL]]/100),  Table14[[#This Row],[GHGBSL-insitu-CO2,i,t]]*(Table14[[#This Row],[%Calloch BSL]]/100))), 0)</calculatedColumnFormula>
    </tableColumn>
    <tableColumn id="24" xr3:uid="{9E7C8E5F-411C-4E39-9D4E-7315A01A1ADF}" name="([@[GHGBSL-soil-CO2,i,t (Eq 27)]]-[@[Deductionalloch (Eq 38)]])*Ai,t" dataDxfId="60">
      <calculatedColumnFormula>(Table14[[#This Row],[GHGBSL-soil-CO2,i,t (Eq 27)]]-Table14[[#This Row],[Deductionalloch (Eq 38)]])*Table14[[#This Row],[Ai,t]]</calculatedColumnFormula>
    </tableColumn>
    <tableColumn id="9" xr3:uid="{14DB6144-2310-46EE-8402-69BC8B0704E4}" name="GHGBSL-soil-CH4,i,t" dataDxfId="59">
      <calculatedColumnFormula array="1">IF(baseline_soil_CH4 = "Included", INDEX(Table18[[#All],[GHGBSL-soil-CH4,i,t (Eq 59)]], MATCH(1, (Table14[[#This Row],[year t]]=Table18[[#All],[year t]])*(Table14[[#This Row],[stratum i]]=Table18[[#All],[stratum i]]), 0)), 0)</calculatedColumnFormula>
    </tableColumn>
    <tableColumn id="10" xr3:uid="{A6D9C85F-8096-4A3F-926E-82775A546C4B}" name="GHGBSL-soil-N2O,i,t" dataDxfId="58">
      <calculatedColumnFormula array="1">IF(baseline_soil_N2O = "Included", INDEX(Table18[[#All],[GHGBSL-soil-N2O,i,t (Eq 62)]], MATCH(1, (Table14[[#This Row],[year t]]=Table18[[#All],[year t]])*(Table14[[#This Row],[stratum i]]=Table18[[#All],[stratum i]]), 0)), 0)</calculatedColumnFormula>
    </tableColumn>
    <tableColumn id="11" xr3:uid="{2CD12776-1278-43FC-8644-A639361A0492}" name="GHGBSL-soil,i,t (Eq 26)" dataDxfId="57">
      <calculatedColumnFormula>IF(AND(Table14[[#This Row],[year t]]&gt;Table14[[#This Row],[End_PDT]],Table14[[#This Row],[year t]]&gt;Table14[[#This Row],[End_SDT]]), 0, Table14[[#This Row],[Ai,t]]*(Table14[[#This Row],[GHGBSL-soil-CO2,i,t (Eq 27)]]-Table14[[#This Row],[Deductionalloch (Eq 38)]]+Table14[[#This Row],[GHGBSL-soil-CH4,i,t]]+Table14[[#This Row],[GHGBSL-soil-N2O,i,t]]))</calculatedColumnFormula>
    </tableColumn>
    <tableColumn id="12" xr3:uid="{2F6B97D2-568B-4736-875E-CE1BB09E109A}" name="GHGBSL-insitu-CO2,i,t" dataDxfId="56">
      <calculatedColumnFormula array="1">INDEX(#REF!, MATCH(1, (Table14[[#This Row],[year t]]=Table32[[#All],[year t]])*(Table14[[#This Row],[stratum i]]=Table32[[#All],[stratum i]]), 0))</calculatedColumnFormula>
    </tableColumn>
    <tableColumn id="13" xr3:uid="{94F243D9-5F3B-42BC-9C7E-0B88A53586DA}" name="GHGBSL-eroded-CO2,i,t" dataDxfId="55">
      <calculatedColumnFormula array="1">INDEX(#REF!, MATCH(1, (Table14[[#This Row],[year t]]=Table32[[#All],[year t]])*(Table14[[#This Row],[stratum i]]=Table32[[#All],[stratum i]]), 0))</calculatedColumnFormula>
    </tableColumn>
    <tableColumn id="14" xr3:uid="{196681ED-8EDF-4077-BC9D-0A89681D282F}" name="GHGBSL-excav-CO2,i,t" dataDxfId="54">
      <calculatedColumnFormula array="1">INDEX(#REF!, MATCH(1, (Table14[[#This Row],[year t]]=Table32[[#All],[year t]])*(Table14[[#This Row],[stratum i]]=Table32[[#All],[stratum i]]), 0))</calculatedColumnFormula>
    </tableColumn>
    <tableColumn id="16" xr3:uid="{9A172645-739A-4D13-83C7-6ED36208E8D9}" name="ƒ (GHG emission proxy) " dataDxfId="53">
      <calculatedColumnFormula array="1">INDEX(#REF!, MATCH(1, (Table14[[#This Row],[year t]]=Table32[[#All],[year t]])*(Table14[[#This Row],[stratum i]]=Table32[[#All],[stratum i]]), 0))</calculatedColumnFormula>
    </tableColumn>
    <tableColumn id="18" xr3:uid="{1FB6FB12-951C-4794-A6D2-6FF90953B984}" name="Column1" dataDxfId="52"/>
    <tableColumn id="17" xr3:uid="{56C6D349-FBEF-4AF1-88CF-70E37C5377AD}" name="Column5" dataDxfId="51"/>
    <tableColumn id="20" xr3:uid="{553200C3-F283-47A3-A64B-D883044C5521}" name="Column2" dataDxfId="50"/>
    <tableColumn id="19" xr3:uid="{E89FC65B-FA47-4266-BB50-1A7DDC75D0E8}" name="Column3" dataDxfId="49"/>
    <tableColumn id="21" xr3:uid="{C3A49BB5-0A78-4C89-9008-67324C425F68}" name="Column4" dataDxfId="48"/>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71B5544-2A23-4785-8844-8D5FEAB482EE}" name="Table18" displayName="Table18" ref="BV4:CF39" totalsRowShown="0" tableBorderDxfId="47">
  <autoFilter ref="BV4:CF39" xr:uid="{D71B5544-2A23-4785-8844-8D5FEAB482EE}"/>
  <tableColumns count="11">
    <tableColumn id="1" xr3:uid="{0123239E-E1CE-43AD-97C4-2D18C415894C}" name="year t" dataDxfId="46"/>
    <tableColumn id="2" xr3:uid="{04C933F6-8A4E-4451-82C6-F9AF685CFE52}" name="stratum i" dataDxfId="45"/>
    <tableColumn id="7" xr3:uid="{6FBF1B7D-78ED-4B32-AEA4-C4E37F2954E3}" name="Ai,t" dataDxfId="44">
      <calculatedColumnFormula array="1">INDEX(Table32[[#All],[Ai,t]], MATCH(1, (Table18[[#This Row],[year t]]=Table32[[#All],[year t]])*(Table18[[#This Row],[stratum i]]=Table32[[#All],[stratum i]]), 0))</calculatedColumnFormula>
    </tableColumn>
    <tableColumn id="9" xr3:uid="{F9A7DBA1-3DFA-4706-85E8-B67E421E4672}" name="IPCC Emission factor EF(CH4)" dataDxfId="43">
      <calculatedColumnFormula array="1">INDEX(#REF!, MATCH(1, (Table18[[#This Row],[year t]]=Table32[[#All],[year t]])*(Table18[[#This Row],[stratum i]]=Table32[[#All],[stratum i]]), 0))</calculatedColumnFormula>
    </tableColumn>
    <tableColumn id="3" xr3:uid="{3407441A-37D1-4446-84FB-0DDDC45A2197}" name="CH4(BSL-soil,I,t)" dataDxfId="42">
      <calculatedColumnFormula array="1">INDEX(#REF!, MATCH(1, (Table18[[#This Row],[year t]]=Table32[[#All],[year t]])*(Table18[[#This Row],[stratum i]]=Table32[[#All],[stratum i]]), 0))</calculatedColumnFormula>
    </tableColumn>
    <tableColumn id="4" xr3:uid="{7FC5F771-85F4-42F7-933E-DFA723608FBF}" name="ƒ (GHG emission proxy: CH4)" dataDxfId="41">
      <calculatedColumnFormula array="1">INDEX(#REF!, MATCH(1, (Table18[[#This Row],[year t]]=Table32[[#All],[year t]])*(Table18[[#This Row],[stratum i]]=Table32[[#All],[stratum i]]), 0))</calculatedColumnFormula>
    </tableColumn>
    <tableColumn id="5" xr3:uid="{974D9CD5-3999-4145-943F-248ACB55C14C}" name="GHGBSL-soil-CH4,i,t (Eq 59)" dataDxfId="40">
      <calculatedColumnFormula>IF(soil_CH4_approach = "Proxies", Table18[[#This Row],[ƒ (GHG emission proxy: CH4)]]*GWP_CH4, IF(soil_CH4_approach = "IPCC emission factors", Table18[[#This Row],[IPCC Emission factor EF(CH4)]]*Table18[[#This Row],[Ai,t]]*GWP_CH4, Table18[[#This Row],[CH4(BSL-soil,I,t)]]*GWP_CH4))</calculatedColumnFormula>
    </tableColumn>
    <tableColumn id="10" xr3:uid="{5588A0F1-3AFA-429D-B889-D63D5FDB84B9}" name="IPCC Emission factor EF(N2O)" dataDxfId="39">
      <calculatedColumnFormula array="1">INDEX(#REF!, MATCH(1, (Table18[[#This Row],[year t]]=Table32[[#All],[year t]])*(Table18[[#This Row],[stratum i]]=Table32[[#All],[stratum i]]), 0))</calculatedColumnFormula>
    </tableColumn>
    <tableColumn id="11" xr3:uid="{F0A5A29D-2FAC-49D1-A334-32A14951E4AA}" name="N2O (BSL-soil,I,t)" dataDxfId="38">
      <calculatedColumnFormula array="1">INDEX(#REF!, MATCH(1, (Table18[[#This Row],[year t]]=Table32[[#All],[year t]])*(Table18[[#This Row],[stratum i]]=Table32[[#All],[stratum i]]), 0))</calculatedColumnFormula>
    </tableColumn>
    <tableColumn id="12" xr3:uid="{035FE533-C5C5-48C1-B0C7-B754BF6F7810}" name="ƒ (N2O emission proxy: N2O)" dataDxfId="37">
      <calculatedColumnFormula array="1">INDEX(#REF!, MATCH(1, (Table18[[#This Row],[year t]]=Table32[[#All],[year t]])*(Table18[[#This Row],[stratum i]]=Table32[[#All],[stratum i]]), 0))</calculatedColumnFormula>
    </tableColumn>
    <tableColumn id="13" xr3:uid="{9B0F97DF-09D0-461A-ABCE-3D22ADA03797}" name="GHGBSL-soil-N2O,i,t (Eq 62)" dataDxfId="36">
      <calculatedColumnFormula>IF(soil_N2O_approach = "Proxies", Table18[[#This Row],[ƒ (N2O emission proxy: N2O)]]*GWP_N2O, IF(soil_N2O_approach = "IPCC emission factors", Table18[[#This Row],[IPCC Emission factor EF(N2O)]]*Table18[[#This Row],[Ai,t]]*GWP_N2O, Table18[[#This Row],[N2O (BSL-soil,I,t)]]*GWP_N2O))</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2ED2C7B-3D24-4985-BE86-3DE433AEB554}" name="Table30" displayName="Table30" ref="V4:AC36" totalsRowShown="0" headerRowDxfId="35" dataDxfId="34" tableBorderDxfId="33">
  <autoFilter ref="V4:AC36" xr:uid="{92ED2C7B-3D24-4985-BE86-3DE433AEB554}"/>
  <tableColumns count="8">
    <tableColumn id="1" xr3:uid="{F7BB12D5-3215-494A-BD1C-A4488F7906D3}" name="Stratum i" dataDxfId="32"/>
    <tableColumn id="5" xr3:uid="{C14EB047-4461-44CC-8E38-7FAEBCB45C51}" name="Submergence" dataDxfId="31">
      <calculatedColumnFormula array="1">INDEX(Table34[[#All],[Submergence]], MATCH(1, (Table30[[#This Row],[Stratum i]]=Table34[[#All],[stratum i]])*(Table30[[#This Row],[Year of reporting]]=Table34[[#All],[year t]]), 0))</calculatedColumnFormula>
    </tableColumn>
    <tableColumn id="2" xr3:uid="{AB184615-1385-41CB-AA31-246DFE32C9F8}" name="T" dataDxfId="30">
      <calculatedColumnFormula array="1">INDEX(Table34[[#All],[Submergence_T]], MATCH(1, (Table30[[#This Row],[Stratum i]]=Table34[[#All],[stratum i]])*(Table30[[#This Row],[Year of reporting]]=Table34[[#All],[year t]]), 0))</calculatedColumnFormula>
    </tableColumn>
    <tableColumn id="3" xr3:uid="{6CCD7D2D-FCDA-4332-8818-399CE503125D}" name="Year of reporting" dataDxfId="29"/>
    <tableColumn id="6" xr3:uid="{0A1BCBD0-AE1A-4931-A6B9-F83AAC55D05D}" name="Area submerged%" dataDxfId="28">
      <calculatedColumnFormula array="1">INDEX(Table34[[#All],[Area submerged %]], MATCH(1, (Table30[[#This Row],[Stratum i]]=Table34[[#All],[stratum i]])*(Table30[[#This Row],[Year of reporting]]=Table34[[#All],[year t]]), 0))</calculatedColumnFormula>
    </tableColumn>
    <tableColumn id="8" xr3:uid="{863E3191-731C-4272-9BB7-4565CC929C57}" name="CBSL-agbiomass,i,t (AR tool 14, tC)" dataDxfId="27"/>
    <tableColumn id="7" xr3:uid="{D294A3F8-B1AC-4DC2-BA2A-B48E9366E0DB}" name="CBSL-agbiomass,i,t-T (AR tool 14, tC)" dataDxfId="26">
      <calculatedColumnFormula array="1">INDEX(Table34[[#All],[CBSL-agbiomass,i,t-T (AR tool 14, tC)]], MATCH(1, (Table30[[#This Row],[Stratum i]]=Table34[[#All],[stratum i]])*(Table30[[#This Row],[Year of reporting]]=Table34[[#All],[year t]]), 0))</calculatedColumnFormula>
    </tableColumn>
    <tableColumn id="4" xr3:uid="{ECC5D349-F9F3-4674-BDC0-6C74AE76927A}" name="ΔCBSL-agbiomass,i,t (equation 22) t C yr-1" dataDxfId="25">
      <calculatedColumnFormula>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528DE66-F7E0-45E9-A1F5-6CC9A7521FE4}" name="Table132926" displayName="Table132926" ref="BM4:BP158" totalsRowShown="0">
  <autoFilter ref="BM4:BP158" xr:uid="{F528DE66-F7E0-45E9-A1F5-6CC9A7521FE4}"/>
  <tableColumns count="4">
    <tableColumn id="1" xr3:uid="{BAB5C83E-91AC-4576-8D5B-2A02702007C2}" name="year t" dataDxfId="24"/>
    <tableColumn id="2" xr3:uid="{F360BE01-0FE2-4209-B147-754B9FCDCA57}" name="stratum i" dataDxfId="23"/>
    <tableColumn id="6" xr3:uid="{045E2ED9-9F8A-4327-B8F3-7F31B76A2C8B}" name="∆CBSL-soil,i,t (tC/ha)" dataDxfId="22">
      <calculatedColumnFormula array="1">INDEX(#REF!, MATCH(1, (Table132926[[#This Row],[year t]]=Table32[year t])*(Table132926[[#This Row],[stratum i]]=Table32[[#All],[stratum i]]), 0))</calculatedColumnFormula>
    </tableColumn>
    <tableColumn id="8" xr3:uid="{25FAF3F1-49B3-44C6-BBAC-F4433571FAD6}" name="GHGBSL-soil-CO2,i,t (Eq 36)" dataDxfId="21">
      <calculatedColumnFormula>-44/12*Table132926[[#This Row],[∆CBSL-soil,i,t (tC/ha)]]</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4CC5236-DFA9-4A37-BD4F-02EEDF5FEE4B}" name="Table27" displayName="Table27" ref="B4:W44" totalsRowShown="0">
  <autoFilter ref="B4:W44" xr:uid="{C4CC5236-DFA9-4A37-BD4F-02EEDF5FEE4B}"/>
  <tableColumns count="22">
    <tableColumn id="1" xr3:uid="{77725EAE-6444-4B26-8A7A-1B37FF2520AE}" name="Year t" dataDxfId="20"/>
    <tableColumn id="28" xr3:uid="{C89FFF20-DF46-4FAA-BAB6-C4198A174937}" name="GHGBSL-soil-CO2,t " dataDxfId="19">
      <calculatedColumnFormula array="1">SUMPRODUCT(IF(Table14[[#All],[year t]]&lt;=Table27[[#This Row],[Year t]], Table14[[#All],[Ai,t]]*Table14[[#All],[GHGBSL-soil-CO2,i,t (Eq 27)]]))</calculatedColumnFormula>
    </tableColumn>
    <tableColumn id="2" xr3:uid="{8DCB8179-6779-4BD1-A8BA-36B4F3758D8E}" name="GHGBSL" dataDxfId="18">
      <calculatedColumnFormula>INDEX(Table11[[#All],[GHG(BSL)]], MATCH(Table27[[#This Row],[Year t]], Table11[[#All],[year t]]))</calculatedColumnFormula>
    </tableColumn>
    <tableColumn id="25" xr3:uid="{47B27605-3D1B-4A0B-9886-2322159A1A5A}" name="GHGWPS-soil-CO2,t" dataDxfId="17">
      <calculatedColumnFormula array="1">SUMPRODUCT(IF(Table1423[[#All],[year t]]&lt;=Table27[[#This Row],[Year t]], Table1423[[#All],[Ai,t]]*Table1423[[#All],[GHGWPS-soil-CO2,i,t]]))</calculatedColumnFormula>
    </tableColumn>
    <tableColumn id="31" xr3:uid="{D1BC060D-0047-4D48-8EA1-CB004CC17D91}" name="GHG(WPS-soil)_Deduction" dataDxfId="16">
      <calculatedColumnFormula>IF(Emission_reduction_from_stock_loss?, IF(Table27[[#This Row],[GHGBSL-soil-CO2,t ]]-Table27[[#This Row],[GHGWPS-soil-CO2,t]] - SOC_Max&gt;0, Table27[[#This Row],[GHGBSL-soil-CO2,t ]]-Table27[[#This Row],[GHGWPS-soil-CO2,t]] - SOC_Max, 0), 0)</calculatedColumnFormula>
    </tableColumn>
    <tableColumn id="3" xr3:uid="{A58FCB7A-D193-4BEB-A503-67C35EA70081}" name="GHGWPS" dataDxfId="15">
      <calculatedColumnFormula>INDEX(Table1120[[#All],[GHG(WPS) (Eq 69)]], MATCH(Table27[[#This Row],[Year t]], Table1120[[#All],[year t]]))</calculatedColumnFormula>
    </tableColumn>
    <tableColumn id="4" xr3:uid="{793414E3-A4D7-4CAE-ADEF-11C9C344A1F3}" name="FRP" dataDxfId="14">
      <calculatedColumnFormula>IF(Fire_reduction_premium, INDEX(Table24[[#All],[FRP]], MATCH(Table27[[#This Row],[Year t]],Table24[[#All],[Year t]])), 0)</calculatedColumnFormula>
    </tableColumn>
    <tableColumn id="5" xr3:uid="{5C93EF3C-E61A-43EC-BA33-2C2B1C8950D7}" name="GHGLK"/>
    <tableColumn id="6" xr3:uid="{1AF210FA-62CF-4237-8BFD-ED09EF53D4E4}" name="NERRWE (Eq 85)" dataDxfId="13">
      <calculatedColumnFormula>Table27[[#This Row],[GHGBSL]]-Table27[[#This Row],[GHGWPS]]+Table27[[#This Row],[FRP]]-Table27[[#This Row],[GHGLK]]-Table27[[#This Row],[GHG(WPS-soil)_Deduction]]</calculatedColumnFormula>
    </tableColumn>
    <tableColumn id="8" xr3:uid="{660D0158-ADEF-4662-A4CB-843AC911CB35}" name="NERRWE Capped" dataDxfId="12">
      <calculatedColumnFormula>IF(NERRWE_Cap, IF(Table27[[#This Row],[NERRWE (Eq 85)]]&lt;=NERRWE_Max, Table27[[#This Row],[NERRWE (Eq 85)]], NERRWE_Max), Table27[[#This Row],[NERRWE (Eq 85)]])</calculatedColumnFormula>
    </tableColumn>
    <tableColumn id="9" xr3:uid="{DC00598D-B8FD-41F2-B73B-2C7181D890F3}" name="NERt" dataDxfId="11">
      <calculatedColumnFormula>Table27[[#This Row],[NERRWE Capped]]</calculatedColumnFormula>
    </tableColumn>
    <tableColumn id="10" xr3:uid="{05EAFB43-377D-43E9-B6E4-ECB0215EB40D}" name="NER(ERROR)" dataDxfId="10">
      <calculatedColumnFormula>'IndividualParameters + UI Req'!$B$9</calculatedColumnFormula>
    </tableColumn>
    <tableColumn id="12" xr3:uid="{FF4B0687-0F4A-4722-8C61-9EEED585BCDC}" name="allowable_uncert" dataDxfId="9">
      <calculatedColumnFormula>'IndividualParameters + UI Req'!$B$6</calculatedColumnFormula>
    </tableColumn>
    <tableColumn id="13" xr3:uid="{35DC5D0D-41D6-4531-9F10-4BF6D7CAB0CC}" name="adjusted_NERt (Eq 92)" dataDxfId="8">
      <calculatedColumnFormula>Table27[[#This Row],[NERt]]*(100% - Table27[[#This Row],[NER(ERROR)]]+Table27[[#This Row],[allowable_uncert]])</calculatedColumnFormula>
    </tableColumn>
    <tableColumn id="14" xr3:uid="{FED388E0-2EE6-4B39-A4BA-1BF555559817}" name="Sum(GHGBSL-soil-CO2,i,t (Eq 27)-Deductionalloch (Eq 38)),t" dataDxfId="7">
      <calculatedColumnFormula>SUMIF(Table14[[#All],[year t]], "&lt;="&amp;Table27[[#This Row],[Year t]], Table14[[#All],[('[@'[GHGBSL-soil-CO2,i,t (Eq 27)']']-'[@'[Deductionalloch (Eq 38)']'])*Ai,t]])</calculatedColumnFormula>
    </tableColumn>
    <tableColumn id="15" xr3:uid="{017D8C77-158F-414A-AE51-4FE1D466F332}" name="GHG(BSL-biomass),t" dataDxfId="6">
      <calculatedColumnFormula>INDEX(Table11[[#All],[GHG(BSL-biomass)]], MATCH(Table27[[#This Row],[Year t]], Table11[[#All],[year t]]))</calculatedColumnFormula>
    </tableColumn>
    <tableColumn id="17" xr3:uid="{A130AA7F-5A25-4060-8049-DC666175AD64}" name="Sum([@[GHGWPS-soil-CO2,i,t (Eq 80)]]-[@Deductionalloch])" dataDxfId="5">
      <calculatedColumnFormula xml:space="preserve"> SUMIF(Table1423[[#All],[year t]], "&lt;="&amp;Table27[[#This Row],[Year t]], Table1423[[#All],[('[@'[GHGWPS-soil-CO2,i,t (Eq 27)']']-'[@'[Deductionalloch WPS (Eq 38)']'])*Ai,t]] )</calculatedColumnFormula>
    </tableColumn>
    <tableColumn id="18" xr3:uid="{C8799AF9-EF90-481F-9545-2DED9F0A193D}" name="GHG(WPS-biomass)" dataDxfId="4">
      <calculatedColumnFormula>INDEX(Table1120[[#All],[GHG(WPS-biomass)]], MATCH(Table27[[#This Row],[Year t]], Table1120[[#All],[year t]]))</calculatedColumnFormula>
    </tableColumn>
    <tableColumn id="16" xr3:uid="{3BAC9712-3516-46CC-8B39-17165313E18C}" name="𝑁𝐸𝑅𝑠𝑡𝑜𝑐𝑘,t" dataDxfId="3">
      <calculatedColumnFormula>((Table27[[#This Row],[Sum(GHGBSL-soil-CO2,i,t (Eq 27)-Deductionalloch (Eq 38)),t]]+Table27[[#This Row],[GHG(BSL-biomass),t]])-(Table27[[#This Row],[Sum('[@'[GHGWPS-soil-CO2,i,t (Eq 80)']']-'[@Deductionalloch'])]]+Table27[[#This Row],[GHG(WPS-biomass)]]))</calculatedColumnFormula>
    </tableColumn>
    <tableColumn id="19" xr3:uid="{CF9A8EE2-F952-402F-89AF-8B5166A287FD}" name="Buffer%" dataDxfId="2">
      <calculatedColumnFormula>'IndividualParameters + UI Req'!$B$7</calculatedColumnFormula>
    </tableColumn>
    <tableColumn id="20" xr3:uid="{5E8EDC9D-009A-435A-9C20-92C78FE66F90}" name="Buffer_deduction (Eq 94)" dataDxfId="1">
      <calculatedColumnFormula>(Table27[[#This Row],[𝑁𝐸𝑅𝑠𝑡𝑜𝑐𝑘,t]]-0)*Table27[[#This Row],[Buffer%]]</calculatedColumnFormula>
    </tableColumn>
    <tableColumn id="21" xr3:uid="{980558A7-23F3-4F1B-A745-35168ECABED2}" name="VCUt(Eq 93)" dataDxfId="0">
      <calculatedColumnFormula>(Table27[[#This Row],[adjusted_NERt (Eq 92)]]-0)-Table27[[#This Row],[Buffer_deduction (Eq 94)]]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1-17T18:29:27.94" personId="{A96D2900-7C63-4DD3-8E0E-97C9373E076F}" id="{BA115EA1-377F-4F15-B1D8-31A3ADE29E38}">
    <text xml:space="preserve">Hello @Liz Guinessey  I deleted the comment in the quantification approach column and copied and pasted it here. With the comment there, I wasn’t able to change the quantification approach in the drop-down. </text>
    <mentions>
      <mention mentionpersonId="{6F3ED161-477C-4B8A-8B7F-F8CE70AB22A3}" mentionId="{E39F156C-5497-42A2-A877-619CB399EBFD}" startIndex="6" length="14"/>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5-01-16T19:51:31.03" personId="{46EF21BF-9964-4ED3-A81E-ECB7D7BD8E1B}" id="{223DCCEE-03BC-4BF8-933C-A1ABE9A1BF47}">
    <text>What is the source of the 0.1? The % contribution to the buffer should come from the NPRT</text>
  </threadedComment>
  <threadedComment ref="B7" dT="2025-01-16T23:33:13.16" personId="{A96D2900-7C63-4DD3-8E0E-97C9373E076F}" id="{533C89A3-FC9D-4AAD-B546-B1F3DA2504DD}" parentId="{223DCCEE-03BC-4BF8-933C-A1ABE9A1BF47}">
    <text xml:space="preserve">Yes, Buffer% is the NPR% estimate from NPRT. </text>
  </threadedComment>
  <threadedComment ref="B8" dT="2025-01-16T19:55:43.26" personId="{46EF21BF-9964-4ED3-A81E-ECB7D7BD8E1B}" id="{FA4F2560-3151-417E-A368-C11FC0E9DA9D}">
    <text>What is the source of this value? Is this just a hypothetical value?</text>
  </threadedComment>
  <threadedComment ref="B8" dT="2025-01-16T23:32:50.73" personId="{A96D2900-7C63-4DD3-8E0E-97C9373E076F}" id="{899E4A4D-EF7C-47E6-92F0-30EE9A312DBB}" parentId="{FA4F2560-3151-417E-A368-C11FC0E9DA9D}">
    <text xml:space="preserve">Yes this is an hypothetical value. </text>
  </threadedComment>
  <threadedComment ref="B9" dT="2025-01-16T23:00:20.69" personId="{46EF21BF-9964-4ED3-A81E-ECB7D7BD8E1B}" id="{66F776D9-A592-4723-B4FE-78ABD068527D}">
    <text xml:space="preserve">where does this value come from? </text>
  </threadedComment>
  <threadedComment ref="B9" dT="2025-01-16T23:31:49.11" personId="{A96D2900-7C63-4DD3-8E0E-97C9373E076F}" id="{8CDFA184-33DD-4EB1-B3B9-2AD6CF1791C2}" parentId="{66F776D9-A592-4723-B4FE-78ABD068527D}">
    <text xml:space="preserve">@Liz Guinessey  this is the output from equation 91, however on page 103, it is a parameter monitored. </text>
    <mentions>
      <mention mentionpersonId="{6F3ED161-477C-4B8A-8B7F-F8CE70AB22A3}" mentionId="{3091B434-F893-42B1-915E-CF4201F1CD10}" startIndex="0" length="14"/>
    </mentions>
  </threadedComment>
  <threadedComment ref="B9" dT="2025-01-16T23:39:02.18" personId="{A96D2900-7C63-4DD3-8E0E-97C9373E076F}" id="{616ECF46-4C58-41E7-8CAE-DC72F0CE8B74}" parentId="{66F776D9-A592-4723-B4FE-78ABD068527D}">
    <text>It is a hypothetical value.</text>
  </threadedComment>
</ThreadedComments>
</file>

<file path=xl/threadedComments/threadedComment3.xml><?xml version="1.0" encoding="utf-8"?>
<ThreadedComments xmlns="http://schemas.microsoft.com/office/spreadsheetml/2018/threadedcomments" xmlns:x="http://schemas.openxmlformats.org/spreadsheetml/2006/main">
  <threadedComment ref="G7" dT="2025-01-16T20:55:45.19" personId="{46EF21BF-9964-4ED3-A81E-ECB7D7BD8E1B}" id="{B1427BE5-BA57-4F98-B63F-4817C82B7FBD}">
    <text>just flagging that in one single stratum, you would select either the total stock approach or the stock loss approach (not both)</text>
  </threadedComment>
  <threadedComment ref="G7" dT="2025-01-16T23:57:33.13" personId="{A96D2900-7C63-4DD3-8E0E-97C9373E076F}" id="{594E1D59-1288-4825-91B9-2009E47D0780}" parentId="{B1427BE5-BA57-4F98-B63F-4817C82B7FBD}">
    <text>Yes, currently, the user has to select either one of the approaches, total stock approach or stock loss approach, and only one approach will be used in the calculation engine. However, currently the setting is for an entire project instance. For the MVP, would only allowing project-instance level selection of maximum SOC loss estimation approaches be okay?</text>
  </threadedComment>
</ThreadedComments>
</file>

<file path=xl/threadedComments/threadedComment4.xml><?xml version="1.0" encoding="utf-8"?>
<ThreadedComments xmlns="http://schemas.microsoft.com/office/spreadsheetml/2018/threadedcomments" xmlns:x="http://schemas.openxmlformats.org/spreadsheetml/2006/main">
  <threadedComment ref="G1" dT="2025-01-16T20:28:49.94" personId="{46EF21BF-9964-4ED3-A81E-ECB7D7BD8E1B}" id="{3188B9AA-33CA-44BA-A997-537A4A25B201}">
    <text>this parameter isn't necessarily all removals. rather, it's any emission reduction with a risk of non-permanence, which must be included in the NPR assessment. however, there could be avoided emissions from the SOC pool included in the NERstock term.</text>
  </threadedComment>
</ThreadedComments>
</file>

<file path=xl/threadedComments/threadedComment5.xml><?xml version="1.0" encoding="utf-8"?>
<ThreadedComments xmlns="http://schemas.microsoft.com/office/spreadsheetml/2018/threadedcomments" xmlns:x="http://schemas.openxmlformats.org/spreadsheetml/2006/main">
  <threadedComment ref="E4" dT="2025-01-17T18:32:34.33" personId="{A96D2900-7C63-4DD3-8E0E-97C9373E076F}" id="{CB4AC9CD-FB4A-4A79-AAC0-6F3EDDF721E9}">
    <text xml:space="preserve">@Liz Guinessey  I also remove the minus sign in equation here. </text>
    <mentions>
      <mention mentionpersonId="{6F3ED161-477C-4B8A-8B7F-F8CE70AB22A3}" mentionId="{9E3695CB-713A-423E-80CE-40534E2F5D25}" startIndex="0" length="14"/>
    </mentions>
  </threadedComment>
  <threadedComment ref="F4" dT="2025-01-17T18:32:50.53" personId="{A96D2900-7C63-4DD3-8E0E-97C9373E076F}" id="{72D7E2CB-3EAF-41B1-8210-4CF47082F6AA}">
    <text>@Liz Guinessey The minus sign in the equation was removed</text>
    <mentions>
      <mention mentionpersonId="{6F3ED161-477C-4B8A-8B7F-F8CE70AB22A3}" mentionId="{F1C048BE-B66D-473D-921F-DA5288EDC7ED}" startIndex="0" length="14"/>
    </mentions>
  </threadedComment>
  <threadedComment ref="G4" dT="2025-01-17T18:33:08.59" personId="{A96D2900-7C63-4DD3-8E0E-97C9373E076F}" id="{1068A5F7-7EDD-48C5-A19D-3C0E192DF4E7}">
    <text>@Liz Guinessey  the minus sign in the equation was removed.</text>
    <mentions>
      <mention mentionpersonId="{6F3ED161-477C-4B8A-8B7F-F8CE70AB22A3}" mentionId="{8DE95242-DC44-4EF2-BC85-3437C50BB3E0}" startIndex="0" length="14"/>
    </mentions>
  </threadedComment>
  <threadedComment ref="AI4" dT="2025-01-17T19:30:20.39" personId="{A96D2900-7C63-4DD3-8E0E-97C9373E076F}" id="{BAB1488E-D6CD-4280-BB4C-DDECE28F8F8E}">
    <text>@Liz Guinessey  according to equation 79, the temporal boundary seems to be not applicable on the GHGWPS-soil,i,t</text>
    <mentions>
      <mention mentionpersonId="{6F3ED161-477C-4B8A-8B7F-F8CE70AB22A3}" mentionId="{094D7B16-6512-4488-87CC-22F76F850B8D}" startIndex="0" length="14"/>
    </mentions>
  </threadedComment>
  <threadedComment ref="AM4" dT="2025-01-17T00:00:53.41" personId="{A96D2900-7C63-4DD3-8E0E-97C9373E076F}" id="{EF52C55B-08D8-44F2-B489-A24C7DC40795}">
    <text xml:space="preserve">@Liz Guinessey  I have updated the calculation logic for the peat soil for Deduction(alloch) in the project scenario as well. </text>
    <mentions>
      <mention mentionpersonId="{6F3ED161-477C-4B8A-8B7F-F8CE70AB22A3}" mentionId="{62756830-1075-4A13-BDC8-B8A2C33333F5}" startIndex="0" length="14"/>
    </mentions>
  </threadedComment>
  <threadedComment ref="AH12" dT="2025-01-16T22:50:45.21" personId="{46EF21BF-9964-4ED3-A81E-ECB7D7BD8E1B}" id="{3D3CE9E0-8788-42DA-AFEF-1173764310A1}">
    <text xml:space="preserve">if the soil is peat, then only the PDT would apply. If the soils were mineral, then the SDT would apply. </text>
  </threadedComment>
  <threadedComment ref="AH12" dT="2025-01-16T23:50:22.07" personId="{A96D2900-7C63-4DD3-8E0E-97C9373E076F}" id="{CA197030-C9C4-4212-83AB-BBCE353525D8}" parentId="{3D3CE9E0-8788-42DA-AFEF-1173764310A1}">
    <text xml:space="preserve">Because in section 5.1.1, if the end of peat depletion falls inside a crediting period, the soil depletion time would be calculated using 5.1.2 for the remaining mineral soil layers underneath the peat, that is the my understanding of that last sentence of 5.1.1; 
Currently the temporal boundary calculation for each stratum is
- peat soil: 5.1.1 + 5.1.2 (depending on if PDT falls inside a crediting period, if not, it would be only 5.1.1, if fall inside a crediting period, it will also use 5.1.2 to calculate the SDT)
- mineral soil: 5.1.2 </text>
  </threadedComment>
</ThreadedComments>
</file>

<file path=xl/threadedComments/threadedComment6.xml><?xml version="1.0" encoding="utf-8"?>
<ThreadedComments xmlns="http://schemas.microsoft.com/office/spreadsheetml/2018/threadedcomments" xmlns:x="http://schemas.openxmlformats.org/spreadsheetml/2006/main">
  <threadedComment ref="AW5" dT="2025-01-16T21:43:42.56" personId="{46EF21BF-9964-4ED3-A81E-ECB7D7BD8E1B}" id="{9835138E-D66A-4594-A319-58DDE7B8FCE5}">
    <text>for strata with organic soils (i.e., peat), deductionalloch should be set to 0.</text>
  </threadedComment>
  <threadedComment ref="AW5" dT="2025-01-16T23:42:03.28" personId="{A96D2900-7C63-4DD3-8E0E-97C9373E076F}" id="{130FD9DF-1F44-4EB8-8275-4749F386A744}" parentId="{9835138E-D66A-4594-A319-58DDE7B8FCE5}">
    <text xml:space="preserve">Thank you Liz, I will make changes to the calculation logic here. </text>
  </threadedComment>
</ThreadedComments>
</file>

<file path=xl/threadedComments/threadedComment7.xml><?xml version="1.0" encoding="utf-8"?>
<ThreadedComments xmlns="http://schemas.microsoft.com/office/spreadsheetml/2018/threadedcomments" xmlns:x="http://schemas.openxmlformats.org/spreadsheetml/2006/main">
  <threadedComment ref="C4" dT="2025-01-17T18:18:02.66" personId="{A96D2900-7C63-4DD3-8E0E-97C9373E076F}" id="{8ECB028C-98F5-4645-B4EC-3FC85A2DCE62}">
    <text>@Liz Guinessey  I have updated baseline emission from SOC pool loss. It is a summation of products of (GHGBSL-soil-CO2,I,t*Ai,t) for year &lt;= calculation year t.</text>
    <mentions>
      <mention mentionpersonId="{6F3ED161-477C-4B8A-8B7F-F8CE70AB22A3}" mentionId="{E51EE78C-ED9D-498F-BACA-589698432C97}" startIndex="0" length="14"/>
    </mentions>
  </threadedComment>
  <threadedComment ref="E4" dT="2025-01-17T18:18:28.60" personId="{A96D2900-7C63-4DD3-8E0E-97C9373E076F}" id="{52EB0BE9-43BE-4F1D-9748-001178C22AAC}">
    <text xml:space="preserve">Hello @Liz Guinessey ,  I have updated project emission from SOC pool loss. It is a summation of products of (GHGWPS-soil-CO2,I,t*Ai,t) for year &lt;= calculation year t.
</text>
    <mentions>
      <mention mentionpersonId="{6F3ED161-477C-4B8A-8B7F-F8CE70AB22A3}" mentionId="{89064C7D-D44F-446E-A742-323493D2FF72}" startIndex="6" length="14"/>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8.xml"/><Relationship Id="rId7" Type="http://schemas.openxmlformats.org/officeDocument/2006/relationships/comments" Target="../comments3.xml"/><Relationship Id="rId2" Type="http://schemas.openxmlformats.org/officeDocument/2006/relationships/table" Target="../tables/table7.xml"/><Relationship Id="rId1" Type="http://schemas.openxmlformats.org/officeDocument/2006/relationships/vmlDrawing" Target="../drawings/vmlDrawing3.v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vmlDrawing" Target="../drawings/vmlDrawing5.vml"/><Relationship Id="rId1" Type="http://schemas.openxmlformats.org/officeDocument/2006/relationships/drawing" Target="../drawings/drawing2.xml"/><Relationship Id="rId6" Type="http://schemas.openxmlformats.org/officeDocument/2006/relationships/table" Target="../tables/table15.xml"/><Relationship Id="rId11" Type="http://schemas.microsoft.com/office/2017/10/relationships/threadedComment" Target="../threadedComments/threadedComment5.xml"/><Relationship Id="rId5" Type="http://schemas.openxmlformats.org/officeDocument/2006/relationships/table" Target="../tables/table14.xml"/><Relationship Id="rId10" Type="http://schemas.openxmlformats.org/officeDocument/2006/relationships/comments" Target="../comments5.xml"/><Relationship Id="rId4" Type="http://schemas.openxmlformats.org/officeDocument/2006/relationships/table" Target="../tables/table13.xml"/><Relationship Id="rId9" Type="http://schemas.openxmlformats.org/officeDocument/2006/relationships/table" Target="../tables/table18.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vmlDrawing" Target="../drawings/vmlDrawing6.vml"/><Relationship Id="rId1" Type="http://schemas.openxmlformats.org/officeDocument/2006/relationships/drawing" Target="../drawings/drawing3.xml"/><Relationship Id="rId6" Type="http://schemas.openxmlformats.org/officeDocument/2006/relationships/table" Target="../tables/table22.xml"/><Relationship Id="rId11" Type="http://schemas.microsoft.com/office/2017/10/relationships/threadedComment" Target="../threadedComments/threadedComment6.xml"/><Relationship Id="rId5" Type="http://schemas.openxmlformats.org/officeDocument/2006/relationships/table" Target="../tables/table21.xml"/><Relationship Id="rId10" Type="http://schemas.openxmlformats.org/officeDocument/2006/relationships/comments" Target="../comments6.xml"/><Relationship Id="rId4" Type="http://schemas.openxmlformats.org/officeDocument/2006/relationships/table" Target="../tables/table20.xml"/><Relationship Id="rId9"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26.xml"/><Relationship Id="rId1" Type="http://schemas.openxmlformats.org/officeDocument/2006/relationships/vmlDrawing" Target="../drawings/vmlDrawing7.vml"/><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M27"/>
  <sheetViews>
    <sheetView topLeftCell="A16" workbookViewId="0">
      <selection activeCell="F5" sqref="F5"/>
    </sheetView>
  </sheetViews>
  <sheetFormatPr baseColWidth="10" defaultColWidth="8.83203125" defaultRowHeight="15" x14ac:dyDescent="0.2"/>
  <cols>
    <col min="1" max="1" width="8" customWidth="1"/>
    <col min="2" max="2" width="30.1640625" style="1" customWidth="1"/>
    <col min="3" max="3" width="15" customWidth="1"/>
    <col min="5" max="5" width="50.83203125" style="1" customWidth="1"/>
    <col min="6" max="6" width="44.33203125" style="57" customWidth="1"/>
    <col min="13" max="13" width="0" hidden="1" customWidth="1"/>
  </cols>
  <sheetData>
    <row r="1" spans="1:13" ht="30" x14ac:dyDescent="0.2">
      <c r="A1" s="171" t="s">
        <v>0</v>
      </c>
      <c r="B1" s="172"/>
      <c r="C1" s="13" t="s">
        <v>1</v>
      </c>
      <c r="D1" s="13" t="s">
        <v>2</v>
      </c>
      <c r="E1" s="14" t="s">
        <v>3</v>
      </c>
    </row>
    <row r="2" spans="1:13" ht="144" x14ac:dyDescent="0.2">
      <c r="A2" s="175" t="s">
        <v>4</v>
      </c>
      <c r="B2" s="3" t="s">
        <v>5</v>
      </c>
      <c r="C2" s="2" t="s">
        <v>6</v>
      </c>
      <c r="D2" s="2" t="s">
        <v>7</v>
      </c>
      <c r="E2" s="10" t="s">
        <v>8</v>
      </c>
      <c r="M2" t="s">
        <v>7</v>
      </c>
    </row>
    <row r="3" spans="1:13" ht="48" x14ac:dyDescent="0.2">
      <c r="A3" s="175"/>
      <c r="B3" s="3" t="s">
        <v>9</v>
      </c>
      <c r="C3" s="2" t="s">
        <v>6</v>
      </c>
      <c r="D3" s="74" t="s">
        <v>12</v>
      </c>
      <c r="E3" s="10" t="s">
        <v>10</v>
      </c>
      <c r="F3" s="126" t="s">
        <v>21</v>
      </c>
      <c r="M3" t="s">
        <v>12</v>
      </c>
    </row>
    <row r="4" spans="1:13" ht="112" x14ac:dyDescent="0.2">
      <c r="A4" s="175"/>
      <c r="B4" s="3" t="s">
        <v>13</v>
      </c>
      <c r="C4" s="2" t="s">
        <v>6</v>
      </c>
      <c r="D4" s="2" t="s">
        <v>7</v>
      </c>
      <c r="E4" s="10" t="s">
        <v>14</v>
      </c>
    </row>
    <row r="5" spans="1:13" ht="48" x14ac:dyDescent="0.2">
      <c r="A5" s="175"/>
      <c r="B5" s="3" t="s">
        <v>15</v>
      </c>
      <c r="C5" s="2" t="s">
        <v>6</v>
      </c>
      <c r="D5" s="74" t="s">
        <v>12</v>
      </c>
      <c r="E5" s="10" t="s">
        <v>16</v>
      </c>
      <c r="F5" s="57" t="s">
        <v>11</v>
      </c>
    </row>
    <row r="6" spans="1:13" ht="16" x14ac:dyDescent="0.2">
      <c r="A6" s="175"/>
      <c r="B6" s="3" t="s">
        <v>17</v>
      </c>
      <c r="C6" s="2" t="s">
        <v>6</v>
      </c>
      <c r="D6" s="74" t="s">
        <v>12</v>
      </c>
      <c r="E6" s="10" t="s">
        <v>18</v>
      </c>
      <c r="F6" s="57" t="s">
        <v>11</v>
      </c>
    </row>
    <row r="7" spans="1:13" s="19" customFormat="1" ht="32" x14ac:dyDescent="0.2">
      <c r="A7" s="175"/>
      <c r="B7" s="65" t="s">
        <v>19</v>
      </c>
      <c r="C7" s="62" t="s">
        <v>6</v>
      </c>
      <c r="D7" s="85" t="s">
        <v>12</v>
      </c>
      <c r="E7" s="67" t="s">
        <v>20</v>
      </c>
      <c r="F7" s="126" t="s">
        <v>21</v>
      </c>
    </row>
    <row r="8" spans="1:13" ht="16" x14ac:dyDescent="0.2">
      <c r="A8" s="175"/>
      <c r="B8" s="3" t="s">
        <v>22</v>
      </c>
      <c r="C8" s="2" t="s">
        <v>6</v>
      </c>
      <c r="D8" s="74" t="s">
        <v>12</v>
      </c>
      <c r="E8" s="10" t="s">
        <v>23</v>
      </c>
      <c r="F8" s="57" t="s">
        <v>11</v>
      </c>
    </row>
    <row r="9" spans="1:13" s="19" customFormat="1" ht="32" x14ac:dyDescent="0.2">
      <c r="A9" s="175"/>
      <c r="B9" s="65" t="s">
        <v>24</v>
      </c>
      <c r="C9" s="62" t="s">
        <v>25</v>
      </c>
      <c r="D9" s="85" t="s">
        <v>12</v>
      </c>
      <c r="E9" s="67" t="s">
        <v>26</v>
      </c>
      <c r="F9" s="126" t="s">
        <v>21</v>
      </c>
    </row>
    <row r="10" spans="1:13" s="19" customFormat="1" ht="16" x14ac:dyDescent="0.2">
      <c r="A10" s="175"/>
      <c r="B10" s="19" t="s">
        <v>27</v>
      </c>
      <c r="C10" s="62" t="s">
        <v>28</v>
      </c>
      <c r="D10" s="85" t="s">
        <v>12</v>
      </c>
      <c r="E10" s="67" t="s">
        <v>29</v>
      </c>
      <c r="F10" s="126" t="s">
        <v>21</v>
      </c>
    </row>
    <row r="11" spans="1:13" s="19" customFormat="1" ht="39.75" customHeight="1" x14ac:dyDescent="0.2">
      <c r="A11" s="175"/>
      <c r="B11" s="65" t="s">
        <v>30</v>
      </c>
      <c r="C11" s="62" t="s">
        <v>31</v>
      </c>
      <c r="D11" s="85" t="s">
        <v>12</v>
      </c>
      <c r="E11" s="67" t="s">
        <v>32</v>
      </c>
      <c r="F11" s="126" t="s">
        <v>21</v>
      </c>
    </row>
    <row r="12" spans="1:13" s="19" customFormat="1" ht="16" x14ac:dyDescent="0.2">
      <c r="A12" s="175"/>
      <c r="B12" s="173" t="s">
        <v>33</v>
      </c>
      <c r="C12" s="62" t="s">
        <v>6</v>
      </c>
      <c r="D12" s="85" t="s">
        <v>12</v>
      </c>
      <c r="E12" s="67" t="s">
        <v>29</v>
      </c>
      <c r="F12" s="126" t="s">
        <v>21</v>
      </c>
    </row>
    <row r="13" spans="1:13" ht="16" x14ac:dyDescent="0.2">
      <c r="A13" s="175"/>
      <c r="B13" s="173"/>
      <c r="C13" s="2" t="s">
        <v>25</v>
      </c>
      <c r="D13" s="2" t="s">
        <v>12</v>
      </c>
      <c r="E13" s="10" t="s">
        <v>34</v>
      </c>
    </row>
    <row r="14" spans="1:13" ht="17" thickBot="1" x14ac:dyDescent="0.25">
      <c r="A14" s="176"/>
      <c r="B14" s="174"/>
      <c r="C14" s="8" t="s">
        <v>28</v>
      </c>
      <c r="D14" s="8" t="s">
        <v>12</v>
      </c>
      <c r="E14" s="15" t="s">
        <v>34</v>
      </c>
    </row>
    <row r="15" spans="1:13" ht="144" x14ac:dyDescent="0.2">
      <c r="A15" s="179" t="s">
        <v>35</v>
      </c>
      <c r="B15" s="6" t="s">
        <v>5</v>
      </c>
      <c r="C15" s="7" t="s">
        <v>6</v>
      </c>
      <c r="D15" s="156" t="s">
        <v>7</v>
      </c>
      <c r="E15" s="9" t="s">
        <v>8</v>
      </c>
      <c r="F15" s="57" t="s">
        <v>11</v>
      </c>
    </row>
    <row r="16" spans="1:13" ht="48" x14ac:dyDescent="0.2">
      <c r="A16" s="180"/>
      <c r="B16" s="3" t="s">
        <v>9</v>
      </c>
      <c r="C16" s="2" t="s">
        <v>6</v>
      </c>
      <c r="D16" s="74" t="s">
        <v>12</v>
      </c>
      <c r="E16" s="10" t="s">
        <v>10</v>
      </c>
      <c r="F16" s="126" t="s">
        <v>21</v>
      </c>
    </row>
    <row r="17" spans="1:6" ht="112" x14ac:dyDescent="0.2">
      <c r="A17" s="180"/>
      <c r="B17" s="3" t="s">
        <v>13</v>
      </c>
      <c r="C17" s="2" t="s">
        <v>6</v>
      </c>
      <c r="D17" s="74" t="s">
        <v>7</v>
      </c>
      <c r="E17" s="10" t="s">
        <v>14</v>
      </c>
      <c r="F17" s="57" t="s">
        <v>11</v>
      </c>
    </row>
    <row r="18" spans="1:6" ht="48" x14ac:dyDescent="0.2">
      <c r="A18" s="180"/>
      <c r="B18" s="3" t="s">
        <v>15</v>
      </c>
      <c r="C18" s="2" t="s">
        <v>6</v>
      </c>
      <c r="D18" s="74" t="s">
        <v>12</v>
      </c>
      <c r="E18" s="10" t="s">
        <v>16</v>
      </c>
      <c r="F18" s="57" t="s">
        <v>11</v>
      </c>
    </row>
    <row r="19" spans="1:6" ht="16" x14ac:dyDescent="0.2">
      <c r="A19" s="180"/>
      <c r="B19" s="3" t="s">
        <v>17</v>
      </c>
      <c r="C19" s="2" t="s">
        <v>6</v>
      </c>
      <c r="D19" s="74" t="s">
        <v>12</v>
      </c>
      <c r="E19" s="10" t="s">
        <v>18</v>
      </c>
      <c r="F19" s="57" t="s">
        <v>11</v>
      </c>
    </row>
    <row r="20" spans="1:6" s="19" customFormat="1" ht="32" x14ac:dyDescent="0.2">
      <c r="A20" s="180"/>
      <c r="B20" s="65" t="s">
        <v>19</v>
      </c>
      <c r="C20" s="62" t="s">
        <v>6</v>
      </c>
      <c r="D20" s="66" t="s">
        <v>7</v>
      </c>
      <c r="E20" s="67" t="s">
        <v>20</v>
      </c>
      <c r="F20" s="126" t="s">
        <v>21</v>
      </c>
    </row>
    <row r="21" spans="1:6" ht="16" x14ac:dyDescent="0.2">
      <c r="A21" s="180"/>
      <c r="B21" s="3" t="s">
        <v>22</v>
      </c>
      <c r="C21" s="2" t="s">
        <v>6</v>
      </c>
      <c r="D21" s="74" t="s">
        <v>12</v>
      </c>
      <c r="E21" s="10" t="s">
        <v>23</v>
      </c>
      <c r="F21" s="57" t="s">
        <v>36</v>
      </c>
    </row>
    <row r="22" spans="1:6" s="19" customFormat="1" ht="32" x14ac:dyDescent="0.2">
      <c r="A22" s="180"/>
      <c r="B22" s="65" t="s">
        <v>24</v>
      </c>
      <c r="C22" s="62" t="s">
        <v>25</v>
      </c>
      <c r="D22" s="85" t="s">
        <v>12</v>
      </c>
      <c r="E22" s="67" t="s">
        <v>37</v>
      </c>
      <c r="F22" s="126" t="s">
        <v>21</v>
      </c>
    </row>
    <row r="23" spans="1:6" s="19" customFormat="1" x14ac:dyDescent="0.2">
      <c r="A23" s="180"/>
      <c r="B23" s="62" t="s">
        <v>27</v>
      </c>
      <c r="C23" s="62" t="s">
        <v>28</v>
      </c>
      <c r="D23" s="85" t="s">
        <v>12</v>
      </c>
      <c r="E23" s="68" t="s">
        <v>38</v>
      </c>
      <c r="F23" s="126" t="s">
        <v>21</v>
      </c>
    </row>
    <row r="24" spans="1:6" s="70" customFormat="1" ht="49.25" customHeight="1" x14ac:dyDescent="0.2">
      <c r="A24" s="180"/>
      <c r="B24" s="62" t="s">
        <v>39</v>
      </c>
      <c r="C24" s="62" t="s">
        <v>31</v>
      </c>
      <c r="D24" s="85" t="s">
        <v>12</v>
      </c>
      <c r="E24" s="69" t="s">
        <v>40</v>
      </c>
      <c r="F24" s="126" t="s">
        <v>21</v>
      </c>
    </row>
    <row r="25" spans="1:6" s="19" customFormat="1" ht="128" x14ac:dyDescent="0.2">
      <c r="A25" s="180"/>
      <c r="B25" s="177" t="s">
        <v>33</v>
      </c>
      <c r="C25" s="62" t="s">
        <v>6</v>
      </c>
      <c r="D25" s="85" t="s">
        <v>12</v>
      </c>
      <c r="E25" s="67" t="s">
        <v>41</v>
      </c>
      <c r="F25" s="126" t="s">
        <v>21</v>
      </c>
    </row>
    <row r="26" spans="1:6" x14ac:dyDescent="0.2">
      <c r="A26" s="180"/>
      <c r="B26" s="177"/>
      <c r="C26" s="2" t="s">
        <v>25</v>
      </c>
      <c r="D26" s="2" t="s">
        <v>12</v>
      </c>
      <c r="E26" s="11" t="s">
        <v>42</v>
      </c>
    </row>
    <row r="27" spans="1:6" ht="16" thickBot="1" x14ac:dyDescent="0.25">
      <c r="A27" s="181"/>
      <c r="B27" s="178"/>
      <c r="C27" s="8" t="s">
        <v>43</v>
      </c>
      <c r="D27" s="8" t="s">
        <v>12</v>
      </c>
      <c r="E27" s="12" t="s">
        <v>42</v>
      </c>
    </row>
  </sheetData>
  <mergeCells count="5">
    <mergeCell ref="A1:B1"/>
    <mergeCell ref="B12:B14"/>
    <mergeCell ref="A2:A14"/>
    <mergeCell ref="B25:B27"/>
    <mergeCell ref="A15:A27"/>
  </mergeCells>
  <dataValidations count="1">
    <dataValidation type="list" allowBlank="1" showInputMessage="1" showErrorMessage="1" sqref="D3 D5:D12 D15:D25" xr:uid="{7ADE68BF-9EE0-484F-8FD3-4B75B1C5660E}">
      <formula1>$M$2:$M$3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CFC2-5FFB-413B-87C6-31436BA01636}">
  <sheetPr>
    <tabColor rgb="FF00B0F0"/>
  </sheetPr>
  <dimension ref="A1:V8"/>
  <sheetViews>
    <sheetView workbookViewId="0">
      <selection activeCell="B2" sqref="B2"/>
    </sheetView>
  </sheetViews>
  <sheetFormatPr baseColWidth="10" defaultColWidth="8.83203125" defaultRowHeight="15" x14ac:dyDescent="0.2"/>
  <cols>
    <col min="1" max="1" width="56.6640625" customWidth="1"/>
    <col min="2" max="2" width="39" customWidth="1"/>
    <col min="3" max="3" width="69.33203125" customWidth="1"/>
    <col min="4" max="4" width="19.33203125" customWidth="1"/>
    <col min="5" max="5" width="26.6640625" customWidth="1"/>
    <col min="12" max="17" width="0" hidden="1" customWidth="1"/>
  </cols>
  <sheetData>
    <row r="1" spans="1:22" x14ac:dyDescent="0.2">
      <c r="A1" s="2" t="s">
        <v>44</v>
      </c>
      <c r="B1" s="2" t="s">
        <v>45</v>
      </c>
      <c r="C1" s="2" t="s">
        <v>46</v>
      </c>
      <c r="D1" s="102" t="s">
        <v>47</v>
      </c>
      <c r="E1" s="102" t="s">
        <v>48</v>
      </c>
      <c r="L1" t="s">
        <v>45</v>
      </c>
      <c r="T1" t="b">
        <v>1</v>
      </c>
      <c r="V1" t="s">
        <v>49</v>
      </c>
    </row>
    <row r="2" spans="1:22" ht="165.75" customHeight="1" x14ac:dyDescent="0.2">
      <c r="A2" s="2" t="s">
        <v>50</v>
      </c>
      <c r="B2" s="4" t="s">
        <v>59</v>
      </c>
      <c r="C2" s="2" t="s">
        <v>52</v>
      </c>
      <c r="D2" s="129" t="s">
        <v>53</v>
      </c>
      <c r="E2" s="130" t="s">
        <v>54</v>
      </c>
      <c r="H2" t="s">
        <v>513</v>
      </c>
      <c r="T2" t="b">
        <v>0</v>
      </c>
      <c r="V2" t="s">
        <v>55</v>
      </c>
    </row>
    <row r="3" spans="1:22" x14ac:dyDescent="0.2">
      <c r="A3" s="2" t="s">
        <v>56</v>
      </c>
      <c r="B3" s="74" t="s">
        <v>51</v>
      </c>
      <c r="C3" s="2" t="s">
        <v>52</v>
      </c>
      <c r="D3" t="s">
        <v>538</v>
      </c>
      <c r="H3" t="s">
        <v>514</v>
      </c>
      <c r="L3" t="s">
        <v>57</v>
      </c>
      <c r="P3" t="s">
        <v>57</v>
      </c>
    </row>
    <row r="4" spans="1:22" x14ac:dyDescent="0.2">
      <c r="A4" s="2" t="s">
        <v>58</v>
      </c>
      <c r="B4" s="74" t="s">
        <v>51</v>
      </c>
      <c r="C4" s="2" t="s">
        <v>52</v>
      </c>
      <c r="L4" t="s">
        <v>59</v>
      </c>
      <c r="P4" t="s">
        <v>60</v>
      </c>
    </row>
    <row r="5" spans="1:22" x14ac:dyDescent="0.2">
      <c r="A5" s="2" t="s">
        <v>61</v>
      </c>
      <c r="B5" s="74" t="s">
        <v>49</v>
      </c>
      <c r="C5" s="2" t="s">
        <v>62</v>
      </c>
      <c r="L5" t="s">
        <v>51</v>
      </c>
      <c r="P5" t="s">
        <v>51</v>
      </c>
    </row>
    <row r="6" spans="1:22" ht="32" x14ac:dyDescent="0.2">
      <c r="A6" s="3" t="s">
        <v>63</v>
      </c>
      <c r="B6" s="159" t="b">
        <v>0</v>
      </c>
      <c r="C6" s="2" t="s">
        <v>62</v>
      </c>
    </row>
    <row r="7" spans="1:22" x14ac:dyDescent="0.2">
      <c r="A7" s="2" t="s">
        <v>64</v>
      </c>
      <c r="B7" s="159" t="b">
        <v>0</v>
      </c>
      <c r="C7" s="2" t="s">
        <v>65</v>
      </c>
    </row>
    <row r="8" spans="1:22" x14ac:dyDescent="0.2">
      <c r="A8" s="2" t="s">
        <v>66</v>
      </c>
      <c r="B8" s="159" t="b">
        <v>0</v>
      </c>
      <c r="C8" s="2" t="s">
        <v>65</v>
      </c>
    </row>
  </sheetData>
  <dataValidations count="4">
    <dataValidation type="list" allowBlank="1" showInputMessage="1" showErrorMessage="1" sqref="B3:B4" xr:uid="{C1A76C0E-84BE-4195-ACF2-D4BB50576278}">
      <formula1>$P$3:$P$5</formula1>
    </dataValidation>
    <dataValidation type="list" allowBlank="1" showInputMessage="1" showErrorMessage="1" sqref="B2" xr:uid="{33332098-CC03-49A4-BFC9-67DADC43E2B2}">
      <formula1>$L$3:$L$5</formula1>
    </dataValidation>
    <dataValidation type="list" allowBlank="1" showInputMessage="1" showErrorMessage="1" sqref="B5" xr:uid="{2AF1858E-57F5-4C7A-8BF3-728487B83339}">
      <formula1>$V$1:$V$2</formula1>
    </dataValidation>
    <dataValidation type="list" allowBlank="1" showInputMessage="1" showErrorMessage="1" sqref="B6:B8" xr:uid="{D9227F47-8C8B-488D-A815-51EA1299F8D0}">
      <formula1>$T$1:$T$2</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6F2A-6EBE-46F5-AFD1-812C8CBCF18B}">
  <sheetPr>
    <tabColor rgb="FFFFFF00"/>
  </sheetPr>
  <dimension ref="A1:D10"/>
  <sheetViews>
    <sheetView workbookViewId="0">
      <selection activeCell="C26" sqref="C26"/>
    </sheetView>
  </sheetViews>
  <sheetFormatPr baseColWidth="10" defaultColWidth="8.83203125" defaultRowHeight="15" x14ac:dyDescent="0.2"/>
  <cols>
    <col min="1" max="1" width="21.33203125" customWidth="1"/>
    <col min="2" max="2" width="33.1640625" customWidth="1"/>
    <col min="3" max="3" width="71.83203125" customWidth="1"/>
    <col min="4" max="4" width="135.1640625" customWidth="1"/>
    <col min="10" max="10" width="22.1640625" customWidth="1"/>
  </cols>
  <sheetData>
    <row r="1" spans="1:4" ht="16" thickBot="1" x14ac:dyDescent="0.25">
      <c r="A1" s="35" t="s">
        <v>67</v>
      </c>
      <c r="B1" s="60" t="s">
        <v>68</v>
      </c>
      <c r="C1" s="62" t="s">
        <v>69</v>
      </c>
      <c r="D1" s="62" t="s">
        <v>70</v>
      </c>
    </row>
    <row r="2" spans="1:4" x14ac:dyDescent="0.2">
      <c r="A2" s="24" t="s">
        <v>71</v>
      </c>
      <c r="B2" s="160"/>
      <c r="C2" s="2" t="s">
        <v>72</v>
      </c>
      <c r="D2" s="2" t="s">
        <v>73</v>
      </c>
    </row>
    <row r="3" spans="1:4" x14ac:dyDescent="0.2">
      <c r="A3" s="2" t="s">
        <v>74</v>
      </c>
      <c r="B3" s="161"/>
      <c r="C3" s="2" t="s">
        <v>72</v>
      </c>
      <c r="D3" s="2" t="s">
        <v>75</v>
      </c>
    </row>
    <row r="4" spans="1:4" x14ac:dyDescent="0.2">
      <c r="A4" s="2" t="s">
        <v>76</v>
      </c>
      <c r="B4" s="161"/>
      <c r="C4" s="2" t="s">
        <v>72</v>
      </c>
      <c r="D4" s="2" t="s">
        <v>77</v>
      </c>
    </row>
    <row r="5" spans="1:4" x14ac:dyDescent="0.2">
      <c r="A5" s="2" t="s">
        <v>78</v>
      </c>
      <c r="B5" s="161"/>
      <c r="C5" s="2" t="s">
        <v>72</v>
      </c>
      <c r="D5" s="2" t="s">
        <v>77</v>
      </c>
    </row>
    <row r="6" spans="1:4" x14ac:dyDescent="0.2">
      <c r="A6" s="2" t="s">
        <v>79</v>
      </c>
      <c r="B6" s="133">
        <v>0</v>
      </c>
      <c r="C6" s="2" t="s">
        <v>72</v>
      </c>
      <c r="D6" s="2" t="s">
        <v>80</v>
      </c>
    </row>
    <row r="7" spans="1:4" x14ac:dyDescent="0.2">
      <c r="A7" s="51" t="s">
        <v>81</v>
      </c>
      <c r="B7" s="134">
        <v>0.13</v>
      </c>
      <c r="C7" s="2" t="s">
        <v>82</v>
      </c>
      <c r="D7" s="2" t="s">
        <v>80</v>
      </c>
    </row>
    <row r="8" spans="1:4" x14ac:dyDescent="0.2">
      <c r="A8" s="2" t="s">
        <v>83</v>
      </c>
      <c r="B8" s="161"/>
      <c r="C8" s="2" t="s">
        <v>84</v>
      </c>
      <c r="D8" s="2" t="s">
        <v>85</v>
      </c>
    </row>
    <row r="9" spans="1:4" x14ac:dyDescent="0.2">
      <c r="A9" s="2" t="s">
        <v>86</v>
      </c>
      <c r="B9" s="133">
        <v>0</v>
      </c>
      <c r="C9" s="2" t="s">
        <v>87</v>
      </c>
      <c r="D9" s="2" t="s">
        <v>80</v>
      </c>
    </row>
    <row r="10" spans="1:4" x14ac:dyDescent="0.2">
      <c r="A10" s="2" t="s">
        <v>88</v>
      </c>
      <c r="B10" s="4">
        <v>40</v>
      </c>
      <c r="C10" s="2" t="s">
        <v>89</v>
      </c>
      <c r="D10" s="2" t="s">
        <v>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297DA-EA57-4164-88B4-3E9D39B063EB}">
  <sheetPr>
    <tabColor rgb="FFFFFF00"/>
  </sheetPr>
  <dimension ref="A1:D8"/>
  <sheetViews>
    <sheetView workbookViewId="0">
      <selection activeCell="D27" sqref="D27"/>
    </sheetView>
  </sheetViews>
  <sheetFormatPr baseColWidth="10" defaultColWidth="8.83203125" defaultRowHeight="15" x14ac:dyDescent="0.2"/>
  <cols>
    <col min="3" max="3" width="34.33203125" customWidth="1"/>
    <col min="4" max="4" width="64.1640625" customWidth="1"/>
  </cols>
  <sheetData>
    <row r="1" spans="1:4" x14ac:dyDescent="0.2">
      <c r="A1" s="23" t="s">
        <v>90</v>
      </c>
      <c r="B1" s="25" t="s">
        <v>91</v>
      </c>
      <c r="C1" s="24" t="s">
        <v>46</v>
      </c>
      <c r="D1" s="62" t="s">
        <v>70</v>
      </c>
    </row>
    <row r="2" spans="1:4" x14ac:dyDescent="0.2">
      <c r="A2" s="21">
        <v>1</v>
      </c>
      <c r="B2" s="61"/>
      <c r="C2" s="2" t="s">
        <v>87</v>
      </c>
      <c r="D2" s="2" t="s">
        <v>92</v>
      </c>
    </row>
    <row r="3" spans="1:4" x14ac:dyDescent="0.2">
      <c r="A3" s="21">
        <v>2</v>
      </c>
      <c r="B3" s="61"/>
      <c r="C3" s="2" t="s">
        <v>87</v>
      </c>
      <c r="D3" s="2" t="s">
        <v>92</v>
      </c>
    </row>
    <row r="4" spans="1:4" x14ac:dyDescent="0.2">
      <c r="A4" s="21">
        <v>3</v>
      </c>
      <c r="B4" s="61"/>
      <c r="C4" s="2" t="s">
        <v>87</v>
      </c>
      <c r="D4" s="2" t="s">
        <v>92</v>
      </c>
    </row>
    <row r="5" spans="1:4" x14ac:dyDescent="0.2">
      <c r="A5" s="21">
        <v>4</v>
      </c>
      <c r="B5" s="61"/>
      <c r="C5" s="2" t="s">
        <v>87</v>
      </c>
      <c r="D5" s="2" t="s">
        <v>92</v>
      </c>
    </row>
    <row r="6" spans="1:4" x14ac:dyDescent="0.2">
      <c r="A6" s="21">
        <v>5</v>
      </c>
      <c r="B6" s="61"/>
      <c r="C6" s="2" t="s">
        <v>87</v>
      </c>
      <c r="D6" s="2" t="s">
        <v>92</v>
      </c>
    </row>
    <row r="7" spans="1:4" x14ac:dyDescent="0.2">
      <c r="A7" s="21">
        <v>6</v>
      </c>
      <c r="B7" s="61"/>
      <c r="C7" s="2" t="s">
        <v>87</v>
      </c>
      <c r="D7" s="2" t="s">
        <v>92</v>
      </c>
    </row>
    <row r="8" spans="1:4" x14ac:dyDescent="0.2">
      <c r="A8" s="26">
        <v>7</v>
      </c>
      <c r="B8" s="71"/>
      <c r="C8" s="2" t="s">
        <v>87</v>
      </c>
      <c r="D8" s="2"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37D60-F4A7-4EB7-9A4D-43B869C693A2}">
  <sheetPr>
    <tabColor rgb="FFFFFF00"/>
  </sheetPr>
  <dimension ref="A1:AC49"/>
  <sheetViews>
    <sheetView topLeftCell="G1" workbookViewId="0">
      <selection activeCell="M5" sqref="M5"/>
    </sheetView>
  </sheetViews>
  <sheetFormatPr baseColWidth="10" defaultColWidth="8.83203125" defaultRowHeight="15" x14ac:dyDescent="0.2"/>
  <cols>
    <col min="1" max="1" width="25.6640625" customWidth="1"/>
    <col min="2" max="2" width="38.83203125" customWidth="1"/>
    <col min="3" max="3" width="28.6640625" customWidth="1"/>
    <col min="4" max="4" width="50.33203125" customWidth="1"/>
    <col min="5" max="5" width="27.83203125" customWidth="1"/>
    <col min="6" max="6" width="65.6640625" customWidth="1"/>
    <col min="7" max="7" width="33" customWidth="1"/>
    <col min="8" max="8" width="31.33203125" customWidth="1"/>
    <col min="9" max="9" width="14.33203125" customWidth="1"/>
    <col min="10" max="10" width="18.6640625" customWidth="1"/>
    <col min="11" max="11" width="14.33203125" customWidth="1"/>
    <col min="12" max="14" width="12.83203125" customWidth="1"/>
    <col min="15" max="18" width="28" customWidth="1"/>
    <col min="19" max="19" width="28" style="19" customWidth="1"/>
    <col min="20" max="20" width="40" customWidth="1"/>
    <col min="21" max="21" width="42.1640625" customWidth="1"/>
    <col min="22" max="22" width="62.83203125" customWidth="1"/>
    <col min="23" max="23" width="56.33203125" customWidth="1"/>
    <col min="24" max="24" width="63.33203125" customWidth="1"/>
    <col min="25" max="25" width="35.33203125" customWidth="1"/>
    <col min="28" max="28" width="14" customWidth="1"/>
    <col min="29" max="29" width="51.6640625" customWidth="1"/>
  </cols>
  <sheetData>
    <row r="1" spans="1:29" s="1" customFormat="1" ht="24" x14ac:dyDescent="0.3">
      <c r="A1" s="73" t="s">
        <v>93</v>
      </c>
      <c r="S1" s="73"/>
      <c r="AB1" s="19" t="s">
        <v>94</v>
      </c>
      <c r="AC1" s="38">
        <v>5.2</v>
      </c>
    </row>
    <row r="2" spans="1:29" x14ac:dyDescent="0.2">
      <c r="A2" s="19" t="s">
        <v>94</v>
      </c>
      <c r="B2">
        <v>5.0999999999999996</v>
      </c>
      <c r="C2">
        <v>5.0999999999999996</v>
      </c>
      <c r="D2">
        <v>5.0999999999999996</v>
      </c>
      <c r="E2">
        <v>5.0999999999999996</v>
      </c>
      <c r="F2">
        <v>5.0999999999999996</v>
      </c>
      <c r="G2">
        <v>5.0999999999999996</v>
      </c>
      <c r="I2">
        <v>5.0999999999999996</v>
      </c>
      <c r="J2">
        <v>5.0999999999999996</v>
      </c>
      <c r="K2">
        <v>5.0999999999999996</v>
      </c>
      <c r="L2">
        <v>5.0999999999999996</v>
      </c>
      <c r="M2">
        <v>5.0999999999999996</v>
      </c>
      <c r="N2">
        <v>5.0999999999999996</v>
      </c>
      <c r="O2">
        <v>5.0999999999999996</v>
      </c>
      <c r="P2">
        <v>5.0999999999999996</v>
      </c>
      <c r="Q2">
        <v>5.0999999999999996</v>
      </c>
      <c r="R2">
        <v>5.0999999999999996</v>
      </c>
      <c r="S2" s="19">
        <v>5.2</v>
      </c>
      <c r="T2">
        <v>5.0999999999999996</v>
      </c>
      <c r="U2">
        <v>5.0999999999999996</v>
      </c>
      <c r="V2">
        <v>5.0999999999999996</v>
      </c>
      <c r="W2">
        <v>5.0999999999999996</v>
      </c>
      <c r="X2">
        <v>5.0999999999999996</v>
      </c>
      <c r="Y2">
        <v>5.0999999999999996</v>
      </c>
      <c r="AC2" s="19" t="s">
        <v>256</v>
      </c>
    </row>
    <row r="3" spans="1:29" x14ac:dyDescent="0.2">
      <c r="A3" t="s">
        <v>95</v>
      </c>
      <c r="T3" s="59" t="s">
        <v>96</v>
      </c>
      <c r="U3" s="59" t="s">
        <v>96</v>
      </c>
      <c r="V3" s="59" t="s">
        <v>96</v>
      </c>
      <c r="W3" s="59" t="s">
        <v>96</v>
      </c>
    </row>
    <row r="4" spans="1:29" ht="44.25" customHeight="1" x14ac:dyDescent="0.2">
      <c r="A4" t="s">
        <v>97</v>
      </c>
      <c r="B4" s="16" t="s">
        <v>98</v>
      </c>
      <c r="C4" t="s">
        <v>99</v>
      </c>
      <c r="D4" t="s">
        <v>100</v>
      </c>
      <c r="E4" t="s">
        <v>101</v>
      </c>
      <c r="F4" s="1" t="s">
        <v>102</v>
      </c>
      <c r="G4" s="1" t="s">
        <v>103</v>
      </c>
      <c r="H4" t="s">
        <v>104</v>
      </c>
      <c r="I4" t="s">
        <v>105</v>
      </c>
      <c r="J4" t="s">
        <v>106</v>
      </c>
      <c r="K4" t="s">
        <v>107</v>
      </c>
      <c r="L4" t="s">
        <v>108</v>
      </c>
      <c r="M4" t="s">
        <v>109</v>
      </c>
      <c r="N4" t="s">
        <v>110</v>
      </c>
      <c r="O4" s="24" t="s">
        <v>111</v>
      </c>
      <c r="P4" s="24" t="s">
        <v>112</v>
      </c>
      <c r="Q4" t="s">
        <v>113</v>
      </c>
      <c r="R4" t="s">
        <v>114</v>
      </c>
      <c r="S4" s="19" t="s">
        <v>115</v>
      </c>
      <c r="T4" t="s">
        <v>116</v>
      </c>
      <c r="U4" t="s">
        <v>117</v>
      </c>
      <c r="V4" t="s">
        <v>118</v>
      </c>
      <c r="W4" t="s">
        <v>119</v>
      </c>
      <c r="X4" t="s">
        <v>120</v>
      </c>
      <c r="Y4" t="s">
        <v>121</v>
      </c>
      <c r="AB4" s="44" t="s">
        <v>166</v>
      </c>
      <c r="AC4" s="31" t="s">
        <v>182</v>
      </c>
    </row>
    <row r="5" spans="1:29" x14ac:dyDescent="0.2">
      <c r="A5">
        <v>1</v>
      </c>
      <c r="B5" s="34" t="s">
        <v>532</v>
      </c>
      <c r="C5" s="30" t="s">
        <v>129</v>
      </c>
      <c r="D5" s="30" t="s">
        <v>129</v>
      </c>
      <c r="E5" s="30" t="s">
        <v>129</v>
      </c>
      <c r="F5" s="30" t="s">
        <v>129</v>
      </c>
      <c r="G5" s="30" t="s">
        <v>129</v>
      </c>
      <c r="H5" s="30"/>
      <c r="I5" s="30" t="s">
        <v>129</v>
      </c>
      <c r="J5" s="30" t="s">
        <v>129</v>
      </c>
      <c r="K5" s="30" t="s">
        <v>129</v>
      </c>
      <c r="L5" s="30" t="s">
        <v>129</v>
      </c>
      <c r="M5" s="30">
        <v>1149</v>
      </c>
      <c r="N5" s="30">
        <v>1149</v>
      </c>
      <c r="O5" s="30" t="s">
        <v>129</v>
      </c>
      <c r="P5" s="30" t="s">
        <v>129</v>
      </c>
      <c r="Q5" s="33" t="s">
        <v>533</v>
      </c>
      <c r="R5" s="30" t="s">
        <v>129</v>
      </c>
      <c r="S5" s="30" t="s">
        <v>129</v>
      </c>
      <c r="T5" s="30" t="s">
        <v>533</v>
      </c>
      <c r="U5" s="30" t="s">
        <v>126</v>
      </c>
      <c r="V5" s="30" t="s">
        <v>126</v>
      </c>
      <c r="W5" s="30" t="s">
        <v>126</v>
      </c>
      <c r="X5" s="30" t="s">
        <v>126</v>
      </c>
      <c r="Y5" s="30" t="s">
        <v>127</v>
      </c>
      <c r="AB5" s="17">
        <v>1</v>
      </c>
      <c r="AC5" s="169">
        <v>1090.4420357142858</v>
      </c>
    </row>
    <row r="6" spans="1:29" x14ac:dyDescent="0.2">
      <c r="A6">
        <v>2</v>
      </c>
      <c r="B6" s="34" t="s">
        <v>532</v>
      </c>
      <c r="C6" s="30" t="s">
        <v>129</v>
      </c>
      <c r="D6" s="30" t="s">
        <v>129</v>
      </c>
      <c r="E6" s="30" t="s">
        <v>129</v>
      </c>
      <c r="F6" s="30" t="s">
        <v>129</v>
      </c>
      <c r="G6" s="30" t="s">
        <v>129</v>
      </c>
      <c r="H6" s="30"/>
      <c r="I6" s="30" t="s">
        <v>129</v>
      </c>
      <c r="J6" s="30" t="s">
        <v>129</v>
      </c>
      <c r="K6" s="30" t="s">
        <v>129</v>
      </c>
      <c r="L6" s="30" t="s">
        <v>129</v>
      </c>
      <c r="M6" s="30">
        <v>2115</v>
      </c>
      <c r="N6" s="30">
        <v>2115</v>
      </c>
      <c r="O6" s="30" t="s">
        <v>129</v>
      </c>
      <c r="P6" s="30" t="s">
        <v>129</v>
      </c>
      <c r="Q6" s="33" t="s">
        <v>533</v>
      </c>
      <c r="R6" s="30" t="s">
        <v>129</v>
      </c>
      <c r="S6" s="30" t="s">
        <v>129</v>
      </c>
      <c r="T6" s="30" t="s">
        <v>533</v>
      </c>
      <c r="U6" s="30" t="s">
        <v>126</v>
      </c>
      <c r="V6" s="30" t="s">
        <v>126</v>
      </c>
      <c r="W6" s="30" t="s">
        <v>126</v>
      </c>
      <c r="X6" s="30" t="s">
        <v>126</v>
      </c>
      <c r="Y6" s="30" t="s">
        <v>127</v>
      </c>
      <c r="AB6" s="18">
        <v>2</v>
      </c>
      <c r="AC6" s="170">
        <v>1982.9786785714284</v>
      </c>
    </row>
    <row r="7" spans="1:29" x14ac:dyDescent="0.2">
      <c r="A7">
        <v>3</v>
      </c>
      <c r="B7" s="34" t="s">
        <v>532</v>
      </c>
      <c r="C7" s="30" t="s">
        <v>129</v>
      </c>
      <c r="D7" s="30" t="s">
        <v>129</v>
      </c>
      <c r="E7" s="30" t="s">
        <v>129</v>
      </c>
      <c r="F7" s="30" t="s">
        <v>129</v>
      </c>
      <c r="G7" s="30" t="s">
        <v>129</v>
      </c>
      <c r="H7" s="30"/>
      <c r="I7" s="30" t="s">
        <v>129</v>
      </c>
      <c r="J7" s="30" t="s">
        <v>129</v>
      </c>
      <c r="K7" s="30" t="s">
        <v>129</v>
      </c>
      <c r="L7" s="30" t="s">
        <v>129</v>
      </c>
      <c r="M7" s="30">
        <v>2397</v>
      </c>
      <c r="N7" s="30">
        <v>2397</v>
      </c>
      <c r="O7" s="30" t="s">
        <v>129</v>
      </c>
      <c r="P7" s="30" t="s">
        <v>129</v>
      </c>
      <c r="Q7" s="33" t="s">
        <v>533</v>
      </c>
      <c r="R7" s="30" t="s">
        <v>129</v>
      </c>
      <c r="S7" s="30" t="s">
        <v>129</v>
      </c>
      <c r="T7" s="30" t="s">
        <v>533</v>
      </c>
      <c r="U7" s="30" t="s">
        <v>126</v>
      </c>
      <c r="V7" s="30" t="s">
        <v>126</v>
      </c>
      <c r="W7" s="30" t="s">
        <v>126</v>
      </c>
      <c r="X7" s="30" t="s">
        <v>126</v>
      </c>
      <c r="Y7" s="30" t="s">
        <v>127</v>
      </c>
      <c r="AB7" s="18">
        <v>3</v>
      </c>
      <c r="AC7" s="170">
        <v>2222.8442528571427</v>
      </c>
    </row>
    <row r="8" spans="1:29" x14ac:dyDescent="0.2">
      <c r="A8">
        <v>4</v>
      </c>
      <c r="B8" s="34" t="s">
        <v>532</v>
      </c>
      <c r="C8" s="30" t="s">
        <v>129</v>
      </c>
      <c r="D8" s="30" t="s">
        <v>129</v>
      </c>
      <c r="E8" s="30" t="s">
        <v>129</v>
      </c>
      <c r="F8" s="30" t="s">
        <v>129</v>
      </c>
      <c r="G8" s="30" t="s">
        <v>129</v>
      </c>
      <c r="H8" s="30"/>
      <c r="I8" s="30" t="s">
        <v>129</v>
      </c>
      <c r="J8" s="30" t="s">
        <v>129</v>
      </c>
      <c r="K8" s="30" t="s">
        <v>129</v>
      </c>
      <c r="L8" s="30" t="s">
        <v>129</v>
      </c>
      <c r="M8" s="30">
        <v>1339</v>
      </c>
      <c r="N8" s="30">
        <v>1339</v>
      </c>
      <c r="O8" s="30" t="s">
        <v>129</v>
      </c>
      <c r="P8" s="30" t="s">
        <v>129</v>
      </c>
      <c r="Q8" s="33" t="s">
        <v>533</v>
      </c>
      <c r="R8" s="30" t="s">
        <v>129</v>
      </c>
      <c r="S8" s="30" t="s">
        <v>129</v>
      </c>
      <c r="T8" s="30" t="s">
        <v>533</v>
      </c>
      <c r="U8" s="30" t="s">
        <v>126</v>
      </c>
      <c r="V8" s="30" t="s">
        <v>126</v>
      </c>
      <c r="W8" s="30" t="s">
        <v>126</v>
      </c>
      <c r="X8" s="30" t="s">
        <v>126</v>
      </c>
      <c r="Y8" s="30" t="s">
        <v>127</v>
      </c>
      <c r="AB8" s="18">
        <v>4</v>
      </c>
      <c r="AC8" s="170">
        <v>1227.7635314285715</v>
      </c>
    </row>
    <row r="9" spans="1:29" x14ac:dyDescent="0.2">
      <c r="B9" s="34"/>
      <c r="C9" s="30"/>
      <c r="D9" s="30"/>
      <c r="E9" s="30"/>
      <c r="F9" s="30"/>
      <c r="G9" s="30"/>
      <c r="H9" s="30"/>
      <c r="I9" s="30"/>
      <c r="J9" s="30"/>
      <c r="K9" s="30"/>
      <c r="L9" s="30"/>
      <c r="M9" s="30"/>
      <c r="N9" s="30"/>
      <c r="O9" s="30"/>
      <c r="P9" s="30"/>
      <c r="Q9" s="33"/>
      <c r="R9" s="30"/>
      <c r="S9" s="72"/>
      <c r="T9" s="30"/>
      <c r="U9" s="30"/>
      <c r="V9" s="30"/>
      <c r="W9" s="30"/>
      <c r="X9" s="30"/>
      <c r="Y9" s="30"/>
    </row>
    <row r="10" spans="1:29" ht="31.5" customHeight="1" x14ac:dyDescent="0.2">
      <c r="T10" s="182" t="s">
        <v>130</v>
      </c>
      <c r="U10" s="182"/>
      <c r="V10" s="182"/>
      <c r="W10" s="182"/>
      <c r="X10" s="182"/>
      <c r="Y10" s="182"/>
    </row>
    <row r="13" spans="1:29" ht="16" thickBot="1" x14ac:dyDescent="0.25">
      <c r="A13" t="s">
        <v>131</v>
      </c>
    </row>
    <row r="14" spans="1:29" ht="17" thickBot="1" x14ac:dyDescent="0.25">
      <c r="A14" s="82" t="s">
        <v>67</v>
      </c>
      <c r="B14" s="83" t="s">
        <v>132</v>
      </c>
      <c r="C14" s="83" t="s">
        <v>46</v>
      </c>
      <c r="D14" s="84" t="s">
        <v>133</v>
      </c>
      <c r="E14" s="60" t="s">
        <v>134</v>
      </c>
      <c r="F14" s="93" t="s">
        <v>135</v>
      </c>
    </row>
    <row r="15" spans="1:29" ht="16" thickBot="1" x14ac:dyDescent="0.25">
      <c r="A15" s="124" t="s">
        <v>136</v>
      </c>
      <c r="B15" s="125"/>
      <c r="C15" s="125">
        <v>5.0999999999999996</v>
      </c>
      <c r="D15" s="125" t="s">
        <v>80</v>
      </c>
      <c r="E15" s="89" t="s">
        <v>137</v>
      </c>
      <c r="F15" s="76"/>
    </row>
    <row r="16" spans="1:29" x14ac:dyDescent="0.2">
      <c r="A16" s="107" t="s">
        <v>113</v>
      </c>
      <c r="B16" s="7"/>
      <c r="C16" s="7">
        <v>5.0999999999999996</v>
      </c>
      <c r="D16" s="7" t="s">
        <v>80</v>
      </c>
      <c r="E16" s="108"/>
      <c r="F16" s="183" t="s">
        <v>138</v>
      </c>
    </row>
    <row r="17" spans="1:29" ht="16" x14ac:dyDescent="0.2">
      <c r="A17" s="78" t="s">
        <v>98</v>
      </c>
      <c r="B17" s="2"/>
      <c r="C17" s="2">
        <v>5.0999999999999996</v>
      </c>
      <c r="D17" s="3" t="s">
        <v>80</v>
      </c>
      <c r="F17" s="184"/>
    </row>
    <row r="18" spans="1:29" x14ac:dyDescent="0.2">
      <c r="A18" s="78" t="s">
        <v>109</v>
      </c>
      <c r="B18" s="2"/>
      <c r="C18" s="2">
        <v>5.0999999999999996</v>
      </c>
      <c r="D18" s="2" t="s">
        <v>80</v>
      </c>
      <c r="F18" s="184"/>
    </row>
    <row r="19" spans="1:29" ht="16" thickBot="1" x14ac:dyDescent="0.25">
      <c r="A19" s="81" t="s">
        <v>110</v>
      </c>
      <c r="B19" s="8"/>
      <c r="C19" s="8">
        <v>5.0999999999999996</v>
      </c>
      <c r="D19" s="8" t="s">
        <v>80</v>
      </c>
      <c r="E19" s="110"/>
      <c r="F19" s="185"/>
    </row>
    <row r="20" spans="1:29" ht="16" thickBot="1" x14ac:dyDescent="0.25">
      <c r="A20" s="107" t="s">
        <v>100</v>
      </c>
      <c r="B20" s="7"/>
      <c r="C20" s="7">
        <v>5.0999999999999996</v>
      </c>
      <c r="D20" s="7" t="s">
        <v>139</v>
      </c>
      <c r="E20" s="108"/>
      <c r="F20" s="183" t="s">
        <v>138</v>
      </c>
    </row>
    <row r="21" spans="1:29" x14ac:dyDescent="0.2">
      <c r="A21" s="78" t="s">
        <v>99</v>
      </c>
      <c r="B21" s="2"/>
      <c r="C21" s="2">
        <v>5.0999999999999996</v>
      </c>
      <c r="D21" s="7" t="s">
        <v>139</v>
      </c>
      <c r="F21" s="184"/>
    </row>
    <row r="22" spans="1:29" s="57" customFormat="1" x14ac:dyDescent="0.2">
      <c r="A22" s="148" t="s">
        <v>101</v>
      </c>
      <c r="B22" s="64"/>
      <c r="C22" s="64">
        <v>5.0999999999999996</v>
      </c>
      <c r="D22" s="64" t="s">
        <v>139</v>
      </c>
      <c r="F22" s="184"/>
      <c r="S22" s="126"/>
      <c r="AB22"/>
      <c r="AC22"/>
    </row>
    <row r="23" spans="1:29" ht="32" x14ac:dyDescent="0.2">
      <c r="A23" s="79" t="s">
        <v>140</v>
      </c>
      <c r="B23" s="2"/>
      <c r="C23" s="2">
        <v>5.0999999999999996</v>
      </c>
      <c r="D23" s="2" t="s">
        <v>139</v>
      </c>
      <c r="F23" s="184"/>
    </row>
    <row r="24" spans="1:29" ht="32" x14ac:dyDescent="0.2">
      <c r="A24" s="79" t="s">
        <v>141</v>
      </c>
      <c r="B24" s="2"/>
      <c r="C24" s="2">
        <v>5.0999999999999996</v>
      </c>
      <c r="D24" s="2" t="s">
        <v>139</v>
      </c>
      <c r="F24" s="184"/>
    </row>
    <row r="25" spans="1:29" x14ac:dyDescent="0.2">
      <c r="A25" s="78" t="s">
        <v>105</v>
      </c>
      <c r="B25" s="2"/>
      <c r="C25" s="2">
        <v>5.0999999999999996</v>
      </c>
      <c r="D25" s="2" t="s">
        <v>139</v>
      </c>
      <c r="F25" s="184"/>
    </row>
    <row r="26" spans="1:29" x14ac:dyDescent="0.2">
      <c r="A26" s="78" t="s">
        <v>106</v>
      </c>
      <c r="B26" s="2"/>
      <c r="C26" s="2">
        <v>5.0999999999999996</v>
      </c>
      <c r="D26" s="2" t="s">
        <v>139</v>
      </c>
      <c r="F26" s="184"/>
    </row>
    <row r="27" spans="1:29" x14ac:dyDescent="0.2">
      <c r="A27" s="78" t="s">
        <v>111</v>
      </c>
      <c r="B27" s="2"/>
      <c r="C27" s="2">
        <v>5.0999999999999996</v>
      </c>
      <c r="D27" s="2" t="s">
        <v>139</v>
      </c>
      <c r="F27" s="184"/>
    </row>
    <row r="28" spans="1:29" ht="16" thickBot="1" x14ac:dyDescent="0.25">
      <c r="A28" s="78" t="s">
        <v>112</v>
      </c>
      <c r="B28" s="2"/>
      <c r="C28" s="2">
        <v>5.0999999999999996</v>
      </c>
      <c r="D28" s="2" t="s">
        <v>139</v>
      </c>
      <c r="F28" s="184"/>
    </row>
    <row r="29" spans="1:29" ht="17" thickBot="1" x14ac:dyDescent="0.25">
      <c r="A29" s="78" t="s">
        <v>123</v>
      </c>
      <c r="B29" s="2"/>
      <c r="C29" s="2">
        <v>5.0999999999999996</v>
      </c>
      <c r="D29" s="2" t="s">
        <v>139</v>
      </c>
      <c r="E29" s="22"/>
      <c r="F29" s="132" t="s">
        <v>142</v>
      </c>
    </row>
    <row r="30" spans="1:29" ht="17" thickBot="1" x14ac:dyDescent="0.25">
      <c r="A30" s="81" t="s">
        <v>124</v>
      </c>
      <c r="B30" s="8"/>
      <c r="C30" s="8">
        <v>5.0999999999999996</v>
      </c>
      <c r="D30" s="8" t="s">
        <v>139</v>
      </c>
      <c r="E30" s="90"/>
      <c r="F30" s="132" t="s">
        <v>142</v>
      </c>
    </row>
    <row r="31" spans="1:29" ht="32" x14ac:dyDescent="0.2">
      <c r="A31" s="107" t="s">
        <v>107</v>
      </c>
      <c r="B31" s="7"/>
      <c r="C31" s="7">
        <v>5.0999999999999996</v>
      </c>
      <c r="D31" s="6" t="s">
        <v>143</v>
      </c>
      <c r="E31" s="108"/>
      <c r="F31" s="183" t="s">
        <v>138</v>
      </c>
    </row>
    <row r="32" spans="1:29" ht="33" thickBot="1" x14ac:dyDescent="0.25">
      <c r="A32" s="81" t="s">
        <v>108</v>
      </c>
      <c r="B32" s="8"/>
      <c r="C32" s="8">
        <v>5.0999999999999996</v>
      </c>
      <c r="D32" s="109" t="s">
        <v>143</v>
      </c>
      <c r="E32" s="110"/>
      <c r="F32" s="185"/>
    </row>
    <row r="33" spans="1:6" ht="17" thickBot="1" x14ac:dyDescent="0.25">
      <c r="A33" s="94" t="s">
        <v>114</v>
      </c>
      <c r="B33" s="95"/>
      <c r="C33" s="95">
        <v>5.0999999999999996</v>
      </c>
      <c r="D33" s="96" t="s">
        <v>144</v>
      </c>
      <c r="E33" s="127" t="s">
        <v>145</v>
      </c>
      <c r="F33" s="122"/>
    </row>
    <row r="34" spans="1:6" ht="18.5" customHeight="1" thickBot="1" x14ac:dyDescent="0.25">
      <c r="A34" s="105" t="s">
        <v>115</v>
      </c>
      <c r="B34" s="98"/>
      <c r="C34" s="106">
        <v>5.2</v>
      </c>
      <c r="D34" s="99" t="s">
        <v>144</v>
      </c>
      <c r="E34" s="127" t="s">
        <v>145</v>
      </c>
      <c r="F34" s="123"/>
    </row>
    <row r="35" spans="1:6" ht="30.75" customHeight="1" thickBot="1" x14ac:dyDescent="0.25">
      <c r="A35" s="100" t="s">
        <v>116</v>
      </c>
      <c r="B35" s="101" t="s">
        <v>146</v>
      </c>
      <c r="C35" s="102">
        <v>5.0999999999999996</v>
      </c>
      <c r="D35" s="92" t="s">
        <v>147</v>
      </c>
      <c r="E35" s="103"/>
      <c r="F35" s="104"/>
    </row>
    <row r="36" spans="1:6" ht="14.25" customHeight="1" x14ac:dyDescent="0.2">
      <c r="A36" s="94" t="s">
        <v>117</v>
      </c>
      <c r="B36" s="186" t="s">
        <v>146</v>
      </c>
      <c r="C36" s="95">
        <v>5.0999999999999996</v>
      </c>
      <c r="D36" s="96" t="s">
        <v>148</v>
      </c>
      <c r="E36" s="186" t="s">
        <v>149</v>
      </c>
      <c r="F36" s="189" t="s">
        <v>138</v>
      </c>
    </row>
    <row r="37" spans="1:6" ht="16" x14ac:dyDescent="0.2">
      <c r="A37" s="80" t="s">
        <v>118</v>
      </c>
      <c r="B37" s="187"/>
      <c r="C37" s="74">
        <v>5.0999999999999996</v>
      </c>
      <c r="D37" s="75" t="s">
        <v>148</v>
      </c>
      <c r="E37" s="187"/>
      <c r="F37" s="190"/>
    </row>
    <row r="38" spans="1:6" ht="16" x14ac:dyDescent="0.2">
      <c r="A38" s="80" t="s">
        <v>119</v>
      </c>
      <c r="B38" s="187"/>
      <c r="C38" s="74">
        <v>5.0999999999999996</v>
      </c>
      <c r="D38" s="75" t="s">
        <v>148</v>
      </c>
      <c r="E38" s="187"/>
      <c r="F38" s="190"/>
    </row>
    <row r="39" spans="1:6" ht="16" x14ac:dyDescent="0.2">
      <c r="A39" s="80" t="s">
        <v>120</v>
      </c>
      <c r="B39" s="187"/>
      <c r="C39" s="74">
        <v>5.0999999999999996</v>
      </c>
      <c r="D39" s="75" t="s">
        <v>148</v>
      </c>
      <c r="E39" s="187"/>
      <c r="F39" s="190"/>
    </row>
    <row r="40" spans="1:6" ht="17" thickBot="1" x14ac:dyDescent="0.25">
      <c r="A40" s="97" t="s">
        <v>121</v>
      </c>
      <c r="B40" s="188"/>
      <c r="C40" s="98">
        <v>5.0999999999999996</v>
      </c>
      <c r="D40" s="99" t="s">
        <v>148</v>
      </c>
      <c r="E40" s="188"/>
      <c r="F40" s="191"/>
    </row>
    <row r="43" spans="1:6" x14ac:dyDescent="0.2">
      <c r="A43" s="19"/>
    </row>
    <row r="44" spans="1:6" x14ac:dyDescent="0.2">
      <c r="A44" s="19"/>
    </row>
    <row r="48" spans="1:6" x14ac:dyDescent="0.2">
      <c r="A48" s="19"/>
    </row>
    <row r="49" spans="1:1" x14ac:dyDescent="0.2">
      <c r="A49" s="19"/>
    </row>
  </sheetData>
  <mergeCells count="7">
    <mergeCell ref="T10:Y10"/>
    <mergeCell ref="F16:F19"/>
    <mergeCell ref="B36:B40"/>
    <mergeCell ref="F20:F28"/>
    <mergeCell ref="E36:E40"/>
    <mergeCell ref="F36:F40"/>
    <mergeCell ref="F31:F32"/>
  </mergeCells>
  <phoneticPr fontId="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9390-FED3-4E6D-8DC7-7CC7F2018D02}">
  <sheetPr>
    <tabColor rgb="FFFFFF00"/>
  </sheetPr>
  <dimension ref="A1:O34"/>
  <sheetViews>
    <sheetView topLeftCell="A2" workbookViewId="0">
      <selection activeCell="H15" sqref="H15"/>
    </sheetView>
  </sheetViews>
  <sheetFormatPr baseColWidth="10" defaultColWidth="8.83203125" defaultRowHeight="15" x14ac:dyDescent="0.2"/>
  <cols>
    <col min="2" max="2" width="19" customWidth="1"/>
    <col min="3" max="3" width="22" customWidth="1"/>
    <col min="4" max="4" width="19.1640625" customWidth="1"/>
    <col min="12" max="12" width="28.33203125" customWidth="1"/>
    <col min="13" max="13" width="27" customWidth="1"/>
    <col min="14" max="14" width="21.83203125" customWidth="1"/>
  </cols>
  <sheetData>
    <row r="1" spans="1:15" ht="24" x14ac:dyDescent="0.3">
      <c r="A1" s="38" t="s">
        <v>150</v>
      </c>
    </row>
    <row r="2" spans="1:15" s="63" customFormat="1" ht="22" x14ac:dyDescent="0.3">
      <c r="B2" s="63" t="s">
        <v>151</v>
      </c>
      <c r="K2" s="63" t="s">
        <v>87</v>
      </c>
    </row>
    <row r="6" spans="1:15" x14ac:dyDescent="0.2">
      <c r="B6" t="s">
        <v>152</v>
      </c>
      <c r="K6" t="s">
        <v>153</v>
      </c>
    </row>
    <row r="8" spans="1:15" x14ac:dyDescent="0.2">
      <c r="B8" s="2" t="s">
        <v>154</v>
      </c>
      <c r="C8" s="2" t="s">
        <v>155</v>
      </c>
      <c r="D8" s="2" t="s">
        <v>156</v>
      </c>
      <c r="E8" s="2" t="s">
        <v>157</v>
      </c>
      <c r="K8" s="2" t="s">
        <v>97</v>
      </c>
      <c r="L8" s="2" t="s">
        <v>158</v>
      </c>
      <c r="M8" s="2" t="s">
        <v>159</v>
      </c>
      <c r="N8" s="2" t="s">
        <v>160</v>
      </c>
      <c r="O8" s="2" t="s">
        <v>161</v>
      </c>
    </row>
    <row r="9" spans="1:15" x14ac:dyDescent="0.2">
      <c r="B9" s="2"/>
      <c r="C9" s="2"/>
      <c r="D9" s="2"/>
      <c r="E9" s="2"/>
      <c r="K9" s="2"/>
      <c r="L9" s="2"/>
      <c r="M9" s="2"/>
      <c r="N9" s="2"/>
      <c r="O9" s="2"/>
    </row>
    <row r="10" spans="1:15" x14ac:dyDescent="0.2">
      <c r="B10" s="2"/>
      <c r="C10" s="2"/>
      <c r="D10" s="2"/>
      <c r="E10" s="2"/>
      <c r="K10" s="2"/>
      <c r="L10" s="2"/>
      <c r="M10" s="2"/>
      <c r="N10" s="2"/>
      <c r="O10" s="2"/>
    </row>
    <row r="11" spans="1:15" x14ac:dyDescent="0.2">
      <c r="B11" s="2"/>
      <c r="C11" s="2"/>
      <c r="D11" s="2"/>
      <c r="E11" s="2"/>
      <c r="K11" s="2"/>
      <c r="L11" s="2"/>
      <c r="M11" s="2"/>
      <c r="N11" s="2"/>
      <c r="O11" s="2"/>
    </row>
    <row r="12" spans="1:15" x14ac:dyDescent="0.2">
      <c r="B12" s="2"/>
      <c r="C12" s="2"/>
      <c r="D12" s="2"/>
      <c r="E12" s="2"/>
      <c r="K12" s="2"/>
      <c r="L12" s="2"/>
      <c r="M12" s="2"/>
      <c r="N12" s="2"/>
      <c r="O12" s="2"/>
    </row>
    <row r="13" spans="1:15" x14ac:dyDescent="0.2">
      <c r="K13" s="2"/>
      <c r="L13" s="2"/>
      <c r="M13" s="2"/>
      <c r="N13" s="2"/>
      <c r="O13" s="2"/>
    </row>
    <row r="14" spans="1:15" x14ac:dyDescent="0.2">
      <c r="K14" s="2"/>
      <c r="L14" s="2"/>
      <c r="M14" s="2"/>
      <c r="N14" s="2"/>
      <c r="O14" s="2"/>
    </row>
    <row r="15" spans="1:15" x14ac:dyDescent="0.2">
      <c r="B15" t="s">
        <v>162</v>
      </c>
      <c r="K15" s="2"/>
      <c r="L15" s="2"/>
      <c r="M15" s="2"/>
      <c r="N15" s="2"/>
      <c r="O15" s="2"/>
    </row>
    <row r="16" spans="1:15" x14ac:dyDescent="0.2">
      <c r="B16" s="2" t="s">
        <v>163</v>
      </c>
      <c r="C16" s="2" t="s">
        <v>164</v>
      </c>
      <c r="K16" s="2"/>
      <c r="L16" s="2"/>
      <c r="M16" s="2"/>
      <c r="N16" s="2"/>
      <c r="O16" s="2"/>
    </row>
    <row r="17" spans="2:15" x14ac:dyDescent="0.2">
      <c r="B17" s="2"/>
      <c r="C17" s="2"/>
      <c r="K17" s="2"/>
      <c r="L17" s="2"/>
      <c r="M17" s="2"/>
      <c r="N17" s="2"/>
      <c r="O17" s="2"/>
    </row>
    <row r="18" spans="2:15" x14ac:dyDescent="0.2">
      <c r="B18" s="2"/>
      <c r="C18" s="2"/>
      <c r="K18" s="2"/>
      <c r="L18" s="2"/>
      <c r="M18" s="2"/>
      <c r="N18" s="2"/>
      <c r="O18" s="2"/>
    </row>
    <row r="19" spans="2:15" x14ac:dyDescent="0.2">
      <c r="B19" s="2"/>
      <c r="C19" s="2"/>
      <c r="K19" s="2"/>
      <c r="L19" s="2"/>
      <c r="M19" s="2"/>
      <c r="N19" s="2"/>
      <c r="O19" s="2"/>
    </row>
    <row r="20" spans="2:15" x14ac:dyDescent="0.2">
      <c r="B20" s="2"/>
      <c r="C20" s="2"/>
    </row>
    <row r="21" spans="2:15" x14ac:dyDescent="0.2">
      <c r="B21" s="2"/>
      <c r="C21" s="2"/>
    </row>
    <row r="22" spans="2:15" x14ac:dyDescent="0.2">
      <c r="B22" s="2"/>
      <c r="C22" s="2"/>
      <c r="K22" t="s">
        <v>165</v>
      </c>
    </row>
    <row r="23" spans="2:15" x14ac:dyDescent="0.2">
      <c r="B23" s="2"/>
      <c r="C23" s="2"/>
    </row>
    <row r="24" spans="2:15" x14ac:dyDescent="0.2">
      <c r="K24" s="2" t="s">
        <v>166</v>
      </c>
      <c r="L24" s="2" t="s">
        <v>167</v>
      </c>
      <c r="M24" s="2" t="s">
        <v>168</v>
      </c>
    </row>
    <row r="25" spans="2:15" x14ac:dyDescent="0.2">
      <c r="K25" s="2"/>
      <c r="L25" s="2"/>
      <c r="M25" s="2"/>
    </row>
    <row r="26" spans="2:15" x14ac:dyDescent="0.2">
      <c r="B26" t="s">
        <v>169</v>
      </c>
      <c r="K26" s="2"/>
      <c r="L26" s="2"/>
      <c r="M26" s="2"/>
    </row>
    <row r="27" spans="2:15" x14ac:dyDescent="0.2">
      <c r="B27" s="2" t="s">
        <v>163</v>
      </c>
      <c r="C27" s="2" t="s">
        <v>170</v>
      </c>
      <c r="D27" s="2" t="s">
        <v>171</v>
      </c>
      <c r="K27" s="2"/>
      <c r="L27" s="2"/>
      <c r="M27" s="2"/>
    </row>
    <row r="28" spans="2:15" x14ac:dyDescent="0.2">
      <c r="B28" s="2"/>
      <c r="C28" s="2"/>
      <c r="D28" s="2"/>
      <c r="K28" s="2"/>
      <c r="L28" s="2"/>
      <c r="M28" s="2"/>
    </row>
    <row r="29" spans="2:15" x14ac:dyDescent="0.2">
      <c r="B29" s="2"/>
      <c r="C29" s="2"/>
      <c r="D29" s="2"/>
    </row>
    <row r="30" spans="2:15" x14ac:dyDescent="0.2">
      <c r="B30" s="2"/>
      <c r="C30" s="2"/>
      <c r="D30" s="2"/>
    </row>
    <row r="31" spans="2:15" x14ac:dyDescent="0.2">
      <c r="B31" s="2"/>
      <c r="C31" s="2"/>
      <c r="D31" s="2"/>
    </row>
    <row r="32" spans="2:15" x14ac:dyDescent="0.2">
      <c r="B32" s="2"/>
      <c r="C32" s="2"/>
      <c r="D32" s="2"/>
    </row>
    <row r="33" spans="2:4" x14ac:dyDescent="0.2">
      <c r="B33" s="2"/>
      <c r="C33" s="2"/>
      <c r="D33" s="2"/>
    </row>
    <row r="34" spans="2:4" x14ac:dyDescent="0.2">
      <c r="B34" s="2"/>
      <c r="C34" s="2"/>
      <c r="D3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D6E9-9A38-4478-915F-77A6B63E4A73}">
  <sheetPr>
    <tabColor rgb="FFFFFF00"/>
  </sheetPr>
  <dimension ref="B2:H158"/>
  <sheetViews>
    <sheetView workbookViewId="0">
      <selection activeCell="F21" sqref="F21"/>
    </sheetView>
  </sheetViews>
  <sheetFormatPr baseColWidth="10" defaultColWidth="8.83203125" defaultRowHeight="15" x14ac:dyDescent="0.2"/>
  <cols>
    <col min="1" max="1" width="9" customWidth="1"/>
    <col min="3" max="4" width="10.33203125" customWidth="1"/>
    <col min="5" max="5" width="21.83203125" customWidth="1"/>
    <col min="6" max="6" width="21.33203125" customWidth="1"/>
    <col min="7" max="7" width="31.83203125" customWidth="1"/>
    <col min="8" max="8" width="26.33203125" customWidth="1"/>
  </cols>
  <sheetData>
    <row r="2" spans="2:8" x14ac:dyDescent="0.2">
      <c r="B2" t="s">
        <v>173</v>
      </c>
      <c r="D2" s="19" t="s">
        <v>174</v>
      </c>
    </row>
    <row r="4" spans="2:8" x14ac:dyDescent="0.2">
      <c r="B4" s="16" t="s">
        <v>158</v>
      </c>
      <c r="C4" s="16" t="s">
        <v>166</v>
      </c>
      <c r="D4" s="31" t="s">
        <v>176</v>
      </c>
      <c r="E4" t="s">
        <v>177</v>
      </c>
      <c r="F4" t="s">
        <v>178</v>
      </c>
      <c r="G4" t="s">
        <v>179</v>
      </c>
      <c r="H4" t="s">
        <v>180</v>
      </c>
    </row>
    <row r="5" spans="2:8" ht="35.25" customHeight="1" x14ac:dyDescent="0.2">
      <c r="B5" s="18">
        <v>2022</v>
      </c>
      <c r="C5" s="18">
        <v>1</v>
      </c>
      <c r="D5" s="32" t="b">
        <v>0</v>
      </c>
      <c r="E5" s="30">
        <v>0</v>
      </c>
      <c r="F5" s="30">
        <v>0</v>
      </c>
      <c r="G5" s="30">
        <v>0</v>
      </c>
      <c r="H5" s="30">
        <v>0</v>
      </c>
    </row>
    <row r="6" spans="2:8" x14ac:dyDescent="0.2">
      <c r="B6" s="18">
        <v>2023</v>
      </c>
      <c r="C6" s="18">
        <v>1</v>
      </c>
      <c r="D6" s="32" t="b">
        <v>0</v>
      </c>
      <c r="E6" s="30">
        <v>0</v>
      </c>
      <c r="F6" s="30">
        <v>0</v>
      </c>
      <c r="G6" s="30">
        <v>0</v>
      </c>
      <c r="H6" s="30">
        <v>0</v>
      </c>
    </row>
    <row r="7" spans="2:8" x14ac:dyDescent="0.2">
      <c r="B7" s="18">
        <v>2024</v>
      </c>
      <c r="C7" s="18">
        <v>1</v>
      </c>
      <c r="D7" s="32" t="b">
        <v>0</v>
      </c>
      <c r="E7" s="30">
        <v>0</v>
      </c>
      <c r="F7" s="30">
        <v>0</v>
      </c>
      <c r="G7" s="30">
        <v>0</v>
      </c>
      <c r="H7" s="30">
        <v>0</v>
      </c>
    </row>
    <row r="8" spans="2:8" x14ac:dyDescent="0.2">
      <c r="B8" s="18">
        <v>2025</v>
      </c>
      <c r="C8" s="18">
        <v>1</v>
      </c>
      <c r="D8" s="32" t="b">
        <v>0</v>
      </c>
      <c r="E8" s="30">
        <v>0</v>
      </c>
      <c r="F8" s="30">
        <v>0</v>
      </c>
      <c r="G8" s="30">
        <v>0</v>
      </c>
      <c r="H8" s="30">
        <v>0</v>
      </c>
    </row>
    <row r="9" spans="2:8" x14ac:dyDescent="0.2">
      <c r="B9" s="18">
        <v>2026</v>
      </c>
      <c r="C9" s="18">
        <v>1</v>
      </c>
      <c r="D9" s="32" t="b">
        <v>0</v>
      </c>
      <c r="E9" s="30">
        <v>0</v>
      </c>
      <c r="F9" s="30">
        <v>0</v>
      </c>
      <c r="G9" s="30">
        <v>0</v>
      </c>
      <c r="H9" s="30">
        <v>0</v>
      </c>
    </row>
    <row r="10" spans="2:8" x14ac:dyDescent="0.2">
      <c r="B10" s="18">
        <v>2027</v>
      </c>
      <c r="C10" s="18">
        <v>1</v>
      </c>
      <c r="D10" s="32" t="b">
        <v>0</v>
      </c>
      <c r="E10" s="30">
        <v>0</v>
      </c>
      <c r="F10" s="30">
        <v>0</v>
      </c>
      <c r="G10" s="30">
        <v>0</v>
      </c>
      <c r="H10" s="30">
        <v>0</v>
      </c>
    </row>
    <row r="11" spans="2:8" x14ac:dyDescent="0.2">
      <c r="B11" s="18">
        <v>2028</v>
      </c>
      <c r="C11" s="18">
        <v>1</v>
      </c>
      <c r="D11" s="32" t="b">
        <v>0</v>
      </c>
      <c r="E11" s="30">
        <v>0</v>
      </c>
      <c r="F11" s="30">
        <v>0</v>
      </c>
      <c r="G11" s="30">
        <v>0</v>
      </c>
      <c r="H11" s="30">
        <v>0</v>
      </c>
    </row>
    <row r="12" spans="2:8" x14ac:dyDescent="0.2">
      <c r="B12" s="18">
        <v>2029</v>
      </c>
      <c r="C12" s="18">
        <v>1</v>
      </c>
      <c r="D12" s="32" t="b">
        <v>0</v>
      </c>
      <c r="E12" s="30">
        <v>0</v>
      </c>
      <c r="F12" s="30">
        <v>0</v>
      </c>
      <c r="G12" s="30">
        <v>0</v>
      </c>
      <c r="H12" s="30">
        <v>0</v>
      </c>
    </row>
    <row r="13" spans="2:8" x14ac:dyDescent="0.2">
      <c r="B13" s="18">
        <v>2030</v>
      </c>
      <c r="C13" s="18">
        <v>1</v>
      </c>
      <c r="D13" s="32" t="b">
        <v>0</v>
      </c>
      <c r="E13" s="30">
        <v>0</v>
      </c>
      <c r="F13" s="30">
        <v>0</v>
      </c>
      <c r="G13" s="30">
        <v>0</v>
      </c>
      <c r="H13" s="30">
        <v>0</v>
      </c>
    </row>
    <row r="14" spans="2:8" x14ac:dyDescent="0.2">
      <c r="B14" s="18">
        <v>2031</v>
      </c>
      <c r="C14" s="18">
        <v>1</v>
      </c>
      <c r="D14" s="32" t="b">
        <v>0</v>
      </c>
      <c r="E14" s="30">
        <v>0</v>
      </c>
      <c r="F14" s="30">
        <v>0</v>
      </c>
      <c r="G14" s="30">
        <v>0</v>
      </c>
      <c r="H14" s="30">
        <v>0</v>
      </c>
    </row>
    <row r="15" spans="2:8" x14ac:dyDescent="0.2">
      <c r="B15" s="18">
        <v>2032</v>
      </c>
      <c r="C15" s="18">
        <v>1</v>
      </c>
      <c r="D15" s="32" t="b">
        <v>0</v>
      </c>
      <c r="E15" s="30">
        <v>0</v>
      </c>
      <c r="F15" s="30">
        <v>0</v>
      </c>
      <c r="G15" s="30">
        <v>0</v>
      </c>
      <c r="H15" s="30">
        <v>0</v>
      </c>
    </row>
    <row r="16" spans="2:8" x14ac:dyDescent="0.2">
      <c r="B16" s="18">
        <v>2033</v>
      </c>
      <c r="C16" s="18">
        <v>1</v>
      </c>
      <c r="D16" s="32" t="b">
        <v>0</v>
      </c>
      <c r="E16" s="30">
        <v>0</v>
      </c>
      <c r="F16" s="30">
        <v>0</v>
      </c>
      <c r="G16" s="30">
        <v>0</v>
      </c>
      <c r="H16" s="30">
        <v>0</v>
      </c>
    </row>
    <row r="17" spans="2:8" x14ac:dyDescent="0.2">
      <c r="B17" s="18">
        <v>2034</v>
      </c>
      <c r="C17" s="18">
        <v>1</v>
      </c>
      <c r="D17" s="32" t="b">
        <v>0</v>
      </c>
      <c r="E17" s="30">
        <v>0</v>
      </c>
      <c r="F17" s="30">
        <v>0</v>
      </c>
      <c r="G17" s="30">
        <v>0</v>
      </c>
      <c r="H17" s="30">
        <v>0</v>
      </c>
    </row>
    <row r="18" spans="2:8" x14ac:dyDescent="0.2">
      <c r="B18" s="18">
        <v>2035</v>
      </c>
      <c r="C18" s="18">
        <v>1</v>
      </c>
      <c r="D18" s="32" t="b">
        <v>0</v>
      </c>
      <c r="E18" s="30">
        <v>0</v>
      </c>
      <c r="F18" s="30">
        <v>0</v>
      </c>
      <c r="G18" s="30">
        <v>0</v>
      </c>
      <c r="H18" s="30">
        <v>0</v>
      </c>
    </row>
    <row r="19" spans="2:8" x14ac:dyDescent="0.2">
      <c r="B19" s="18">
        <v>2036</v>
      </c>
      <c r="C19" s="18">
        <v>1</v>
      </c>
      <c r="D19" s="32" t="b">
        <v>0</v>
      </c>
      <c r="E19" s="30">
        <v>0</v>
      </c>
      <c r="F19" s="30">
        <v>0</v>
      </c>
      <c r="G19" s="30">
        <v>0</v>
      </c>
      <c r="H19" s="30">
        <v>0</v>
      </c>
    </row>
    <row r="20" spans="2:8" x14ac:dyDescent="0.2">
      <c r="B20" s="18">
        <v>2037</v>
      </c>
      <c r="C20" s="18">
        <v>1</v>
      </c>
      <c r="D20" s="32" t="b">
        <v>0</v>
      </c>
      <c r="E20" s="30">
        <v>0</v>
      </c>
      <c r="F20" s="30">
        <v>0</v>
      </c>
      <c r="G20" s="30">
        <v>0</v>
      </c>
      <c r="H20" s="30">
        <v>0</v>
      </c>
    </row>
    <row r="21" spans="2:8" x14ac:dyDescent="0.2">
      <c r="B21" s="18">
        <v>2038</v>
      </c>
      <c r="C21" s="18">
        <v>1</v>
      </c>
      <c r="D21" s="32" t="b">
        <v>0</v>
      </c>
      <c r="E21" s="30">
        <v>0</v>
      </c>
      <c r="F21" s="30">
        <v>0</v>
      </c>
      <c r="G21" s="30">
        <v>0</v>
      </c>
      <c r="H21" s="30">
        <v>0</v>
      </c>
    </row>
    <row r="22" spans="2:8" x14ac:dyDescent="0.2">
      <c r="B22" s="18">
        <v>2039</v>
      </c>
      <c r="C22" s="18">
        <v>1</v>
      </c>
      <c r="D22" s="32" t="b">
        <v>0</v>
      </c>
      <c r="E22" s="30">
        <v>0</v>
      </c>
      <c r="F22" s="30">
        <v>0</v>
      </c>
      <c r="G22" s="30">
        <v>0</v>
      </c>
      <c r="H22" s="30">
        <v>0</v>
      </c>
    </row>
    <row r="23" spans="2:8" x14ac:dyDescent="0.2">
      <c r="B23" s="18">
        <v>2040</v>
      </c>
      <c r="C23" s="18">
        <v>1</v>
      </c>
      <c r="D23" s="32" t="b">
        <v>0</v>
      </c>
      <c r="E23" s="30">
        <v>0</v>
      </c>
      <c r="F23" s="30">
        <v>0</v>
      </c>
      <c r="G23" s="30">
        <v>0</v>
      </c>
      <c r="H23" s="30">
        <v>0</v>
      </c>
    </row>
    <row r="24" spans="2:8" x14ac:dyDescent="0.2">
      <c r="B24" s="18">
        <v>2041</v>
      </c>
      <c r="C24" s="18">
        <v>1</v>
      </c>
      <c r="D24" s="32" t="b">
        <v>0</v>
      </c>
      <c r="E24" s="30">
        <v>0</v>
      </c>
      <c r="F24" s="30">
        <v>0</v>
      </c>
      <c r="G24" s="30">
        <v>0</v>
      </c>
      <c r="H24" s="30">
        <v>0</v>
      </c>
    </row>
    <row r="25" spans="2:8" x14ac:dyDescent="0.2">
      <c r="B25" s="18">
        <v>2042</v>
      </c>
      <c r="C25" s="18">
        <v>1</v>
      </c>
      <c r="D25" s="32" t="b">
        <v>0</v>
      </c>
      <c r="E25" s="30">
        <v>0</v>
      </c>
      <c r="F25" s="30">
        <v>0</v>
      </c>
      <c r="G25" s="30">
        <v>0</v>
      </c>
      <c r="H25" s="30">
        <v>0</v>
      </c>
    </row>
    <row r="26" spans="2:8" x14ac:dyDescent="0.2">
      <c r="B26" s="18">
        <v>2043</v>
      </c>
      <c r="C26" s="18">
        <v>1</v>
      </c>
      <c r="D26" s="32" t="b">
        <v>0</v>
      </c>
      <c r="E26" s="30">
        <v>0</v>
      </c>
      <c r="F26" s="30">
        <v>0</v>
      </c>
      <c r="G26" s="30">
        <v>0</v>
      </c>
      <c r="H26" s="30">
        <v>0</v>
      </c>
    </row>
    <row r="27" spans="2:8" x14ac:dyDescent="0.2">
      <c r="B27" s="18">
        <v>2044</v>
      </c>
      <c r="C27" s="18">
        <v>1</v>
      </c>
      <c r="D27" s="32" t="b">
        <v>0</v>
      </c>
      <c r="E27" s="30">
        <v>0</v>
      </c>
      <c r="F27" s="30">
        <v>0</v>
      </c>
      <c r="G27" s="30">
        <v>0</v>
      </c>
      <c r="H27" s="30">
        <v>0</v>
      </c>
    </row>
    <row r="28" spans="2:8" x14ac:dyDescent="0.2">
      <c r="B28" s="18">
        <v>2045</v>
      </c>
      <c r="C28" s="18">
        <v>1</v>
      </c>
      <c r="D28" s="32" t="b">
        <v>0</v>
      </c>
      <c r="E28" s="30">
        <v>0</v>
      </c>
      <c r="F28" s="30">
        <v>0</v>
      </c>
      <c r="G28" s="30">
        <v>0</v>
      </c>
      <c r="H28" s="30">
        <v>0</v>
      </c>
    </row>
    <row r="29" spans="2:8" x14ac:dyDescent="0.2">
      <c r="B29" s="18">
        <v>2046</v>
      </c>
      <c r="C29" s="18">
        <v>1</v>
      </c>
      <c r="D29" s="32" t="b">
        <v>0</v>
      </c>
      <c r="E29" s="30">
        <v>0</v>
      </c>
      <c r="F29" s="30">
        <v>0</v>
      </c>
      <c r="G29" s="30">
        <v>0</v>
      </c>
      <c r="H29" s="30">
        <v>0</v>
      </c>
    </row>
    <row r="30" spans="2:8" x14ac:dyDescent="0.2">
      <c r="B30" s="18">
        <v>2047</v>
      </c>
      <c r="C30" s="18">
        <v>1</v>
      </c>
      <c r="D30" s="32" t="b">
        <v>0</v>
      </c>
      <c r="E30" s="30">
        <v>0</v>
      </c>
      <c r="F30" s="30">
        <v>0</v>
      </c>
      <c r="G30" s="30">
        <v>0</v>
      </c>
      <c r="H30" s="30">
        <v>0</v>
      </c>
    </row>
    <row r="31" spans="2:8" x14ac:dyDescent="0.2">
      <c r="B31" s="18">
        <v>2048</v>
      </c>
      <c r="C31" s="18">
        <v>1</v>
      </c>
      <c r="D31" s="32" t="b">
        <v>0</v>
      </c>
      <c r="E31" s="30">
        <v>0</v>
      </c>
      <c r="F31" s="30">
        <v>0</v>
      </c>
      <c r="G31" s="30">
        <v>0</v>
      </c>
      <c r="H31" s="30">
        <v>0</v>
      </c>
    </row>
    <row r="32" spans="2:8" x14ac:dyDescent="0.2">
      <c r="B32" s="18">
        <v>2049</v>
      </c>
      <c r="C32" s="18">
        <v>1</v>
      </c>
      <c r="D32" s="32" t="b">
        <v>0</v>
      </c>
      <c r="E32" s="30">
        <v>0</v>
      </c>
      <c r="F32" s="30">
        <v>0</v>
      </c>
      <c r="G32" s="30">
        <v>0</v>
      </c>
      <c r="H32" s="30">
        <v>0</v>
      </c>
    </row>
    <row r="33" spans="2:8" x14ac:dyDescent="0.2">
      <c r="B33" s="18">
        <v>2050</v>
      </c>
      <c r="C33" s="18">
        <v>1</v>
      </c>
      <c r="D33" s="32" t="b">
        <v>0</v>
      </c>
      <c r="E33" s="30">
        <v>0</v>
      </c>
      <c r="F33" s="30">
        <v>0</v>
      </c>
      <c r="G33" s="30">
        <v>0</v>
      </c>
      <c r="H33" s="30">
        <v>0</v>
      </c>
    </row>
    <row r="34" spans="2:8" x14ac:dyDescent="0.2">
      <c r="B34" s="18">
        <v>2051</v>
      </c>
      <c r="C34" s="18">
        <v>1</v>
      </c>
      <c r="D34" s="32" t="b">
        <v>0</v>
      </c>
      <c r="E34" s="30">
        <v>0</v>
      </c>
      <c r="F34" s="30">
        <v>0</v>
      </c>
      <c r="G34" s="30">
        <v>0</v>
      </c>
      <c r="H34" s="30">
        <v>0</v>
      </c>
    </row>
    <row r="35" spans="2:8" x14ac:dyDescent="0.2">
      <c r="B35" s="18">
        <v>2052</v>
      </c>
      <c r="C35" s="18">
        <v>1</v>
      </c>
      <c r="D35" s="32" t="b">
        <v>0</v>
      </c>
      <c r="E35" s="30">
        <v>0</v>
      </c>
      <c r="F35" s="30">
        <v>0</v>
      </c>
      <c r="G35" s="30">
        <v>0</v>
      </c>
      <c r="H35" s="30">
        <v>0</v>
      </c>
    </row>
    <row r="36" spans="2:8" x14ac:dyDescent="0.2">
      <c r="B36" s="18">
        <v>2053</v>
      </c>
      <c r="C36" s="18">
        <v>1</v>
      </c>
      <c r="D36" s="32" t="b">
        <v>0</v>
      </c>
      <c r="E36" s="30">
        <v>0</v>
      </c>
      <c r="F36" s="30">
        <v>0</v>
      </c>
      <c r="G36" s="30">
        <v>0</v>
      </c>
      <c r="H36" s="30">
        <v>0</v>
      </c>
    </row>
    <row r="37" spans="2:8" x14ac:dyDescent="0.2">
      <c r="B37" s="18">
        <v>2054</v>
      </c>
      <c r="C37" s="18">
        <v>1</v>
      </c>
      <c r="D37" s="32" t="b">
        <v>0</v>
      </c>
      <c r="E37" s="30">
        <v>0</v>
      </c>
      <c r="F37" s="30">
        <v>0</v>
      </c>
      <c r="G37" s="30">
        <v>0</v>
      </c>
      <c r="H37" s="30">
        <v>0</v>
      </c>
    </row>
    <row r="38" spans="2:8" x14ac:dyDescent="0.2">
      <c r="B38" s="18">
        <v>2055</v>
      </c>
      <c r="C38" s="18">
        <v>1</v>
      </c>
      <c r="D38" s="32" t="b">
        <v>0</v>
      </c>
      <c r="E38" s="30">
        <v>0</v>
      </c>
      <c r="F38" s="30">
        <v>0</v>
      </c>
      <c r="G38" s="30">
        <v>0</v>
      </c>
      <c r="H38" s="30">
        <v>0</v>
      </c>
    </row>
    <row r="39" spans="2:8" x14ac:dyDescent="0.2">
      <c r="B39" s="18">
        <v>2056</v>
      </c>
      <c r="C39" s="18">
        <v>1</v>
      </c>
      <c r="D39" s="32" t="b">
        <v>0</v>
      </c>
      <c r="E39" s="30">
        <v>0</v>
      </c>
      <c r="F39" s="30">
        <v>0</v>
      </c>
      <c r="G39" s="30">
        <v>0</v>
      </c>
      <c r="H39" s="30">
        <v>0</v>
      </c>
    </row>
    <row r="40" spans="2:8" x14ac:dyDescent="0.2">
      <c r="B40" s="18">
        <v>2057</v>
      </c>
      <c r="C40" s="18">
        <v>1</v>
      </c>
      <c r="D40" s="32" t="b">
        <v>0</v>
      </c>
      <c r="E40" s="30">
        <v>0</v>
      </c>
      <c r="F40" s="30">
        <v>0</v>
      </c>
      <c r="G40" s="30">
        <v>0</v>
      </c>
      <c r="H40" s="30">
        <v>0</v>
      </c>
    </row>
    <row r="41" spans="2:8" x14ac:dyDescent="0.2">
      <c r="B41" s="18">
        <v>2058</v>
      </c>
      <c r="C41" s="18">
        <v>1</v>
      </c>
      <c r="D41" s="32" t="b">
        <v>0</v>
      </c>
      <c r="E41" s="30">
        <v>0</v>
      </c>
      <c r="F41" s="30">
        <v>0</v>
      </c>
      <c r="G41" s="30">
        <v>0</v>
      </c>
      <c r="H41" s="30">
        <v>0</v>
      </c>
    </row>
    <row r="42" spans="2:8" x14ac:dyDescent="0.2">
      <c r="B42" s="18">
        <v>2059</v>
      </c>
      <c r="C42" s="18">
        <v>1</v>
      </c>
      <c r="D42" s="32" t="b">
        <v>0</v>
      </c>
      <c r="E42" s="30">
        <v>0</v>
      </c>
      <c r="F42" s="30">
        <v>0</v>
      </c>
      <c r="G42" s="30">
        <v>0</v>
      </c>
      <c r="H42" s="30">
        <v>0</v>
      </c>
    </row>
    <row r="43" spans="2:8" x14ac:dyDescent="0.2">
      <c r="B43" s="18">
        <v>2060</v>
      </c>
      <c r="C43" s="18">
        <v>1</v>
      </c>
      <c r="D43" s="32" t="b">
        <v>0</v>
      </c>
      <c r="E43" s="30">
        <v>0</v>
      </c>
      <c r="F43" s="30">
        <v>0</v>
      </c>
      <c r="G43" s="30">
        <v>0</v>
      </c>
      <c r="H43" s="30">
        <v>0</v>
      </c>
    </row>
    <row r="44" spans="2:8" x14ac:dyDescent="0.2">
      <c r="B44" s="18">
        <v>2061</v>
      </c>
      <c r="C44" s="18">
        <v>1</v>
      </c>
      <c r="D44" s="32" t="b">
        <v>0</v>
      </c>
      <c r="E44" s="30">
        <v>0</v>
      </c>
      <c r="F44" s="30">
        <v>0</v>
      </c>
      <c r="G44" s="30">
        <v>0</v>
      </c>
      <c r="H44" s="30">
        <v>0</v>
      </c>
    </row>
    <row r="45" spans="2:8" x14ac:dyDescent="0.2">
      <c r="B45" s="18">
        <v>2023</v>
      </c>
      <c r="C45" s="18">
        <v>2</v>
      </c>
      <c r="D45" s="32" t="b">
        <v>0</v>
      </c>
      <c r="E45" s="30">
        <v>0</v>
      </c>
      <c r="F45" s="30">
        <v>0</v>
      </c>
      <c r="G45" s="30">
        <v>0</v>
      </c>
      <c r="H45" s="30">
        <v>0</v>
      </c>
    </row>
    <row r="46" spans="2:8" x14ac:dyDescent="0.2">
      <c r="B46" s="18">
        <v>2024</v>
      </c>
      <c r="C46" s="18">
        <v>2</v>
      </c>
      <c r="D46" s="32" t="b">
        <v>0</v>
      </c>
      <c r="E46" s="30">
        <v>0</v>
      </c>
      <c r="F46" s="30">
        <v>0</v>
      </c>
      <c r="G46" s="30">
        <v>0</v>
      </c>
      <c r="H46" s="30">
        <v>0</v>
      </c>
    </row>
    <row r="47" spans="2:8" x14ac:dyDescent="0.2">
      <c r="B47" s="18">
        <v>2025</v>
      </c>
      <c r="C47" s="18">
        <v>2</v>
      </c>
      <c r="D47" s="32" t="b">
        <v>0</v>
      </c>
      <c r="E47" s="30">
        <v>0</v>
      </c>
      <c r="F47" s="30">
        <v>0</v>
      </c>
      <c r="G47" s="30">
        <v>0</v>
      </c>
      <c r="H47" s="30">
        <v>0</v>
      </c>
    </row>
    <row r="48" spans="2:8" x14ac:dyDescent="0.2">
      <c r="B48" s="18">
        <v>2026</v>
      </c>
      <c r="C48" s="18">
        <v>2</v>
      </c>
      <c r="D48" s="32" t="b">
        <v>0</v>
      </c>
      <c r="E48" s="30">
        <v>0</v>
      </c>
      <c r="F48" s="30">
        <v>0</v>
      </c>
      <c r="G48" s="30">
        <v>0</v>
      </c>
      <c r="H48" s="30">
        <v>0</v>
      </c>
    </row>
    <row r="49" spans="2:8" x14ac:dyDescent="0.2">
      <c r="B49" s="18">
        <v>2027</v>
      </c>
      <c r="C49" s="18">
        <v>2</v>
      </c>
      <c r="D49" s="32" t="b">
        <v>0</v>
      </c>
      <c r="E49" s="30">
        <v>0</v>
      </c>
      <c r="F49" s="30">
        <v>0</v>
      </c>
      <c r="G49" s="30">
        <v>0</v>
      </c>
      <c r="H49" s="30">
        <v>0</v>
      </c>
    </row>
    <row r="50" spans="2:8" x14ac:dyDescent="0.2">
      <c r="B50" s="18">
        <v>2028</v>
      </c>
      <c r="C50" s="18">
        <v>2</v>
      </c>
      <c r="D50" s="32" t="b">
        <v>0</v>
      </c>
      <c r="E50" s="30">
        <v>0</v>
      </c>
      <c r="F50" s="30">
        <v>0</v>
      </c>
      <c r="G50" s="30">
        <v>0</v>
      </c>
      <c r="H50" s="30">
        <v>0</v>
      </c>
    </row>
    <row r="51" spans="2:8" x14ac:dyDescent="0.2">
      <c r="B51" s="18">
        <v>2029</v>
      </c>
      <c r="C51" s="18">
        <v>2</v>
      </c>
      <c r="D51" s="32" t="b">
        <v>0</v>
      </c>
      <c r="E51" s="30">
        <v>0</v>
      </c>
      <c r="F51" s="30">
        <v>0</v>
      </c>
      <c r="G51" s="30">
        <v>0</v>
      </c>
      <c r="H51" s="30">
        <v>0</v>
      </c>
    </row>
    <row r="52" spans="2:8" x14ac:dyDescent="0.2">
      <c r="B52" s="18">
        <v>2030</v>
      </c>
      <c r="C52" s="18">
        <v>2</v>
      </c>
      <c r="D52" s="32" t="b">
        <v>0</v>
      </c>
      <c r="E52" s="30">
        <v>0</v>
      </c>
      <c r="F52" s="30">
        <v>0</v>
      </c>
      <c r="G52" s="30">
        <v>0</v>
      </c>
      <c r="H52" s="30">
        <v>0</v>
      </c>
    </row>
    <row r="53" spans="2:8" x14ac:dyDescent="0.2">
      <c r="B53" s="18">
        <v>2031</v>
      </c>
      <c r="C53" s="18">
        <v>2</v>
      </c>
      <c r="D53" s="32" t="b">
        <v>0</v>
      </c>
      <c r="E53" s="30">
        <v>0</v>
      </c>
      <c r="F53" s="30">
        <v>0</v>
      </c>
      <c r="G53" s="30">
        <v>0</v>
      </c>
      <c r="H53" s="30">
        <v>0</v>
      </c>
    </row>
    <row r="54" spans="2:8" x14ac:dyDescent="0.2">
      <c r="B54" s="18">
        <v>2032</v>
      </c>
      <c r="C54" s="18">
        <v>2</v>
      </c>
      <c r="D54" s="32" t="b">
        <v>0</v>
      </c>
      <c r="E54" s="30">
        <v>0</v>
      </c>
      <c r="F54" s="30">
        <v>0</v>
      </c>
      <c r="G54" s="30">
        <v>0</v>
      </c>
      <c r="H54" s="30">
        <v>0</v>
      </c>
    </row>
    <row r="55" spans="2:8" x14ac:dyDescent="0.2">
      <c r="B55" s="18">
        <v>2033</v>
      </c>
      <c r="C55" s="18">
        <v>2</v>
      </c>
      <c r="D55" s="32" t="b">
        <v>0</v>
      </c>
      <c r="E55" s="30">
        <v>0</v>
      </c>
      <c r="F55" s="30">
        <v>0</v>
      </c>
      <c r="G55" s="30">
        <v>0</v>
      </c>
      <c r="H55" s="30">
        <v>0</v>
      </c>
    </row>
    <row r="56" spans="2:8" x14ac:dyDescent="0.2">
      <c r="B56" s="18">
        <v>2034</v>
      </c>
      <c r="C56" s="18">
        <v>2</v>
      </c>
      <c r="D56" s="32" t="b">
        <v>0</v>
      </c>
      <c r="E56" s="30">
        <v>0</v>
      </c>
      <c r="F56" s="30">
        <v>0</v>
      </c>
      <c r="G56" s="30">
        <v>0</v>
      </c>
      <c r="H56" s="30">
        <v>0</v>
      </c>
    </row>
    <row r="57" spans="2:8" x14ac:dyDescent="0.2">
      <c r="B57" s="18">
        <v>2035</v>
      </c>
      <c r="C57" s="18">
        <v>2</v>
      </c>
      <c r="D57" s="32" t="b">
        <v>0</v>
      </c>
      <c r="E57" s="30">
        <v>0</v>
      </c>
      <c r="F57" s="30">
        <v>0</v>
      </c>
      <c r="G57" s="30">
        <v>0</v>
      </c>
      <c r="H57" s="30">
        <v>0</v>
      </c>
    </row>
    <row r="58" spans="2:8" x14ac:dyDescent="0.2">
      <c r="B58" s="18">
        <v>2036</v>
      </c>
      <c r="C58" s="18">
        <v>2</v>
      </c>
      <c r="D58" s="32" t="b">
        <v>0</v>
      </c>
      <c r="E58" s="30">
        <v>0</v>
      </c>
      <c r="F58" s="30">
        <v>0</v>
      </c>
      <c r="G58" s="30">
        <v>0</v>
      </c>
      <c r="H58" s="30">
        <v>0</v>
      </c>
    </row>
    <row r="59" spans="2:8" x14ac:dyDescent="0.2">
      <c r="B59" s="18">
        <v>2037</v>
      </c>
      <c r="C59" s="18">
        <v>2</v>
      </c>
      <c r="D59" s="32" t="b">
        <v>0</v>
      </c>
      <c r="E59" s="30">
        <v>0</v>
      </c>
      <c r="F59" s="30">
        <v>0</v>
      </c>
      <c r="G59" s="30">
        <v>0</v>
      </c>
      <c r="H59" s="30">
        <v>0</v>
      </c>
    </row>
    <row r="60" spans="2:8" x14ac:dyDescent="0.2">
      <c r="B60" s="18">
        <v>2038</v>
      </c>
      <c r="C60" s="18">
        <v>2</v>
      </c>
      <c r="D60" s="32" t="b">
        <v>0</v>
      </c>
      <c r="E60" s="30">
        <v>0</v>
      </c>
      <c r="F60" s="30">
        <v>0</v>
      </c>
      <c r="G60" s="30">
        <v>0</v>
      </c>
      <c r="H60" s="30">
        <v>0</v>
      </c>
    </row>
    <row r="61" spans="2:8" x14ac:dyDescent="0.2">
      <c r="B61" s="18">
        <v>2039</v>
      </c>
      <c r="C61" s="18">
        <v>2</v>
      </c>
      <c r="D61" s="32" t="b">
        <v>0</v>
      </c>
      <c r="E61" s="30">
        <v>0</v>
      </c>
      <c r="F61" s="30">
        <v>0</v>
      </c>
      <c r="G61" s="30">
        <v>0</v>
      </c>
      <c r="H61" s="30">
        <v>0</v>
      </c>
    </row>
    <row r="62" spans="2:8" x14ac:dyDescent="0.2">
      <c r="B62" s="18">
        <v>2040</v>
      </c>
      <c r="C62" s="18">
        <v>2</v>
      </c>
      <c r="D62" s="32" t="b">
        <v>0</v>
      </c>
      <c r="E62" s="30">
        <v>0</v>
      </c>
      <c r="F62" s="30">
        <v>0</v>
      </c>
      <c r="G62" s="30">
        <v>0</v>
      </c>
      <c r="H62" s="30">
        <v>0</v>
      </c>
    </row>
    <row r="63" spans="2:8" x14ac:dyDescent="0.2">
      <c r="B63" s="18">
        <v>2041</v>
      </c>
      <c r="C63" s="18">
        <v>2</v>
      </c>
      <c r="D63" s="32" t="b">
        <v>0</v>
      </c>
      <c r="E63" s="30">
        <v>0</v>
      </c>
      <c r="F63" s="30">
        <v>0</v>
      </c>
      <c r="G63" s="30">
        <v>0</v>
      </c>
      <c r="H63" s="30">
        <v>0</v>
      </c>
    </row>
    <row r="64" spans="2:8" x14ac:dyDescent="0.2">
      <c r="B64" s="18">
        <v>2042</v>
      </c>
      <c r="C64" s="18">
        <v>2</v>
      </c>
      <c r="D64" s="32" t="b">
        <v>0</v>
      </c>
      <c r="E64" s="30">
        <v>0</v>
      </c>
      <c r="F64" s="30">
        <v>0</v>
      </c>
      <c r="G64" s="30">
        <v>0</v>
      </c>
      <c r="H64" s="30">
        <v>0</v>
      </c>
    </row>
    <row r="65" spans="2:8" x14ac:dyDescent="0.2">
      <c r="B65" s="18">
        <v>2043</v>
      </c>
      <c r="C65" s="18">
        <v>2</v>
      </c>
      <c r="D65" s="32" t="b">
        <v>0</v>
      </c>
      <c r="E65" s="30">
        <v>0</v>
      </c>
      <c r="F65" s="30">
        <v>0</v>
      </c>
      <c r="G65" s="30">
        <v>0</v>
      </c>
      <c r="H65" s="30">
        <v>0</v>
      </c>
    </row>
    <row r="66" spans="2:8" x14ac:dyDescent="0.2">
      <c r="B66" s="18">
        <v>2044</v>
      </c>
      <c r="C66" s="18">
        <v>2</v>
      </c>
      <c r="D66" s="32" t="b">
        <v>0</v>
      </c>
      <c r="E66" s="30">
        <v>0</v>
      </c>
      <c r="F66" s="30">
        <v>0</v>
      </c>
      <c r="G66" s="30">
        <v>0</v>
      </c>
      <c r="H66" s="30">
        <v>0</v>
      </c>
    </row>
    <row r="67" spans="2:8" x14ac:dyDescent="0.2">
      <c r="B67" s="18">
        <v>2045</v>
      </c>
      <c r="C67" s="18">
        <v>2</v>
      </c>
      <c r="D67" s="32" t="b">
        <v>0</v>
      </c>
      <c r="E67" s="30">
        <v>0</v>
      </c>
      <c r="F67" s="30">
        <v>0</v>
      </c>
      <c r="G67" s="30">
        <v>0</v>
      </c>
      <c r="H67" s="30">
        <v>0</v>
      </c>
    </row>
    <row r="68" spans="2:8" x14ac:dyDescent="0.2">
      <c r="B68" s="18">
        <v>2046</v>
      </c>
      <c r="C68" s="18">
        <v>2</v>
      </c>
      <c r="D68" s="32" t="b">
        <v>0</v>
      </c>
      <c r="E68" s="30">
        <v>0</v>
      </c>
      <c r="F68" s="30">
        <v>0</v>
      </c>
      <c r="G68" s="30">
        <v>0</v>
      </c>
      <c r="H68" s="30">
        <v>0</v>
      </c>
    </row>
    <row r="69" spans="2:8" x14ac:dyDescent="0.2">
      <c r="B69" s="18">
        <v>2047</v>
      </c>
      <c r="C69" s="18">
        <v>2</v>
      </c>
      <c r="D69" s="32" t="b">
        <v>0</v>
      </c>
      <c r="E69" s="30">
        <v>0</v>
      </c>
      <c r="F69" s="30">
        <v>0</v>
      </c>
      <c r="G69" s="30">
        <v>0</v>
      </c>
      <c r="H69" s="30">
        <v>0</v>
      </c>
    </row>
    <row r="70" spans="2:8" x14ac:dyDescent="0.2">
      <c r="B70" s="18">
        <v>2048</v>
      </c>
      <c r="C70" s="18">
        <v>2</v>
      </c>
      <c r="D70" s="32" t="b">
        <v>0</v>
      </c>
      <c r="E70" s="30">
        <v>0</v>
      </c>
      <c r="F70" s="30">
        <v>0</v>
      </c>
      <c r="G70" s="30">
        <v>0</v>
      </c>
      <c r="H70" s="30">
        <v>0</v>
      </c>
    </row>
    <row r="71" spans="2:8" x14ac:dyDescent="0.2">
      <c r="B71" s="18">
        <v>2049</v>
      </c>
      <c r="C71" s="18">
        <v>2</v>
      </c>
      <c r="D71" s="32" t="b">
        <v>0</v>
      </c>
      <c r="E71" s="30">
        <v>0</v>
      </c>
      <c r="F71" s="30">
        <v>0</v>
      </c>
      <c r="G71" s="30">
        <v>0</v>
      </c>
      <c r="H71" s="30">
        <v>0</v>
      </c>
    </row>
    <row r="72" spans="2:8" x14ac:dyDescent="0.2">
      <c r="B72" s="18">
        <v>2050</v>
      </c>
      <c r="C72" s="18">
        <v>2</v>
      </c>
      <c r="D72" s="32" t="b">
        <v>0</v>
      </c>
      <c r="E72" s="30">
        <v>0</v>
      </c>
      <c r="F72" s="30">
        <v>0</v>
      </c>
      <c r="G72" s="30">
        <v>0</v>
      </c>
      <c r="H72" s="30">
        <v>0</v>
      </c>
    </row>
    <row r="73" spans="2:8" x14ac:dyDescent="0.2">
      <c r="B73" s="18">
        <v>2051</v>
      </c>
      <c r="C73" s="18">
        <v>2</v>
      </c>
      <c r="D73" s="32" t="b">
        <v>0</v>
      </c>
      <c r="E73" s="30">
        <v>0</v>
      </c>
      <c r="F73" s="30">
        <v>0</v>
      </c>
      <c r="G73" s="30">
        <v>0</v>
      </c>
      <c r="H73" s="30">
        <v>0</v>
      </c>
    </row>
    <row r="74" spans="2:8" x14ac:dyDescent="0.2">
      <c r="B74" s="18">
        <v>2052</v>
      </c>
      <c r="C74" s="18">
        <v>2</v>
      </c>
      <c r="D74" s="32" t="b">
        <v>0</v>
      </c>
      <c r="E74" s="30">
        <v>0</v>
      </c>
      <c r="F74" s="30">
        <v>0</v>
      </c>
      <c r="G74" s="30">
        <v>0</v>
      </c>
      <c r="H74" s="30">
        <v>0</v>
      </c>
    </row>
    <row r="75" spans="2:8" x14ac:dyDescent="0.2">
      <c r="B75" s="18">
        <v>2053</v>
      </c>
      <c r="C75" s="18">
        <v>2</v>
      </c>
      <c r="D75" s="32" t="b">
        <v>0</v>
      </c>
      <c r="E75" s="30">
        <v>0</v>
      </c>
      <c r="F75" s="30">
        <v>0</v>
      </c>
      <c r="G75" s="30">
        <v>0</v>
      </c>
      <c r="H75" s="30">
        <v>0</v>
      </c>
    </row>
    <row r="76" spans="2:8" x14ac:dyDescent="0.2">
      <c r="B76" s="18">
        <v>2054</v>
      </c>
      <c r="C76" s="18">
        <v>2</v>
      </c>
      <c r="D76" s="32" t="b">
        <v>0</v>
      </c>
      <c r="E76" s="30">
        <v>0</v>
      </c>
      <c r="F76" s="30">
        <v>0</v>
      </c>
      <c r="G76" s="30">
        <v>0</v>
      </c>
      <c r="H76" s="30">
        <v>0</v>
      </c>
    </row>
    <row r="77" spans="2:8" x14ac:dyDescent="0.2">
      <c r="B77" s="18">
        <v>2055</v>
      </c>
      <c r="C77" s="18">
        <v>2</v>
      </c>
      <c r="D77" s="32" t="b">
        <v>0</v>
      </c>
      <c r="E77" s="30">
        <v>0</v>
      </c>
      <c r="F77" s="30">
        <v>0</v>
      </c>
      <c r="G77" s="30">
        <v>0</v>
      </c>
      <c r="H77" s="30">
        <v>0</v>
      </c>
    </row>
    <row r="78" spans="2:8" x14ac:dyDescent="0.2">
      <c r="B78" s="18">
        <v>2056</v>
      </c>
      <c r="C78" s="18">
        <v>2</v>
      </c>
      <c r="D78" s="32" t="b">
        <v>0</v>
      </c>
      <c r="E78" s="30">
        <v>0</v>
      </c>
      <c r="F78" s="30">
        <v>0</v>
      </c>
      <c r="G78" s="30">
        <v>0</v>
      </c>
      <c r="H78" s="30">
        <v>0</v>
      </c>
    </row>
    <row r="79" spans="2:8" x14ac:dyDescent="0.2">
      <c r="B79" s="18">
        <v>2057</v>
      </c>
      <c r="C79" s="18">
        <v>2</v>
      </c>
      <c r="D79" s="32" t="b">
        <v>0</v>
      </c>
      <c r="E79" s="30">
        <v>0</v>
      </c>
      <c r="F79" s="30">
        <v>0</v>
      </c>
      <c r="G79" s="30">
        <v>0</v>
      </c>
      <c r="H79" s="30">
        <v>0</v>
      </c>
    </row>
    <row r="80" spans="2:8" x14ac:dyDescent="0.2">
      <c r="B80" s="18">
        <v>2058</v>
      </c>
      <c r="C80" s="18">
        <v>2</v>
      </c>
      <c r="D80" s="32" t="b">
        <v>0</v>
      </c>
      <c r="E80" s="30">
        <v>0</v>
      </c>
      <c r="F80" s="30">
        <v>0</v>
      </c>
      <c r="G80" s="30">
        <v>0</v>
      </c>
      <c r="H80" s="30">
        <v>0</v>
      </c>
    </row>
    <row r="81" spans="2:8" x14ac:dyDescent="0.2">
      <c r="B81" s="18">
        <v>2059</v>
      </c>
      <c r="C81" s="18">
        <v>2</v>
      </c>
      <c r="D81" s="32" t="b">
        <v>0</v>
      </c>
      <c r="E81" s="30">
        <v>0</v>
      </c>
      <c r="F81" s="30">
        <v>0</v>
      </c>
      <c r="G81" s="30">
        <v>0</v>
      </c>
      <c r="H81" s="30">
        <v>0</v>
      </c>
    </row>
    <row r="82" spans="2:8" x14ac:dyDescent="0.2">
      <c r="B82" s="18">
        <v>2060</v>
      </c>
      <c r="C82" s="18">
        <v>2</v>
      </c>
      <c r="D82" s="32" t="b">
        <v>0</v>
      </c>
      <c r="E82" s="30">
        <v>0</v>
      </c>
      <c r="F82" s="30">
        <v>0</v>
      </c>
      <c r="G82" s="30">
        <v>0</v>
      </c>
      <c r="H82" s="30">
        <v>0</v>
      </c>
    </row>
    <row r="83" spans="2:8" x14ac:dyDescent="0.2">
      <c r="B83" s="18">
        <v>2061</v>
      </c>
      <c r="C83" s="18">
        <v>2</v>
      </c>
      <c r="D83" s="32" t="b">
        <v>0</v>
      </c>
      <c r="E83" s="30">
        <v>0</v>
      </c>
      <c r="F83" s="30">
        <v>0</v>
      </c>
      <c r="G83" s="30">
        <v>0</v>
      </c>
      <c r="H83" s="30">
        <v>0</v>
      </c>
    </row>
    <row r="84" spans="2:8" x14ac:dyDescent="0.2">
      <c r="B84" s="18">
        <v>2024</v>
      </c>
      <c r="C84" s="18">
        <v>3</v>
      </c>
      <c r="D84" s="32" t="b">
        <v>0</v>
      </c>
      <c r="E84" s="30">
        <v>0</v>
      </c>
      <c r="F84" s="30">
        <v>0</v>
      </c>
      <c r="G84" s="30">
        <v>0</v>
      </c>
      <c r="H84" s="30">
        <v>0</v>
      </c>
    </row>
    <row r="85" spans="2:8" x14ac:dyDescent="0.2">
      <c r="B85" s="18">
        <v>2025</v>
      </c>
      <c r="C85" s="18">
        <v>3</v>
      </c>
      <c r="D85" s="32" t="b">
        <v>0</v>
      </c>
      <c r="E85" s="30">
        <v>0</v>
      </c>
      <c r="F85" s="30">
        <v>0</v>
      </c>
      <c r="G85" s="30">
        <v>0</v>
      </c>
      <c r="H85" s="30">
        <v>0</v>
      </c>
    </row>
    <row r="86" spans="2:8" x14ac:dyDescent="0.2">
      <c r="B86" s="18">
        <v>2026</v>
      </c>
      <c r="C86" s="18">
        <v>3</v>
      </c>
      <c r="D86" s="32" t="b">
        <v>0</v>
      </c>
      <c r="E86" s="30">
        <v>0</v>
      </c>
      <c r="F86" s="30">
        <v>0</v>
      </c>
      <c r="G86" s="30">
        <v>0</v>
      </c>
      <c r="H86" s="30">
        <v>0</v>
      </c>
    </row>
    <row r="87" spans="2:8" x14ac:dyDescent="0.2">
      <c r="B87" s="18">
        <v>2027</v>
      </c>
      <c r="C87" s="18">
        <v>3</v>
      </c>
      <c r="D87" s="32" t="b">
        <v>0</v>
      </c>
      <c r="E87" s="30">
        <v>0</v>
      </c>
      <c r="F87" s="30">
        <v>0</v>
      </c>
      <c r="G87" s="30">
        <v>0</v>
      </c>
      <c r="H87" s="30">
        <v>0</v>
      </c>
    </row>
    <row r="88" spans="2:8" x14ac:dyDescent="0.2">
      <c r="B88" s="18">
        <v>2028</v>
      </c>
      <c r="C88" s="18">
        <v>3</v>
      </c>
      <c r="D88" s="32" t="b">
        <v>0</v>
      </c>
      <c r="E88" s="30">
        <v>0</v>
      </c>
      <c r="F88" s="30">
        <v>0</v>
      </c>
      <c r="G88" s="30">
        <v>0</v>
      </c>
      <c r="H88" s="30">
        <v>0</v>
      </c>
    </row>
    <row r="89" spans="2:8" x14ac:dyDescent="0.2">
      <c r="B89" s="18">
        <v>2029</v>
      </c>
      <c r="C89" s="18">
        <v>3</v>
      </c>
      <c r="D89" s="32" t="b">
        <v>0</v>
      </c>
      <c r="E89" s="30">
        <v>0</v>
      </c>
      <c r="F89" s="30">
        <v>0</v>
      </c>
      <c r="G89" s="30">
        <v>0</v>
      </c>
      <c r="H89" s="30">
        <v>0</v>
      </c>
    </row>
    <row r="90" spans="2:8" x14ac:dyDescent="0.2">
      <c r="B90" s="18">
        <v>2030</v>
      </c>
      <c r="C90" s="18">
        <v>3</v>
      </c>
      <c r="D90" s="32" t="b">
        <v>0</v>
      </c>
      <c r="E90" s="30">
        <v>0</v>
      </c>
      <c r="F90" s="30">
        <v>0</v>
      </c>
      <c r="G90" s="30">
        <v>0</v>
      </c>
      <c r="H90" s="30">
        <v>0</v>
      </c>
    </row>
    <row r="91" spans="2:8" x14ac:dyDescent="0.2">
      <c r="B91" s="18">
        <v>2031</v>
      </c>
      <c r="C91" s="18">
        <v>3</v>
      </c>
      <c r="D91" s="32" t="b">
        <v>0</v>
      </c>
      <c r="E91" s="30">
        <v>0</v>
      </c>
      <c r="F91" s="30">
        <v>0</v>
      </c>
      <c r="G91" s="30">
        <v>0</v>
      </c>
      <c r="H91" s="30">
        <v>0</v>
      </c>
    </row>
    <row r="92" spans="2:8" x14ac:dyDescent="0.2">
      <c r="B92" s="18">
        <v>2032</v>
      </c>
      <c r="C92" s="18">
        <v>3</v>
      </c>
      <c r="D92" s="32" t="b">
        <v>0</v>
      </c>
      <c r="E92" s="30">
        <v>0</v>
      </c>
      <c r="F92" s="30">
        <v>0</v>
      </c>
      <c r="G92" s="30">
        <v>0</v>
      </c>
      <c r="H92" s="30">
        <v>0</v>
      </c>
    </row>
    <row r="93" spans="2:8" x14ac:dyDescent="0.2">
      <c r="B93" s="18">
        <v>2033</v>
      </c>
      <c r="C93" s="18">
        <v>3</v>
      </c>
      <c r="D93" s="32" t="b">
        <v>0</v>
      </c>
      <c r="E93" s="30">
        <v>0</v>
      </c>
      <c r="F93" s="30">
        <v>0</v>
      </c>
      <c r="G93" s="30">
        <v>0</v>
      </c>
      <c r="H93" s="30">
        <v>0</v>
      </c>
    </row>
    <row r="94" spans="2:8" x14ac:dyDescent="0.2">
      <c r="B94" s="18">
        <v>2034</v>
      </c>
      <c r="C94" s="18">
        <v>3</v>
      </c>
      <c r="D94" s="32" t="b">
        <v>0</v>
      </c>
      <c r="E94" s="30">
        <v>0</v>
      </c>
      <c r="F94" s="30">
        <v>0</v>
      </c>
      <c r="G94" s="30">
        <v>0</v>
      </c>
      <c r="H94" s="30">
        <v>0</v>
      </c>
    </row>
    <row r="95" spans="2:8" x14ac:dyDescent="0.2">
      <c r="B95" s="18">
        <v>2035</v>
      </c>
      <c r="C95" s="18">
        <v>3</v>
      </c>
      <c r="D95" s="32" t="b">
        <v>0</v>
      </c>
      <c r="E95" s="30">
        <v>0</v>
      </c>
      <c r="F95" s="30">
        <v>0</v>
      </c>
      <c r="G95" s="30">
        <v>0</v>
      </c>
      <c r="H95" s="30">
        <v>0</v>
      </c>
    </row>
    <row r="96" spans="2:8" x14ac:dyDescent="0.2">
      <c r="B96" s="18">
        <v>2036</v>
      </c>
      <c r="C96" s="18">
        <v>3</v>
      </c>
      <c r="D96" s="32" t="b">
        <v>0</v>
      </c>
      <c r="E96" s="30">
        <v>0</v>
      </c>
      <c r="F96" s="30">
        <v>0</v>
      </c>
      <c r="G96" s="30">
        <v>0</v>
      </c>
      <c r="H96" s="30">
        <v>0</v>
      </c>
    </row>
    <row r="97" spans="2:8" x14ac:dyDescent="0.2">
      <c r="B97" s="18">
        <v>2037</v>
      </c>
      <c r="C97" s="18">
        <v>3</v>
      </c>
      <c r="D97" s="32" t="b">
        <v>0</v>
      </c>
      <c r="E97" s="30">
        <v>0</v>
      </c>
      <c r="F97" s="30">
        <v>0</v>
      </c>
      <c r="G97" s="30">
        <v>0</v>
      </c>
      <c r="H97" s="30">
        <v>0</v>
      </c>
    </row>
    <row r="98" spans="2:8" x14ac:dyDescent="0.2">
      <c r="B98" s="18">
        <v>2038</v>
      </c>
      <c r="C98" s="18">
        <v>3</v>
      </c>
      <c r="D98" s="32" t="b">
        <v>0</v>
      </c>
      <c r="E98" s="30">
        <v>0</v>
      </c>
      <c r="F98" s="30">
        <v>0</v>
      </c>
      <c r="G98" s="30">
        <v>0</v>
      </c>
      <c r="H98" s="30">
        <v>0</v>
      </c>
    </row>
    <row r="99" spans="2:8" x14ac:dyDescent="0.2">
      <c r="B99" s="18">
        <v>2039</v>
      </c>
      <c r="C99" s="18">
        <v>3</v>
      </c>
      <c r="D99" s="32" t="b">
        <v>0</v>
      </c>
      <c r="E99" s="30">
        <v>0</v>
      </c>
      <c r="F99" s="30">
        <v>0</v>
      </c>
      <c r="G99" s="30">
        <v>0</v>
      </c>
      <c r="H99" s="30">
        <v>0</v>
      </c>
    </row>
    <row r="100" spans="2:8" x14ac:dyDescent="0.2">
      <c r="B100" s="18">
        <v>2040</v>
      </c>
      <c r="C100" s="18">
        <v>3</v>
      </c>
      <c r="D100" s="32" t="b">
        <v>0</v>
      </c>
      <c r="E100" s="30">
        <v>0</v>
      </c>
      <c r="F100" s="30">
        <v>0</v>
      </c>
      <c r="G100" s="30">
        <v>0</v>
      </c>
      <c r="H100" s="30">
        <v>0</v>
      </c>
    </row>
    <row r="101" spans="2:8" x14ac:dyDescent="0.2">
      <c r="B101" s="18">
        <v>2041</v>
      </c>
      <c r="C101" s="18">
        <v>3</v>
      </c>
      <c r="D101" s="32" t="b">
        <v>0</v>
      </c>
      <c r="E101" s="30">
        <v>0</v>
      </c>
      <c r="F101" s="30">
        <v>0</v>
      </c>
      <c r="G101" s="30">
        <v>0</v>
      </c>
      <c r="H101" s="30">
        <v>0</v>
      </c>
    </row>
    <row r="102" spans="2:8" x14ac:dyDescent="0.2">
      <c r="B102" s="18">
        <v>2042</v>
      </c>
      <c r="C102" s="18">
        <v>3</v>
      </c>
      <c r="D102" s="32" t="b">
        <v>0</v>
      </c>
      <c r="E102" s="30">
        <v>0</v>
      </c>
      <c r="F102" s="30">
        <v>0</v>
      </c>
      <c r="G102" s="30">
        <v>0</v>
      </c>
      <c r="H102" s="30">
        <v>0</v>
      </c>
    </row>
    <row r="103" spans="2:8" x14ac:dyDescent="0.2">
      <c r="B103" s="18">
        <v>2043</v>
      </c>
      <c r="C103" s="18">
        <v>3</v>
      </c>
      <c r="D103" s="32" t="b">
        <v>0</v>
      </c>
      <c r="E103" s="30">
        <v>0</v>
      </c>
      <c r="F103" s="30">
        <v>0</v>
      </c>
      <c r="G103" s="30">
        <v>0</v>
      </c>
      <c r="H103" s="30">
        <v>0</v>
      </c>
    </row>
    <row r="104" spans="2:8" x14ac:dyDescent="0.2">
      <c r="B104" s="18">
        <v>2044</v>
      </c>
      <c r="C104" s="18">
        <v>3</v>
      </c>
      <c r="D104" s="32" t="b">
        <v>0</v>
      </c>
      <c r="E104" s="30">
        <v>0</v>
      </c>
      <c r="F104" s="30">
        <v>0</v>
      </c>
      <c r="G104" s="30">
        <v>0</v>
      </c>
      <c r="H104" s="30">
        <v>0</v>
      </c>
    </row>
    <row r="105" spans="2:8" x14ac:dyDescent="0.2">
      <c r="B105" s="18">
        <v>2045</v>
      </c>
      <c r="C105" s="18">
        <v>3</v>
      </c>
      <c r="D105" s="32" t="b">
        <v>0</v>
      </c>
      <c r="E105" s="30">
        <v>0</v>
      </c>
      <c r="F105" s="30">
        <v>0</v>
      </c>
      <c r="G105" s="30">
        <v>0</v>
      </c>
      <c r="H105" s="30">
        <v>0</v>
      </c>
    </row>
    <row r="106" spans="2:8" x14ac:dyDescent="0.2">
      <c r="B106" s="18">
        <v>2046</v>
      </c>
      <c r="C106" s="18">
        <v>3</v>
      </c>
      <c r="D106" s="32" t="b">
        <v>0</v>
      </c>
      <c r="E106" s="30">
        <v>0</v>
      </c>
      <c r="F106" s="30">
        <v>0</v>
      </c>
      <c r="G106" s="30">
        <v>0</v>
      </c>
      <c r="H106" s="30">
        <v>0</v>
      </c>
    </row>
    <row r="107" spans="2:8" x14ac:dyDescent="0.2">
      <c r="B107" s="18">
        <v>2047</v>
      </c>
      <c r="C107" s="18">
        <v>3</v>
      </c>
      <c r="D107" s="32" t="b">
        <v>0</v>
      </c>
      <c r="E107" s="30">
        <v>0</v>
      </c>
      <c r="F107" s="30">
        <v>0</v>
      </c>
      <c r="G107" s="30">
        <v>0</v>
      </c>
      <c r="H107" s="30">
        <v>0</v>
      </c>
    </row>
    <row r="108" spans="2:8" x14ac:dyDescent="0.2">
      <c r="B108" s="18">
        <v>2048</v>
      </c>
      <c r="C108" s="18">
        <v>3</v>
      </c>
      <c r="D108" s="32" t="b">
        <v>0</v>
      </c>
      <c r="E108" s="30">
        <v>0</v>
      </c>
      <c r="F108" s="30">
        <v>0</v>
      </c>
      <c r="G108" s="30">
        <v>0</v>
      </c>
      <c r="H108" s="30">
        <v>0</v>
      </c>
    </row>
    <row r="109" spans="2:8" x14ac:dyDescent="0.2">
      <c r="B109" s="18">
        <v>2049</v>
      </c>
      <c r="C109" s="18">
        <v>3</v>
      </c>
      <c r="D109" s="32" t="b">
        <v>0</v>
      </c>
      <c r="E109" s="30">
        <v>0</v>
      </c>
      <c r="F109" s="30">
        <v>0</v>
      </c>
      <c r="G109" s="30">
        <v>0</v>
      </c>
      <c r="H109" s="30">
        <v>0</v>
      </c>
    </row>
    <row r="110" spans="2:8" x14ac:dyDescent="0.2">
      <c r="B110" s="18">
        <v>2050</v>
      </c>
      <c r="C110" s="18">
        <v>3</v>
      </c>
      <c r="D110" s="32" t="b">
        <v>0</v>
      </c>
      <c r="E110" s="30">
        <v>0</v>
      </c>
      <c r="F110" s="30">
        <v>0</v>
      </c>
      <c r="G110" s="30">
        <v>0</v>
      </c>
      <c r="H110" s="30">
        <v>0</v>
      </c>
    </row>
    <row r="111" spans="2:8" x14ac:dyDescent="0.2">
      <c r="B111" s="18">
        <v>2051</v>
      </c>
      <c r="C111" s="18">
        <v>3</v>
      </c>
      <c r="D111" s="32" t="b">
        <v>0</v>
      </c>
      <c r="E111" s="30">
        <v>0</v>
      </c>
      <c r="F111" s="30">
        <v>0</v>
      </c>
      <c r="G111" s="30">
        <v>0</v>
      </c>
      <c r="H111" s="30">
        <v>0</v>
      </c>
    </row>
    <row r="112" spans="2:8" x14ac:dyDescent="0.2">
      <c r="B112" s="18">
        <v>2052</v>
      </c>
      <c r="C112" s="18">
        <v>3</v>
      </c>
      <c r="D112" s="32" t="b">
        <v>0</v>
      </c>
      <c r="E112" s="30">
        <v>0</v>
      </c>
      <c r="F112" s="30">
        <v>0</v>
      </c>
      <c r="G112" s="30">
        <v>0</v>
      </c>
      <c r="H112" s="30">
        <v>0</v>
      </c>
    </row>
    <row r="113" spans="2:8" x14ac:dyDescent="0.2">
      <c r="B113" s="18">
        <v>2053</v>
      </c>
      <c r="C113" s="18">
        <v>3</v>
      </c>
      <c r="D113" s="32" t="b">
        <v>0</v>
      </c>
      <c r="E113" s="30">
        <v>0</v>
      </c>
      <c r="F113" s="30">
        <v>0</v>
      </c>
      <c r="G113" s="30">
        <v>0</v>
      </c>
      <c r="H113" s="30">
        <v>0</v>
      </c>
    </row>
    <row r="114" spans="2:8" x14ac:dyDescent="0.2">
      <c r="B114" s="18">
        <v>2054</v>
      </c>
      <c r="C114" s="18">
        <v>3</v>
      </c>
      <c r="D114" s="32" t="b">
        <v>0</v>
      </c>
      <c r="E114" s="30">
        <v>0</v>
      </c>
      <c r="F114" s="30">
        <v>0</v>
      </c>
      <c r="G114" s="30">
        <v>0</v>
      </c>
      <c r="H114" s="30">
        <v>0</v>
      </c>
    </row>
    <row r="115" spans="2:8" x14ac:dyDescent="0.2">
      <c r="B115" s="18">
        <v>2055</v>
      </c>
      <c r="C115" s="18">
        <v>3</v>
      </c>
      <c r="D115" s="32" t="b">
        <v>0</v>
      </c>
      <c r="E115" s="30">
        <v>0</v>
      </c>
      <c r="F115" s="30">
        <v>0</v>
      </c>
      <c r="G115" s="30">
        <v>0</v>
      </c>
      <c r="H115" s="30">
        <v>0</v>
      </c>
    </row>
    <row r="116" spans="2:8" x14ac:dyDescent="0.2">
      <c r="B116" s="18">
        <v>2056</v>
      </c>
      <c r="C116" s="18">
        <v>3</v>
      </c>
      <c r="D116" s="32" t="b">
        <v>0</v>
      </c>
      <c r="E116" s="30">
        <v>0</v>
      </c>
      <c r="F116" s="30">
        <v>0</v>
      </c>
      <c r="G116" s="30">
        <v>0</v>
      </c>
      <c r="H116" s="30">
        <v>0</v>
      </c>
    </row>
    <row r="117" spans="2:8" x14ac:dyDescent="0.2">
      <c r="B117" s="18">
        <v>2057</v>
      </c>
      <c r="C117" s="18">
        <v>3</v>
      </c>
      <c r="D117" s="32" t="b">
        <v>0</v>
      </c>
      <c r="E117" s="30">
        <v>0</v>
      </c>
      <c r="F117" s="30">
        <v>0</v>
      </c>
      <c r="G117" s="30">
        <v>0</v>
      </c>
      <c r="H117" s="30">
        <v>0</v>
      </c>
    </row>
    <row r="118" spans="2:8" x14ac:dyDescent="0.2">
      <c r="B118" s="18">
        <v>2058</v>
      </c>
      <c r="C118" s="18">
        <v>3</v>
      </c>
      <c r="D118" s="32" t="b">
        <v>0</v>
      </c>
      <c r="E118" s="30">
        <v>0</v>
      </c>
      <c r="F118" s="30">
        <v>0</v>
      </c>
      <c r="G118" s="30">
        <v>0</v>
      </c>
      <c r="H118" s="30">
        <v>0</v>
      </c>
    </row>
    <row r="119" spans="2:8" x14ac:dyDescent="0.2">
      <c r="B119" s="18">
        <v>2059</v>
      </c>
      <c r="C119" s="18">
        <v>3</v>
      </c>
      <c r="D119" s="32" t="b">
        <v>0</v>
      </c>
      <c r="E119" s="30">
        <v>0</v>
      </c>
      <c r="F119" s="30">
        <v>0</v>
      </c>
      <c r="G119" s="30">
        <v>0</v>
      </c>
      <c r="H119" s="30">
        <v>0</v>
      </c>
    </row>
    <row r="120" spans="2:8" x14ac:dyDescent="0.2">
      <c r="B120" s="18">
        <v>2060</v>
      </c>
      <c r="C120" s="18">
        <v>3</v>
      </c>
      <c r="D120" s="32" t="b">
        <v>0</v>
      </c>
      <c r="E120" s="30">
        <v>0</v>
      </c>
      <c r="F120" s="30">
        <v>0</v>
      </c>
      <c r="G120" s="30">
        <v>0</v>
      </c>
      <c r="H120" s="30">
        <v>0</v>
      </c>
    </row>
    <row r="121" spans="2:8" x14ac:dyDescent="0.2">
      <c r="B121" s="18">
        <v>2061</v>
      </c>
      <c r="C121" s="18">
        <v>3</v>
      </c>
      <c r="D121" s="32" t="b">
        <v>0</v>
      </c>
      <c r="E121" s="30">
        <v>0</v>
      </c>
      <c r="F121" s="30">
        <v>0</v>
      </c>
      <c r="G121" s="30">
        <v>0</v>
      </c>
      <c r="H121" s="30">
        <v>0</v>
      </c>
    </row>
    <row r="122" spans="2:8" x14ac:dyDescent="0.2">
      <c r="B122" s="18">
        <v>2025</v>
      </c>
      <c r="C122" s="18">
        <v>4</v>
      </c>
      <c r="D122" s="32" t="b">
        <v>0</v>
      </c>
      <c r="E122" s="30">
        <v>0</v>
      </c>
      <c r="F122" s="30">
        <v>0</v>
      </c>
      <c r="G122" s="30">
        <v>0</v>
      </c>
      <c r="H122" s="30">
        <v>0</v>
      </c>
    </row>
    <row r="123" spans="2:8" x14ac:dyDescent="0.2">
      <c r="B123" s="18">
        <v>2026</v>
      </c>
      <c r="C123" s="18">
        <v>4</v>
      </c>
      <c r="D123" s="32" t="b">
        <v>0</v>
      </c>
      <c r="E123" s="30">
        <v>0</v>
      </c>
      <c r="F123" s="30">
        <v>0</v>
      </c>
      <c r="G123" s="30">
        <v>0</v>
      </c>
      <c r="H123" s="30">
        <v>0</v>
      </c>
    </row>
    <row r="124" spans="2:8" x14ac:dyDescent="0.2">
      <c r="B124" s="18">
        <v>2027</v>
      </c>
      <c r="C124" s="18">
        <v>4</v>
      </c>
      <c r="D124" s="32" t="b">
        <v>0</v>
      </c>
      <c r="E124" s="30">
        <v>0</v>
      </c>
      <c r="F124" s="30">
        <v>0</v>
      </c>
      <c r="G124" s="30">
        <v>0</v>
      </c>
      <c r="H124" s="30">
        <v>0</v>
      </c>
    </row>
    <row r="125" spans="2:8" x14ac:dyDescent="0.2">
      <c r="B125" s="18">
        <v>2028</v>
      </c>
      <c r="C125" s="18">
        <v>4</v>
      </c>
      <c r="D125" s="32" t="b">
        <v>0</v>
      </c>
      <c r="E125" s="30">
        <v>0</v>
      </c>
      <c r="F125" s="30">
        <v>0</v>
      </c>
      <c r="G125" s="30">
        <v>0</v>
      </c>
      <c r="H125" s="30">
        <v>0</v>
      </c>
    </row>
    <row r="126" spans="2:8" x14ac:dyDescent="0.2">
      <c r="B126" s="18">
        <v>2029</v>
      </c>
      <c r="C126" s="18">
        <v>4</v>
      </c>
      <c r="D126" s="32" t="b">
        <v>0</v>
      </c>
      <c r="E126" s="30">
        <v>0</v>
      </c>
      <c r="F126" s="30">
        <v>0</v>
      </c>
      <c r="G126" s="30">
        <v>0</v>
      </c>
      <c r="H126" s="30">
        <v>0</v>
      </c>
    </row>
    <row r="127" spans="2:8" x14ac:dyDescent="0.2">
      <c r="B127" s="18">
        <v>2030</v>
      </c>
      <c r="C127" s="18">
        <v>4</v>
      </c>
      <c r="D127" s="32" t="b">
        <v>0</v>
      </c>
      <c r="E127" s="30">
        <v>0</v>
      </c>
      <c r="F127" s="30">
        <v>0</v>
      </c>
      <c r="G127" s="30">
        <v>0</v>
      </c>
      <c r="H127" s="30">
        <v>0</v>
      </c>
    </row>
    <row r="128" spans="2:8" x14ac:dyDescent="0.2">
      <c r="B128" s="18">
        <v>2031</v>
      </c>
      <c r="C128" s="18">
        <v>4</v>
      </c>
      <c r="D128" s="32" t="b">
        <v>0</v>
      </c>
      <c r="E128" s="30">
        <v>0</v>
      </c>
      <c r="F128" s="30">
        <v>0</v>
      </c>
      <c r="G128" s="30">
        <v>0</v>
      </c>
      <c r="H128" s="30">
        <v>0</v>
      </c>
    </row>
    <row r="129" spans="2:8" x14ac:dyDescent="0.2">
      <c r="B129" s="18">
        <v>2032</v>
      </c>
      <c r="C129" s="18">
        <v>4</v>
      </c>
      <c r="D129" s="32" t="b">
        <v>0</v>
      </c>
      <c r="E129" s="30">
        <v>0</v>
      </c>
      <c r="F129" s="30">
        <v>0</v>
      </c>
      <c r="G129" s="30">
        <v>0</v>
      </c>
      <c r="H129" s="30">
        <v>0</v>
      </c>
    </row>
    <row r="130" spans="2:8" x14ac:dyDescent="0.2">
      <c r="B130" s="18">
        <v>2033</v>
      </c>
      <c r="C130" s="18">
        <v>4</v>
      </c>
      <c r="D130" s="32" t="b">
        <v>0</v>
      </c>
      <c r="E130" s="30">
        <v>0</v>
      </c>
      <c r="F130" s="30">
        <v>0</v>
      </c>
      <c r="G130" s="30">
        <v>0</v>
      </c>
      <c r="H130" s="30">
        <v>0</v>
      </c>
    </row>
    <row r="131" spans="2:8" x14ac:dyDescent="0.2">
      <c r="B131" s="18">
        <v>2034</v>
      </c>
      <c r="C131" s="18">
        <v>4</v>
      </c>
      <c r="D131" s="32" t="b">
        <v>0</v>
      </c>
      <c r="E131" s="30">
        <v>0</v>
      </c>
      <c r="F131" s="30">
        <v>0</v>
      </c>
      <c r="G131" s="30">
        <v>0</v>
      </c>
      <c r="H131" s="30">
        <v>0</v>
      </c>
    </row>
    <row r="132" spans="2:8" x14ac:dyDescent="0.2">
      <c r="B132" s="18">
        <v>2035</v>
      </c>
      <c r="C132" s="18">
        <v>4</v>
      </c>
      <c r="D132" s="32" t="b">
        <v>0</v>
      </c>
      <c r="E132" s="30">
        <v>0</v>
      </c>
      <c r="F132" s="30">
        <v>0</v>
      </c>
      <c r="G132" s="30">
        <v>0</v>
      </c>
      <c r="H132" s="30">
        <v>0</v>
      </c>
    </row>
    <row r="133" spans="2:8" x14ac:dyDescent="0.2">
      <c r="B133" s="18">
        <v>2036</v>
      </c>
      <c r="C133" s="18">
        <v>4</v>
      </c>
      <c r="D133" s="32" t="b">
        <v>0</v>
      </c>
      <c r="E133" s="30">
        <v>0</v>
      </c>
      <c r="F133" s="30">
        <v>0</v>
      </c>
      <c r="G133" s="30">
        <v>0</v>
      </c>
      <c r="H133" s="30">
        <v>0</v>
      </c>
    </row>
    <row r="134" spans="2:8" x14ac:dyDescent="0.2">
      <c r="B134" s="18">
        <v>2037</v>
      </c>
      <c r="C134" s="18">
        <v>4</v>
      </c>
      <c r="D134" s="32" t="b">
        <v>0</v>
      </c>
      <c r="E134" s="30">
        <v>0</v>
      </c>
      <c r="F134" s="30">
        <v>0</v>
      </c>
      <c r="G134" s="30">
        <v>0</v>
      </c>
      <c r="H134" s="30">
        <v>0</v>
      </c>
    </row>
    <row r="135" spans="2:8" x14ac:dyDescent="0.2">
      <c r="B135" s="18">
        <v>2038</v>
      </c>
      <c r="C135" s="18">
        <v>4</v>
      </c>
      <c r="D135" s="32" t="b">
        <v>0</v>
      </c>
      <c r="E135" s="30">
        <v>0</v>
      </c>
      <c r="F135" s="30">
        <v>0</v>
      </c>
      <c r="G135" s="30">
        <v>0</v>
      </c>
      <c r="H135" s="30">
        <v>0</v>
      </c>
    </row>
    <row r="136" spans="2:8" x14ac:dyDescent="0.2">
      <c r="B136" s="18">
        <v>2039</v>
      </c>
      <c r="C136" s="18">
        <v>4</v>
      </c>
      <c r="D136" s="32" t="b">
        <v>0</v>
      </c>
      <c r="E136" s="30">
        <v>0</v>
      </c>
      <c r="F136" s="30">
        <v>0</v>
      </c>
      <c r="G136" s="30">
        <v>0</v>
      </c>
      <c r="H136" s="30">
        <v>0</v>
      </c>
    </row>
    <row r="137" spans="2:8" x14ac:dyDescent="0.2">
      <c r="B137" s="18">
        <v>2040</v>
      </c>
      <c r="C137" s="18">
        <v>4</v>
      </c>
      <c r="D137" s="32" t="b">
        <v>0</v>
      </c>
      <c r="E137" s="30">
        <v>0</v>
      </c>
      <c r="F137" s="30">
        <v>0</v>
      </c>
      <c r="G137" s="30">
        <v>0</v>
      </c>
      <c r="H137" s="30">
        <v>0</v>
      </c>
    </row>
    <row r="138" spans="2:8" x14ac:dyDescent="0.2">
      <c r="B138" s="18">
        <v>2041</v>
      </c>
      <c r="C138" s="18">
        <v>4</v>
      </c>
      <c r="D138" s="32" t="b">
        <v>0</v>
      </c>
      <c r="E138" s="30">
        <v>0</v>
      </c>
      <c r="F138" s="30">
        <v>0</v>
      </c>
      <c r="G138" s="30">
        <v>0</v>
      </c>
      <c r="H138" s="30">
        <v>0</v>
      </c>
    </row>
    <row r="139" spans="2:8" x14ac:dyDescent="0.2">
      <c r="B139" s="18">
        <v>2042</v>
      </c>
      <c r="C139" s="18">
        <v>4</v>
      </c>
      <c r="D139" s="32" t="b">
        <v>0</v>
      </c>
      <c r="E139" s="30">
        <v>0</v>
      </c>
      <c r="F139" s="30">
        <v>0</v>
      </c>
      <c r="G139" s="30">
        <v>0</v>
      </c>
      <c r="H139" s="30">
        <v>0</v>
      </c>
    </row>
    <row r="140" spans="2:8" x14ac:dyDescent="0.2">
      <c r="B140" s="18">
        <v>2043</v>
      </c>
      <c r="C140" s="18">
        <v>4</v>
      </c>
      <c r="D140" s="32" t="b">
        <v>0</v>
      </c>
      <c r="E140" s="30">
        <v>0</v>
      </c>
      <c r="F140" s="30">
        <v>0</v>
      </c>
      <c r="G140" s="30">
        <v>0</v>
      </c>
      <c r="H140" s="30">
        <v>0</v>
      </c>
    </row>
    <row r="141" spans="2:8" x14ac:dyDescent="0.2">
      <c r="B141" s="18">
        <v>2044</v>
      </c>
      <c r="C141" s="18">
        <v>4</v>
      </c>
      <c r="D141" s="32" t="b">
        <v>0</v>
      </c>
      <c r="E141" s="30">
        <v>0</v>
      </c>
      <c r="F141" s="30">
        <v>0</v>
      </c>
      <c r="G141" s="30">
        <v>0</v>
      </c>
      <c r="H141" s="30">
        <v>0</v>
      </c>
    </row>
    <row r="142" spans="2:8" x14ac:dyDescent="0.2">
      <c r="B142" s="18">
        <v>2045</v>
      </c>
      <c r="C142" s="18">
        <v>4</v>
      </c>
      <c r="D142" s="32" t="b">
        <v>0</v>
      </c>
      <c r="E142" s="30">
        <v>0</v>
      </c>
      <c r="F142" s="30">
        <v>0</v>
      </c>
      <c r="G142" s="30">
        <v>0</v>
      </c>
      <c r="H142" s="30">
        <v>0</v>
      </c>
    </row>
    <row r="143" spans="2:8" x14ac:dyDescent="0.2">
      <c r="B143" s="18">
        <v>2046</v>
      </c>
      <c r="C143" s="18">
        <v>4</v>
      </c>
      <c r="D143" s="32" t="b">
        <v>0</v>
      </c>
      <c r="E143" s="30">
        <v>0</v>
      </c>
      <c r="F143" s="30">
        <v>0</v>
      </c>
      <c r="G143" s="30">
        <v>0</v>
      </c>
      <c r="H143" s="30">
        <v>0</v>
      </c>
    </row>
    <row r="144" spans="2:8" x14ac:dyDescent="0.2">
      <c r="B144" s="18">
        <v>2047</v>
      </c>
      <c r="C144" s="18">
        <v>4</v>
      </c>
      <c r="D144" s="32" t="b">
        <v>0</v>
      </c>
      <c r="E144" s="30">
        <v>0</v>
      </c>
      <c r="F144" s="30">
        <v>0</v>
      </c>
      <c r="G144" s="30">
        <v>0</v>
      </c>
      <c r="H144" s="30">
        <v>0</v>
      </c>
    </row>
    <row r="145" spans="2:8" x14ac:dyDescent="0.2">
      <c r="B145" s="18">
        <v>2048</v>
      </c>
      <c r="C145" s="18">
        <v>4</v>
      </c>
      <c r="D145" s="32" t="b">
        <v>0</v>
      </c>
      <c r="E145" s="30">
        <v>0</v>
      </c>
      <c r="F145" s="30">
        <v>0</v>
      </c>
      <c r="G145" s="30">
        <v>0</v>
      </c>
      <c r="H145" s="30">
        <v>0</v>
      </c>
    </row>
    <row r="146" spans="2:8" x14ac:dyDescent="0.2">
      <c r="B146" s="18">
        <v>2049</v>
      </c>
      <c r="C146" s="18">
        <v>4</v>
      </c>
      <c r="D146" s="32" t="b">
        <v>0</v>
      </c>
      <c r="E146" s="30">
        <v>0</v>
      </c>
      <c r="F146" s="30">
        <v>0</v>
      </c>
      <c r="G146" s="30">
        <v>0</v>
      </c>
      <c r="H146" s="30">
        <v>0</v>
      </c>
    </row>
    <row r="147" spans="2:8" x14ac:dyDescent="0.2">
      <c r="B147" s="18">
        <v>2050</v>
      </c>
      <c r="C147" s="18">
        <v>4</v>
      </c>
      <c r="D147" s="32" t="b">
        <v>0</v>
      </c>
      <c r="E147" s="30">
        <v>0</v>
      </c>
      <c r="F147" s="30">
        <v>0</v>
      </c>
      <c r="G147" s="30">
        <v>0</v>
      </c>
      <c r="H147" s="30">
        <v>0</v>
      </c>
    </row>
    <row r="148" spans="2:8" x14ac:dyDescent="0.2">
      <c r="B148" s="18">
        <v>2051</v>
      </c>
      <c r="C148" s="18">
        <v>4</v>
      </c>
      <c r="D148" s="32" t="b">
        <v>0</v>
      </c>
      <c r="E148" s="30">
        <v>0</v>
      </c>
      <c r="F148" s="30">
        <v>0</v>
      </c>
      <c r="G148" s="30">
        <v>0</v>
      </c>
      <c r="H148" s="30">
        <v>0</v>
      </c>
    </row>
    <row r="149" spans="2:8" x14ac:dyDescent="0.2">
      <c r="B149" s="18">
        <v>2052</v>
      </c>
      <c r="C149" s="18">
        <v>4</v>
      </c>
      <c r="D149" s="32" t="b">
        <v>0</v>
      </c>
      <c r="E149" s="30">
        <v>0</v>
      </c>
      <c r="F149" s="30">
        <v>0</v>
      </c>
      <c r="G149" s="30">
        <v>0</v>
      </c>
      <c r="H149" s="30">
        <v>0</v>
      </c>
    </row>
    <row r="150" spans="2:8" x14ac:dyDescent="0.2">
      <c r="B150" s="18">
        <v>2053</v>
      </c>
      <c r="C150" s="18">
        <v>4</v>
      </c>
      <c r="D150" s="32" t="b">
        <v>0</v>
      </c>
      <c r="E150" s="30">
        <v>0</v>
      </c>
      <c r="F150" s="30">
        <v>0</v>
      </c>
      <c r="G150" s="30">
        <v>0</v>
      </c>
      <c r="H150" s="30">
        <v>0</v>
      </c>
    </row>
    <row r="151" spans="2:8" x14ac:dyDescent="0.2">
      <c r="B151" s="18">
        <v>2054</v>
      </c>
      <c r="C151" s="18">
        <v>4</v>
      </c>
      <c r="D151" s="32" t="b">
        <v>0</v>
      </c>
      <c r="E151" s="30">
        <v>0</v>
      </c>
      <c r="F151" s="30">
        <v>0</v>
      </c>
      <c r="G151" s="30">
        <v>0</v>
      </c>
      <c r="H151" s="30">
        <v>0</v>
      </c>
    </row>
    <row r="152" spans="2:8" x14ac:dyDescent="0.2">
      <c r="B152" s="18">
        <v>2055</v>
      </c>
      <c r="C152" s="18">
        <v>4</v>
      </c>
      <c r="D152" s="32" t="b">
        <v>0</v>
      </c>
      <c r="E152" s="30">
        <v>0</v>
      </c>
      <c r="F152" s="30">
        <v>0</v>
      </c>
      <c r="G152" s="30">
        <v>0</v>
      </c>
      <c r="H152" s="30">
        <v>0</v>
      </c>
    </row>
    <row r="153" spans="2:8" x14ac:dyDescent="0.2">
      <c r="B153" s="18">
        <v>2056</v>
      </c>
      <c r="C153" s="18">
        <v>4</v>
      </c>
      <c r="D153" s="32" t="b">
        <v>0</v>
      </c>
      <c r="E153" s="30">
        <v>0</v>
      </c>
      <c r="F153" s="30">
        <v>0</v>
      </c>
      <c r="G153" s="30">
        <v>0</v>
      </c>
      <c r="H153" s="30">
        <v>0</v>
      </c>
    </row>
    <row r="154" spans="2:8" x14ac:dyDescent="0.2">
      <c r="B154" s="18">
        <v>2057</v>
      </c>
      <c r="C154" s="18">
        <v>4</v>
      </c>
      <c r="D154" s="32" t="b">
        <v>0</v>
      </c>
      <c r="E154" s="30">
        <v>0</v>
      </c>
      <c r="F154" s="30">
        <v>0</v>
      </c>
      <c r="G154" s="30">
        <v>0</v>
      </c>
      <c r="H154" s="30">
        <v>0</v>
      </c>
    </row>
    <row r="155" spans="2:8" x14ac:dyDescent="0.2">
      <c r="B155" s="18">
        <v>2058</v>
      </c>
      <c r="C155" s="18">
        <v>4</v>
      </c>
      <c r="D155" s="32" t="b">
        <v>0</v>
      </c>
      <c r="E155" s="30">
        <v>0</v>
      </c>
      <c r="F155" s="30">
        <v>0</v>
      </c>
      <c r="G155" s="30">
        <v>0</v>
      </c>
      <c r="H155" s="30">
        <v>0</v>
      </c>
    </row>
    <row r="156" spans="2:8" x14ac:dyDescent="0.2">
      <c r="B156" s="18">
        <v>2059</v>
      </c>
      <c r="C156" s="18">
        <v>4</v>
      </c>
      <c r="D156" s="32" t="b">
        <v>0</v>
      </c>
      <c r="E156" s="30">
        <v>0</v>
      </c>
      <c r="F156" s="30">
        <v>0</v>
      </c>
      <c r="G156" s="30">
        <v>0</v>
      </c>
      <c r="H156" s="30">
        <v>0</v>
      </c>
    </row>
    <row r="157" spans="2:8" x14ac:dyDescent="0.2">
      <c r="B157" s="18">
        <v>2060</v>
      </c>
      <c r="C157" s="18">
        <v>4</v>
      </c>
      <c r="D157" s="32" t="b">
        <v>0</v>
      </c>
      <c r="E157" s="30">
        <v>0</v>
      </c>
      <c r="F157" s="30">
        <v>0</v>
      </c>
      <c r="G157" s="30">
        <v>0</v>
      </c>
      <c r="H157" s="30">
        <v>0</v>
      </c>
    </row>
    <row r="158" spans="2:8" x14ac:dyDescent="0.2">
      <c r="B158" s="18">
        <v>2061</v>
      </c>
      <c r="C158" s="18">
        <v>4</v>
      </c>
      <c r="D158" s="32" t="b">
        <v>0</v>
      </c>
      <c r="E158" s="30">
        <v>0</v>
      </c>
      <c r="F158" s="30">
        <v>0</v>
      </c>
      <c r="G158" s="30">
        <v>0</v>
      </c>
      <c r="H158" s="30">
        <v>0</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437B-60C8-4B2F-9384-7D95349190CA}">
  <sheetPr>
    <tabColor rgb="FFFFFF00"/>
  </sheetPr>
  <dimension ref="A1:E59"/>
  <sheetViews>
    <sheetView topLeftCell="A9" workbookViewId="0">
      <selection activeCell="E32" sqref="E32"/>
    </sheetView>
  </sheetViews>
  <sheetFormatPr baseColWidth="10" defaultColWidth="8.83203125" defaultRowHeight="15" x14ac:dyDescent="0.2"/>
  <cols>
    <col min="1" max="1" width="9" style="2"/>
    <col min="2" max="2" width="39.83203125" style="2" customWidth="1"/>
    <col min="3" max="3" width="29" style="2" customWidth="1"/>
    <col min="4" max="4" width="45.33203125" style="2" customWidth="1"/>
    <col min="5" max="5" width="113" style="87" customWidth="1"/>
  </cols>
  <sheetData>
    <row r="1" spans="1:5" ht="17" thickBot="1" x14ac:dyDescent="0.25">
      <c r="B1" s="62" t="s">
        <v>67</v>
      </c>
      <c r="C1" s="62" t="s">
        <v>46</v>
      </c>
      <c r="D1" s="62" t="s">
        <v>181</v>
      </c>
      <c r="E1" s="86" t="s">
        <v>133</v>
      </c>
    </row>
    <row r="2" spans="1:5" ht="16" thickBot="1" x14ac:dyDescent="0.25">
      <c r="A2" s="27"/>
      <c r="B2" s="111" t="s">
        <v>182</v>
      </c>
      <c r="C2" s="111">
        <v>5.2</v>
      </c>
      <c r="D2" s="27"/>
      <c r="E2" s="88" t="s">
        <v>80</v>
      </c>
    </row>
    <row r="3" spans="1:5" x14ac:dyDescent="0.2">
      <c r="A3" s="139"/>
      <c r="B3" s="77" t="s">
        <v>183</v>
      </c>
      <c r="C3" s="77">
        <v>5.0999999999999996</v>
      </c>
      <c r="D3" s="7"/>
      <c r="E3" s="114" t="s">
        <v>80</v>
      </c>
    </row>
    <row r="4" spans="1:5" s="5" customFormat="1" ht="16" thickBot="1" x14ac:dyDescent="0.25">
      <c r="A4" s="140"/>
      <c r="B4" s="141" t="s">
        <v>184</v>
      </c>
      <c r="C4" s="141">
        <v>5.0999999999999996</v>
      </c>
      <c r="D4" s="142"/>
      <c r="E4" s="143" t="s">
        <v>521</v>
      </c>
    </row>
    <row r="5" spans="1:5" x14ac:dyDescent="0.2">
      <c r="A5" s="24"/>
      <c r="B5" s="112" t="s">
        <v>185</v>
      </c>
      <c r="C5" s="112">
        <v>5.0999999999999996</v>
      </c>
      <c r="D5" s="24"/>
      <c r="E5" s="113" t="s">
        <v>148</v>
      </c>
    </row>
    <row r="6" spans="1:5" ht="16" thickBot="1" x14ac:dyDescent="0.25">
      <c r="A6" s="27"/>
      <c r="B6" s="111" t="s">
        <v>186</v>
      </c>
      <c r="C6" s="111">
        <v>5.0999999999999996</v>
      </c>
      <c r="D6" s="27"/>
      <c r="E6" s="88" t="s">
        <v>187</v>
      </c>
    </row>
    <row r="7" spans="1:5" x14ac:dyDescent="0.2">
      <c r="A7" s="192" t="s">
        <v>138</v>
      </c>
      <c r="B7" s="77" t="s">
        <v>188</v>
      </c>
      <c r="C7" s="77">
        <v>5.0999999999999996</v>
      </c>
      <c r="D7" s="7"/>
      <c r="E7" s="114" t="s">
        <v>189</v>
      </c>
    </row>
    <row r="8" spans="1:5" x14ac:dyDescent="0.2">
      <c r="A8" s="193"/>
      <c r="B8" s="62" t="s">
        <v>190</v>
      </c>
      <c r="C8" s="62">
        <v>5.0999999999999996</v>
      </c>
      <c r="E8" s="119" t="s">
        <v>189</v>
      </c>
    </row>
    <row r="9" spans="1:5" ht="18.75" customHeight="1" thickBot="1" x14ac:dyDescent="0.25">
      <c r="A9" s="194"/>
      <c r="B9" s="115" t="s">
        <v>191</v>
      </c>
      <c r="C9" s="115">
        <v>5.0999999999999996</v>
      </c>
      <c r="D9" s="8"/>
      <c r="E9" s="116" t="s">
        <v>189</v>
      </c>
    </row>
    <row r="10" spans="1:5" ht="16" x14ac:dyDescent="0.2">
      <c r="A10" s="196" t="s">
        <v>138</v>
      </c>
      <c r="B10" s="117" t="s">
        <v>192</v>
      </c>
      <c r="C10" s="117">
        <v>5.0999999999999996</v>
      </c>
      <c r="D10" s="118" t="s">
        <v>193</v>
      </c>
      <c r="E10" s="198" t="s">
        <v>189</v>
      </c>
    </row>
    <row r="11" spans="1:5" ht="16" x14ac:dyDescent="0.2">
      <c r="A11" s="196"/>
      <c r="B11" s="85" t="s">
        <v>194</v>
      </c>
      <c r="C11" s="85">
        <v>5.0999999999999996</v>
      </c>
      <c r="D11" s="75" t="s">
        <v>193</v>
      </c>
      <c r="E11" s="198"/>
    </row>
    <row r="12" spans="1:5" ht="16" x14ac:dyDescent="0.2">
      <c r="A12" s="196"/>
      <c r="B12" s="85" t="s">
        <v>195</v>
      </c>
      <c r="C12" s="85">
        <v>5.0999999999999996</v>
      </c>
      <c r="D12" s="75" t="s">
        <v>193</v>
      </c>
      <c r="E12" s="198"/>
    </row>
    <row r="13" spans="1:5" ht="16" x14ac:dyDescent="0.2">
      <c r="A13" s="197"/>
      <c r="B13" s="85" t="s">
        <v>196</v>
      </c>
      <c r="C13" s="85">
        <v>5.0999999999999996</v>
      </c>
      <c r="D13" s="75" t="s">
        <v>193</v>
      </c>
      <c r="E13" s="199"/>
    </row>
    <row r="14" spans="1:5" ht="16" x14ac:dyDescent="0.2">
      <c r="A14" s="195" t="s">
        <v>138</v>
      </c>
      <c r="B14" s="85" t="s">
        <v>197</v>
      </c>
      <c r="C14" s="85">
        <v>5.0999999999999996</v>
      </c>
      <c r="D14" s="75" t="s">
        <v>193</v>
      </c>
      <c r="E14" s="200" t="s">
        <v>189</v>
      </c>
    </row>
    <row r="15" spans="1:5" ht="16" x14ac:dyDescent="0.2">
      <c r="A15" s="196"/>
      <c r="B15" s="85" t="s">
        <v>198</v>
      </c>
      <c r="C15" s="85">
        <v>5.0999999999999996</v>
      </c>
      <c r="D15" s="75" t="s">
        <v>193</v>
      </c>
      <c r="E15" s="198"/>
    </row>
    <row r="16" spans="1:5" ht="16" x14ac:dyDescent="0.2">
      <c r="A16" s="196"/>
      <c r="B16" s="85" t="s">
        <v>199</v>
      </c>
      <c r="C16" s="85">
        <v>5.0999999999999996</v>
      </c>
      <c r="D16" s="75" t="s">
        <v>193</v>
      </c>
      <c r="E16" s="198"/>
    </row>
    <row r="17" spans="1:5" ht="16" x14ac:dyDescent="0.2">
      <c r="A17" s="197"/>
      <c r="B17" s="85" t="s">
        <v>200</v>
      </c>
      <c r="C17" s="85">
        <v>5.0999999999999996</v>
      </c>
      <c r="D17" s="75" t="s">
        <v>193</v>
      </c>
      <c r="E17" s="199"/>
    </row>
    <row r="18" spans="1:5" ht="16" x14ac:dyDescent="0.2">
      <c r="A18" s="195" t="s">
        <v>138</v>
      </c>
      <c r="B18" s="85" t="s">
        <v>201</v>
      </c>
      <c r="C18" s="85">
        <v>5.0999999999999996</v>
      </c>
      <c r="D18" s="75" t="s">
        <v>193</v>
      </c>
      <c r="E18" s="201" t="s">
        <v>189</v>
      </c>
    </row>
    <row r="19" spans="1:5" ht="16" x14ac:dyDescent="0.2">
      <c r="A19" s="196"/>
      <c r="B19" s="85" t="s">
        <v>202</v>
      </c>
      <c r="C19" s="85">
        <v>5.0999999999999996</v>
      </c>
      <c r="D19" s="75" t="s">
        <v>193</v>
      </c>
      <c r="E19" s="202"/>
    </row>
    <row r="20" spans="1:5" ht="16" x14ac:dyDescent="0.2">
      <c r="A20" s="196"/>
      <c r="B20" s="85" t="s">
        <v>203</v>
      </c>
      <c r="C20" s="85">
        <v>5.0999999999999996</v>
      </c>
      <c r="D20" s="75" t="s">
        <v>193</v>
      </c>
      <c r="E20" s="202"/>
    </row>
    <row r="21" spans="1:5" ht="16" x14ac:dyDescent="0.2">
      <c r="A21" s="197"/>
      <c r="B21" s="85" t="s">
        <v>204</v>
      </c>
      <c r="C21" s="85">
        <v>5.0999999999999996</v>
      </c>
      <c r="D21" s="75" t="s">
        <v>193</v>
      </c>
      <c r="E21" s="203"/>
    </row>
    <row r="22" spans="1:5" x14ac:dyDescent="0.2">
      <c r="B22" s="62" t="s">
        <v>205</v>
      </c>
      <c r="C22" s="62">
        <v>5.0999999999999996</v>
      </c>
      <c r="E22" s="87" t="s">
        <v>206</v>
      </c>
    </row>
    <row r="23" spans="1:5" s="136" customFormat="1" x14ac:dyDescent="0.2">
      <c r="A23" s="135"/>
      <c r="B23" s="62" t="s">
        <v>207</v>
      </c>
      <c r="C23" s="62">
        <v>5.0999999999999996</v>
      </c>
      <c r="D23" s="2"/>
      <c r="E23" s="87" t="s">
        <v>208</v>
      </c>
    </row>
    <row r="24" spans="1:5" x14ac:dyDescent="0.2">
      <c r="B24" s="62" t="s">
        <v>209</v>
      </c>
      <c r="C24" s="62">
        <v>5.0999999999999996</v>
      </c>
      <c r="E24" s="87" t="s">
        <v>210</v>
      </c>
    </row>
    <row r="25" spans="1:5" x14ac:dyDescent="0.2">
      <c r="B25" s="62" t="s">
        <v>211</v>
      </c>
      <c r="C25" s="62">
        <v>5.0999999999999996</v>
      </c>
      <c r="E25" s="87" t="s">
        <v>212</v>
      </c>
    </row>
    <row r="26" spans="1:5" s="136" customFormat="1" x14ac:dyDescent="0.2">
      <c r="A26" s="135"/>
      <c r="B26" s="62" t="s">
        <v>213</v>
      </c>
      <c r="C26" s="62">
        <v>5.0999999999999996</v>
      </c>
      <c r="D26" s="2"/>
      <c r="E26" s="87" t="s">
        <v>214</v>
      </c>
    </row>
    <row r="27" spans="1:5" ht="24" customHeight="1" x14ac:dyDescent="0.2">
      <c r="B27" s="62" t="s">
        <v>215</v>
      </c>
      <c r="C27" s="62">
        <v>5.0999999999999996</v>
      </c>
      <c r="E27" s="87" t="s">
        <v>216</v>
      </c>
    </row>
    <row r="28" spans="1:5" ht="16" thickBot="1" x14ac:dyDescent="0.25">
      <c r="A28" s="27"/>
      <c r="B28" s="137" t="s">
        <v>217</v>
      </c>
      <c r="C28" s="111">
        <v>5.0999999999999996</v>
      </c>
      <c r="D28" s="27"/>
      <c r="E28" s="88" t="s">
        <v>218</v>
      </c>
    </row>
    <row r="29" spans="1:5" x14ac:dyDescent="0.2">
      <c r="A29" s="139"/>
      <c r="B29" s="77" t="s">
        <v>219</v>
      </c>
      <c r="C29" s="77">
        <v>5.2</v>
      </c>
      <c r="D29" s="7"/>
      <c r="E29" s="114" t="s">
        <v>536</v>
      </c>
    </row>
    <row r="30" spans="1:5" s="57" customFormat="1" ht="16" thickBot="1" x14ac:dyDescent="0.25">
      <c r="A30" s="152"/>
      <c r="B30" s="153" t="s">
        <v>220</v>
      </c>
      <c r="C30" s="153">
        <v>5.2</v>
      </c>
      <c r="D30" s="154"/>
      <c r="E30" s="155" t="s">
        <v>537</v>
      </c>
    </row>
    <row r="31" spans="1:5" ht="16" thickBot="1" x14ac:dyDescent="0.25">
      <c r="A31" s="102"/>
      <c r="B31" s="91" t="s">
        <v>221</v>
      </c>
      <c r="C31" s="91">
        <v>5.2</v>
      </c>
      <c r="D31" s="102"/>
      <c r="E31" s="120" t="s">
        <v>222</v>
      </c>
    </row>
    <row r="32" spans="1:5" x14ac:dyDescent="0.2">
      <c r="A32" s="192" t="s">
        <v>138</v>
      </c>
      <c r="B32" s="77" t="s">
        <v>223</v>
      </c>
      <c r="C32" s="77">
        <v>5.2</v>
      </c>
      <c r="D32" s="7"/>
      <c r="E32" s="114" t="s">
        <v>224</v>
      </c>
    </row>
    <row r="33" spans="1:5" x14ac:dyDescent="0.2">
      <c r="A33" s="193"/>
      <c r="B33" s="62" t="s">
        <v>225</v>
      </c>
      <c r="C33" s="62">
        <v>5.2</v>
      </c>
      <c r="E33" s="119" t="s">
        <v>224</v>
      </c>
    </row>
    <row r="34" spans="1:5" ht="16" thickBot="1" x14ac:dyDescent="0.25">
      <c r="A34" s="194"/>
      <c r="B34" s="115" t="s">
        <v>226</v>
      </c>
      <c r="C34" s="115">
        <v>5.2</v>
      </c>
      <c r="D34" s="8"/>
      <c r="E34" s="116" t="s">
        <v>224</v>
      </c>
    </row>
    <row r="35" spans="1:5" ht="16" x14ac:dyDescent="0.2">
      <c r="A35" s="196" t="s">
        <v>138</v>
      </c>
      <c r="B35" s="117" t="s">
        <v>227</v>
      </c>
      <c r="C35" s="117">
        <v>5.2</v>
      </c>
      <c r="D35" s="118" t="s">
        <v>193</v>
      </c>
      <c r="E35" s="204" t="s">
        <v>224</v>
      </c>
    </row>
    <row r="36" spans="1:5" ht="16" x14ac:dyDescent="0.2">
      <c r="A36" s="196"/>
      <c r="B36" s="85" t="s">
        <v>228</v>
      </c>
      <c r="C36" s="85">
        <v>5.2</v>
      </c>
      <c r="D36" s="75" t="s">
        <v>193</v>
      </c>
      <c r="E36" s="204"/>
    </row>
    <row r="37" spans="1:5" ht="16" x14ac:dyDescent="0.2">
      <c r="A37" s="196"/>
      <c r="B37" s="85" t="s">
        <v>229</v>
      </c>
      <c r="C37" s="85">
        <v>5.2</v>
      </c>
      <c r="D37" s="75" t="s">
        <v>193</v>
      </c>
      <c r="E37" s="204"/>
    </row>
    <row r="38" spans="1:5" ht="16" x14ac:dyDescent="0.2">
      <c r="A38" s="197"/>
      <c r="B38" s="85" t="s">
        <v>230</v>
      </c>
      <c r="C38" s="85">
        <v>5.2</v>
      </c>
      <c r="D38" s="75" t="s">
        <v>193</v>
      </c>
      <c r="E38" s="205"/>
    </row>
    <row r="39" spans="1:5" ht="16" x14ac:dyDescent="0.2">
      <c r="A39" s="195" t="s">
        <v>138</v>
      </c>
      <c r="B39" s="85" t="s">
        <v>231</v>
      </c>
      <c r="C39" s="85">
        <v>5.2</v>
      </c>
      <c r="D39" s="75" t="s">
        <v>193</v>
      </c>
      <c r="E39" s="206" t="s">
        <v>224</v>
      </c>
    </row>
    <row r="40" spans="1:5" ht="16" x14ac:dyDescent="0.2">
      <c r="A40" s="196"/>
      <c r="B40" s="85" t="s">
        <v>232</v>
      </c>
      <c r="C40" s="85">
        <v>5.2</v>
      </c>
      <c r="D40" s="75" t="s">
        <v>193</v>
      </c>
      <c r="E40" s="207"/>
    </row>
    <row r="41" spans="1:5" ht="16" x14ac:dyDescent="0.2">
      <c r="A41" s="196"/>
      <c r="B41" s="85" t="s">
        <v>233</v>
      </c>
      <c r="C41" s="85">
        <v>5.2</v>
      </c>
      <c r="D41" s="75" t="s">
        <v>193</v>
      </c>
      <c r="E41" s="207"/>
    </row>
    <row r="42" spans="1:5" ht="16" x14ac:dyDescent="0.2">
      <c r="A42" s="197"/>
      <c r="B42" s="85" t="s">
        <v>234</v>
      </c>
      <c r="C42" s="85">
        <v>5.2</v>
      </c>
      <c r="D42" s="75" t="s">
        <v>193</v>
      </c>
      <c r="E42" s="208"/>
    </row>
    <row r="43" spans="1:5" ht="16" x14ac:dyDescent="0.2">
      <c r="A43" s="195" t="s">
        <v>138</v>
      </c>
      <c r="B43" s="85" t="s">
        <v>235</v>
      </c>
      <c r="C43" s="85">
        <v>5.2</v>
      </c>
      <c r="D43" s="75" t="s">
        <v>193</v>
      </c>
      <c r="E43" s="206" t="s">
        <v>224</v>
      </c>
    </row>
    <row r="44" spans="1:5" ht="16" x14ac:dyDescent="0.2">
      <c r="A44" s="196"/>
      <c r="B44" s="85" t="s">
        <v>236</v>
      </c>
      <c r="C44" s="85">
        <v>5.2</v>
      </c>
      <c r="D44" s="75" t="s">
        <v>193</v>
      </c>
      <c r="E44" s="207"/>
    </row>
    <row r="45" spans="1:5" ht="16" x14ac:dyDescent="0.2">
      <c r="A45" s="196"/>
      <c r="B45" s="85" t="s">
        <v>237</v>
      </c>
      <c r="C45" s="85">
        <v>5.2</v>
      </c>
      <c r="D45" s="75" t="s">
        <v>193</v>
      </c>
      <c r="E45" s="207"/>
    </row>
    <row r="46" spans="1:5" ht="16" x14ac:dyDescent="0.2">
      <c r="A46" s="197"/>
      <c r="B46" s="85" t="s">
        <v>238</v>
      </c>
      <c r="C46" s="85">
        <v>5.2</v>
      </c>
      <c r="D46" s="75" t="s">
        <v>193</v>
      </c>
      <c r="E46" s="208"/>
    </row>
    <row r="47" spans="1:5" x14ac:dyDescent="0.2">
      <c r="B47" s="62" t="s">
        <v>239</v>
      </c>
      <c r="C47" s="62">
        <v>5.2</v>
      </c>
      <c r="E47" s="87" t="s">
        <v>240</v>
      </c>
    </row>
    <row r="48" spans="1:5" x14ac:dyDescent="0.2">
      <c r="B48" s="62" t="s">
        <v>241</v>
      </c>
      <c r="C48" s="62">
        <v>5.2</v>
      </c>
      <c r="E48" s="87" t="s">
        <v>242</v>
      </c>
    </row>
    <row r="49" spans="1:5" x14ac:dyDescent="0.2">
      <c r="B49" s="62" t="s">
        <v>243</v>
      </c>
      <c r="C49" s="62">
        <v>5.2</v>
      </c>
      <c r="E49" s="87" t="s">
        <v>244</v>
      </c>
    </row>
    <row r="50" spans="1:5" x14ac:dyDescent="0.2">
      <c r="B50" s="62" t="s">
        <v>245</v>
      </c>
      <c r="C50" s="62">
        <v>5.2</v>
      </c>
      <c r="E50" s="87" t="s">
        <v>246</v>
      </c>
    </row>
    <row r="51" spans="1:5" x14ac:dyDescent="0.2">
      <c r="B51" s="62" t="s">
        <v>247</v>
      </c>
      <c r="C51" s="62">
        <v>5.2</v>
      </c>
      <c r="E51" s="87" t="s">
        <v>248</v>
      </c>
    </row>
    <row r="52" spans="1:5" x14ac:dyDescent="0.2">
      <c r="B52" s="62" t="s">
        <v>249</v>
      </c>
      <c r="C52" s="62">
        <v>5.2</v>
      </c>
      <c r="E52" s="87" t="s">
        <v>250</v>
      </c>
    </row>
    <row r="53" spans="1:5" ht="14.75" customHeight="1" x14ac:dyDescent="0.2">
      <c r="B53" s="62" t="s">
        <v>251</v>
      </c>
      <c r="C53" s="62">
        <v>5.2</v>
      </c>
      <c r="E53" s="87" t="s">
        <v>252</v>
      </c>
    </row>
    <row r="54" spans="1:5" ht="22.25" customHeight="1" x14ac:dyDescent="0.2">
      <c r="B54" s="62" t="s">
        <v>253</v>
      </c>
      <c r="C54" s="62">
        <v>5.2</v>
      </c>
      <c r="E54" s="87" t="s">
        <v>77</v>
      </c>
    </row>
    <row r="55" spans="1:5" x14ac:dyDescent="0.2">
      <c r="B55" s="62" t="s">
        <v>254</v>
      </c>
      <c r="C55" s="62">
        <v>5.2</v>
      </c>
      <c r="E55" s="87" t="s">
        <v>255</v>
      </c>
    </row>
    <row r="56" spans="1:5" s="57" customFormat="1" x14ac:dyDescent="0.2">
      <c r="A56" s="149"/>
      <c r="B56" s="51" t="s">
        <v>535</v>
      </c>
      <c r="C56" s="64">
        <v>5.2</v>
      </c>
      <c r="D56" s="64"/>
      <c r="E56" s="150" t="s">
        <v>519</v>
      </c>
    </row>
    <row r="57" spans="1:5" s="57" customFormat="1" x14ac:dyDescent="0.2">
      <c r="A57" s="151"/>
      <c r="B57" s="64" t="s">
        <v>516</v>
      </c>
      <c r="C57" s="64">
        <v>5.2</v>
      </c>
      <c r="D57" s="64"/>
      <c r="E57" s="150" t="s">
        <v>520</v>
      </c>
    </row>
    <row r="58" spans="1:5" s="57" customFormat="1" x14ac:dyDescent="0.2">
      <c r="A58" s="149"/>
      <c r="B58" s="51" t="s">
        <v>517</v>
      </c>
      <c r="C58" s="64">
        <v>5.2</v>
      </c>
      <c r="D58" s="64"/>
      <c r="E58" s="150" t="s">
        <v>525</v>
      </c>
    </row>
    <row r="59" spans="1:5" s="57" customFormat="1" x14ac:dyDescent="0.2">
      <c r="A59" s="151"/>
      <c r="B59" s="64" t="s">
        <v>518</v>
      </c>
      <c r="C59" s="64">
        <v>5.2</v>
      </c>
      <c r="D59" s="64"/>
      <c r="E59" s="150" t="s">
        <v>524</v>
      </c>
    </row>
  </sheetData>
  <mergeCells count="14">
    <mergeCell ref="A7:A9"/>
    <mergeCell ref="A43:A46"/>
    <mergeCell ref="E10:E13"/>
    <mergeCell ref="E14:E17"/>
    <mergeCell ref="E18:E21"/>
    <mergeCell ref="E35:E38"/>
    <mergeCell ref="E39:E42"/>
    <mergeCell ref="E43:E46"/>
    <mergeCell ref="A32:A34"/>
    <mergeCell ref="A39:A42"/>
    <mergeCell ref="A10:A13"/>
    <mergeCell ref="A14:A17"/>
    <mergeCell ref="A18:A21"/>
    <mergeCell ref="A35:A3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6D56-7E03-4C9C-8E02-178B7963F59E}">
  <sheetPr>
    <tabColor rgb="FFFFFF00"/>
  </sheetPr>
  <dimension ref="A1:G158"/>
  <sheetViews>
    <sheetView topLeftCell="A133" zoomScale="130" zoomScaleNormal="130" workbookViewId="0">
      <selection activeCell="F142" sqref="F142"/>
    </sheetView>
  </sheetViews>
  <sheetFormatPr baseColWidth="10" defaultColWidth="8.83203125" defaultRowHeight="15" x14ac:dyDescent="0.2"/>
  <cols>
    <col min="1" max="1" width="9.83203125" customWidth="1"/>
    <col min="2" max="2" width="14" customWidth="1"/>
    <col min="3" max="3" width="23.83203125" customWidth="1"/>
    <col min="4" max="4" width="22.6640625" customWidth="1"/>
    <col min="5" max="5" width="25.6640625" customWidth="1"/>
    <col min="6" max="6" width="30" customWidth="1"/>
    <col min="7" max="7" width="27.6640625" customWidth="1"/>
    <col min="9" max="9" width="22.33203125" customWidth="1"/>
  </cols>
  <sheetData>
    <row r="1" spans="1:7" ht="24" x14ac:dyDescent="0.3">
      <c r="A1" s="19" t="s">
        <v>94</v>
      </c>
      <c r="B1" s="19" t="s">
        <v>94</v>
      </c>
      <c r="C1" s="38">
        <v>5.2</v>
      </c>
      <c r="D1" s="19">
        <v>5.0999999999999996</v>
      </c>
      <c r="E1" s="19">
        <v>5.2</v>
      </c>
      <c r="F1" s="19">
        <v>5.2</v>
      </c>
      <c r="G1" s="19">
        <v>5.2</v>
      </c>
    </row>
    <row r="2" spans="1:7" x14ac:dyDescent="0.2">
      <c r="A2" t="s">
        <v>172</v>
      </c>
      <c r="C2" s="19" t="s">
        <v>256</v>
      </c>
      <c r="D2" t="s">
        <v>257</v>
      </c>
      <c r="E2" t="s">
        <v>257</v>
      </c>
    </row>
    <row r="3" spans="1:7" x14ac:dyDescent="0.2">
      <c r="E3" t="s">
        <v>258</v>
      </c>
    </row>
    <row r="4" spans="1:7" ht="32" x14ac:dyDescent="0.2">
      <c r="A4" s="44" t="s">
        <v>158</v>
      </c>
      <c r="B4" s="44" t="s">
        <v>166</v>
      </c>
      <c r="C4" s="31" t="s">
        <v>182</v>
      </c>
      <c r="D4" s="1" t="s">
        <v>183</v>
      </c>
      <c r="E4" s="44" t="s">
        <v>219</v>
      </c>
      <c r="F4" s="44" t="s">
        <v>221</v>
      </c>
      <c r="G4" s="138" t="s">
        <v>515</v>
      </c>
    </row>
    <row r="5" spans="1:7" x14ac:dyDescent="0.2">
      <c r="A5" s="18">
        <v>2022</v>
      </c>
      <c r="B5" s="17">
        <v>1</v>
      </c>
      <c r="C5" s="165">
        <v>1090.4420357142858</v>
      </c>
      <c r="D5" s="30">
        <v>0</v>
      </c>
      <c r="E5" s="168">
        <v>0</v>
      </c>
      <c r="F5" s="167">
        <v>23.561573856247001</v>
      </c>
      <c r="G5" s="164">
        <v>0</v>
      </c>
    </row>
    <row r="6" spans="1:7" x14ac:dyDescent="0.2">
      <c r="A6" s="18">
        <v>2023</v>
      </c>
      <c r="B6" s="18">
        <v>1</v>
      </c>
      <c r="C6" s="165">
        <v>1090.4420357142858</v>
      </c>
      <c r="D6" s="30">
        <v>0</v>
      </c>
      <c r="E6" s="168">
        <v>6.3037383166711976E-3</v>
      </c>
      <c r="F6" s="167">
        <v>23.561573856247001</v>
      </c>
      <c r="G6" s="164">
        <v>0</v>
      </c>
    </row>
    <row r="7" spans="1:7" x14ac:dyDescent="0.2">
      <c r="A7" s="18">
        <v>2024</v>
      </c>
      <c r="B7" s="17">
        <v>1</v>
      </c>
      <c r="C7" s="165">
        <v>1090.4420357142858</v>
      </c>
      <c r="D7" s="30">
        <v>0</v>
      </c>
      <c r="E7" s="168">
        <v>0.32592269487982473</v>
      </c>
      <c r="F7" s="167">
        <v>23.561573856247001</v>
      </c>
      <c r="G7" s="164">
        <v>0</v>
      </c>
    </row>
    <row r="8" spans="1:7" x14ac:dyDescent="0.2">
      <c r="A8" s="18">
        <v>2025</v>
      </c>
      <c r="B8" s="18">
        <v>1</v>
      </c>
      <c r="C8" s="165">
        <v>1090.4420357142858</v>
      </c>
      <c r="D8" s="30">
        <v>0</v>
      </c>
      <c r="E8" s="168">
        <v>4.3471550335181579</v>
      </c>
      <c r="F8" s="167">
        <v>23.561573856247001</v>
      </c>
      <c r="G8" s="164">
        <v>0</v>
      </c>
    </row>
    <row r="9" spans="1:7" x14ac:dyDescent="0.2">
      <c r="A9" s="18">
        <v>2026</v>
      </c>
      <c r="B9" s="17">
        <v>1</v>
      </c>
      <c r="C9" s="165">
        <v>1090.4420357142858</v>
      </c>
      <c r="D9" s="30">
        <v>0</v>
      </c>
      <c r="E9" s="168">
        <v>27.494047400510507</v>
      </c>
      <c r="F9" s="167">
        <v>23.561573856247001</v>
      </c>
      <c r="G9" s="164">
        <v>0.48</v>
      </c>
    </row>
    <row r="10" spans="1:7" x14ac:dyDescent="0.2">
      <c r="A10" s="18">
        <v>2027</v>
      </c>
      <c r="B10" s="18">
        <v>1</v>
      </c>
      <c r="C10" s="165">
        <v>1090.4420357142858</v>
      </c>
      <c r="D10" s="30">
        <v>0</v>
      </c>
      <c r="E10" s="168">
        <v>108.99865083488629</v>
      </c>
      <c r="F10" s="167">
        <v>23.561573856247001</v>
      </c>
      <c r="G10" s="164">
        <v>0.624</v>
      </c>
    </row>
    <row r="11" spans="1:7" x14ac:dyDescent="0.2">
      <c r="A11" s="18">
        <v>2028</v>
      </c>
      <c r="B11" s="18">
        <v>1</v>
      </c>
      <c r="C11" s="165">
        <v>1090.4420357142858</v>
      </c>
      <c r="D11" s="30">
        <v>0</v>
      </c>
      <c r="E11" s="168">
        <v>314.86907075202919</v>
      </c>
      <c r="F11" s="167">
        <v>23.561573856247001</v>
      </c>
      <c r="G11" s="164">
        <v>0.7679999999999999</v>
      </c>
    </row>
    <row r="12" spans="1:7" x14ac:dyDescent="0.2">
      <c r="A12" s="18">
        <v>2029</v>
      </c>
      <c r="B12" s="18">
        <v>1</v>
      </c>
      <c r="C12" s="165">
        <v>1090.4420357142858</v>
      </c>
      <c r="D12" s="30">
        <v>0</v>
      </c>
      <c r="E12" s="168">
        <v>725.05741520179004</v>
      </c>
      <c r="F12" s="167">
        <v>23.561573856247001</v>
      </c>
      <c r="G12" s="164">
        <v>0.91200000000000003</v>
      </c>
    </row>
    <row r="13" spans="1:7" x14ac:dyDescent="0.2">
      <c r="A13" s="18">
        <v>2030</v>
      </c>
      <c r="B13" s="18">
        <v>1</v>
      </c>
      <c r="C13" s="165">
        <v>1090.4420357142858</v>
      </c>
      <c r="D13" s="30">
        <v>0</v>
      </c>
      <c r="E13" s="168">
        <v>1409.8209162411979</v>
      </c>
      <c r="F13" s="167">
        <v>23.561573856247001</v>
      </c>
      <c r="G13" s="164">
        <v>1.056</v>
      </c>
    </row>
    <row r="14" spans="1:7" x14ac:dyDescent="0.2">
      <c r="A14" s="18">
        <v>2031</v>
      </c>
      <c r="B14" s="18">
        <v>1</v>
      </c>
      <c r="C14" s="165">
        <v>1090.4420357142858</v>
      </c>
      <c r="D14" s="30">
        <v>0</v>
      </c>
      <c r="E14" s="168">
        <v>2406.8486886785549</v>
      </c>
      <c r="F14" s="167">
        <v>23.561573856247001</v>
      </c>
      <c r="G14" s="164">
        <v>2.4</v>
      </c>
    </row>
    <row r="15" spans="1:7" x14ac:dyDescent="0.2">
      <c r="A15" s="18">
        <v>2032</v>
      </c>
      <c r="B15" s="18">
        <v>1</v>
      </c>
      <c r="C15" s="165">
        <v>1090.4420357142858</v>
      </c>
      <c r="D15" s="30">
        <v>0</v>
      </c>
      <c r="E15" s="168">
        <v>3708.5572688174207</v>
      </c>
      <c r="F15" s="167">
        <v>23.561573856247001</v>
      </c>
      <c r="G15" s="164">
        <v>2.4</v>
      </c>
    </row>
    <row r="16" spans="1:7" x14ac:dyDescent="0.2">
      <c r="A16" s="18">
        <v>2033</v>
      </c>
      <c r="B16" s="18">
        <v>1</v>
      </c>
      <c r="C16" s="165">
        <v>1090.4420357142858</v>
      </c>
      <c r="D16" s="30">
        <v>0</v>
      </c>
      <c r="E16" s="168">
        <v>5262.5298055652565</v>
      </c>
      <c r="F16" s="167">
        <v>23.561573856247001</v>
      </c>
      <c r="G16" s="164">
        <v>2.4</v>
      </c>
    </row>
    <row r="17" spans="1:7" x14ac:dyDescent="0.2">
      <c r="A17" s="18">
        <v>2034</v>
      </c>
      <c r="B17" s="18">
        <v>1</v>
      </c>
      <c r="C17" s="165">
        <v>1090.4420357142858</v>
      </c>
      <c r="D17" s="30">
        <v>0</v>
      </c>
      <c r="E17" s="168">
        <v>6982.4532152906104</v>
      </c>
      <c r="F17" s="167">
        <v>23.561573856247001</v>
      </c>
      <c r="G17" s="164">
        <v>2.4</v>
      </c>
    </row>
    <row r="18" spans="1:7" x14ac:dyDescent="0.2">
      <c r="A18" s="18">
        <v>2035</v>
      </c>
      <c r="B18" s="18">
        <v>1</v>
      </c>
      <c r="C18" s="165">
        <v>1090.4420357142858</v>
      </c>
      <c r="D18" s="30">
        <v>0</v>
      </c>
      <c r="E18" s="168">
        <v>8764.3166966670215</v>
      </c>
      <c r="F18" s="167">
        <v>23.561573856247001</v>
      </c>
      <c r="G18" s="164">
        <v>2.4</v>
      </c>
    </row>
    <row r="19" spans="1:7" x14ac:dyDescent="0.2">
      <c r="A19" s="18">
        <v>2036</v>
      </c>
      <c r="B19" s="18">
        <v>1</v>
      </c>
      <c r="C19" s="165">
        <v>1090.4420357142858</v>
      </c>
      <c r="D19" s="30">
        <v>0</v>
      </c>
      <c r="E19" s="168">
        <v>10502.798798261872</v>
      </c>
      <c r="F19" s="167">
        <v>23.561573856247001</v>
      </c>
      <c r="G19" s="164">
        <v>2.4</v>
      </c>
    </row>
    <row r="20" spans="1:7" x14ac:dyDescent="0.2">
      <c r="A20" s="18">
        <v>2037</v>
      </c>
      <c r="B20" s="18">
        <v>1</v>
      </c>
      <c r="C20" s="165">
        <v>1090.4420357142858</v>
      </c>
      <c r="D20" s="30">
        <v>0</v>
      </c>
      <c r="E20" s="168">
        <v>12104.409195355751</v>
      </c>
      <c r="F20" s="167">
        <v>23.561573856247001</v>
      </c>
      <c r="G20" s="164">
        <v>2.4</v>
      </c>
    </row>
    <row r="21" spans="1:7" x14ac:dyDescent="0.2">
      <c r="A21" s="18">
        <v>2038</v>
      </c>
      <c r="B21" s="18">
        <v>1</v>
      </c>
      <c r="C21" s="165">
        <v>1090.4420357142858</v>
      </c>
      <c r="D21" s="30">
        <v>0</v>
      </c>
      <c r="E21" s="168">
        <v>13495.875638670143</v>
      </c>
      <c r="F21" s="167">
        <v>23.561573856247001</v>
      </c>
      <c r="G21" s="164">
        <v>2.4</v>
      </c>
    </row>
    <row r="22" spans="1:7" x14ac:dyDescent="0.2">
      <c r="A22" s="18">
        <v>2039</v>
      </c>
      <c r="B22" s="18">
        <v>1</v>
      </c>
      <c r="C22" s="165">
        <v>1090.4420357142858</v>
      </c>
      <c r="D22" s="30">
        <v>0</v>
      </c>
      <c r="E22" s="168">
        <v>14627.786031784039</v>
      </c>
      <c r="F22" s="167">
        <v>23.561573856247001</v>
      </c>
      <c r="G22" s="164">
        <v>2.4</v>
      </c>
    </row>
    <row r="23" spans="1:7" x14ac:dyDescent="0.2">
      <c r="A23" s="18">
        <v>2040</v>
      </c>
      <c r="B23" s="18">
        <v>1</v>
      </c>
      <c r="C23" s="165">
        <v>1090.4420357142858</v>
      </c>
      <c r="D23" s="30">
        <v>0</v>
      </c>
      <c r="E23" s="168">
        <v>15474.390619892409</v>
      </c>
      <c r="F23" s="167">
        <v>23.561573856247001</v>
      </c>
      <c r="G23" s="164">
        <v>2.4</v>
      </c>
    </row>
    <row r="24" spans="1:7" x14ac:dyDescent="0.2">
      <c r="A24" s="18">
        <v>2041</v>
      </c>
      <c r="B24" s="18">
        <v>1</v>
      </c>
      <c r="C24" s="165">
        <v>1090.4420357142858</v>
      </c>
      <c r="D24" s="30">
        <v>0</v>
      </c>
      <c r="E24" s="168">
        <v>16030.806661250026</v>
      </c>
      <c r="F24" s="167">
        <v>23.561573856247001</v>
      </c>
      <c r="G24" s="164">
        <v>2.4</v>
      </c>
    </row>
    <row r="25" spans="1:7" x14ac:dyDescent="0.2">
      <c r="A25" s="18">
        <v>2042</v>
      </c>
      <c r="B25" s="18">
        <v>1</v>
      </c>
      <c r="C25" s="165">
        <v>1090.4420357142858</v>
      </c>
      <c r="D25" s="30">
        <v>0</v>
      </c>
      <c r="E25" s="168">
        <v>16308.826721781516</v>
      </c>
      <c r="F25" s="167">
        <v>23.561573856247001</v>
      </c>
      <c r="G25" s="164">
        <v>2.4</v>
      </c>
    </row>
    <row r="26" spans="1:7" x14ac:dyDescent="0.2">
      <c r="A26" s="18">
        <v>2043</v>
      </c>
      <c r="B26" s="18">
        <v>1</v>
      </c>
      <c r="C26" s="165">
        <v>1090.4420357142858</v>
      </c>
      <c r="D26" s="30">
        <v>0</v>
      </c>
      <c r="E26" s="168">
        <v>16332.293544237211</v>
      </c>
      <c r="F26" s="167">
        <v>23.561573856247001</v>
      </c>
      <c r="G26" s="164">
        <v>2.4</v>
      </c>
    </row>
    <row r="27" spans="1:7" x14ac:dyDescent="0.2">
      <c r="A27" s="18">
        <v>2044</v>
      </c>
      <c r="B27" s="18">
        <v>1</v>
      </c>
      <c r="C27" s="165">
        <v>1090.4420357142858</v>
      </c>
      <c r="D27" s="30">
        <v>0</v>
      </c>
      <c r="E27" s="168">
        <v>16132.705469822249</v>
      </c>
      <c r="F27" s="167">
        <v>23.561573856247001</v>
      </c>
      <c r="G27" s="164">
        <v>2.4</v>
      </c>
    </row>
    <row r="28" spans="1:7" x14ac:dyDescent="0.2">
      <c r="A28" s="18">
        <v>2045</v>
      </c>
      <c r="B28" s="18">
        <v>1</v>
      </c>
      <c r="C28" s="165">
        <v>1090.4420357142858</v>
      </c>
      <c r="D28" s="30">
        <v>0</v>
      </c>
      <c r="E28" s="168">
        <v>15745.438619108958</v>
      </c>
      <c r="F28" s="167">
        <v>23.561573856247001</v>
      </c>
      <c r="G28" s="164">
        <v>2.4</v>
      </c>
    </row>
    <row r="29" spans="1:7" x14ac:dyDescent="0.2">
      <c r="A29" s="18">
        <v>2046</v>
      </c>
      <c r="B29" s="18">
        <v>1</v>
      </c>
      <c r="C29" s="165">
        <v>1090.4420357142858</v>
      </c>
      <c r="D29" s="30">
        <v>0</v>
      </c>
      <c r="E29" s="168">
        <v>15206.753204688372</v>
      </c>
      <c r="F29" s="167">
        <v>23.561573856247001</v>
      </c>
      <c r="G29" s="164">
        <v>2.4</v>
      </c>
    </row>
    <row r="30" spans="1:7" x14ac:dyDescent="0.2">
      <c r="A30" s="18">
        <v>2047</v>
      </c>
      <c r="B30" s="18">
        <v>1</v>
      </c>
      <c r="C30" s="165">
        <v>1090.4420357142858</v>
      </c>
      <c r="D30" s="30">
        <v>0</v>
      </c>
      <c r="E30" s="168">
        <v>14551.599954065983</v>
      </c>
      <c r="F30" s="167">
        <v>23.561573856247001</v>
      </c>
      <c r="G30" s="164">
        <v>2.4</v>
      </c>
    </row>
    <row r="31" spans="1:7" x14ac:dyDescent="0.2">
      <c r="A31" s="18">
        <v>2048</v>
      </c>
      <c r="B31" s="18">
        <v>1</v>
      </c>
      <c r="C31" s="165">
        <v>1090.4420357142858</v>
      </c>
      <c r="D31" s="30">
        <v>0</v>
      </c>
      <c r="E31" s="168">
        <v>13812.151315961848</v>
      </c>
      <c r="F31" s="167">
        <v>23.561573856247001</v>
      </c>
      <c r="G31" s="164">
        <v>2.4</v>
      </c>
    </row>
    <row r="32" spans="1:7" x14ac:dyDescent="0.2">
      <c r="A32" s="18">
        <v>2049</v>
      </c>
      <c r="B32" s="18">
        <v>1</v>
      </c>
      <c r="C32" s="165">
        <v>1090.4420357142858</v>
      </c>
      <c r="D32" s="30">
        <v>0</v>
      </c>
      <c r="E32" s="168">
        <v>13016.937187456206</v>
      </c>
      <c r="F32" s="167">
        <v>23.561573856247001</v>
      </c>
      <c r="G32" s="164">
        <v>2.4</v>
      </c>
    </row>
    <row r="33" spans="1:7" x14ac:dyDescent="0.2">
      <c r="A33" s="18">
        <v>2050</v>
      </c>
      <c r="B33" s="18">
        <v>1</v>
      </c>
      <c r="C33" s="165">
        <v>1090.4420357142858</v>
      </c>
      <c r="D33" s="30">
        <v>0</v>
      </c>
      <c r="E33" s="168">
        <v>12190.451913771802</v>
      </c>
      <c r="F33" s="167">
        <v>23.561573856247001</v>
      </c>
      <c r="G33" s="164">
        <v>2.4</v>
      </c>
    </row>
    <row r="34" spans="1:7" x14ac:dyDescent="0.2">
      <c r="A34" s="18">
        <v>2051</v>
      </c>
      <c r="B34" s="18">
        <v>1</v>
      </c>
      <c r="C34" s="165">
        <v>1090.4420357142858</v>
      </c>
      <c r="D34" s="30">
        <v>0</v>
      </c>
      <c r="E34" s="168">
        <v>11353.105939185538</v>
      </c>
      <c r="F34" s="167">
        <v>23.561573856247001</v>
      </c>
      <c r="G34" s="164">
        <v>2.4</v>
      </c>
    </row>
    <row r="35" spans="1:7" x14ac:dyDescent="0.2">
      <c r="A35" s="18">
        <v>2052</v>
      </c>
      <c r="B35" s="18">
        <v>1</v>
      </c>
      <c r="C35" s="165">
        <v>1090.4420357142858</v>
      </c>
      <c r="D35" s="30">
        <v>0</v>
      </c>
      <c r="E35" s="168">
        <v>10521.412407525699</v>
      </c>
      <c r="F35" s="167">
        <v>23.561573856247001</v>
      </c>
      <c r="G35" s="164">
        <v>2.4</v>
      </c>
    </row>
    <row r="36" spans="1:7" x14ac:dyDescent="0.2">
      <c r="A36" s="18">
        <v>2053</v>
      </c>
      <c r="B36" s="18">
        <v>1</v>
      </c>
      <c r="C36" s="165">
        <v>1090.4420357142858</v>
      </c>
      <c r="D36" s="30">
        <v>0</v>
      </c>
      <c r="E36" s="168">
        <v>9708.3198510103975</v>
      </c>
      <c r="F36" s="167">
        <v>23.561573856247001</v>
      </c>
      <c r="G36" s="164">
        <v>2.4</v>
      </c>
    </row>
    <row r="37" spans="1:7" x14ac:dyDescent="0.2">
      <c r="A37" s="18">
        <v>2054</v>
      </c>
      <c r="B37" s="18">
        <v>1</v>
      </c>
      <c r="C37" s="165">
        <v>1090.4420357142858</v>
      </c>
      <c r="D37" s="30">
        <v>0</v>
      </c>
      <c r="E37" s="168">
        <v>8923.6229226490832</v>
      </c>
      <c r="F37" s="167">
        <v>23.561573856247001</v>
      </c>
      <c r="G37" s="164">
        <v>2.4</v>
      </c>
    </row>
    <row r="38" spans="1:7" x14ac:dyDescent="0.2">
      <c r="A38" s="18">
        <v>2055</v>
      </c>
      <c r="B38" s="18">
        <v>1</v>
      </c>
      <c r="C38" s="165">
        <v>1090.4420357142858</v>
      </c>
      <c r="D38" s="30">
        <v>0</v>
      </c>
      <c r="E38" s="168">
        <v>8174.4017717342358</v>
      </c>
      <c r="F38" s="167">
        <v>23.561573856247001</v>
      </c>
      <c r="G38" s="164">
        <v>2.4</v>
      </c>
    </row>
    <row r="39" spans="1:7" x14ac:dyDescent="0.2">
      <c r="A39" s="18">
        <v>2056</v>
      </c>
      <c r="B39" s="18">
        <v>1</v>
      </c>
      <c r="C39" s="165">
        <v>1090.4420357142858</v>
      </c>
      <c r="D39" s="30">
        <v>0</v>
      </c>
      <c r="E39" s="168">
        <v>7465.4562036647694</v>
      </c>
      <c r="F39" s="167">
        <v>23.561573856247001</v>
      </c>
      <c r="G39" s="164">
        <v>2.4</v>
      </c>
    </row>
    <row r="40" spans="1:7" x14ac:dyDescent="0.2">
      <c r="A40" s="18">
        <v>2057</v>
      </c>
      <c r="B40" s="18">
        <v>1</v>
      </c>
      <c r="C40" s="165">
        <v>1090.4420357142858</v>
      </c>
      <c r="D40" s="30">
        <v>0</v>
      </c>
      <c r="E40" s="168">
        <v>6799.7130294071394</v>
      </c>
      <c r="F40" s="167">
        <v>23.561573856247001</v>
      </c>
      <c r="G40" s="164">
        <v>2.4</v>
      </c>
    </row>
    <row r="41" spans="1:7" x14ac:dyDescent="0.2">
      <c r="A41" s="18">
        <v>2058</v>
      </c>
      <c r="B41" s="18">
        <v>1</v>
      </c>
      <c r="C41" s="165">
        <v>1090.4420357142858</v>
      </c>
      <c r="D41" s="30">
        <v>0</v>
      </c>
      <c r="E41" s="168">
        <v>6178.5942425476969</v>
      </c>
      <c r="F41" s="167">
        <v>23.561573856247001</v>
      </c>
      <c r="G41" s="164">
        <v>2.4</v>
      </c>
    </row>
    <row r="42" spans="1:7" x14ac:dyDescent="0.2">
      <c r="A42" s="18">
        <v>2059</v>
      </c>
      <c r="B42" s="18">
        <v>1</v>
      </c>
      <c r="C42" s="165">
        <v>1090.4420357142858</v>
      </c>
      <c r="D42" s="30">
        <v>0</v>
      </c>
      <c r="E42" s="168">
        <v>5602.3403057036339</v>
      </c>
      <c r="F42" s="167">
        <v>23.561573856247001</v>
      </c>
      <c r="G42" s="164">
        <v>2.4</v>
      </c>
    </row>
    <row r="43" spans="1:7" x14ac:dyDescent="0.2">
      <c r="A43" s="18">
        <v>2060</v>
      </c>
      <c r="B43" s="18">
        <v>1</v>
      </c>
      <c r="C43" s="165">
        <v>1090.4420357142858</v>
      </c>
      <c r="D43" s="30">
        <v>0</v>
      </c>
      <c r="E43" s="168">
        <v>5070.2873824436683</v>
      </c>
      <c r="F43" s="167">
        <v>23.561573856247001</v>
      </c>
      <c r="G43" s="164">
        <v>2.4</v>
      </c>
    </row>
    <row r="44" spans="1:7" x14ac:dyDescent="0.2">
      <c r="A44" s="18">
        <v>2061</v>
      </c>
      <c r="B44" s="18">
        <v>1</v>
      </c>
      <c r="C44" s="165">
        <v>1090.4420357142858</v>
      </c>
      <c r="D44" s="30">
        <v>0</v>
      </c>
      <c r="E44" s="168">
        <v>4581.1002932571573</v>
      </c>
      <c r="F44" s="167">
        <v>23.561573856247001</v>
      </c>
      <c r="G44" s="164">
        <v>2.4</v>
      </c>
    </row>
    <row r="45" spans="1:7" x14ac:dyDescent="0.2">
      <c r="A45" s="18">
        <v>2023</v>
      </c>
      <c r="B45">
        <v>2</v>
      </c>
      <c r="C45" s="166">
        <v>1982.9786785714284</v>
      </c>
      <c r="D45" s="30">
        <v>0</v>
      </c>
      <c r="E45" s="168">
        <v>8.5389229244251794E-6</v>
      </c>
      <c r="F45" s="167">
        <v>23.561573856247001</v>
      </c>
      <c r="G45" s="164">
        <v>0</v>
      </c>
    </row>
    <row r="46" spans="1:7" x14ac:dyDescent="0.2">
      <c r="A46" s="18">
        <v>2024</v>
      </c>
      <c r="B46">
        <v>2</v>
      </c>
      <c r="C46" s="166">
        <v>1982.9786785714284</v>
      </c>
      <c r="D46" s="30">
        <v>0</v>
      </c>
      <c r="E46" s="168">
        <v>1.1463404993429646E-2</v>
      </c>
      <c r="F46" s="167">
        <v>23.561573856247001</v>
      </c>
      <c r="G46" s="164">
        <v>0</v>
      </c>
    </row>
    <row r="47" spans="1:7" x14ac:dyDescent="0.2">
      <c r="A47" s="18">
        <v>2025</v>
      </c>
      <c r="B47">
        <v>2</v>
      </c>
      <c r="C47" s="166">
        <v>1982.9786785714284</v>
      </c>
      <c r="D47" s="30">
        <v>0</v>
      </c>
      <c r="E47" s="168">
        <v>0.59269336071209067</v>
      </c>
      <c r="F47" s="167">
        <v>23.561573856247001</v>
      </c>
      <c r="G47" s="164">
        <v>0</v>
      </c>
    </row>
    <row r="48" spans="1:7" x14ac:dyDescent="0.2">
      <c r="A48" s="18">
        <v>2026</v>
      </c>
      <c r="B48">
        <v>2</v>
      </c>
      <c r="C48" s="166">
        <v>1982.9786785714284</v>
      </c>
      <c r="D48" s="30">
        <v>0</v>
      </c>
      <c r="E48" s="168">
        <v>7.9053406431312947</v>
      </c>
      <c r="F48" s="167">
        <v>23.561573856247001</v>
      </c>
      <c r="G48" s="164">
        <v>0</v>
      </c>
    </row>
    <row r="49" spans="1:7" x14ac:dyDescent="0.2">
      <c r="A49" s="18">
        <v>2027</v>
      </c>
      <c r="B49">
        <v>2</v>
      </c>
      <c r="C49" s="166">
        <v>1982.9786785714284</v>
      </c>
      <c r="D49" s="30">
        <v>0</v>
      </c>
      <c r="E49" s="168">
        <v>49.99817321526087</v>
      </c>
      <c r="F49" s="167">
        <v>23.561573856247001</v>
      </c>
      <c r="G49" s="164">
        <v>0.48</v>
      </c>
    </row>
    <row r="50" spans="1:7" x14ac:dyDescent="0.2">
      <c r="A50" s="18">
        <v>2028</v>
      </c>
      <c r="B50">
        <v>2</v>
      </c>
      <c r="C50" s="166">
        <v>1982.9786785714284</v>
      </c>
      <c r="D50" s="30">
        <v>0</v>
      </c>
      <c r="E50" s="168">
        <v>198.21502979482</v>
      </c>
      <c r="F50" s="167">
        <v>23.561573856247001</v>
      </c>
      <c r="G50" s="164">
        <v>0.624</v>
      </c>
    </row>
    <row r="51" spans="1:7" x14ac:dyDescent="0.2">
      <c r="A51" s="18">
        <v>2029</v>
      </c>
      <c r="B51">
        <v>2</v>
      </c>
      <c r="C51" s="166">
        <v>1982.9786785714284</v>
      </c>
      <c r="D51" s="30">
        <v>0</v>
      </c>
      <c r="E51" s="168">
        <v>572.59224552351191</v>
      </c>
      <c r="F51" s="167">
        <v>23.561573856247001</v>
      </c>
      <c r="G51" s="164">
        <v>0.7679999999999999</v>
      </c>
    </row>
    <row r="52" spans="1:7" x14ac:dyDescent="0.2">
      <c r="A52" s="18">
        <v>2030</v>
      </c>
      <c r="B52">
        <v>2</v>
      </c>
      <c r="C52" s="166">
        <v>1982.9786785714284</v>
      </c>
      <c r="D52" s="30">
        <v>0</v>
      </c>
      <c r="E52" s="168">
        <v>1318.5234501194357</v>
      </c>
      <c r="F52" s="167">
        <v>23.561573856247001</v>
      </c>
      <c r="G52" s="164">
        <v>0.91200000000000003</v>
      </c>
    </row>
    <row r="53" spans="1:7" x14ac:dyDescent="0.2">
      <c r="A53" s="18">
        <v>2031</v>
      </c>
      <c r="B53">
        <v>2</v>
      </c>
      <c r="C53" s="166">
        <v>1982.9786785714284</v>
      </c>
      <c r="D53" s="30">
        <v>0</v>
      </c>
      <c r="E53" s="168">
        <v>2563.7720538525141</v>
      </c>
      <c r="F53" s="167">
        <v>23.561573856247001</v>
      </c>
      <c r="G53" s="164">
        <v>1.056</v>
      </c>
    </row>
    <row r="54" spans="1:7" x14ac:dyDescent="0.2">
      <c r="A54" s="18">
        <v>2032</v>
      </c>
      <c r="B54">
        <v>2</v>
      </c>
      <c r="C54" s="166">
        <v>1982.9786785714284</v>
      </c>
      <c r="D54" s="30">
        <v>0</v>
      </c>
      <c r="E54" s="168">
        <v>4376.876051986419</v>
      </c>
      <c r="F54" s="167">
        <v>23.561573856247001</v>
      </c>
      <c r="G54" s="164">
        <v>2.4</v>
      </c>
    </row>
    <row r="55" spans="1:7" x14ac:dyDescent="0.2">
      <c r="A55" s="18">
        <v>2033</v>
      </c>
      <c r="B55">
        <v>2</v>
      </c>
      <c r="C55" s="166">
        <v>1982.9786785714284</v>
      </c>
      <c r="D55" s="30">
        <v>0</v>
      </c>
      <c r="E55" s="168">
        <v>6744.044847380499</v>
      </c>
      <c r="F55" s="167">
        <v>23.561573856247001</v>
      </c>
      <c r="G55" s="164">
        <v>2.4</v>
      </c>
    </row>
    <row r="56" spans="1:7" x14ac:dyDescent="0.2">
      <c r="A56" s="18">
        <v>2034</v>
      </c>
      <c r="B56">
        <v>2</v>
      </c>
      <c r="C56" s="166">
        <v>1982.9786785714284</v>
      </c>
      <c r="D56" s="30">
        <v>0</v>
      </c>
      <c r="E56" s="168">
        <v>9569.9579234827161</v>
      </c>
      <c r="F56" s="167">
        <v>23.561573856247001</v>
      </c>
      <c r="G56" s="164">
        <v>2.4</v>
      </c>
    </row>
    <row r="57" spans="1:7" x14ac:dyDescent="0.2">
      <c r="A57" s="18">
        <v>2035</v>
      </c>
      <c r="B57">
        <v>2</v>
      </c>
      <c r="C57" s="166">
        <v>1982.9786785714284</v>
      </c>
      <c r="D57" s="30">
        <v>0</v>
      </c>
      <c r="E57" s="168">
        <v>12697.654159098922</v>
      </c>
      <c r="F57" s="167">
        <v>23.561573856247001</v>
      </c>
      <c r="G57" s="164">
        <v>2.4</v>
      </c>
    </row>
    <row r="58" spans="1:7" x14ac:dyDescent="0.2">
      <c r="A58" s="18">
        <v>2036</v>
      </c>
      <c r="B58">
        <v>2</v>
      </c>
      <c r="C58" s="166">
        <v>1982.9786785714284</v>
      </c>
      <c r="D58" s="30">
        <v>0</v>
      </c>
      <c r="E58" s="168">
        <v>15937.988973759617</v>
      </c>
      <c r="F58" s="167">
        <v>23.561573856247001</v>
      </c>
      <c r="G58" s="164">
        <v>2.4</v>
      </c>
    </row>
    <row r="59" spans="1:7" x14ac:dyDescent="0.2">
      <c r="A59" s="18">
        <v>2037</v>
      </c>
      <c r="B59">
        <v>2</v>
      </c>
      <c r="C59" s="166">
        <v>1982.9786785714284</v>
      </c>
      <c r="D59" s="30">
        <v>0</v>
      </c>
      <c r="E59" s="168">
        <v>19099.434357954175</v>
      </c>
      <c r="F59" s="167">
        <v>23.561573856247001</v>
      </c>
      <c r="G59" s="164">
        <v>2.4</v>
      </c>
    </row>
    <row r="60" spans="1:7" x14ac:dyDescent="0.2">
      <c r="A60" s="18">
        <v>2038</v>
      </c>
      <c r="B60">
        <v>2</v>
      </c>
      <c r="C60" s="166">
        <v>1982.9786785714284</v>
      </c>
      <c r="D60" s="30">
        <v>0</v>
      </c>
      <c r="E60" s="168">
        <v>22011.977312825751</v>
      </c>
      <c r="F60" s="167">
        <v>23.561573856247001</v>
      </c>
      <c r="G60" s="164">
        <v>2.4</v>
      </c>
    </row>
    <row r="61" spans="1:7" x14ac:dyDescent="0.2">
      <c r="A61" s="18">
        <v>2039</v>
      </c>
      <c r="B61">
        <v>2</v>
      </c>
      <c r="C61" s="166">
        <v>1982.9786785714284</v>
      </c>
      <c r="D61" s="30">
        <v>0</v>
      </c>
      <c r="E61" s="168">
        <v>24542.371592089432</v>
      </c>
      <c r="F61" s="167">
        <v>23.561573856247001</v>
      </c>
      <c r="G61" s="164">
        <v>2.4</v>
      </c>
    </row>
    <row r="62" spans="1:7" x14ac:dyDescent="0.2">
      <c r="A62" s="18">
        <v>2040</v>
      </c>
      <c r="B62">
        <v>2</v>
      </c>
      <c r="C62" s="166">
        <v>1982.9786785714284</v>
      </c>
      <c r="D62" s="30">
        <v>0</v>
      </c>
      <c r="E62" s="168">
        <v>26600.760852668463</v>
      </c>
      <c r="F62" s="167">
        <v>23.561573856247001</v>
      </c>
      <c r="G62" s="164">
        <v>2.4</v>
      </c>
    </row>
    <row r="63" spans="1:7" x14ac:dyDescent="0.2">
      <c r="A63" s="18">
        <v>2041</v>
      </c>
      <c r="B63">
        <v>2</v>
      </c>
      <c r="C63" s="166">
        <v>1982.9786785714284</v>
      </c>
      <c r="D63" s="30">
        <v>0</v>
      </c>
      <c r="E63" s="168">
        <v>28140.318933167466</v>
      </c>
      <c r="F63" s="167">
        <v>23.561573856247001</v>
      </c>
      <c r="G63" s="164">
        <v>2.4</v>
      </c>
    </row>
    <row r="64" spans="1:7" x14ac:dyDescent="0.2">
      <c r="A64" s="18">
        <v>2042</v>
      </c>
      <c r="B64">
        <v>2</v>
      </c>
      <c r="C64" s="166">
        <v>1982.9786785714284</v>
      </c>
      <c r="D64" s="30">
        <v>0</v>
      </c>
      <c r="E64" s="168">
        <v>29152.166523676453</v>
      </c>
      <c r="F64" s="167">
        <v>23.561573856247001</v>
      </c>
      <c r="G64" s="164">
        <v>2.4</v>
      </c>
    </row>
    <row r="65" spans="1:7" x14ac:dyDescent="0.2">
      <c r="A65" s="18">
        <v>2043</v>
      </c>
      <c r="B65">
        <v>2</v>
      </c>
      <c r="C65" s="166">
        <v>1982.9786785714284</v>
      </c>
      <c r="D65" s="30">
        <v>0</v>
      </c>
      <c r="E65" s="168">
        <v>29657.748511707556</v>
      </c>
      <c r="F65" s="167">
        <v>23.561573856247001</v>
      </c>
      <c r="G65" s="164">
        <v>2.4</v>
      </c>
    </row>
    <row r="66" spans="1:7" x14ac:dyDescent="0.2">
      <c r="A66" s="18">
        <v>2044</v>
      </c>
      <c r="B66">
        <v>2</v>
      </c>
      <c r="C66" s="166">
        <v>1982.9786785714284</v>
      </c>
      <c r="D66" s="30">
        <v>0</v>
      </c>
      <c r="E66" s="168">
        <v>29700.423140032013</v>
      </c>
      <c r="F66" s="167">
        <v>23.561573856247001</v>
      </c>
      <c r="G66" s="164">
        <v>2.4</v>
      </c>
    </row>
    <row r="67" spans="1:7" x14ac:dyDescent="0.2">
      <c r="A67" s="18">
        <v>2045</v>
      </c>
      <c r="B67">
        <v>2</v>
      </c>
      <c r="C67" s="166">
        <v>1982.9786785714284</v>
      </c>
      <c r="D67" s="30">
        <v>0</v>
      </c>
      <c r="E67" s="168">
        <v>29337.470426270564</v>
      </c>
      <c r="F67" s="167">
        <v>23.561573856247001</v>
      </c>
      <c r="G67" s="164">
        <v>2.4</v>
      </c>
    </row>
    <row r="68" spans="1:7" x14ac:dyDescent="0.2">
      <c r="A68" s="18">
        <v>2046</v>
      </c>
      <c r="B68">
        <v>2</v>
      </c>
      <c r="C68" s="166">
        <v>1982.9786785714284</v>
      </c>
      <c r="D68" s="30">
        <v>0</v>
      </c>
      <c r="E68" s="168">
        <v>28633.222164803999</v>
      </c>
      <c r="F68" s="167">
        <v>23.561573856247001</v>
      </c>
      <c r="G68" s="164">
        <v>2.4</v>
      </c>
    </row>
    <row r="69" spans="1:7" x14ac:dyDescent="0.2">
      <c r="A69" s="18">
        <v>2047</v>
      </c>
      <c r="B69">
        <v>2</v>
      </c>
      <c r="C69" s="166">
        <v>1982.9786785714284</v>
      </c>
      <c r="D69" s="30">
        <v>0</v>
      </c>
      <c r="E69" s="168">
        <v>27653.61787932372</v>
      </c>
      <c r="F69" s="167">
        <v>23.561573856247001</v>
      </c>
      <c r="G69" s="164">
        <v>2.4</v>
      </c>
    </row>
    <row r="70" spans="1:7" x14ac:dyDescent="0.2">
      <c r="A70" s="18">
        <v>2048</v>
      </c>
      <c r="B70">
        <v>2</v>
      </c>
      <c r="C70" s="166">
        <v>1982.9786785714284</v>
      </c>
      <c r="D70" s="30">
        <v>0</v>
      </c>
      <c r="E70" s="168">
        <v>26462.215783081308</v>
      </c>
      <c r="F70" s="167">
        <v>23.561573856247001</v>
      </c>
      <c r="G70" s="164">
        <v>2.4</v>
      </c>
    </row>
    <row r="71" spans="1:7" x14ac:dyDescent="0.2">
      <c r="A71" s="18">
        <v>2049</v>
      </c>
      <c r="B71">
        <v>2</v>
      </c>
      <c r="C71" s="166">
        <v>1982.9786785714284</v>
      </c>
      <c r="D71" s="30">
        <v>0</v>
      </c>
      <c r="E71" s="168">
        <v>25117.521764294012</v>
      </c>
      <c r="F71" s="167">
        <v>23.561573856247001</v>
      </c>
      <c r="G71" s="164">
        <v>2.4</v>
      </c>
    </row>
    <row r="72" spans="1:7" x14ac:dyDescent="0.2">
      <c r="A72" s="18">
        <v>2050</v>
      </c>
      <c r="B72">
        <v>2</v>
      </c>
      <c r="C72" s="166">
        <v>1982.9786785714284</v>
      </c>
      <c r="D72" s="30">
        <v>0</v>
      </c>
      <c r="E72" s="168">
        <v>23671.417698164063</v>
      </c>
      <c r="F72" s="167">
        <v>23.561573856247001</v>
      </c>
      <c r="G72" s="164">
        <v>2.4</v>
      </c>
    </row>
    <row r="73" spans="1:7" x14ac:dyDescent="0.2">
      <c r="A73" s="18">
        <v>2051</v>
      </c>
      <c r="B73">
        <v>2</v>
      </c>
      <c r="C73" s="166">
        <v>1982.9786785714284</v>
      </c>
      <c r="D73" s="30">
        <v>0</v>
      </c>
      <c r="E73" s="168">
        <v>22168.446772436786</v>
      </c>
      <c r="F73" s="167">
        <v>23.561573856247001</v>
      </c>
      <c r="G73" s="164">
        <v>2.4</v>
      </c>
    </row>
    <row r="74" spans="1:7" x14ac:dyDescent="0.2">
      <c r="A74" s="18">
        <v>2052</v>
      </c>
      <c r="B74">
        <v>2</v>
      </c>
      <c r="C74" s="166">
        <v>1982.9786785714284</v>
      </c>
      <c r="D74" s="30">
        <v>0</v>
      </c>
      <c r="E74" s="168">
        <v>20645.72556414752</v>
      </c>
      <c r="F74" s="167">
        <v>23.561573856247001</v>
      </c>
      <c r="G74" s="164">
        <v>2.4</v>
      </c>
    </row>
    <row r="75" spans="1:7" x14ac:dyDescent="0.2">
      <c r="A75" s="18">
        <v>2053</v>
      </c>
      <c r="B75">
        <v>2</v>
      </c>
      <c r="C75" s="166">
        <v>1982.9786785714284</v>
      </c>
      <c r="D75" s="30">
        <v>0</v>
      </c>
      <c r="E75" s="168">
        <v>19133.283374309482</v>
      </c>
      <c r="F75" s="167">
        <v>23.561573856247001</v>
      </c>
      <c r="G75" s="164">
        <v>2.4</v>
      </c>
    </row>
    <row r="76" spans="1:7" x14ac:dyDescent="0.2">
      <c r="A76" s="18">
        <v>2054</v>
      </c>
      <c r="B76">
        <v>2</v>
      </c>
      <c r="C76" s="166">
        <v>1982.9786785714284</v>
      </c>
      <c r="D76" s="30">
        <v>0</v>
      </c>
      <c r="E76" s="168">
        <v>17654.667225566925</v>
      </c>
      <c r="F76" s="167">
        <v>23.561573856247001</v>
      </c>
      <c r="G76" s="164">
        <v>2.4</v>
      </c>
    </row>
    <row r="77" spans="1:7" x14ac:dyDescent="0.2">
      <c r="A77" s="18">
        <v>2055</v>
      </c>
      <c r="B77">
        <v>2</v>
      </c>
      <c r="C77" s="166">
        <v>1982.9786785714284</v>
      </c>
      <c r="D77" s="30">
        <v>0</v>
      </c>
      <c r="E77" s="168">
        <v>16227.688782772457</v>
      </c>
      <c r="F77" s="167">
        <v>23.561573856247001</v>
      </c>
      <c r="G77" s="164">
        <v>2.4</v>
      </c>
    </row>
    <row r="78" spans="1:7" x14ac:dyDescent="0.2">
      <c r="A78" s="18">
        <v>2056</v>
      </c>
      <c r="B78">
        <v>2</v>
      </c>
      <c r="C78" s="166">
        <v>1982.9786785714284</v>
      </c>
      <c r="D78" s="30">
        <v>0</v>
      </c>
      <c r="E78" s="168">
        <v>14865.223361283483</v>
      </c>
      <c r="F78" s="167">
        <v>23.561573856247001</v>
      </c>
      <c r="G78" s="164">
        <v>2.4</v>
      </c>
    </row>
    <row r="79" spans="1:7" x14ac:dyDescent="0.2">
      <c r="A79" s="18">
        <v>2057</v>
      </c>
      <c r="B79">
        <v>2</v>
      </c>
      <c r="C79" s="166">
        <v>1982.9786785714284</v>
      </c>
      <c r="D79" s="30">
        <v>0</v>
      </c>
      <c r="E79" s="168">
        <v>13575.999450515374</v>
      </c>
      <c r="F79" s="167">
        <v>23.561573856247001</v>
      </c>
      <c r="G79" s="164">
        <v>2.4</v>
      </c>
    </row>
    <row r="80" spans="1:7" x14ac:dyDescent="0.2">
      <c r="A80" s="18">
        <v>2058</v>
      </c>
      <c r="B80">
        <v>2</v>
      </c>
      <c r="C80" s="166">
        <v>1982.9786785714284</v>
      </c>
      <c r="D80" s="30">
        <v>0</v>
      </c>
      <c r="E80" s="168">
        <v>12365.339482612908</v>
      </c>
      <c r="F80" s="167">
        <v>23.561573856247001</v>
      </c>
      <c r="G80" s="164">
        <v>2.4</v>
      </c>
    </row>
    <row r="81" spans="1:7" x14ac:dyDescent="0.2">
      <c r="A81" s="18">
        <v>2059</v>
      </c>
      <c r="B81">
        <v>2</v>
      </c>
      <c r="C81" s="166">
        <v>1982.9786785714284</v>
      </c>
      <c r="D81" s="30">
        <v>0</v>
      </c>
      <c r="E81" s="168">
        <v>11235.82936574053</v>
      </c>
      <c r="F81" s="167">
        <v>23.561573856247001</v>
      </c>
      <c r="G81" s="164">
        <v>2.4</v>
      </c>
    </row>
    <row r="82" spans="1:7" x14ac:dyDescent="0.2">
      <c r="A82" s="18">
        <v>2060</v>
      </c>
      <c r="B82">
        <v>2</v>
      </c>
      <c r="C82" s="166">
        <v>1982.9786785714284</v>
      </c>
      <c r="D82" s="30">
        <v>0</v>
      </c>
      <c r="E82" s="168">
        <v>10187.906383336056</v>
      </c>
      <c r="F82" s="167">
        <v>23.561573856247001</v>
      </c>
      <c r="G82" s="164">
        <v>2.4</v>
      </c>
    </row>
    <row r="83" spans="1:7" x14ac:dyDescent="0.2">
      <c r="A83" s="18">
        <v>2061</v>
      </c>
      <c r="B83">
        <v>2</v>
      </c>
      <c r="C83" s="166">
        <v>1982.9786785714284</v>
      </c>
      <c r="D83" s="30">
        <v>0</v>
      </c>
      <c r="E83" s="168">
        <v>9220.3633428617613</v>
      </c>
      <c r="F83" s="167">
        <v>23.561573856247001</v>
      </c>
      <c r="G83" s="164">
        <v>2.4</v>
      </c>
    </row>
    <row r="84" spans="1:7" x14ac:dyDescent="0.2">
      <c r="A84" s="18">
        <v>2024</v>
      </c>
      <c r="B84">
        <v>3</v>
      </c>
      <c r="C84" s="166">
        <v>2222.8442528571427</v>
      </c>
      <c r="D84" s="30">
        <v>0</v>
      </c>
      <c r="E84" s="168">
        <v>9.5718103039930972E-6</v>
      </c>
      <c r="F84" s="167">
        <v>23.561573856247001</v>
      </c>
      <c r="G84" s="164">
        <v>0</v>
      </c>
    </row>
    <row r="85" spans="1:7" x14ac:dyDescent="0.2">
      <c r="A85" s="18">
        <v>2025</v>
      </c>
      <c r="B85">
        <v>3</v>
      </c>
      <c r="C85" s="166">
        <v>2222.8442528571427</v>
      </c>
      <c r="D85" s="30">
        <v>0</v>
      </c>
      <c r="E85" s="168">
        <v>1.2850044321291526E-2</v>
      </c>
      <c r="F85" s="167">
        <v>23.561573856247001</v>
      </c>
      <c r="G85" s="164">
        <v>0</v>
      </c>
    </row>
    <row r="86" spans="1:7" x14ac:dyDescent="0.2">
      <c r="A86" s="18">
        <v>2026</v>
      </c>
      <c r="B86">
        <v>3</v>
      </c>
      <c r="C86" s="166">
        <v>2222.8442528571427</v>
      </c>
      <c r="D86" s="30">
        <v>0</v>
      </c>
      <c r="E86" s="168">
        <v>0.66438688665809575</v>
      </c>
      <c r="F86" s="167">
        <v>23.561573856247001</v>
      </c>
      <c r="G86" s="164">
        <v>0</v>
      </c>
    </row>
    <row r="87" spans="1:7" x14ac:dyDescent="0.2">
      <c r="A87" s="18">
        <v>2027</v>
      </c>
      <c r="B87">
        <v>3</v>
      </c>
      <c r="C87" s="166">
        <v>2222.8442528571427</v>
      </c>
      <c r="D87" s="30">
        <v>0</v>
      </c>
      <c r="E87" s="168">
        <v>8.8615884806798846</v>
      </c>
      <c r="F87" s="167">
        <v>23.561573856247001</v>
      </c>
      <c r="G87" s="164">
        <v>0</v>
      </c>
    </row>
    <row r="88" spans="1:7" x14ac:dyDescent="0.2">
      <c r="A88" s="18">
        <v>2028</v>
      </c>
      <c r="B88">
        <v>3</v>
      </c>
      <c r="C88" s="166">
        <v>2222.8442528571427</v>
      </c>
      <c r="D88" s="30">
        <v>0</v>
      </c>
      <c r="E88" s="168">
        <v>56.046065036344395</v>
      </c>
      <c r="F88" s="167">
        <v>23.561573856247001</v>
      </c>
      <c r="G88" s="164">
        <v>0.48</v>
      </c>
    </row>
    <row r="89" spans="1:7" x14ac:dyDescent="0.2">
      <c r="A89" s="18">
        <v>2029</v>
      </c>
      <c r="B89">
        <v>3</v>
      </c>
      <c r="C89" s="166">
        <v>2222.8442528571427</v>
      </c>
      <c r="D89" s="30">
        <v>0</v>
      </c>
      <c r="E89" s="168">
        <v>222.19156694450163</v>
      </c>
      <c r="F89" s="167">
        <v>23.561573856247001</v>
      </c>
      <c r="G89" s="164">
        <v>0.624</v>
      </c>
    </row>
    <row r="90" spans="1:7" x14ac:dyDescent="0.2">
      <c r="A90" s="18">
        <v>2030</v>
      </c>
      <c r="B90">
        <v>3</v>
      </c>
      <c r="C90" s="166">
        <v>2222.8442528571427</v>
      </c>
      <c r="D90" s="30">
        <v>0</v>
      </c>
      <c r="E90" s="168">
        <v>641.85429523097014</v>
      </c>
      <c r="F90" s="167">
        <v>23.561573856247001</v>
      </c>
      <c r="G90" s="164">
        <v>0.7679999999999999</v>
      </c>
    </row>
    <row r="91" spans="1:7" x14ac:dyDescent="0.2">
      <c r="A91" s="18">
        <v>2031</v>
      </c>
      <c r="B91">
        <v>3</v>
      </c>
      <c r="C91" s="166">
        <v>2222.8442528571427</v>
      </c>
      <c r="D91" s="30">
        <v>0</v>
      </c>
      <c r="E91" s="168">
        <v>1478.0150210524748</v>
      </c>
      <c r="F91" s="167">
        <v>23.561573856247001</v>
      </c>
      <c r="G91" s="164">
        <v>0.91200000000000003</v>
      </c>
    </row>
    <row r="92" spans="1:7" x14ac:dyDescent="0.2">
      <c r="A92" s="18">
        <v>2032</v>
      </c>
      <c r="B92">
        <v>3</v>
      </c>
      <c r="C92" s="166">
        <v>2222.8442528571427</v>
      </c>
      <c r="D92" s="30">
        <v>0</v>
      </c>
      <c r="E92" s="168">
        <v>2873.8917050017776</v>
      </c>
      <c r="F92" s="167">
        <v>23.561573856247001</v>
      </c>
      <c r="G92" s="164">
        <v>1.056</v>
      </c>
    </row>
    <row r="93" spans="1:7" x14ac:dyDescent="0.2">
      <c r="A93" s="18">
        <v>2033</v>
      </c>
      <c r="B93">
        <v>3</v>
      </c>
      <c r="C93" s="166">
        <v>2222.8442528571427</v>
      </c>
      <c r="D93" s="30">
        <v>0</v>
      </c>
      <c r="E93" s="168">
        <v>4906.3128528618836</v>
      </c>
      <c r="F93" s="167">
        <v>23.561573856247001</v>
      </c>
      <c r="G93" s="164">
        <v>2.4</v>
      </c>
    </row>
    <row r="94" spans="1:7" x14ac:dyDescent="0.2">
      <c r="A94" s="18">
        <v>2034</v>
      </c>
      <c r="B94">
        <v>3</v>
      </c>
      <c r="C94" s="166">
        <v>2222.8442528571427</v>
      </c>
      <c r="D94" s="30">
        <v>0</v>
      </c>
      <c r="E94" s="168">
        <v>7559.8197257523279</v>
      </c>
      <c r="F94" s="167">
        <v>23.561573856247001</v>
      </c>
      <c r="G94" s="164">
        <v>2.4</v>
      </c>
    </row>
    <row r="95" spans="1:7" x14ac:dyDescent="0.2">
      <c r="A95" s="18">
        <v>2035</v>
      </c>
      <c r="B95">
        <v>3</v>
      </c>
      <c r="C95" s="166">
        <v>2222.8442528571427</v>
      </c>
      <c r="D95" s="30">
        <v>0</v>
      </c>
      <c r="E95" s="168">
        <v>10727.56162240903</v>
      </c>
      <c r="F95" s="167">
        <v>23.561573856247001</v>
      </c>
      <c r="G95" s="164">
        <v>2.4</v>
      </c>
    </row>
    <row r="96" spans="1:7" x14ac:dyDescent="0.2">
      <c r="A96" s="18">
        <v>2036</v>
      </c>
      <c r="B96">
        <v>3</v>
      </c>
      <c r="C96" s="166">
        <v>2222.8442528571427</v>
      </c>
      <c r="D96" s="30">
        <v>0</v>
      </c>
      <c r="E96" s="168">
        <v>14233.591050335617</v>
      </c>
      <c r="F96" s="167">
        <v>23.561573856247001</v>
      </c>
      <c r="G96" s="164">
        <v>2.4</v>
      </c>
    </row>
    <row r="97" spans="1:7" x14ac:dyDescent="0.2">
      <c r="A97" s="18">
        <v>2037</v>
      </c>
      <c r="B97">
        <v>3</v>
      </c>
      <c r="C97" s="166">
        <v>2222.8442528571427</v>
      </c>
      <c r="D97" s="30">
        <v>0</v>
      </c>
      <c r="E97" s="168">
        <v>17865.884073924979</v>
      </c>
      <c r="F97" s="167">
        <v>23.561573856247001</v>
      </c>
      <c r="G97" s="164">
        <v>2.4</v>
      </c>
    </row>
    <row r="98" spans="1:7" x14ac:dyDescent="0.2">
      <c r="A98" s="18">
        <v>2038</v>
      </c>
      <c r="B98">
        <v>3</v>
      </c>
      <c r="C98" s="166">
        <v>2222.8442528571427</v>
      </c>
      <c r="D98" s="30">
        <v>0</v>
      </c>
      <c r="E98" s="168">
        <v>21409.745023575357</v>
      </c>
      <c r="F98" s="167">
        <v>23.561573856247001</v>
      </c>
      <c r="G98" s="164">
        <v>2.4</v>
      </c>
    </row>
    <row r="99" spans="1:7" x14ac:dyDescent="0.2">
      <c r="A99" s="18">
        <v>2039</v>
      </c>
      <c r="B99">
        <v>3</v>
      </c>
      <c r="C99" s="166">
        <v>2222.8442528571427</v>
      </c>
      <c r="D99" s="30">
        <v>0</v>
      </c>
      <c r="E99" s="168">
        <v>24674.595744562394</v>
      </c>
      <c r="F99" s="167">
        <v>23.561573856247001</v>
      </c>
      <c r="G99" s="164">
        <v>2.4</v>
      </c>
    </row>
    <row r="100" spans="1:7" x14ac:dyDescent="0.2">
      <c r="A100" s="18">
        <v>2040</v>
      </c>
      <c r="B100">
        <v>3</v>
      </c>
      <c r="C100" s="166">
        <v>2222.8442528571427</v>
      </c>
      <c r="D100" s="30">
        <v>0</v>
      </c>
      <c r="E100" s="168">
        <v>27511.072224065429</v>
      </c>
      <c r="F100" s="167">
        <v>23.561573856247001</v>
      </c>
      <c r="G100" s="164">
        <v>2.4</v>
      </c>
    </row>
    <row r="101" spans="1:7" x14ac:dyDescent="0.2">
      <c r="A101" s="18">
        <v>2041</v>
      </c>
      <c r="B101">
        <v>3</v>
      </c>
      <c r="C101" s="166">
        <v>2222.8442528571427</v>
      </c>
      <c r="D101" s="30">
        <v>0</v>
      </c>
      <c r="E101" s="168">
        <v>29818.448893045686</v>
      </c>
      <c r="F101" s="167">
        <v>23.561573856247001</v>
      </c>
      <c r="G101" s="164">
        <v>2.4</v>
      </c>
    </row>
    <row r="102" spans="1:7" x14ac:dyDescent="0.2">
      <c r="A102" s="18">
        <v>2042</v>
      </c>
      <c r="B102">
        <v>3</v>
      </c>
      <c r="C102" s="166">
        <v>2222.8442528571427</v>
      </c>
      <c r="D102" s="30">
        <v>0</v>
      </c>
      <c r="E102" s="168">
        <v>31544.23539199197</v>
      </c>
      <c r="F102" s="167">
        <v>23.561573856247001</v>
      </c>
      <c r="G102" s="164">
        <v>2.4</v>
      </c>
    </row>
    <row r="103" spans="1:7" x14ac:dyDescent="0.2">
      <c r="A103" s="18">
        <v>2043</v>
      </c>
      <c r="B103">
        <v>3</v>
      </c>
      <c r="C103" s="166">
        <v>2222.8442528571427</v>
      </c>
      <c r="D103" s="30">
        <v>0</v>
      </c>
      <c r="E103" s="168">
        <v>32678.478349637211</v>
      </c>
      <c r="F103" s="167">
        <v>23.561573856247001</v>
      </c>
      <c r="G103" s="164">
        <v>2.4</v>
      </c>
    </row>
    <row r="104" spans="1:7" x14ac:dyDescent="0.2">
      <c r="A104" s="18">
        <v>2044</v>
      </c>
      <c r="B104">
        <v>3</v>
      </c>
      <c r="C104" s="166">
        <v>2222.8442528571427</v>
      </c>
      <c r="D104" s="30">
        <v>0</v>
      </c>
      <c r="E104" s="168">
        <v>33245.216675463569</v>
      </c>
      <c r="F104" s="167">
        <v>23.561573856247001</v>
      </c>
      <c r="G104" s="164">
        <v>2.4</v>
      </c>
    </row>
    <row r="105" spans="1:7" x14ac:dyDescent="0.2">
      <c r="A105" s="18">
        <v>2045</v>
      </c>
      <c r="B105">
        <v>3</v>
      </c>
      <c r="C105" s="166">
        <v>2222.8442528571427</v>
      </c>
      <c r="D105" s="30">
        <v>0</v>
      </c>
      <c r="E105" s="168">
        <v>33293.053323098226</v>
      </c>
      <c r="F105" s="167">
        <v>23.561573856247001</v>
      </c>
      <c r="G105" s="164">
        <v>2.4</v>
      </c>
    </row>
    <row r="106" spans="1:7" x14ac:dyDescent="0.2">
      <c r="A106" s="18">
        <v>2046</v>
      </c>
      <c r="B106">
        <v>3</v>
      </c>
      <c r="C106" s="166">
        <v>2222.8442528571427</v>
      </c>
      <c r="D106" s="30">
        <v>0</v>
      </c>
      <c r="E106" s="168">
        <v>32886.197030309122</v>
      </c>
      <c r="F106" s="167">
        <v>23.561573856247001</v>
      </c>
      <c r="G106" s="164">
        <v>2.4</v>
      </c>
    </row>
    <row r="107" spans="1:7" x14ac:dyDescent="0.2">
      <c r="A107" s="18">
        <v>2047</v>
      </c>
      <c r="B107">
        <v>3</v>
      </c>
      <c r="C107" s="166">
        <v>2222.8442528571427</v>
      </c>
      <c r="D107" s="30">
        <v>0</v>
      </c>
      <c r="E107" s="168">
        <v>32096.761310448754</v>
      </c>
      <c r="F107" s="167">
        <v>23.561573856247001</v>
      </c>
      <c r="G107" s="164">
        <v>2.4</v>
      </c>
    </row>
    <row r="108" spans="1:7" x14ac:dyDescent="0.2">
      <c r="A108" s="18">
        <v>2048</v>
      </c>
      <c r="B108">
        <v>3</v>
      </c>
      <c r="C108" s="166">
        <v>2222.8442528571427</v>
      </c>
      <c r="D108" s="30">
        <v>0</v>
      </c>
      <c r="E108" s="168">
        <v>30998.661880745029</v>
      </c>
      <c r="F108" s="167">
        <v>23.561573856247001</v>
      </c>
      <c r="G108" s="164">
        <v>2.4</v>
      </c>
    </row>
    <row r="109" spans="1:7" x14ac:dyDescent="0.2">
      <c r="A109" s="18">
        <v>2049</v>
      </c>
      <c r="B109">
        <v>3</v>
      </c>
      <c r="C109" s="166">
        <v>2222.8442528571427</v>
      </c>
      <c r="D109" s="30">
        <v>0</v>
      </c>
      <c r="E109" s="168">
        <v>29663.145099302696</v>
      </c>
      <c r="F109" s="167">
        <v>23.561573856247001</v>
      </c>
      <c r="G109" s="164">
        <v>2.4</v>
      </c>
    </row>
    <row r="110" spans="1:7" x14ac:dyDescent="0.2">
      <c r="A110" s="18">
        <v>2050</v>
      </c>
      <c r="B110">
        <v>3</v>
      </c>
      <c r="C110" s="166">
        <v>2222.8442528571427</v>
      </c>
      <c r="D110" s="30">
        <v>0</v>
      </c>
      <c r="E110" s="168">
        <v>28155.793858559162</v>
      </c>
      <c r="F110" s="167">
        <v>23.561573856247001</v>
      </c>
      <c r="G110" s="164">
        <v>2.4</v>
      </c>
    </row>
    <row r="111" spans="1:7" x14ac:dyDescent="0.2">
      <c r="A111" s="18">
        <v>2051</v>
      </c>
      <c r="B111">
        <v>3</v>
      </c>
      <c r="C111" s="166">
        <v>2222.8442528571427</v>
      </c>
      <c r="D111" s="30">
        <v>0</v>
      </c>
      <c r="E111" s="168">
        <v>26534.765782379254</v>
      </c>
      <c r="F111" s="167">
        <v>23.561573856247001</v>
      </c>
      <c r="G111" s="164">
        <v>2.4</v>
      </c>
    </row>
    <row r="112" spans="1:7" x14ac:dyDescent="0.2">
      <c r="A112" s="18">
        <v>2052</v>
      </c>
      <c r="B112">
        <v>3</v>
      </c>
      <c r="C112" s="166">
        <v>2222.8442528571427</v>
      </c>
      <c r="D112" s="30">
        <v>0</v>
      </c>
      <c r="E112" s="168">
        <v>24849.992102981487</v>
      </c>
      <c r="F112" s="167">
        <v>23.561573856247001</v>
      </c>
      <c r="G112" s="164">
        <v>2.4</v>
      </c>
    </row>
    <row r="113" spans="1:7" x14ac:dyDescent="0.2">
      <c r="A113" s="18">
        <v>2053</v>
      </c>
      <c r="B113">
        <v>3</v>
      </c>
      <c r="C113" s="166">
        <v>2222.8442528571427</v>
      </c>
      <c r="D113" s="30">
        <v>0</v>
      </c>
      <c r="E113" s="168">
        <v>23143.079102289048</v>
      </c>
      <c r="F113" s="167">
        <v>23.561573856247001</v>
      </c>
      <c r="G113" s="164">
        <v>2.4</v>
      </c>
    </row>
    <row r="114" spans="1:7" x14ac:dyDescent="0.2">
      <c r="A114" s="18">
        <v>2054</v>
      </c>
      <c r="B114">
        <v>3</v>
      </c>
      <c r="C114" s="166">
        <v>2222.8442528571427</v>
      </c>
      <c r="D114" s="30">
        <v>0</v>
      </c>
      <c r="E114" s="168">
        <v>21447.688493307622</v>
      </c>
      <c r="F114" s="167">
        <v>23.561573856247001</v>
      </c>
      <c r="G114" s="164">
        <v>2.4</v>
      </c>
    </row>
    <row r="115" spans="1:7" x14ac:dyDescent="0.2">
      <c r="A115" s="18">
        <v>2055</v>
      </c>
      <c r="B115">
        <v>3</v>
      </c>
      <c r="C115" s="166">
        <v>2222.8442528571427</v>
      </c>
      <c r="D115" s="30">
        <v>0</v>
      </c>
      <c r="E115" s="168">
        <v>19790.215599659714</v>
      </c>
      <c r="F115" s="167">
        <v>23.561573856247001</v>
      </c>
      <c r="G115" s="164">
        <v>2.4</v>
      </c>
    </row>
    <row r="116" spans="1:7" x14ac:dyDescent="0.2">
      <c r="A116" s="18">
        <v>2056</v>
      </c>
      <c r="B116">
        <v>3</v>
      </c>
      <c r="C116" s="166">
        <v>2222.8442528571427</v>
      </c>
      <c r="D116" s="30">
        <v>0</v>
      </c>
      <c r="E116" s="168">
        <v>18190.626625358709</v>
      </c>
      <c r="F116" s="167">
        <v>23.561573856247001</v>
      </c>
      <c r="G116" s="164">
        <v>2.4</v>
      </c>
    </row>
    <row r="117" spans="1:7" x14ac:dyDescent="0.2">
      <c r="A117" s="18">
        <v>2057</v>
      </c>
      <c r="B117">
        <v>3</v>
      </c>
      <c r="C117" s="166">
        <v>2222.8442528571427</v>
      </c>
      <c r="D117" s="30">
        <v>0</v>
      </c>
      <c r="E117" s="168">
        <v>16663.354312952957</v>
      </c>
      <c r="F117" s="167">
        <v>23.561573856247001</v>
      </c>
      <c r="G117" s="164">
        <v>2.4</v>
      </c>
    </row>
    <row r="118" spans="1:7" x14ac:dyDescent="0.2">
      <c r="A118" s="18">
        <v>2058</v>
      </c>
      <c r="B118">
        <v>3</v>
      </c>
      <c r="C118" s="166">
        <v>2222.8442528571427</v>
      </c>
      <c r="D118" s="30">
        <v>0</v>
      </c>
      <c r="E118" s="168">
        <v>15218.18296962732</v>
      </c>
      <c r="F118" s="167">
        <v>23.561573856247001</v>
      </c>
      <c r="G118" s="164">
        <v>2.4</v>
      </c>
    </row>
    <row r="119" spans="1:7" x14ac:dyDescent="0.2">
      <c r="A119" s="18">
        <v>2059</v>
      </c>
      <c r="B119">
        <v>3</v>
      </c>
      <c r="C119" s="166">
        <v>2222.8442528571427</v>
      </c>
      <c r="D119" s="30">
        <v>0</v>
      </c>
      <c r="E119" s="168">
        <v>13861.078840925824</v>
      </c>
      <c r="F119" s="167">
        <v>23.561573856247001</v>
      </c>
      <c r="G119" s="164">
        <v>2.4</v>
      </c>
    </row>
    <row r="120" spans="1:7" x14ac:dyDescent="0.2">
      <c r="A120" s="18">
        <v>2060</v>
      </c>
      <c r="B120">
        <v>3</v>
      </c>
      <c r="C120" s="166">
        <v>2222.8442528571427</v>
      </c>
      <c r="D120" s="30">
        <v>0</v>
      </c>
      <c r="E120" s="168">
        <v>12594.94063229789</v>
      </c>
      <c r="F120" s="167">
        <v>23.561573856247001</v>
      </c>
      <c r="G120" s="164">
        <v>2.4</v>
      </c>
    </row>
    <row r="121" spans="1:7" x14ac:dyDescent="0.2">
      <c r="A121" s="18">
        <v>2061</v>
      </c>
      <c r="B121">
        <v>3</v>
      </c>
      <c r="C121" s="166">
        <v>2222.8442528571427</v>
      </c>
      <c r="D121" s="30">
        <v>0</v>
      </c>
      <c r="E121" s="168">
        <v>11420.258521972573</v>
      </c>
      <c r="F121" s="167">
        <v>23.561573856247001</v>
      </c>
      <c r="G121" s="164">
        <v>2.4</v>
      </c>
    </row>
    <row r="122" spans="1:7" x14ac:dyDescent="0.2">
      <c r="A122" s="18">
        <v>2025</v>
      </c>
      <c r="B122">
        <v>4</v>
      </c>
      <c r="C122" s="166">
        <v>1227.7635314285715</v>
      </c>
      <c r="D122" s="30">
        <v>0</v>
      </c>
      <c r="E122" s="168">
        <v>5.2868839577444855E-6</v>
      </c>
      <c r="F122" s="167">
        <v>23.561573856247001</v>
      </c>
      <c r="G122" s="164">
        <v>0</v>
      </c>
    </row>
    <row r="123" spans="1:7" x14ac:dyDescent="0.2">
      <c r="A123" s="18">
        <v>2026</v>
      </c>
      <c r="B123">
        <v>4</v>
      </c>
      <c r="C123" s="166">
        <v>1227.7635314285715</v>
      </c>
      <c r="D123" s="30">
        <v>0</v>
      </c>
      <c r="E123" s="168">
        <v>7.0975803971167779E-3</v>
      </c>
      <c r="F123" s="167">
        <v>23.561573856247001</v>
      </c>
      <c r="G123" s="164">
        <v>0</v>
      </c>
    </row>
    <row r="124" spans="1:7" x14ac:dyDescent="0.2">
      <c r="A124" s="18">
        <v>2027</v>
      </c>
      <c r="B124">
        <v>4</v>
      </c>
      <c r="C124" s="166">
        <v>1227.7635314285715</v>
      </c>
      <c r="D124" s="30">
        <v>0</v>
      </c>
      <c r="E124" s="168">
        <v>0.36696677652953025</v>
      </c>
      <c r="F124" s="167">
        <v>23.561573856247001</v>
      </c>
      <c r="G124" s="164">
        <v>0</v>
      </c>
    </row>
    <row r="125" spans="1:7" x14ac:dyDescent="0.2">
      <c r="A125" s="18">
        <v>2028</v>
      </c>
      <c r="B125">
        <v>4</v>
      </c>
      <c r="C125" s="166">
        <v>1227.7635314285715</v>
      </c>
      <c r="D125" s="30">
        <v>0</v>
      </c>
      <c r="E125" s="168">
        <v>4.8946007589698253</v>
      </c>
      <c r="F125" s="167">
        <v>23.561573856247001</v>
      </c>
      <c r="G125" s="164">
        <v>0</v>
      </c>
    </row>
    <row r="126" spans="1:7" x14ac:dyDescent="0.2">
      <c r="A126" s="18">
        <v>2029</v>
      </c>
      <c r="B126">
        <v>4</v>
      </c>
      <c r="C126" s="166">
        <v>1227.7635314285715</v>
      </c>
      <c r="D126" s="30">
        <v>0</v>
      </c>
      <c r="E126" s="168">
        <v>30.956426498730472</v>
      </c>
      <c r="F126" s="167">
        <v>23.561573856247001</v>
      </c>
      <c r="G126" s="164">
        <v>0.48</v>
      </c>
    </row>
    <row r="127" spans="1:7" x14ac:dyDescent="0.2">
      <c r="A127" s="18">
        <v>2030</v>
      </c>
      <c r="B127">
        <v>4</v>
      </c>
      <c r="C127" s="166">
        <v>1227.7635314285715</v>
      </c>
      <c r="D127" s="30">
        <v>0</v>
      </c>
      <c r="E127" s="168">
        <v>122.72506386121572</v>
      </c>
      <c r="F127" s="167">
        <v>23.561573856247001</v>
      </c>
      <c r="G127" s="164">
        <v>0.624</v>
      </c>
    </row>
    <row r="128" spans="1:7" x14ac:dyDescent="0.2">
      <c r="A128" s="18">
        <v>2031</v>
      </c>
      <c r="B128">
        <v>4</v>
      </c>
      <c r="C128" s="166">
        <v>1227.7635314285715</v>
      </c>
      <c r="D128" s="30">
        <v>0</v>
      </c>
      <c r="E128" s="168">
        <v>354.52114792228707</v>
      </c>
      <c r="F128" s="167">
        <v>23.561573856247001</v>
      </c>
      <c r="G128" s="164">
        <v>0.7679999999999999</v>
      </c>
    </row>
    <row r="129" spans="1:7" x14ac:dyDescent="0.2">
      <c r="A129" s="18">
        <v>2032</v>
      </c>
      <c r="B129">
        <v>4</v>
      </c>
      <c r="C129" s="166">
        <v>1227.7635314285715</v>
      </c>
      <c r="D129" s="30">
        <v>0</v>
      </c>
      <c r="E129" s="168">
        <v>816.36531188336232</v>
      </c>
      <c r="F129" s="167">
        <v>23.561573856247001</v>
      </c>
      <c r="G129" s="164">
        <v>0.91200000000000003</v>
      </c>
    </row>
    <row r="130" spans="1:7" x14ac:dyDescent="0.2">
      <c r="A130" s="18">
        <v>2033</v>
      </c>
      <c r="B130">
        <v>4</v>
      </c>
      <c r="C130" s="166">
        <v>1227.7635314285715</v>
      </c>
      <c r="D130" s="30">
        <v>0</v>
      </c>
      <c r="E130" s="168">
        <v>1587.3624182805161</v>
      </c>
      <c r="F130" s="167">
        <v>23.561573856247001</v>
      </c>
      <c r="G130" s="164">
        <v>1.056</v>
      </c>
    </row>
    <row r="131" spans="1:7" x14ac:dyDescent="0.2">
      <c r="A131" s="18">
        <v>2034</v>
      </c>
      <c r="B131">
        <v>4</v>
      </c>
      <c r="C131" s="166">
        <v>1227.7635314285715</v>
      </c>
      <c r="D131" s="30">
        <v>0</v>
      </c>
      <c r="E131" s="168">
        <v>2709.9478457747937</v>
      </c>
      <c r="F131" s="167">
        <v>23.561573856247001</v>
      </c>
      <c r="G131" s="164">
        <v>2.4</v>
      </c>
    </row>
    <row r="132" spans="1:7" x14ac:dyDescent="0.2">
      <c r="A132" s="18">
        <v>2035</v>
      </c>
      <c r="B132">
        <v>4</v>
      </c>
      <c r="C132" s="166">
        <v>1227.7635314285715</v>
      </c>
      <c r="D132" s="30">
        <v>0</v>
      </c>
      <c r="E132" s="168">
        <v>4175.5831302723145</v>
      </c>
      <c r="F132" s="167">
        <v>23.561573856247001</v>
      </c>
      <c r="G132" s="164">
        <v>2.4</v>
      </c>
    </row>
    <row r="133" spans="1:7" x14ac:dyDescent="0.2">
      <c r="A133" s="18">
        <v>2036</v>
      </c>
      <c r="B133">
        <v>4</v>
      </c>
      <c r="C133" s="166">
        <v>1227.7635314285715</v>
      </c>
      <c r="D133" s="30">
        <v>0</v>
      </c>
      <c r="E133" s="168">
        <v>5925.2504642271906</v>
      </c>
      <c r="F133" s="167">
        <v>23.561573856247001</v>
      </c>
      <c r="G133" s="164">
        <v>2.4</v>
      </c>
    </row>
    <row r="134" spans="1:7" x14ac:dyDescent="0.2">
      <c r="A134" s="18">
        <v>2037</v>
      </c>
      <c r="B134">
        <v>4</v>
      </c>
      <c r="C134" s="166">
        <v>1227.7635314285715</v>
      </c>
      <c r="D134" s="30">
        <v>0</v>
      </c>
      <c r="E134" s="168">
        <v>7861.7671887753604</v>
      </c>
      <c r="F134" s="167">
        <v>23.561573856247001</v>
      </c>
      <c r="G134" s="164">
        <v>2.4</v>
      </c>
    </row>
    <row r="135" spans="1:7" x14ac:dyDescent="0.2">
      <c r="A135" s="18">
        <v>2038</v>
      </c>
      <c r="B135">
        <v>4</v>
      </c>
      <c r="C135" s="166">
        <v>1227.7635314285715</v>
      </c>
      <c r="D135" s="30">
        <v>0</v>
      </c>
      <c r="E135" s="168">
        <v>9868.024219196308</v>
      </c>
      <c r="F135" s="167">
        <v>23.561573856247001</v>
      </c>
      <c r="G135" s="164">
        <v>2.4</v>
      </c>
    </row>
    <row r="136" spans="1:7" x14ac:dyDescent="0.2">
      <c r="A136" s="18">
        <v>2039</v>
      </c>
      <c r="B136">
        <v>4</v>
      </c>
      <c r="C136" s="166">
        <v>1227.7635314285715</v>
      </c>
      <c r="D136" s="30">
        <v>0</v>
      </c>
      <c r="E136" s="168">
        <v>11825.436767935134</v>
      </c>
      <c r="F136" s="167">
        <v>23.561573856247001</v>
      </c>
      <c r="G136" s="164">
        <v>2.4</v>
      </c>
    </row>
    <row r="137" spans="1:7" x14ac:dyDescent="0.2">
      <c r="A137" s="18">
        <v>2040</v>
      </c>
      <c r="B137">
        <v>4</v>
      </c>
      <c r="C137" s="166">
        <v>1227.7635314285715</v>
      </c>
      <c r="D137" s="30">
        <v>0</v>
      </c>
      <c r="E137" s="168">
        <v>13628.741091049036</v>
      </c>
      <c r="F137" s="167">
        <v>23.561573856247001</v>
      </c>
      <c r="G137" s="164">
        <v>2.4</v>
      </c>
    </row>
    <row r="138" spans="1:7" x14ac:dyDescent="0.2">
      <c r="A138" s="18">
        <v>2041</v>
      </c>
      <c r="B138">
        <v>4</v>
      </c>
      <c r="C138" s="166">
        <v>1227.7635314285715</v>
      </c>
      <c r="D138" s="30">
        <v>0</v>
      </c>
      <c r="E138" s="168">
        <v>15195.437621771984</v>
      </c>
      <c r="F138" s="167">
        <v>23.561573856247001</v>
      </c>
      <c r="G138" s="164">
        <v>2.4</v>
      </c>
    </row>
    <row r="139" spans="1:7" x14ac:dyDescent="0.2">
      <c r="A139" s="18">
        <v>2042</v>
      </c>
      <c r="B139">
        <v>4</v>
      </c>
      <c r="C139" s="166">
        <v>1227.7635314285715</v>
      </c>
      <c r="D139" s="30">
        <v>0</v>
      </c>
      <c r="E139" s="168">
        <v>16469.8917018551</v>
      </c>
      <c r="F139" s="167">
        <v>23.561573856247001</v>
      </c>
      <c r="G139" s="164">
        <v>2.4</v>
      </c>
    </row>
    <row r="140" spans="1:7" x14ac:dyDescent="0.2">
      <c r="A140" s="18">
        <v>2043</v>
      </c>
      <c r="B140">
        <v>4</v>
      </c>
      <c r="C140" s="166">
        <v>1227.7635314285715</v>
      </c>
      <c r="D140" s="30">
        <v>0</v>
      </c>
      <c r="E140" s="168">
        <v>17423.110859569148</v>
      </c>
      <c r="F140" s="167">
        <v>23.561573856247001</v>
      </c>
      <c r="G140" s="164">
        <v>2.4</v>
      </c>
    </row>
    <row r="141" spans="1:7" x14ac:dyDescent="0.2">
      <c r="A141" s="18">
        <v>2044</v>
      </c>
      <c r="B141">
        <v>4</v>
      </c>
      <c r="C141" s="166">
        <v>1227.7635314285715</v>
      </c>
      <c r="D141" s="30">
        <v>0</v>
      </c>
      <c r="E141" s="168">
        <v>18049.597459962577</v>
      </c>
      <c r="F141" s="167">
        <v>23.561573856247001</v>
      </c>
      <c r="G141" s="164">
        <v>2.4</v>
      </c>
    </row>
    <row r="142" spans="1:7" x14ac:dyDescent="0.2">
      <c r="A142" s="18">
        <v>2045</v>
      </c>
      <c r="B142">
        <v>4</v>
      </c>
      <c r="C142" s="166">
        <v>1227.7635314285715</v>
      </c>
      <c r="D142" s="30">
        <v>0</v>
      </c>
      <c r="E142" s="168">
        <v>18362.629129823457</v>
      </c>
      <c r="F142" s="167">
        <v>23.561573856247001</v>
      </c>
      <c r="G142" s="164">
        <v>2.4</v>
      </c>
    </row>
    <row r="143" spans="1:7" x14ac:dyDescent="0.2">
      <c r="A143" s="18">
        <v>2046</v>
      </c>
      <c r="B143">
        <v>4</v>
      </c>
      <c r="C143" s="166">
        <v>1227.7635314285715</v>
      </c>
      <c r="D143" s="30">
        <v>0</v>
      </c>
      <c r="E143" s="168">
        <v>18389.051175072964</v>
      </c>
      <c r="F143" s="167">
        <v>23.561573856247001</v>
      </c>
      <c r="G143" s="164">
        <v>2.4</v>
      </c>
    </row>
    <row r="144" spans="1:7" x14ac:dyDescent="0.2">
      <c r="A144" s="18">
        <v>2047</v>
      </c>
      <c r="B144">
        <v>4</v>
      </c>
      <c r="C144" s="166">
        <v>1227.7635314285715</v>
      </c>
      <c r="D144" s="30">
        <v>0</v>
      </c>
      <c r="E144" s="168">
        <v>18164.328584555566</v>
      </c>
      <c r="F144" s="167">
        <v>23.561573856247001</v>
      </c>
      <c r="G144" s="164">
        <v>2.4</v>
      </c>
    </row>
    <row r="145" spans="1:7" x14ac:dyDescent="0.2">
      <c r="A145" s="18">
        <v>2048</v>
      </c>
      <c r="B145">
        <v>4</v>
      </c>
      <c r="C145" s="166">
        <v>1227.7635314285715</v>
      </c>
      <c r="D145" s="30">
        <v>0</v>
      </c>
      <c r="E145" s="168">
        <v>17728.29246281393</v>
      </c>
      <c r="F145" s="167">
        <v>23.561573856247001</v>
      </c>
      <c r="G145" s="164">
        <v>2.4</v>
      </c>
    </row>
    <row r="146" spans="1:7" x14ac:dyDescent="0.2">
      <c r="A146" s="18">
        <v>2049</v>
      </c>
      <c r="B146">
        <v>4</v>
      </c>
      <c r="C146" s="166">
        <v>1227.7635314285715</v>
      </c>
      <c r="D146" s="30">
        <v>0</v>
      </c>
      <c r="E146" s="168">
        <v>17121.769341844105</v>
      </c>
      <c r="F146" s="167">
        <v>23.561573856247001</v>
      </c>
      <c r="G146" s="164">
        <v>2.4</v>
      </c>
    </row>
    <row r="147" spans="1:7" x14ac:dyDescent="0.2">
      <c r="A147" s="18">
        <v>2050</v>
      </c>
      <c r="B147">
        <v>4</v>
      </c>
      <c r="C147" s="166">
        <v>1227.7635314285715</v>
      </c>
      <c r="D147" s="30">
        <v>0</v>
      </c>
      <c r="E147" s="168">
        <v>16384.111362542055</v>
      </c>
      <c r="F147" s="167">
        <v>23.561573856247001</v>
      </c>
      <c r="G147" s="164">
        <v>2.4</v>
      </c>
    </row>
    <row r="148" spans="1:7" x14ac:dyDescent="0.2">
      <c r="A148" s="18">
        <v>2051</v>
      </c>
      <c r="B148">
        <v>4</v>
      </c>
      <c r="C148" s="166">
        <v>1227.7635314285715</v>
      </c>
      <c r="D148" s="30">
        <v>0</v>
      </c>
      <c r="E148" s="168">
        <v>15551.54251294327</v>
      </c>
      <c r="F148" s="167">
        <v>23.561573856247001</v>
      </c>
      <c r="G148" s="164">
        <v>2.4</v>
      </c>
    </row>
    <row r="149" spans="1:7" x14ac:dyDescent="0.2">
      <c r="A149" s="18">
        <v>2052</v>
      </c>
      <c r="B149">
        <v>4</v>
      </c>
      <c r="C149" s="166">
        <v>1227.7635314285715</v>
      </c>
      <c r="D149" s="30">
        <v>0</v>
      </c>
      <c r="E149" s="168">
        <v>14656.185515799938</v>
      </c>
      <c r="F149" s="167">
        <v>23.561573856247001</v>
      </c>
      <c r="G149" s="164">
        <v>2.4</v>
      </c>
    </row>
    <row r="150" spans="1:7" x14ac:dyDescent="0.2">
      <c r="A150" s="18">
        <v>2053</v>
      </c>
      <c r="B150">
        <v>4</v>
      </c>
      <c r="C150" s="166">
        <v>1227.7635314285715</v>
      </c>
      <c r="D150" s="30">
        <v>0</v>
      </c>
      <c r="E150" s="168">
        <v>13725.619337077951</v>
      </c>
      <c r="F150" s="167">
        <v>23.561573856247001</v>
      </c>
      <c r="G150" s="164">
        <v>2.4</v>
      </c>
    </row>
    <row r="151" spans="1:7" x14ac:dyDescent="0.2">
      <c r="A151" s="18">
        <v>2054</v>
      </c>
      <c r="B151">
        <v>4</v>
      </c>
      <c r="C151" s="166">
        <v>1227.7635314285715</v>
      </c>
      <c r="D151" s="30">
        <v>0</v>
      </c>
      <c r="E151" s="168">
        <v>12782.824748173356</v>
      </c>
      <c r="F151" s="167">
        <v>23.561573856247001</v>
      </c>
      <c r="G151" s="164">
        <v>2.4</v>
      </c>
    </row>
    <row r="152" spans="1:7" x14ac:dyDescent="0.2">
      <c r="A152" s="18">
        <v>2055</v>
      </c>
      <c r="B152">
        <v>4</v>
      </c>
      <c r="C152" s="166">
        <v>1227.7635314285715</v>
      </c>
      <c r="D152" s="30">
        <v>0</v>
      </c>
      <c r="E152" s="168">
        <v>11846.394425374863</v>
      </c>
      <c r="F152" s="167">
        <v>23.561573856247001</v>
      </c>
      <c r="G152" s="164">
        <v>2.4</v>
      </c>
    </row>
    <row r="153" spans="1:7" x14ac:dyDescent="0.2">
      <c r="A153" s="18">
        <v>2056</v>
      </c>
      <c r="B153">
        <v>4</v>
      </c>
      <c r="C153" s="166">
        <v>1227.7635314285715</v>
      </c>
      <c r="D153" s="30">
        <v>0</v>
      </c>
      <c r="E153" s="168">
        <v>10930.907534857513</v>
      </c>
      <c r="F153" s="167">
        <v>23.561573856247001</v>
      </c>
      <c r="G153" s="164">
        <v>2.4</v>
      </c>
    </row>
    <row r="154" spans="1:7" x14ac:dyDescent="0.2">
      <c r="A154" s="18">
        <v>2057</v>
      </c>
      <c r="B154">
        <v>4</v>
      </c>
      <c r="C154" s="166">
        <v>1227.7635314285715</v>
      </c>
      <c r="D154" s="30">
        <v>0</v>
      </c>
      <c r="E154" s="168">
        <v>10047.392189417791</v>
      </c>
      <c r="F154" s="167">
        <v>23.561573856247001</v>
      </c>
      <c r="G154" s="164">
        <v>2.4</v>
      </c>
    </row>
    <row r="155" spans="1:7" x14ac:dyDescent="0.2">
      <c r="A155" s="18">
        <v>2058</v>
      </c>
      <c r="B155">
        <v>4</v>
      </c>
      <c r="C155" s="166">
        <v>1227.7635314285715</v>
      </c>
      <c r="D155" s="30">
        <v>0</v>
      </c>
      <c r="E155" s="168">
        <v>9203.8201553797117</v>
      </c>
      <c r="F155" s="167">
        <v>23.561573856247001</v>
      </c>
      <c r="G155" s="164">
        <v>2.4</v>
      </c>
    </row>
    <row r="156" spans="1:7" x14ac:dyDescent="0.2">
      <c r="A156" s="18">
        <v>2059</v>
      </c>
      <c r="B156">
        <v>4</v>
      </c>
      <c r="C156" s="166">
        <v>1227.7635314285715</v>
      </c>
      <c r="D156" s="30">
        <v>0</v>
      </c>
      <c r="E156" s="168">
        <v>8405.5956870121881</v>
      </c>
      <c r="F156" s="167">
        <v>23.561573856247001</v>
      </c>
      <c r="G156" s="164">
        <v>2.4</v>
      </c>
    </row>
    <row r="157" spans="1:7" x14ac:dyDescent="0.2">
      <c r="A157" s="18">
        <v>2060</v>
      </c>
      <c r="B157">
        <v>4</v>
      </c>
      <c r="C157" s="166">
        <v>1227.7635314285715</v>
      </c>
      <c r="D157" s="30">
        <v>0</v>
      </c>
      <c r="E157" s="168">
        <v>7656.0141743042623</v>
      </c>
      <c r="F157" s="167">
        <v>23.561573856247001</v>
      </c>
      <c r="G157" s="164">
        <v>2.4</v>
      </c>
    </row>
    <row r="158" spans="1:7" x14ac:dyDescent="0.2">
      <c r="A158" s="18">
        <v>2061</v>
      </c>
      <c r="B158">
        <v>4</v>
      </c>
      <c r="C158" s="166">
        <v>1227.7635314285715</v>
      </c>
      <c r="D158" s="30">
        <v>0</v>
      </c>
      <c r="E158" s="168">
        <v>6956.6766852724832</v>
      </c>
      <c r="F158" s="167">
        <v>23.561573856247001</v>
      </c>
      <c r="G158" s="164">
        <v>2.4</v>
      </c>
    </row>
  </sheetData>
  <phoneticPr fontId="6" type="noConversion"/>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50E1-55F1-4C3E-A764-4391F1D20E41}">
  <dimension ref="B1:X36"/>
  <sheetViews>
    <sheetView topLeftCell="K6" workbookViewId="0">
      <selection activeCell="Q23" sqref="Q23"/>
    </sheetView>
  </sheetViews>
  <sheetFormatPr baseColWidth="10" defaultColWidth="8.83203125" defaultRowHeight="15" x14ac:dyDescent="0.2"/>
  <cols>
    <col min="2" max="2" width="15.33203125" customWidth="1"/>
    <col min="3" max="3" width="24.1640625" customWidth="1"/>
    <col min="4" max="4" width="15.6640625" customWidth="1"/>
    <col min="5" max="5" width="24.33203125" customWidth="1"/>
    <col min="6" max="6" width="22.83203125" customWidth="1"/>
    <col min="7" max="9" width="20.83203125" customWidth="1"/>
    <col min="10" max="10" width="14.83203125" customWidth="1"/>
    <col min="11" max="11" width="21.83203125" customWidth="1"/>
    <col min="12" max="13" width="18.6640625" customWidth="1"/>
    <col min="14" max="14" width="13.33203125" customWidth="1"/>
    <col min="15" max="15" width="30.33203125" customWidth="1"/>
    <col min="16" max="16" width="17.33203125" customWidth="1"/>
    <col min="18" max="18" width="27.33203125" customWidth="1"/>
    <col min="19" max="19" width="20.6640625" customWidth="1"/>
    <col min="20" max="20" width="31.83203125" customWidth="1"/>
    <col min="21" max="21" width="13.83203125" customWidth="1"/>
  </cols>
  <sheetData>
    <row r="1" spans="2:24" ht="24" x14ac:dyDescent="0.3">
      <c r="B1" s="38" t="s">
        <v>279</v>
      </c>
    </row>
    <row r="2" spans="2:24" ht="20" x14ac:dyDescent="0.25">
      <c r="B2" s="39"/>
    </row>
    <row r="4" spans="2:24" x14ac:dyDescent="0.2">
      <c r="L4" t="s">
        <v>280</v>
      </c>
    </row>
    <row r="6" spans="2:24" ht="64" x14ac:dyDescent="0.2">
      <c r="B6" s="19" t="s">
        <v>281</v>
      </c>
      <c r="F6" t="s">
        <v>282</v>
      </c>
      <c r="J6" s="19" t="s">
        <v>283</v>
      </c>
      <c r="R6" t="s">
        <v>284</v>
      </c>
      <c r="S6" s="1" t="s">
        <v>285</v>
      </c>
      <c r="T6" s="1" t="s">
        <v>286</v>
      </c>
      <c r="U6" s="209" t="s">
        <v>287</v>
      </c>
      <c r="V6" s="209"/>
      <c r="W6" s="209"/>
      <c r="X6" s="209"/>
    </row>
    <row r="7" spans="2:24" ht="32" x14ac:dyDescent="0.2">
      <c r="B7" t="s">
        <v>166</v>
      </c>
      <c r="C7" t="s">
        <v>288</v>
      </c>
      <c r="D7" t="s">
        <v>99</v>
      </c>
      <c r="E7" t="s">
        <v>100</v>
      </c>
      <c r="F7" t="s">
        <v>289</v>
      </c>
      <c r="G7" t="s">
        <v>290</v>
      </c>
      <c r="H7" t="s">
        <v>291</v>
      </c>
      <c r="J7" t="s">
        <v>166</v>
      </c>
      <c r="K7" t="s">
        <v>101</v>
      </c>
      <c r="L7" s="1" t="s">
        <v>140</v>
      </c>
      <c r="M7" s="1" t="s">
        <v>141</v>
      </c>
      <c r="N7" t="s">
        <v>289</v>
      </c>
      <c r="O7" t="s">
        <v>292</v>
      </c>
      <c r="P7" t="s">
        <v>105</v>
      </c>
      <c r="Q7" t="s">
        <v>293</v>
      </c>
      <c r="R7" t="s">
        <v>294</v>
      </c>
      <c r="S7" t="s">
        <v>106</v>
      </c>
      <c r="T7" t="s">
        <v>295</v>
      </c>
      <c r="U7" t="s">
        <v>290</v>
      </c>
      <c r="V7" t="s">
        <v>291</v>
      </c>
      <c r="W7" t="s">
        <v>296</v>
      </c>
      <c r="X7" t="s">
        <v>297</v>
      </c>
    </row>
    <row r="8" spans="2:24" x14ac:dyDescent="0.2">
      <c r="D8" t="s">
        <v>298</v>
      </c>
      <c r="E8" t="s">
        <v>299</v>
      </c>
      <c r="F8" t="s">
        <v>300</v>
      </c>
      <c r="G8" t="s">
        <v>300</v>
      </c>
      <c r="H8" t="s">
        <v>300</v>
      </c>
      <c r="L8" t="s">
        <v>301</v>
      </c>
      <c r="M8" t="s">
        <v>301</v>
      </c>
      <c r="N8" t="s">
        <v>302</v>
      </c>
      <c r="O8" t="s">
        <v>302</v>
      </c>
      <c r="Q8" t="s">
        <v>303</v>
      </c>
      <c r="R8" t="s">
        <v>304</v>
      </c>
      <c r="S8" t="s">
        <v>305</v>
      </c>
      <c r="T8" t="s">
        <v>300</v>
      </c>
      <c r="U8" t="s">
        <v>300</v>
      </c>
      <c r="V8" t="s">
        <v>300</v>
      </c>
      <c r="W8" t="s">
        <v>300</v>
      </c>
      <c r="X8" t="s">
        <v>300</v>
      </c>
    </row>
    <row r="9" spans="2:24" x14ac:dyDescent="0.2">
      <c r="B9">
        <v>1</v>
      </c>
      <c r="C9" t="str">
        <f>INDEX(Table31[[#All],[Soil type (t=0)]], MATCH(Table1[[#This Row],[stratum i]], Table31[[#All],[Stratum i]]))</f>
        <v>Mineral soil</v>
      </c>
      <c r="D9" t="str">
        <f>INDEX(Table31[[#All],[Depthpeat,i,t0]], MATCH(Table1[[#This Row],[stratum i]], Table31[[#All],[Stratum i]]))</f>
        <v>Not applicable</v>
      </c>
      <c r="E9" t="str">
        <f>INDEX(Table31[[#All],[Ratepeatloss-BSL,I]], MATCH(Table1[[#This Row],[stratum i]], Table31[[#All],[Stratum i]]))</f>
        <v>Not applicable</v>
      </c>
      <c r="F9">
        <f>IF(Table1[[#This Row],[Soil type (at Project Start)]]="Peat soil", Table1[[#This Row],[Depthpeat,i,t0]]/Table1[[#This Row],[Ratepeatloss-BSL,I]], 0)</f>
        <v>0</v>
      </c>
      <c r="G9">
        <v>0</v>
      </c>
      <c r="H9">
        <f>Table1[[#This Row],[Start_PDT]]+Table1[[#This Row],[tPDT-BSL,i]]</f>
        <v>0</v>
      </c>
      <c r="J9">
        <v>1</v>
      </c>
      <c r="K9" t="str">
        <f>INDEX(Table31[[#All],[Soil disturbance type]], MATCH(Table2[[#This Row],[stratum i]], Table31[[#All],[Stratum i]]))</f>
        <v>Not applicable</v>
      </c>
      <c r="L9" t="str">
        <f>INDEX(Table31[[#All],[Drained more than 20 years ago before t = 0 as non peat soil]], MATCH(Table2[[#This Row],[stratum i]], Table31[[#All],[Stratum i]]))</f>
        <v>Not applicable</v>
      </c>
      <c r="M9" t="str">
        <f>INDEX(Table31[[#All],[Significant soil erosion as non peat soil]], MATCH(Table2[[#This Row],[stratum i]], Table31[[#All],[Stratum i]]))</f>
        <v>Not applicable</v>
      </c>
      <c r="N9">
        <f>INDEX(Table1[[#All],[tPDT-BSL,i]], MATCH(Table2[[#This Row],[stratum i]], Table1[[#All],[stratum i]]))</f>
        <v>0</v>
      </c>
      <c r="O9">
        <f>crediting_period</f>
        <v>40</v>
      </c>
      <c r="P9" t="str">
        <f>INDEX(Table31[[#All],[Depthsoil,i,t0]], MATCH(Table2[[#This Row],[stratum i]], Table31[[#All],[Stratum i]]))</f>
        <v>Not applicable</v>
      </c>
      <c r="Q9" t="str">
        <f>INDEX(Table31[[#All],[VC,I (mineral soil portion)]], MATCH(Table2[[#This Row],[stratum i]], Table31[[#All],[Stratum i]]))</f>
        <v>Not applicable</v>
      </c>
      <c r="R9" t="e">
        <f>Table2[[#This Row],[Depthsoil,i,t0]]*Table2[[#This Row],[VC, I (mineral soil portion)]]*10</f>
        <v>#VALUE!</v>
      </c>
      <c r="S9" t="str">
        <f>INDEX(Table31[[#All],[RateCloss-BSL,i]], MATCH(Table2[[#This Row],[stratum i]], Table31[[#All],[Stratum i]]))</f>
        <v>Not applicable</v>
      </c>
      <c r="T9"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#VALUE!</v>
      </c>
      <c r="U9" s="36">
        <f>INDEX(Table1[[#All],[Start_PDT]], MATCH(Table2[[#This Row],[stratum i]], Table1[[#All],[stratum i]]))</f>
        <v>0</v>
      </c>
      <c r="V9" s="36">
        <f>MIN(INDEX(Table1[[#All],[End_PDT]], MATCH(Table2[[#This Row],[stratum i]], Table1[[#All],[stratum i]])), Table2[[#This Row],[Number of crediting years]])</f>
        <v>0</v>
      </c>
      <c r="W9" s="36" t="e">
        <f>IF(Table2[[#This Row],[tSDT-BSL,i]]&gt;0, Table2[[#This Row],[End_PDT]], 0)</f>
        <v>#VALUE!</v>
      </c>
      <c r="X9" s="36" t="e">
        <f>Table2[[#This Row],[Start_SDT]]+Table2[[#This Row],[tSDT-BSL,i]]</f>
        <v>#VALUE!</v>
      </c>
    </row>
    <row r="10" spans="2:24" x14ac:dyDescent="0.2">
      <c r="B10">
        <v>2</v>
      </c>
      <c r="C10" t="str">
        <f>INDEX(Table31[[#All],[Soil type (t=0)]], MATCH(Table1[[#This Row],[stratum i]], Table31[[#All],[Stratum i]]))</f>
        <v>Mineral soil</v>
      </c>
      <c r="D10" t="str">
        <f>INDEX(Table31[[#All],[Depthpeat,i,t0]], MATCH(Table1[[#This Row],[stratum i]], Table31[[#All],[Stratum i]]))</f>
        <v>Not applicable</v>
      </c>
      <c r="E10" t="str">
        <f>INDEX(Table31[[#All],[Ratepeatloss-BSL,I]], MATCH(Table1[[#This Row],[stratum i]], Table31[[#All],[Stratum i]]))</f>
        <v>Not applicable</v>
      </c>
      <c r="F10">
        <f>IF(Table1[[#This Row],[Soil type (at Project Start)]]="Peat soil", Table1[[#This Row],[Depthpeat,i,t0]]/Table1[[#This Row],[Ratepeatloss-BSL,I]], 0)</f>
        <v>0</v>
      </c>
      <c r="G10">
        <v>0</v>
      </c>
      <c r="H10">
        <f>Table1[[#This Row],[Start_PDT]]+Table1[[#This Row],[tPDT-BSL,i]]</f>
        <v>0</v>
      </c>
      <c r="J10">
        <v>2</v>
      </c>
      <c r="K10" t="str">
        <f>INDEX(Table31[[#All],[Soil disturbance type]], MATCH(Table2[[#This Row],[stratum i]], Table31[[#All],[Stratum i]]))</f>
        <v>Not applicable</v>
      </c>
      <c r="L10" t="str">
        <f>INDEX(Table31[[#All],[Drained more than 20 years ago before t = 0 as non peat soil]], MATCH(Table2[[#This Row],[stratum i]], Table31[[#All],[Stratum i]]))</f>
        <v>Not applicable</v>
      </c>
      <c r="M10" t="str">
        <f>INDEX(Table31[[#All],[Significant soil erosion as non peat soil]], MATCH(Table2[[#This Row],[stratum i]], Table31[[#All],[Stratum i]]))</f>
        <v>Not applicable</v>
      </c>
      <c r="N10">
        <f>INDEX(Table1[[#All],[tPDT-BSL,i]], MATCH(Table2[[#This Row],[stratum i]], Table1[[#All],[stratum i]]))</f>
        <v>0</v>
      </c>
      <c r="O10">
        <f>crediting_period</f>
        <v>40</v>
      </c>
      <c r="P10" t="str">
        <f>INDEX(Table31[[#All],[Depthsoil,i,t0]], MATCH(Table2[[#This Row],[stratum i]], Table31[[#All],[Stratum i]]))</f>
        <v>Not applicable</v>
      </c>
      <c r="Q10" t="str">
        <f>INDEX(Table31[[#All],[VC,I (mineral soil portion)]], MATCH(Table2[[#This Row],[stratum i]], Table31[[#All],[Stratum i]]))</f>
        <v>Not applicable</v>
      </c>
      <c r="R10" t="e">
        <f>Table2[[#This Row],[Depthsoil,i,t0]]*Table2[[#This Row],[VC, I (mineral soil portion)]]*10</f>
        <v>#VALUE!</v>
      </c>
      <c r="S10" t="str">
        <f>INDEX(Table31[[#All],[RateCloss-BSL,i]], MATCH(Table2[[#This Row],[stratum i]], Table31[[#All],[Stratum i]]))</f>
        <v>Not applicable</v>
      </c>
      <c r="T10"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#VALUE!</v>
      </c>
      <c r="U10" s="36">
        <f>INDEX(Table1[[#All],[Start_PDT]], MATCH(Table2[[#This Row],[stratum i]], Table1[[#All],[stratum i]]))</f>
        <v>0</v>
      </c>
      <c r="V10" s="36">
        <f>MIN(INDEX(Table1[[#All],[End_PDT]], MATCH(Table2[[#This Row],[stratum i]], Table1[[#All],[stratum i]])), Table2[[#This Row],[Number of crediting years]])</f>
        <v>0</v>
      </c>
      <c r="W10" s="36" t="e">
        <f>IF(Table2[[#This Row],[tSDT-BSL,i]]&gt;0, Table2[[#This Row],[End_PDT]], 0)</f>
        <v>#VALUE!</v>
      </c>
      <c r="X10" s="36" t="e">
        <f>Table2[[#This Row],[Start_SDT]]+Table2[[#This Row],[tSDT-BSL,i]]</f>
        <v>#VALUE!</v>
      </c>
    </row>
    <row r="11" spans="2:24" x14ac:dyDescent="0.2">
      <c r="B11">
        <v>3</v>
      </c>
      <c r="C11" t="str">
        <f>INDEX(Table31[[#All],[Soil type (t=0)]], MATCH(Table1[[#This Row],[stratum i]], Table31[[#All],[Stratum i]]))</f>
        <v>Mineral soil</v>
      </c>
      <c r="D11" t="str">
        <f>INDEX(Table31[[#All],[Depthpeat,i,t0]], MATCH(Table1[[#This Row],[stratum i]], Table31[[#All],[Stratum i]]))</f>
        <v>Not applicable</v>
      </c>
      <c r="E11" t="str">
        <f>INDEX(Table31[[#All],[Ratepeatloss-BSL,I]], MATCH(Table1[[#This Row],[stratum i]], Table31[[#All],[Stratum i]]))</f>
        <v>Not applicable</v>
      </c>
      <c r="F11">
        <f>IF(Table1[[#This Row],[Soil type (at Project Start)]]="Peat soil", Table1[[#This Row],[Depthpeat,i,t0]]/Table1[[#This Row],[Ratepeatloss-BSL,I]], 0)</f>
        <v>0</v>
      </c>
      <c r="G11">
        <v>0</v>
      </c>
      <c r="H11">
        <f>Table1[[#This Row],[Start_PDT]]+Table1[[#This Row],[tPDT-BSL,i]]</f>
        <v>0</v>
      </c>
      <c r="J11">
        <v>3</v>
      </c>
      <c r="K11" t="str">
        <f>INDEX(Table31[[#All],[Soil disturbance type]], MATCH(Table2[[#This Row],[stratum i]], Table31[[#All],[Stratum i]]))</f>
        <v>Not applicable</v>
      </c>
      <c r="L11" t="str">
        <f>INDEX(Table31[[#All],[Drained more than 20 years ago before t = 0 as non peat soil]], MATCH(Table2[[#This Row],[stratum i]], Table31[[#All],[Stratum i]]))</f>
        <v>Not applicable</v>
      </c>
      <c r="M11" t="str">
        <f>INDEX(Table31[[#All],[Significant soil erosion as non peat soil]], MATCH(Table2[[#This Row],[stratum i]], Table31[[#All],[Stratum i]]))</f>
        <v>Not applicable</v>
      </c>
      <c r="N11">
        <f>INDEX(Table1[[#All],[tPDT-BSL,i]], MATCH(Table2[[#This Row],[stratum i]], Table1[[#All],[stratum i]]))</f>
        <v>0</v>
      </c>
      <c r="O11">
        <f>crediting_period</f>
        <v>40</v>
      </c>
      <c r="P11" t="str">
        <f>INDEX(Table31[[#All],[Depthsoil,i,t0]], MATCH(Table2[[#This Row],[stratum i]], Table31[[#All],[Stratum i]]))</f>
        <v>Not applicable</v>
      </c>
      <c r="Q11" t="str">
        <f>INDEX(Table31[[#All],[VC,I (mineral soil portion)]], MATCH(Table2[[#This Row],[stratum i]], Table31[[#All],[Stratum i]]))</f>
        <v>Not applicable</v>
      </c>
      <c r="R11" t="e">
        <f>Table2[[#This Row],[Depthsoil,i,t0]]*Table2[[#This Row],[VC, I (mineral soil portion)]]*10</f>
        <v>#VALUE!</v>
      </c>
      <c r="S11" t="str">
        <f>INDEX(Table31[[#All],[RateCloss-BSL,i]], MATCH(Table2[[#This Row],[stratum i]], Table31[[#All],[Stratum i]]))</f>
        <v>Not applicable</v>
      </c>
      <c r="T11"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#VALUE!</v>
      </c>
      <c r="U11" s="36">
        <f>INDEX(Table1[[#All],[Start_PDT]], MATCH(Table2[[#This Row],[stratum i]], Table1[[#All],[stratum i]]))</f>
        <v>0</v>
      </c>
      <c r="V11" s="36">
        <f>MIN(INDEX(Table1[[#All],[End_PDT]], MATCH(Table2[[#This Row],[stratum i]], Table1[[#All],[stratum i]])), Table2[[#This Row],[Number of crediting years]])</f>
        <v>0</v>
      </c>
      <c r="W11" s="36" t="e">
        <f>IF(Table2[[#This Row],[tSDT-BSL,i]]&gt;0, Table2[[#This Row],[End_PDT]], 0)</f>
        <v>#VALUE!</v>
      </c>
      <c r="X11" s="36" t="e">
        <f>Table2[[#This Row],[Start_SDT]]+Table2[[#This Row],[tSDT-BSL,i]]</f>
        <v>#VALUE!</v>
      </c>
    </row>
    <row r="12" spans="2:24" x14ac:dyDescent="0.2">
      <c r="B12">
        <v>4</v>
      </c>
      <c r="C12" t="str">
        <f>INDEX(Table31[[#All],[Soil type (t=0)]], MATCH(Table1[[#This Row],[stratum i]], Table31[[#All],[Stratum i]]))</f>
        <v>Mineral soil</v>
      </c>
      <c r="D12" t="str">
        <f>INDEX(Table31[[#All],[Depthpeat,i,t0]], MATCH(Table1[[#This Row],[stratum i]], Table31[[#All],[Stratum i]]))</f>
        <v>Not applicable</v>
      </c>
      <c r="E12" t="str">
        <f>INDEX(Table31[[#All],[Ratepeatloss-BSL,I]], MATCH(Table1[[#This Row],[stratum i]], Table31[[#All],[Stratum i]]))</f>
        <v>Not applicable</v>
      </c>
      <c r="F12">
        <f>IF(Table1[[#This Row],[Soil type (at Project Start)]]="Peat soil", Table1[[#This Row],[Depthpeat,i,t0]]/Table1[[#This Row],[Ratepeatloss-BSL,I]], 0)</f>
        <v>0</v>
      </c>
      <c r="G12">
        <v>0</v>
      </c>
      <c r="H12">
        <f>Table1[[#This Row],[Start_PDT]]+Table1[[#This Row],[tPDT-BSL,i]]</f>
        <v>0</v>
      </c>
      <c r="J12">
        <v>4</v>
      </c>
      <c r="K12" t="str">
        <f>INDEX(Table31[[#All],[Soil disturbance type]], MATCH(Table2[[#This Row],[stratum i]], Table31[[#All],[Stratum i]]))</f>
        <v>Not applicable</v>
      </c>
      <c r="L12" t="str">
        <f>INDEX(Table31[[#All],[Drained more than 20 years ago before t = 0 as non peat soil]], MATCH(Table2[[#This Row],[stratum i]], Table31[[#All],[Stratum i]]))</f>
        <v>Not applicable</v>
      </c>
      <c r="M12" t="str">
        <f>INDEX(Table31[[#All],[Significant soil erosion as non peat soil]], MATCH(Table2[[#This Row],[stratum i]], Table31[[#All],[Stratum i]]))</f>
        <v>Not applicable</v>
      </c>
      <c r="N12">
        <f>INDEX(Table1[[#All],[tPDT-BSL,i]], MATCH(Table2[[#This Row],[stratum i]], Table1[[#All],[stratum i]]))</f>
        <v>0</v>
      </c>
      <c r="O12">
        <f>crediting_period</f>
        <v>40</v>
      </c>
      <c r="P12" t="str">
        <f>INDEX(Table31[[#All],[Depthsoil,i,t0]], MATCH(Table2[[#This Row],[stratum i]], Table31[[#All],[Stratum i]]))</f>
        <v>Not applicable</v>
      </c>
      <c r="Q12" t="str">
        <f>INDEX(Table31[[#All],[VC,I (mineral soil portion)]], MATCH(Table2[[#This Row],[stratum i]], Table31[[#All],[Stratum i]]))</f>
        <v>Not applicable</v>
      </c>
      <c r="R12" t="e">
        <f>Table2[[#This Row],[Depthsoil,i,t0]]*Table2[[#This Row],[VC, I (mineral soil portion)]]*10</f>
        <v>#VALUE!</v>
      </c>
      <c r="S12" t="str">
        <f>INDEX(Table31[[#All],[RateCloss-BSL,i]], MATCH(Table2[[#This Row],[stratum i]], Table31[[#All],[Stratum i]]))</f>
        <v>Not applicable</v>
      </c>
      <c r="T12"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#VALUE!</v>
      </c>
      <c r="U12" s="36">
        <f>INDEX(Table1[[#All],[Start_PDT]], MATCH(Table2[[#This Row],[stratum i]], Table1[[#All],[stratum i]]))</f>
        <v>0</v>
      </c>
      <c r="V12" s="36">
        <f>MIN(INDEX(Table1[[#All],[End_PDT]], MATCH(Table2[[#This Row],[stratum i]], Table1[[#All],[stratum i]])), Table2[[#This Row],[Number of crediting years]])</f>
        <v>0</v>
      </c>
      <c r="W12" s="36" t="e">
        <f>IF(Table2[[#This Row],[tSDT-BSL,i]]&gt;0, Table2[[#This Row],[End_PDT]], 0)</f>
        <v>#VALUE!</v>
      </c>
      <c r="X12" s="36" t="e">
        <f>Table2[[#This Row],[Start_SDT]]+Table2[[#This Row],[tSDT-BSL,i]]</f>
        <v>#VALUE!</v>
      </c>
    </row>
    <row r="13" spans="2:24" x14ac:dyDescent="0.2">
      <c r="B13">
        <v>5</v>
      </c>
      <c r="C13" t="str">
        <f>INDEX(Table31[[#All],[Soil type (t=0)]], MATCH(Table1[[#This Row],[stratum i]], Table31[[#All],[Stratum i]]))</f>
        <v>Mineral soil</v>
      </c>
      <c r="D13" t="str">
        <f>INDEX(Table31[[#All],[Depthpeat,i,t0]], MATCH(Table1[[#This Row],[stratum i]], Table31[[#All],[Stratum i]]))</f>
        <v>Not applicable</v>
      </c>
      <c r="E13" t="str">
        <f>INDEX(Table31[[#All],[Ratepeatloss-BSL,I]], MATCH(Table1[[#This Row],[stratum i]], Table31[[#All],[Stratum i]]))</f>
        <v>Not applicable</v>
      </c>
      <c r="F13">
        <f>IF(Table1[[#This Row],[Soil type (at Project Start)]]="Peat soil", Table1[[#This Row],[Depthpeat,i,t0]]/Table1[[#This Row],[Ratepeatloss-BSL,I]], 0)</f>
        <v>0</v>
      </c>
      <c r="G13">
        <v>0</v>
      </c>
      <c r="H13">
        <f>Table1[[#This Row],[Start_PDT]]+Table1[[#This Row],[tPDT-BSL,i]]</f>
        <v>0</v>
      </c>
      <c r="J13">
        <v>5</v>
      </c>
      <c r="K13" t="str">
        <f>INDEX(Table31[[#All],[Soil disturbance type]], MATCH(Table2[[#This Row],[stratum i]], Table31[[#All],[Stratum i]]))</f>
        <v>Not applicable</v>
      </c>
      <c r="L13" t="str">
        <f>INDEX(Table31[[#All],[Drained more than 20 years ago before t = 0 as non peat soil]], MATCH(Table2[[#This Row],[stratum i]], Table31[[#All],[Stratum i]]))</f>
        <v>Not applicable</v>
      </c>
      <c r="M13" t="str">
        <f>INDEX(Table31[[#All],[Significant soil erosion as non peat soil]], MATCH(Table2[[#This Row],[stratum i]], Table31[[#All],[Stratum i]]))</f>
        <v>Not applicable</v>
      </c>
      <c r="N13">
        <f>INDEX(Table1[[#All],[tPDT-BSL,i]], MATCH(Table2[[#This Row],[stratum i]], Table1[[#All],[stratum i]]))</f>
        <v>0</v>
      </c>
      <c r="O13">
        <f>crediting_period</f>
        <v>40</v>
      </c>
      <c r="P13" t="str">
        <f>INDEX(Table31[[#All],[Depthsoil,i,t0]], MATCH(Table2[[#This Row],[stratum i]], Table31[[#All],[Stratum i]]))</f>
        <v>Not applicable</v>
      </c>
      <c r="Q13" t="str">
        <f>INDEX(Table31[[#All],[VC,I (mineral soil portion)]], MATCH(Table2[[#This Row],[stratum i]], Table31[[#All],[Stratum i]]))</f>
        <v>Not applicable</v>
      </c>
      <c r="R13" t="e">
        <f>Table2[[#This Row],[Depthsoil,i,t0]]*Table2[[#This Row],[VC, I (mineral soil portion)]]*10</f>
        <v>#VALUE!</v>
      </c>
      <c r="S13" t="str">
        <f>INDEX(Table31[[#All],[RateCloss-BSL,i]], MATCH(Table2[[#This Row],[stratum i]], Table31[[#All],[Stratum i]]))</f>
        <v>Not applicable</v>
      </c>
      <c r="T13"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#VALUE!</v>
      </c>
      <c r="U13" s="36">
        <f>INDEX(Table1[[#All],[Start_PDT]], MATCH(Table2[[#This Row],[stratum i]], Table1[[#All],[stratum i]]))</f>
        <v>0</v>
      </c>
      <c r="V13" s="36">
        <f>MIN(INDEX(Table1[[#All],[End_PDT]], MATCH(Table2[[#This Row],[stratum i]], Table1[[#All],[stratum i]])), Table2[[#This Row],[Number of crediting years]])</f>
        <v>0</v>
      </c>
      <c r="W13" s="36" t="e">
        <f>IF(Table2[[#This Row],[tSDT-BSL,i]]&gt;0, Table2[[#This Row],[End_PDT]], 0)</f>
        <v>#VALUE!</v>
      </c>
      <c r="X13" s="36" t="e">
        <f>Table2[[#This Row],[Start_SDT]]+Table2[[#This Row],[tSDT-BSL,i]]</f>
        <v>#VALUE!</v>
      </c>
    </row>
    <row r="14" spans="2:24" x14ac:dyDescent="0.2">
      <c r="E14" t="e">
        <f>INDEX(Table31[[#All],[Ratepeatloss-BSL,I]], MATCH(Table1[[#This Row],[stratum i]], Table31[[#All],[Stratum i]]))</f>
        <v>#N/A</v>
      </c>
      <c r="F14">
        <f>IF(Table1[[#This Row],[Soil type (at Project Start)]]="Peat soil", Table1[[#This Row],[Depthpeat,i,t0]]/Table1[[#This Row],[Ratepeatloss-BSL,I]], 0)</f>
        <v>0</v>
      </c>
      <c r="G14">
        <v>0</v>
      </c>
      <c r="H14">
        <f>Table1[[#This Row],[Start_PDT]]+Table1[[#This Row],[tPDT-BSL,i]]</f>
        <v>0</v>
      </c>
      <c r="K14" t="e">
        <f>INDEX(Table31[[#All],[Soil disturbance type]], MATCH(Table2[[#This Row],[stratum i]], Table31[[#All],[Stratum i]]))</f>
        <v>#N/A</v>
      </c>
      <c r="L14" t="e">
        <f>INDEX(Table31[[#All],[Drained more than 20 years ago before t = 0 as non peat soil]], MATCH(Table2[[#This Row],[stratum i]], Table31[[#All],[Stratum i]]))</f>
        <v>#N/A</v>
      </c>
      <c r="N14" t="e">
        <f>INDEX(Table1[[#All],[tPDT-BSL,i]], MATCH(Table2[[#This Row],[stratum i]], Table1[[#All],[stratum i]]))</f>
        <v>#N/A</v>
      </c>
      <c r="Q14" t="e">
        <f>INDEX(Table31[[#All],[VC,I (mineral soil portion)]], MATCH(Table2[[#This Row],[stratum i]], Table31[[#All],[Stratum i]]))</f>
        <v>#N/A</v>
      </c>
      <c r="S14" t="e">
        <f>INDEX(Table31[[#All],[RateCloss-BSL,i]], MATCH(Table2[[#This Row],[stratum i]], Table31[[#All],[Stratum i]]))</f>
        <v>#N/A</v>
      </c>
      <c r="T14"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4" s="36" t="e">
        <f>INDEX(Table1[[#All],[Start_PDT]], MATCH(Table2[[#This Row],[stratum i]], Table1[[#All],[stratum i]]))</f>
        <v>#N/A</v>
      </c>
      <c r="V14" s="36" t="e">
        <f>MIN(INDEX(Table1[[#All],[End_PDT]], MATCH(Table2[[#This Row],[stratum i]], Table1[[#All],[stratum i]])), Table2[[#This Row],[Number of crediting years]])</f>
        <v>#N/A</v>
      </c>
      <c r="W14" s="36" t="e">
        <f>IF(Table2[[#This Row],[tSDT-BSL,i]]&gt;0, Table2[[#This Row],[End_PDT]], 0)</f>
        <v>#N/A</v>
      </c>
      <c r="X14" s="36" t="e">
        <f>Table2[[#This Row],[Start_SDT]]+Table2[[#This Row],[tSDT-BSL,i]]</f>
        <v>#N/A</v>
      </c>
    </row>
    <row r="15" spans="2:24" x14ac:dyDescent="0.2">
      <c r="E15" t="e">
        <f>INDEX(Table31[[#All],[Ratepeatloss-BSL,I]], MATCH(Table1[[#This Row],[stratum i]], Table31[[#All],[Stratum i]]))</f>
        <v>#N/A</v>
      </c>
      <c r="F15">
        <f>IF(Table1[[#This Row],[Soil type (at Project Start)]]="Peat soil", Table1[[#This Row],[Depthpeat,i,t0]]/Table1[[#This Row],[Ratepeatloss-BSL,I]], 0)</f>
        <v>0</v>
      </c>
      <c r="G15">
        <v>0</v>
      </c>
      <c r="H15">
        <f>Table1[[#This Row],[Start_PDT]]+Table1[[#This Row],[tPDT-BSL,i]]</f>
        <v>0</v>
      </c>
      <c r="K15" t="e">
        <f>INDEX(Table31[[#All],[Soil disturbance type]], MATCH(Table2[[#This Row],[stratum i]], Table31[[#All],[Stratum i]]))</f>
        <v>#N/A</v>
      </c>
      <c r="L15" t="e">
        <f>INDEX(Table31[[#All],[Drained more than 20 years ago before t = 0 as non peat soil]], MATCH(Table2[[#This Row],[stratum i]], Table31[[#All],[Stratum i]]))</f>
        <v>#N/A</v>
      </c>
      <c r="N15" t="e">
        <f>INDEX(Table1[[#All],[tPDT-BSL,i]], MATCH(Table2[[#This Row],[stratum i]], Table1[[#All],[stratum i]]))</f>
        <v>#N/A</v>
      </c>
      <c r="Q15" t="e">
        <f>INDEX(Table31[[#All],[VC,I (mineral soil portion)]], MATCH(Table2[[#This Row],[stratum i]], Table31[[#All],[Stratum i]]))</f>
        <v>#N/A</v>
      </c>
      <c r="S15" t="e">
        <f>INDEX(Table31[[#All],[RateCloss-BSL,i]], MATCH(Table2[[#This Row],[stratum i]], Table31[[#All],[Stratum i]]))</f>
        <v>#N/A</v>
      </c>
      <c r="T15"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5" s="36" t="e">
        <f>INDEX(Table1[[#All],[Start_PDT]], MATCH(Table2[[#This Row],[stratum i]], Table1[[#All],[stratum i]]))</f>
        <v>#N/A</v>
      </c>
      <c r="V15" s="36" t="e">
        <f>MIN(INDEX(Table1[[#All],[End_PDT]], MATCH(Table2[[#This Row],[stratum i]], Table1[[#All],[stratum i]])), Table2[[#This Row],[Number of crediting years]])</f>
        <v>#N/A</v>
      </c>
      <c r="W15" s="36" t="e">
        <f>IF(Table2[[#This Row],[tSDT-BSL,i]]&gt;0, Table2[[#This Row],[End_PDT]], 0)</f>
        <v>#N/A</v>
      </c>
      <c r="X15" s="36" t="e">
        <f>Table2[[#This Row],[Start_SDT]]+Table2[[#This Row],[tSDT-BSL,i]]</f>
        <v>#N/A</v>
      </c>
    </row>
    <row r="16" spans="2:24" x14ac:dyDescent="0.2">
      <c r="E16" t="e">
        <f>INDEX(Table31[[#All],[Ratepeatloss-BSL,I]], MATCH(Table1[[#This Row],[stratum i]], Table31[[#All],[Stratum i]]))</f>
        <v>#N/A</v>
      </c>
      <c r="F16">
        <f>IF(Table1[[#This Row],[Soil type (at Project Start)]]="Peat soil", Table1[[#This Row],[Depthpeat,i,t0]]/Table1[[#This Row],[Ratepeatloss-BSL,I]], 0)</f>
        <v>0</v>
      </c>
      <c r="G16">
        <v>0</v>
      </c>
      <c r="H16">
        <f>Table1[[#This Row],[Start_PDT]]+Table1[[#This Row],[tPDT-BSL,i]]</f>
        <v>0</v>
      </c>
      <c r="K16" t="e">
        <f>INDEX(Table31[[#All],[Soil disturbance type]], MATCH(Table2[[#This Row],[stratum i]], Table31[[#All],[Stratum i]]))</f>
        <v>#N/A</v>
      </c>
      <c r="L16" t="e">
        <f>INDEX(Table31[[#All],[Drained more than 20 years ago before t = 0 as non peat soil]], MATCH(Table2[[#This Row],[stratum i]], Table31[[#All],[Stratum i]]))</f>
        <v>#N/A</v>
      </c>
      <c r="N16" t="e">
        <f>INDEX(Table1[[#All],[tPDT-BSL,i]], MATCH(Table2[[#This Row],[stratum i]], Table1[[#All],[stratum i]]))</f>
        <v>#N/A</v>
      </c>
      <c r="Q16" t="e">
        <f>INDEX(Table31[[#All],[VC,I (mineral soil portion)]], MATCH(Table2[[#This Row],[stratum i]], Table31[[#All],[Stratum i]]))</f>
        <v>#N/A</v>
      </c>
      <c r="S16" t="e">
        <f>INDEX(Table31[[#All],[RateCloss-BSL,i]], MATCH(Table2[[#This Row],[stratum i]], Table31[[#All],[Stratum i]]))</f>
        <v>#N/A</v>
      </c>
      <c r="T16"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6" s="36" t="e">
        <f>INDEX(Table1[[#All],[Start_PDT]], MATCH(Table2[[#This Row],[stratum i]], Table1[[#All],[stratum i]]))</f>
        <v>#N/A</v>
      </c>
      <c r="V16" s="36" t="e">
        <f>MIN(INDEX(Table1[[#All],[End_PDT]], MATCH(Table2[[#This Row],[stratum i]], Table1[[#All],[stratum i]])), Table2[[#This Row],[Number of crediting years]])</f>
        <v>#N/A</v>
      </c>
      <c r="W16" s="36" t="e">
        <f>IF(Table2[[#This Row],[tSDT-BSL,i]]&gt;0, Table2[[#This Row],[End_PDT]], 0)</f>
        <v>#N/A</v>
      </c>
      <c r="X16" s="36" t="e">
        <f>Table2[[#This Row],[Start_SDT]]+Table2[[#This Row],[tSDT-BSL,i]]</f>
        <v>#N/A</v>
      </c>
    </row>
    <row r="17" spans="5:24" x14ac:dyDescent="0.2">
      <c r="E17" t="e">
        <f>INDEX(Table31[[#All],[Ratepeatloss-BSL,I]], MATCH(Table1[[#This Row],[stratum i]], Table31[[#All],[Stratum i]]))</f>
        <v>#N/A</v>
      </c>
      <c r="F17">
        <f>IF(Table1[[#This Row],[Soil type (at Project Start)]]="Peat soil", Table1[[#This Row],[Depthpeat,i,t0]]/Table1[[#This Row],[Ratepeatloss-BSL,I]], 0)</f>
        <v>0</v>
      </c>
      <c r="G17">
        <v>0</v>
      </c>
      <c r="H17">
        <f>Table1[[#This Row],[Start_PDT]]+Table1[[#This Row],[tPDT-BSL,i]]</f>
        <v>0</v>
      </c>
      <c r="K17" t="e">
        <f>INDEX(Table31[[#All],[Soil disturbance type]], MATCH(Table2[[#This Row],[stratum i]], Table31[[#All],[Stratum i]]))</f>
        <v>#N/A</v>
      </c>
      <c r="L17" t="e">
        <f>INDEX(Table31[[#All],[Drained more than 20 years ago before t = 0 as non peat soil]], MATCH(Table2[[#This Row],[stratum i]], Table31[[#All],[Stratum i]]))</f>
        <v>#N/A</v>
      </c>
      <c r="N17" t="e">
        <f>INDEX(Table1[[#All],[tPDT-BSL,i]], MATCH(Table2[[#This Row],[stratum i]], Table1[[#All],[stratum i]]))</f>
        <v>#N/A</v>
      </c>
      <c r="Q17" t="e">
        <f>INDEX(Table31[[#All],[VC,I (mineral soil portion)]], MATCH(Table2[[#This Row],[stratum i]], Table31[[#All],[Stratum i]]))</f>
        <v>#N/A</v>
      </c>
      <c r="S17" t="e">
        <f>INDEX(Table31[[#All],[RateCloss-BSL,i]], MATCH(Table2[[#This Row],[stratum i]], Table31[[#All],[Stratum i]]))</f>
        <v>#N/A</v>
      </c>
      <c r="T17"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7" s="36" t="e">
        <f>INDEX(Table1[[#All],[Start_PDT]], MATCH(Table2[[#This Row],[stratum i]], Table1[[#All],[stratum i]]))</f>
        <v>#N/A</v>
      </c>
      <c r="V17" s="36" t="e">
        <f>MIN(INDEX(Table1[[#All],[End_PDT]], MATCH(Table2[[#This Row],[stratum i]], Table1[[#All],[stratum i]])), Table2[[#This Row],[Number of crediting years]])</f>
        <v>#N/A</v>
      </c>
      <c r="W17" s="36" t="e">
        <f>IF(Table2[[#This Row],[tSDT-BSL,i]]&gt;0, Table2[[#This Row],[End_PDT]], 0)</f>
        <v>#N/A</v>
      </c>
      <c r="X17" s="36" t="e">
        <f>Table2[[#This Row],[Start_SDT]]+Table2[[#This Row],[tSDT-BSL,i]]</f>
        <v>#N/A</v>
      </c>
    </row>
    <row r="18" spans="5:24" x14ac:dyDescent="0.2">
      <c r="E18" t="e">
        <f>INDEX(Table31[[#All],[Ratepeatloss-BSL,I]], MATCH(Table1[[#This Row],[stratum i]], Table31[[#All],[Stratum i]]))</f>
        <v>#N/A</v>
      </c>
      <c r="F18">
        <f>IF(Table1[[#This Row],[Soil type (at Project Start)]]="Peat soil", Table1[[#This Row],[Depthpeat,i,t0]]/Table1[[#This Row],[Ratepeatloss-BSL,I]], 0)</f>
        <v>0</v>
      </c>
      <c r="G18">
        <v>0</v>
      </c>
      <c r="H18">
        <f>Table1[[#This Row],[Start_PDT]]+Table1[[#This Row],[tPDT-BSL,i]]</f>
        <v>0</v>
      </c>
      <c r="K18" t="e">
        <f>INDEX(Table31[[#All],[Soil disturbance type]], MATCH(Table2[[#This Row],[stratum i]], Table31[[#All],[Stratum i]]))</f>
        <v>#N/A</v>
      </c>
      <c r="L18" t="e">
        <f>INDEX(Table31[[#All],[Drained more than 20 years ago before t = 0 as non peat soil]], MATCH(Table2[[#This Row],[stratum i]], Table31[[#All],[Stratum i]]))</f>
        <v>#N/A</v>
      </c>
      <c r="N18" t="e">
        <f>INDEX(Table1[[#All],[tPDT-BSL,i]], MATCH(Table2[[#This Row],[stratum i]], Table1[[#All],[stratum i]]))</f>
        <v>#N/A</v>
      </c>
      <c r="Q18" t="e">
        <f>INDEX(Table31[[#All],[VC,I (mineral soil portion)]], MATCH(Table2[[#This Row],[stratum i]], Table31[[#All],[Stratum i]]))</f>
        <v>#N/A</v>
      </c>
      <c r="S18" t="e">
        <f>INDEX(Table31[[#All],[RateCloss-BSL,i]], MATCH(Table2[[#This Row],[stratum i]], Table31[[#All],[Stratum i]]))</f>
        <v>#N/A</v>
      </c>
      <c r="T18"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8" s="36" t="e">
        <f>INDEX(Table1[[#All],[Start_PDT]], MATCH(Table2[[#This Row],[stratum i]], Table1[[#All],[stratum i]]))</f>
        <v>#N/A</v>
      </c>
      <c r="V18" s="36" t="e">
        <f>MIN(INDEX(Table1[[#All],[End_PDT]], MATCH(Table2[[#This Row],[stratum i]], Table1[[#All],[stratum i]])), Table2[[#This Row],[Number of crediting years]])</f>
        <v>#N/A</v>
      </c>
      <c r="W18" s="36" t="e">
        <f>IF(Table2[[#This Row],[tSDT-BSL,i]]&gt;0, Table2[[#This Row],[End_PDT]], 0)</f>
        <v>#N/A</v>
      </c>
      <c r="X18" s="36" t="e">
        <f>Table2[[#This Row],[Start_SDT]]+Table2[[#This Row],[tSDT-BSL,i]]</f>
        <v>#N/A</v>
      </c>
    </row>
    <row r="19" spans="5:24" x14ac:dyDescent="0.2">
      <c r="E19" t="e">
        <f>INDEX(Table31[[#All],[Ratepeatloss-BSL,I]], MATCH(Table1[[#This Row],[stratum i]], Table31[[#All],[Stratum i]]))</f>
        <v>#N/A</v>
      </c>
      <c r="F19">
        <f>IF(Table1[[#This Row],[Soil type (at Project Start)]]="Peat soil", Table1[[#This Row],[Depthpeat,i,t0]]/Table1[[#This Row],[Ratepeatloss-BSL,I]], 0)</f>
        <v>0</v>
      </c>
      <c r="G19">
        <v>0</v>
      </c>
      <c r="H19">
        <f>Table1[[#This Row],[Start_PDT]]+Table1[[#This Row],[tPDT-BSL,i]]</f>
        <v>0</v>
      </c>
      <c r="K19" t="e">
        <f>INDEX(Table31[[#All],[Soil disturbance type]], MATCH(Table2[[#This Row],[stratum i]], Table31[[#All],[Stratum i]]))</f>
        <v>#N/A</v>
      </c>
      <c r="L19" t="e">
        <f>INDEX(Table31[[#All],[Drained more than 20 years ago before t = 0 as non peat soil]], MATCH(Table2[[#This Row],[stratum i]], Table31[[#All],[Stratum i]]))</f>
        <v>#N/A</v>
      </c>
      <c r="N19" t="e">
        <f>INDEX(Table1[[#All],[tPDT-BSL,i]], MATCH(Table2[[#This Row],[stratum i]], Table1[[#All],[stratum i]]))</f>
        <v>#N/A</v>
      </c>
      <c r="Q19" t="e">
        <f>INDEX(Table31[[#All],[VC,I (mineral soil portion)]], MATCH(Table2[[#This Row],[stratum i]], Table31[[#All],[Stratum i]]))</f>
        <v>#N/A</v>
      </c>
      <c r="S19" t="e">
        <f>INDEX(Table31[[#All],[RateCloss-BSL,i]], MATCH(Table2[[#This Row],[stratum i]], Table31[[#All],[Stratum i]]))</f>
        <v>#N/A</v>
      </c>
      <c r="T19"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19" s="36" t="e">
        <f>INDEX(Table1[[#All],[Start_PDT]], MATCH(Table2[[#This Row],[stratum i]], Table1[[#All],[stratum i]]))</f>
        <v>#N/A</v>
      </c>
      <c r="V19" s="36" t="e">
        <f>MIN(INDEX(Table1[[#All],[End_PDT]], MATCH(Table2[[#This Row],[stratum i]], Table1[[#All],[stratum i]])), Table2[[#This Row],[Number of crediting years]])</f>
        <v>#N/A</v>
      </c>
      <c r="W19" s="36" t="e">
        <f>IF(Table2[[#This Row],[tSDT-BSL,i]]&gt;0, Table2[[#This Row],[End_PDT]], 0)</f>
        <v>#N/A</v>
      </c>
      <c r="X19" s="36" t="e">
        <f>Table2[[#This Row],[Start_SDT]]+Table2[[#This Row],[tSDT-BSL,i]]</f>
        <v>#N/A</v>
      </c>
    </row>
    <row r="20" spans="5:24" x14ac:dyDescent="0.2">
      <c r="E20" t="e">
        <f>INDEX(Table31[[#All],[Ratepeatloss-BSL,I]], MATCH(Table1[[#This Row],[stratum i]], Table31[[#All],[Stratum i]]))</f>
        <v>#N/A</v>
      </c>
      <c r="F20">
        <f>IF(Table1[[#This Row],[Soil type (at Project Start)]]="Peat soil", Table1[[#This Row],[Depthpeat,i,t0]]/Table1[[#This Row],[Ratepeatloss-BSL,I]], 0)</f>
        <v>0</v>
      </c>
      <c r="G20">
        <v>0</v>
      </c>
      <c r="H20">
        <f>Table1[[#This Row],[Start_PDT]]+Table1[[#This Row],[tPDT-BSL,i]]</f>
        <v>0</v>
      </c>
      <c r="K20" t="e">
        <f>INDEX(Table31[[#All],[Soil disturbance type]], MATCH(Table2[[#This Row],[stratum i]], Table31[[#All],[Stratum i]]))</f>
        <v>#N/A</v>
      </c>
      <c r="L20" t="e">
        <f>INDEX(Table31[[#All],[Drained more than 20 years ago before t = 0 as non peat soil]], MATCH(Table2[[#This Row],[stratum i]], Table31[[#All],[Stratum i]]))</f>
        <v>#N/A</v>
      </c>
      <c r="N20" t="e">
        <f>INDEX(Table1[[#All],[tPDT-BSL,i]], MATCH(Table2[[#This Row],[stratum i]], Table1[[#All],[stratum i]]))</f>
        <v>#N/A</v>
      </c>
      <c r="Q20" t="e">
        <f>INDEX(Table31[[#All],[VC,I (mineral soil portion)]], MATCH(Table2[[#This Row],[stratum i]], Table31[[#All],[Stratum i]]))</f>
        <v>#N/A</v>
      </c>
      <c r="S20" t="e">
        <f>INDEX(Table31[[#All],[RateCloss-BSL,i]], MATCH(Table2[[#This Row],[stratum i]], Table31[[#All],[Stratum i]]))</f>
        <v>#N/A</v>
      </c>
      <c r="T20"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0" s="36" t="e">
        <f>INDEX(Table1[[#All],[Start_PDT]], MATCH(Table2[[#This Row],[stratum i]], Table1[[#All],[stratum i]]))</f>
        <v>#N/A</v>
      </c>
      <c r="V20" s="36" t="e">
        <f>MIN(INDEX(Table1[[#All],[End_PDT]], MATCH(Table2[[#This Row],[stratum i]], Table1[[#All],[stratum i]])), Table2[[#This Row],[Number of crediting years]])</f>
        <v>#N/A</v>
      </c>
      <c r="W20" s="36" t="e">
        <f>IF(Table2[[#This Row],[tSDT-BSL,i]]&gt;0, Table2[[#This Row],[End_PDT]], 0)</f>
        <v>#N/A</v>
      </c>
      <c r="X20" s="36" t="e">
        <f>Table2[[#This Row],[Start_SDT]]+Table2[[#This Row],[tSDT-BSL,i]]</f>
        <v>#N/A</v>
      </c>
    </row>
    <row r="21" spans="5:24" x14ac:dyDescent="0.2">
      <c r="E21" t="e">
        <f>INDEX(Table31[[#All],[Ratepeatloss-BSL,I]], MATCH(Table1[[#This Row],[stratum i]], Table31[[#All],[Stratum i]]))</f>
        <v>#N/A</v>
      </c>
      <c r="F21">
        <f>IF(Table1[[#This Row],[Soil type (at Project Start)]]="Peat soil", Table1[[#This Row],[Depthpeat,i,t0]]/Table1[[#This Row],[Ratepeatloss-BSL,I]], 0)</f>
        <v>0</v>
      </c>
      <c r="G21">
        <v>0</v>
      </c>
      <c r="H21">
        <f>Table1[[#This Row],[Start_PDT]]+Table1[[#This Row],[tPDT-BSL,i]]</f>
        <v>0</v>
      </c>
      <c r="K21" t="e">
        <f>INDEX(Table31[[#All],[Soil disturbance type]], MATCH(Table2[[#This Row],[stratum i]], Table31[[#All],[Stratum i]]))</f>
        <v>#N/A</v>
      </c>
      <c r="L21" t="e">
        <f>INDEX(Table31[[#All],[Drained more than 20 years ago before t = 0 as non peat soil]], MATCH(Table2[[#This Row],[stratum i]], Table31[[#All],[Stratum i]]))</f>
        <v>#N/A</v>
      </c>
      <c r="N21" t="e">
        <f>INDEX(Table1[[#All],[tPDT-BSL,i]], MATCH(Table2[[#This Row],[stratum i]], Table1[[#All],[stratum i]]))</f>
        <v>#N/A</v>
      </c>
      <c r="Q21" t="e">
        <f>INDEX(Table31[[#All],[VC,I (mineral soil portion)]], MATCH(Table2[[#This Row],[stratum i]], Table31[[#All],[Stratum i]]))</f>
        <v>#N/A</v>
      </c>
      <c r="S21" t="e">
        <f>INDEX(Table31[[#All],[RateCloss-BSL,i]], MATCH(Table2[[#This Row],[stratum i]], Table31[[#All],[Stratum i]]))</f>
        <v>#N/A</v>
      </c>
      <c r="T21"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1" s="36" t="e">
        <f>INDEX(Table1[[#All],[Start_PDT]], MATCH(Table2[[#This Row],[stratum i]], Table1[[#All],[stratum i]]))</f>
        <v>#N/A</v>
      </c>
      <c r="V21" s="36" t="e">
        <f>MIN(INDEX(Table1[[#All],[End_PDT]], MATCH(Table2[[#This Row],[stratum i]], Table1[[#All],[stratum i]])), Table2[[#This Row],[Number of crediting years]])</f>
        <v>#N/A</v>
      </c>
      <c r="W21" s="36" t="e">
        <f>IF(Table2[[#This Row],[tSDT-BSL,i]]&gt;0, Table2[[#This Row],[End_PDT]], 0)</f>
        <v>#N/A</v>
      </c>
      <c r="X21" s="36" t="e">
        <f>Table2[[#This Row],[Start_SDT]]+Table2[[#This Row],[tSDT-BSL,i]]</f>
        <v>#N/A</v>
      </c>
    </row>
    <row r="22" spans="5:24" x14ac:dyDescent="0.2">
      <c r="E22" t="e">
        <f>INDEX(Table31[[#All],[Ratepeatloss-BSL,I]], MATCH(Table1[[#This Row],[stratum i]], Table31[[#All],[Stratum i]]))</f>
        <v>#N/A</v>
      </c>
      <c r="F22">
        <f>IF(Table1[[#This Row],[Soil type (at Project Start)]]="Peat soil", Table1[[#This Row],[Depthpeat,i,t0]]/Table1[[#This Row],[Ratepeatloss-BSL,I]], 0)</f>
        <v>0</v>
      </c>
      <c r="G22">
        <v>0</v>
      </c>
      <c r="H22">
        <f>Table1[[#This Row],[Start_PDT]]+Table1[[#This Row],[tPDT-BSL,i]]</f>
        <v>0</v>
      </c>
      <c r="K22" t="e">
        <f>INDEX(Table31[[#All],[Soil disturbance type]], MATCH(Table2[[#This Row],[stratum i]], Table31[[#All],[Stratum i]]))</f>
        <v>#N/A</v>
      </c>
      <c r="L22" t="e">
        <f>INDEX(Table31[[#All],[Drained more than 20 years ago before t = 0 as non peat soil]], MATCH(Table2[[#This Row],[stratum i]], Table31[[#All],[Stratum i]]))</f>
        <v>#N/A</v>
      </c>
      <c r="N22" t="e">
        <f>INDEX(Table1[[#All],[tPDT-BSL,i]], MATCH(Table2[[#This Row],[stratum i]], Table1[[#All],[stratum i]]))</f>
        <v>#N/A</v>
      </c>
      <c r="Q22" t="e">
        <f>INDEX(Table31[[#All],[VC,I (mineral soil portion)]], MATCH(Table2[[#This Row],[stratum i]], Table31[[#All],[Stratum i]]))</f>
        <v>#N/A</v>
      </c>
      <c r="S22" t="e">
        <f>INDEX(Table31[[#All],[RateCloss-BSL,i]], MATCH(Table2[[#This Row],[stratum i]], Table31[[#All],[Stratum i]]))</f>
        <v>#N/A</v>
      </c>
      <c r="T22"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2" s="36" t="e">
        <f>INDEX(Table1[[#All],[Start_PDT]], MATCH(Table2[[#This Row],[stratum i]], Table1[[#All],[stratum i]]))</f>
        <v>#N/A</v>
      </c>
      <c r="V22" s="36" t="e">
        <f>MIN(INDEX(Table1[[#All],[End_PDT]], MATCH(Table2[[#This Row],[stratum i]], Table1[[#All],[stratum i]])), Table2[[#This Row],[Number of crediting years]])</f>
        <v>#N/A</v>
      </c>
      <c r="W22" s="36" t="e">
        <f>IF(Table2[[#This Row],[tSDT-BSL,i]]&gt;0, Table2[[#This Row],[End_PDT]], 0)</f>
        <v>#N/A</v>
      </c>
      <c r="X22" s="36" t="e">
        <f>Table2[[#This Row],[Start_SDT]]+Table2[[#This Row],[tSDT-BSL,i]]</f>
        <v>#N/A</v>
      </c>
    </row>
    <row r="23" spans="5:24" x14ac:dyDescent="0.2">
      <c r="E23" t="e">
        <f>INDEX(Table31[[#All],[Ratepeatloss-BSL,I]], MATCH(Table1[[#This Row],[stratum i]], Table31[[#All],[Stratum i]]))</f>
        <v>#N/A</v>
      </c>
      <c r="F23">
        <f>IF(Table1[[#This Row],[Soil type (at Project Start)]]="Peat soil", Table1[[#This Row],[Depthpeat,i,t0]]/Table1[[#This Row],[Ratepeatloss-BSL,I]], 0)</f>
        <v>0</v>
      </c>
      <c r="G23">
        <v>0</v>
      </c>
      <c r="H23">
        <f>Table1[[#This Row],[Start_PDT]]+Table1[[#This Row],[tPDT-BSL,i]]</f>
        <v>0</v>
      </c>
      <c r="K23" t="e">
        <f>INDEX(Table31[[#All],[Soil disturbance type]], MATCH(Table2[[#This Row],[stratum i]], Table31[[#All],[Stratum i]]))</f>
        <v>#N/A</v>
      </c>
      <c r="L23" t="e">
        <f>INDEX(Table31[[#All],[Drained more than 20 years ago before t = 0 as non peat soil]], MATCH(Table2[[#This Row],[stratum i]], Table31[[#All],[Stratum i]]))</f>
        <v>#N/A</v>
      </c>
      <c r="N23" t="e">
        <f>INDEX(Table1[[#All],[tPDT-BSL,i]], MATCH(Table2[[#This Row],[stratum i]], Table1[[#All],[stratum i]]))</f>
        <v>#N/A</v>
      </c>
      <c r="Q23" t="e">
        <f>INDEX(Table31[[#All],[VC,I (mineral soil portion)]], MATCH(Table2[[#This Row],[stratum i]], Table31[[#All],[Stratum i]]))</f>
        <v>#N/A</v>
      </c>
      <c r="S23" t="e">
        <f>INDEX(Table31[[#All],[RateCloss-BSL,i]], MATCH(Table2[[#This Row],[stratum i]], Table31[[#All],[Stratum i]]))</f>
        <v>#N/A</v>
      </c>
      <c r="T23"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3" s="36" t="e">
        <f>INDEX(Table1[[#All],[Start_PDT]], MATCH(Table2[[#This Row],[stratum i]], Table1[[#All],[stratum i]]))</f>
        <v>#N/A</v>
      </c>
      <c r="V23" s="36" t="e">
        <f>MIN(INDEX(Table1[[#All],[End_PDT]], MATCH(Table2[[#This Row],[stratum i]], Table1[[#All],[stratum i]])), Table2[[#This Row],[Number of crediting years]])</f>
        <v>#N/A</v>
      </c>
      <c r="W23" s="36" t="e">
        <f>IF(Table2[[#This Row],[tSDT-BSL,i]]&gt;0, Table2[[#This Row],[End_PDT]], 0)</f>
        <v>#N/A</v>
      </c>
      <c r="X23" s="36" t="e">
        <f>Table2[[#This Row],[Start_SDT]]+Table2[[#This Row],[tSDT-BSL,i]]</f>
        <v>#N/A</v>
      </c>
    </row>
    <row r="24" spans="5:24" x14ac:dyDescent="0.2">
      <c r="E24" t="e">
        <f>INDEX(Table31[[#All],[Ratepeatloss-BSL,I]], MATCH(Table1[[#This Row],[stratum i]], Table31[[#All],[Stratum i]]))</f>
        <v>#N/A</v>
      </c>
      <c r="F24">
        <f>IF(Table1[[#This Row],[Soil type (at Project Start)]]="Peat soil", Table1[[#This Row],[Depthpeat,i,t0]]/Table1[[#This Row],[Ratepeatloss-BSL,I]], 0)</f>
        <v>0</v>
      </c>
      <c r="G24">
        <v>0</v>
      </c>
      <c r="H24">
        <f>Table1[[#This Row],[Start_PDT]]+Table1[[#This Row],[tPDT-BSL,i]]</f>
        <v>0</v>
      </c>
      <c r="K24" t="e">
        <f>INDEX(Table31[[#All],[Soil disturbance type]], MATCH(Table2[[#This Row],[stratum i]], Table31[[#All],[Stratum i]]))</f>
        <v>#N/A</v>
      </c>
      <c r="L24" t="e">
        <f>INDEX(Table31[[#All],[Drained more than 20 years ago before t = 0 as non peat soil]], MATCH(Table2[[#This Row],[stratum i]], Table31[[#All],[Stratum i]]))</f>
        <v>#N/A</v>
      </c>
      <c r="N24" t="e">
        <f>INDEX(Table1[[#All],[tPDT-BSL,i]], MATCH(Table2[[#This Row],[stratum i]], Table1[[#All],[stratum i]]))</f>
        <v>#N/A</v>
      </c>
      <c r="Q24" t="e">
        <f>INDEX(Table31[[#All],[VC,I (mineral soil portion)]], MATCH(Table2[[#This Row],[stratum i]], Table31[[#All],[Stratum i]]))</f>
        <v>#N/A</v>
      </c>
      <c r="S24" t="e">
        <f>INDEX(Table31[[#All],[RateCloss-BSL,i]], MATCH(Table2[[#This Row],[stratum i]], Table31[[#All],[Stratum i]]))</f>
        <v>#N/A</v>
      </c>
      <c r="T24"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4" s="36" t="e">
        <f>INDEX(Table1[[#All],[Start_PDT]], MATCH(Table2[[#This Row],[stratum i]], Table1[[#All],[stratum i]]))</f>
        <v>#N/A</v>
      </c>
      <c r="V24" s="36" t="e">
        <f>MIN(INDEX(Table1[[#All],[End_PDT]], MATCH(Table2[[#This Row],[stratum i]], Table1[[#All],[stratum i]])), Table2[[#This Row],[Number of crediting years]])</f>
        <v>#N/A</v>
      </c>
      <c r="W24" s="36" t="e">
        <f>IF(Table2[[#This Row],[tSDT-BSL,i]]&gt;0, Table2[[#This Row],[End_PDT]], 0)</f>
        <v>#N/A</v>
      </c>
      <c r="X24" s="36" t="e">
        <f>Table2[[#This Row],[Start_SDT]]+Table2[[#This Row],[tSDT-BSL,i]]</f>
        <v>#N/A</v>
      </c>
    </row>
    <row r="25" spans="5:24" x14ac:dyDescent="0.2">
      <c r="E25" t="e">
        <f>INDEX(Table31[[#All],[Ratepeatloss-BSL,I]], MATCH(Table1[[#This Row],[stratum i]], Table31[[#All],[Stratum i]]))</f>
        <v>#N/A</v>
      </c>
      <c r="F25">
        <f>IF(Table1[[#This Row],[Soil type (at Project Start)]]="Peat soil", Table1[[#This Row],[Depthpeat,i,t0]]/Table1[[#This Row],[Ratepeatloss-BSL,I]], 0)</f>
        <v>0</v>
      </c>
      <c r="G25">
        <v>0</v>
      </c>
      <c r="H25">
        <f>Table1[[#This Row],[Start_PDT]]+Table1[[#This Row],[tPDT-BSL,i]]</f>
        <v>0</v>
      </c>
      <c r="K25" t="e">
        <f>INDEX(Table31[[#All],[Soil disturbance type]], MATCH(Table2[[#This Row],[stratum i]], Table31[[#All],[Stratum i]]))</f>
        <v>#N/A</v>
      </c>
      <c r="L25" t="e">
        <f>INDEX(Table31[[#All],[Drained more than 20 years ago before t = 0 as non peat soil]], MATCH(Table2[[#This Row],[stratum i]], Table31[[#All],[Stratum i]]))</f>
        <v>#N/A</v>
      </c>
      <c r="N25" t="e">
        <f>INDEX(Table1[[#All],[tPDT-BSL,i]], MATCH(Table2[[#This Row],[stratum i]], Table1[[#All],[stratum i]]))</f>
        <v>#N/A</v>
      </c>
      <c r="Q25" t="e">
        <f>INDEX(Table31[[#All],[VC,I (mineral soil portion)]], MATCH(Table2[[#This Row],[stratum i]], Table31[[#All],[Stratum i]]))</f>
        <v>#N/A</v>
      </c>
      <c r="S25" t="e">
        <f>INDEX(Table31[[#All],[RateCloss-BSL,i]], MATCH(Table2[[#This Row],[stratum i]], Table31[[#All],[Stratum i]]))</f>
        <v>#N/A</v>
      </c>
      <c r="T25"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5" s="36" t="e">
        <f>INDEX(Table1[[#All],[Start_PDT]], MATCH(Table2[[#This Row],[stratum i]], Table1[[#All],[stratum i]]))</f>
        <v>#N/A</v>
      </c>
      <c r="V25" s="36" t="e">
        <f>MIN(INDEX(Table1[[#All],[End_PDT]], MATCH(Table2[[#This Row],[stratum i]], Table1[[#All],[stratum i]])), Table2[[#This Row],[Number of crediting years]])</f>
        <v>#N/A</v>
      </c>
      <c r="W25" s="36" t="e">
        <f>IF(Table2[[#This Row],[tSDT-BSL,i]]&gt;0, Table2[[#This Row],[End_PDT]], 0)</f>
        <v>#N/A</v>
      </c>
      <c r="X25" s="36" t="e">
        <f>Table2[[#This Row],[Start_SDT]]+Table2[[#This Row],[tSDT-BSL,i]]</f>
        <v>#N/A</v>
      </c>
    </row>
    <row r="26" spans="5:24" x14ac:dyDescent="0.2">
      <c r="E26" t="e">
        <f>INDEX(Table31[[#All],[Ratepeatloss-BSL,I]], MATCH(Table1[[#This Row],[stratum i]], Table31[[#All],[Stratum i]]))</f>
        <v>#N/A</v>
      </c>
      <c r="F26">
        <f>IF(Table1[[#This Row],[Soil type (at Project Start)]]="Peat soil", Table1[[#This Row],[Depthpeat,i,t0]]/Table1[[#This Row],[Ratepeatloss-BSL,I]], 0)</f>
        <v>0</v>
      </c>
      <c r="G26">
        <v>0</v>
      </c>
      <c r="H26">
        <f>Table1[[#This Row],[Start_PDT]]+Table1[[#This Row],[tPDT-BSL,i]]</f>
        <v>0</v>
      </c>
      <c r="K26" t="e">
        <f>INDEX(Table31[[#All],[Soil disturbance type]], MATCH(Table2[[#This Row],[stratum i]], Table31[[#All],[Stratum i]]))</f>
        <v>#N/A</v>
      </c>
      <c r="L26" t="e">
        <f>INDEX(Table31[[#All],[Drained more than 20 years ago before t = 0 as non peat soil]], MATCH(Table2[[#This Row],[stratum i]], Table31[[#All],[Stratum i]]))</f>
        <v>#N/A</v>
      </c>
      <c r="N26" t="e">
        <f>INDEX(Table1[[#All],[tPDT-BSL,i]], MATCH(Table2[[#This Row],[stratum i]], Table1[[#All],[stratum i]]))</f>
        <v>#N/A</v>
      </c>
      <c r="Q26" t="e">
        <f>INDEX(Table31[[#All],[VC,I (mineral soil portion)]], MATCH(Table2[[#This Row],[stratum i]], Table31[[#All],[Stratum i]]))</f>
        <v>#N/A</v>
      </c>
      <c r="S26" t="e">
        <f>INDEX(Table31[[#All],[RateCloss-BSL,i]], MATCH(Table2[[#This Row],[stratum i]], Table31[[#All],[Stratum i]]))</f>
        <v>#N/A</v>
      </c>
      <c r="T26"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6" s="36" t="e">
        <f>INDEX(Table1[[#All],[Start_PDT]], MATCH(Table2[[#This Row],[stratum i]], Table1[[#All],[stratum i]]))</f>
        <v>#N/A</v>
      </c>
      <c r="V26" s="36" t="e">
        <f>MIN(INDEX(Table1[[#All],[End_PDT]], MATCH(Table2[[#This Row],[stratum i]], Table1[[#All],[stratum i]])), Table2[[#This Row],[Number of crediting years]])</f>
        <v>#N/A</v>
      </c>
      <c r="W26" s="36" t="e">
        <f>IF(Table2[[#This Row],[tSDT-BSL,i]]&gt;0, Table2[[#This Row],[End_PDT]], 0)</f>
        <v>#N/A</v>
      </c>
      <c r="X26" s="36" t="e">
        <f>Table2[[#This Row],[Start_SDT]]+Table2[[#This Row],[tSDT-BSL,i]]</f>
        <v>#N/A</v>
      </c>
    </row>
    <row r="27" spans="5:24" x14ac:dyDescent="0.2">
      <c r="E27" t="e">
        <f>INDEX(Table31[[#All],[Ratepeatloss-BSL,I]], MATCH(Table1[[#This Row],[stratum i]], Table31[[#All],[Stratum i]]))</f>
        <v>#N/A</v>
      </c>
      <c r="F27">
        <f>IF(Table1[[#This Row],[Soil type (at Project Start)]]="Peat soil", Table1[[#This Row],[Depthpeat,i,t0]]/Table1[[#This Row],[Ratepeatloss-BSL,I]], 0)</f>
        <v>0</v>
      </c>
      <c r="G27">
        <v>0</v>
      </c>
      <c r="H27">
        <f>Table1[[#This Row],[Start_PDT]]+Table1[[#This Row],[tPDT-BSL,i]]</f>
        <v>0</v>
      </c>
      <c r="K27" t="e">
        <f>INDEX(Table31[[#All],[Soil disturbance type]], MATCH(Table2[[#This Row],[stratum i]], Table31[[#All],[Stratum i]]))</f>
        <v>#N/A</v>
      </c>
      <c r="L27" t="e">
        <f>INDEX(Table31[[#All],[Drained more than 20 years ago before t = 0 as non peat soil]], MATCH(Table2[[#This Row],[stratum i]], Table31[[#All],[Stratum i]]))</f>
        <v>#N/A</v>
      </c>
      <c r="N27" t="e">
        <f>INDEX(Table1[[#All],[tPDT-BSL,i]], MATCH(Table2[[#This Row],[stratum i]], Table1[[#All],[stratum i]]))</f>
        <v>#N/A</v>
      </c>
      <c r="Q27" t="e">
        <f>INDEX(Table31[[#All],[VC,I (mineral soil portion)]], MATCH(Table2[[#This Row],[stratum i]], Table31[[#All],[Stratum i]]))</f>
        <v>#N/A</v>
      </c>
      <c r="S27" t="e">
        <f>INDEX(Table31[[#All],[RateCloss-BSL,i]], MATCH(Table2[[#This Row],[stratum i]], Table31[[#All],[Stratum i]]))</f>
        <v>#N/A</v>
      </c>
      <c r="T27"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7" s="36" t="e">
        <f>INDEX(Table1[[#All],[Start_PDT]], MATCH(Table2[[#This Row],[stratum i]], Table1[[#All],[stratum i]]))</f>
        <v>#N/A</v>
      </c>
      <c r="V27" s="36" t="e">
        <f>MIN(INDEX(Table1[[#All],[End_PDT]], MATCH(Table2[[#This Row],[stratum i]], Table1[[#All],[stratum i]])), Table2[[#This Row],[Number of crediting years]])</f>
        <v>#N/A</v>
      </c>
      <c r="W27" s="36" t="e">
        <f>IF(Table2[[#This Row],[tSDT-BSL,i]]&gt;0, Table2[[#This Row],[End_PDT]], 0)</f>
        <v>#N/A</v>
      </c>
      <c r="X27" s="36" t="e">
        <f>Table2[[#This Row],[Start_SDT]]+Table2[[#This Row],[tSDT-BSL,i]]</f>
        <v>#N/A</v>
      </c>
    </row>
    <row r="28" spans="5:24" x14ac:dyDescent="0.2">
      <c r="E28" t="e">
        <f>INDEX(Table31[[#All],[Ratepeatloss-BSL,I]], MATCH(Table1[[#This Row],[stratum i]], Table31[[#All],[Stratum i]]))</f>
        <v>#N/A</v>
      </c>
      <c r="F28">
        <f>IF(Table1[[#This Row],[Soil type (at Project Start)]]="Peat soil", Table1[[#This Row],[Depthpeat,i,t0]]/Table1[[#This Row],[Ratepeatloss-BSL,I]], 0)</f>
        <v>0</v>
      </c>
      <c r="G28">
        <v>0</v>
      </c>
      <c r="H28">
        <f>Table1[[#This Row],[Start_PDT]]+Table1[[#This Row],[tPDT-BSL,i]]</f>
        <v>0</v>
      </c>
      <c r="K28" t="e">
        <f>INDEX(Table31[[#All],[Soil disturbance type]], MATCH(Table2[[#This Row],[stratum i]], Table31[[#All],[Stratum i]]))</f>
        <v>#N/A</v>
      </c>
      <c r="L28" t="e">
        <f>INDEX(Table31[[#All],[Drained more than 20 years ago before t = 0 as non peat soil]], MATCH(Table2[[#This Row],[stratum i]], Table31[[#All],[Stratum i]]))</f>
        <v>#N/A</v>
      </c>
      <c r="N28" t="e">
        <f>INDEX(Table1[[#All],[tPDT-BSL,i]], MATCH(Table2[[#This Row],[stratum i]], Table1[[#All],[stratum i]]))</f>
        <v>#N/A</v>
      </c>
      <c r="Q28" t="e">
        <f>INDEX(Table31[[#All],[VC,I (mineral soil portion)]], MATCH(Table2[[#This Row],[stratum i]], Table31[[#All],[Stratum i]]))</f>
        <v>#N/A</v>
      </c>
      <c r="S28" t="e">
        <f>INDEX(Table31[[#All],[RateCloss-BSL,i]], MATCH(Table2[[#This Row],[stratum i]], Table31[[#All],[Stratum i]]))</f>
        <v>#N/A</v>
      </c>
      <c r="T28"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8" s="36" t="e">
        <f>INDEX(Table1[[#All],[Start_PDT]], MATCH(Table2[[#This Row],[stratum i]], Table1[[#All],[stratum i]]))</f>
        <v>#N/A</v>
      </c>
      <c r="V28" s="36" t="e">
        <f>MIN(INDEX(Table1[[#All],[End_PDT]], MATCH(Table2[[#This Row],[stratum i]], Table1[[#All],[stratum i]])), Table2[[#This Row],[Number of crediting years]])</f>
        <v>#N/A</v>
      </c>
      <c r="W28" s="36" t="e">
        <f>IF(Table2[[#This Row],[tSDT-BSL,i]]&gt;0, Table2[[#This Row],[End_PDT]], 0)</f>
        <v>#N/A</v>
      </c>
      <c r="X28" s="36" t="e">
        <f>Table2[[#This Row],[Start_SDT]]+Table2[[#This Row],[tSDT-BSL,i]]</f>
        <v>#N/A</v>
      </c>
    </row>
    <row r="29" spans="5:24" x14ac:dyDescent="0.2">
      <c r="E29" t="e">
        <f>INDEX(Table31[[#All],[Ratepeatloss-BSL,I]], MATCH(Table1[[#This Row],[stratum i]], Table31[[#All],[Stratum i]]))</f>
        <v>#N/A</v>
      </c>
      <c r="F29">
        <f>IF(Table1[[#This Row],[Soil type (at Project Start)]]="Peat soil", Table1[[#This Row],[Depthpeat,i,t0]]/Table1[[#This Row],[Ratepeatloss-BSL,I]], 0)</f>
        <v>0</v>
      </c>
      <c r="G29">
        <v>0</v>
      </c>
      <c r="H29">
        <f>Table1[[#This Row],[Start_PDT]]+Table1[[#This Row],[tPDT-BSL,i]]</f>
        <v>0</v>
      </c>
      <c r="K29" t="e">
        <f>INDEX(Table31[[#All],[Soil disturbance type]], MATCH(Table2[[#This Row],[stratum i]], Table31[[#All],[Stratum i]]))</f>
        <v>#N/A</v>
      </c>
      <c r="L29" t="e">
        <f>INDEX(Table31[[#All],[Drained more than 20 years ago before t = 0 as non peat soil]], MATCH(Table2[[#This Row],[stratum i]], Table31[[#All],[Stratum i]]))</f>
        <v>#N/A</v>
      </c>
      <c r="N29" t="e">
        <f>INDEX(Table1[[#All],[tPDT-BSL,i]], MATCH(Table2[[#This Row],[stratum i]], Table1[[#All],[stratum i]]))</f>
        <v>#N/A</v>
      </c>
      <c r="Q29" t="e">
        <f>INDEX(Table31[[#All],[VC,I (mineral soil portion)]], MATCH(Table2[[#This Row],[stratum i]], Table31[[#All],[Stratum i]]))</f>
        <v>#N/A</v>
      </c>
      <c r="S29" t="e">
        <f>INDEX(Table31[[#All],[RateCloss-BSL,i]], MATCH(Table2[[#This Row],[stratum i]], Table31[[#All],[Stratum i]]))</f>
        <v>#N/A</v>
      </c>
      <c r="T29"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29" s="36" t="e">
        <f>INDEX(Table1[[#All],[Start_PDT]], MATCH(Table2[[#This Row],[stratum i]], Table1[[#All],[stratum i]]))</f>
        <v>#N/A</v>
      </c>
      <c r="V29" s="36" t="e">
        <f>MIN(INDEX(Table1[[#All],[End_PDT]], MATCH(Table2[[#This Row],[stratum i]], Table1[[#All],[stratum i]])), Table2[[#This Row],[Number of crediting years]])</f>
        <v>#N/A</v>
      </c>
      <c r="W29" s="36" t="e">
        <f>IF(Table2[[#This Row],[tSDT-BSL,i]]&gt;0, Table2[[#This Row],[End_PDT]], 0)</f>
        <v>#N/A</v>
      </c>
      <c r="X29" s="36" t="e">
        <f>Table2[[#This Row],[Start_SDT]]+Table2[[#This Row],[tSDT-BSL,i]]</f>
        <v>#N/A</v>
      </c>
    </row>
    <row r="30" spans="5:24" x14ac:dyDescent="0.2">
      <c r="E30" t="e">
        <f>INDEX(Table31[[#All],[Ratepeatloss-BSL,I]], MATCH(Table1[[#This Row],[stratum i]], Table31[[#All],[Stratum i]]))</f>
        <v>#N/A</v>
      </c>
      <c r="F30">
        <f>IF(Table1[[#This Row],[Soil type (at Project Start)]]="Peat soil", Table1[[#This Row],[Depthpeat,i,t0]]/Table1[[#This Row],[Ratepeatloss-BSL,I]], 0)</f>
        <v>0</v>
      </c>
      <c r="G30">
        <v>0</v>
      </c>
      <c r="H30">
        <f>Table1[[#This Row],[Start_PDT]]+Table1[[#This Row],[tPDT-BSL,i]]</f>
        <v>0</v>
      </c>
      <c r="K30" t="e">
        <f>INDEX(Table31[[#All],[Soil disturbance type]], MATCH(Table2[[#This Row],[stratum i]], Table31[[#All],[Stratum i]]))</f>
        <v>#N/A</v>
      </c>
      <c r="L30" t="e">
        <f>INDEX(Table31[[#All],[Drained more than 20 years ago before t = 0 as non peat soil]], MATCH(Table2[[#This Row],[stratum i]], Table31[[#All],[Stratum i]]))</f>
        <v>#N/A</v>
      </c>
      <c r="N30" t="e">
        <f>INDEX(Table1[[#All],[tPDT-BSL,i]], MATCH(Table2[[#This Row],[stratum i]], Table1[[#All],[stratum i]]))</f>
        <v>#N/A</v>
      </c>
      <c r="Q30" t="e">
        <f>INDEX(Table31[[#All],[VC,I (mineral soil portion)]], MATCH(Table2[[#This Row],[stratum i]], Table31[[#All],[Stratum i]]))</f>
        <v>#N/A</v>
      </c>
      <c r="S30" t="e">
        <f>INDEX(Table31[[#All],[RateCloss-BSL,i]], MATCH(Table2[[#This Row],[stratum i]], Table31[[#All],[Stratum i]]))</f>
        <v>#N/A</v>
      </c>
      <c r="T30"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0" s="36" t="e">
        <f>INDEX(Table1[[#All],[Start_PDT]], MATCH(Table2[[#This Row],[stratum i]], Table1[[#All],[stratum i]]))</f>
        <v>#N/A</v>
      </c>
      <c r="V30" s="36" t="e">
        <f>MIN(INDEX(Table1[[#All],[End_PDT]], MATCH(Table2[[#This Row],[stratum i]], Table1[[#All],[stratum i]])), Table2[[#This Row],[Number of crediting years]])</f>
        <v>#N/A</v>
      </c>
      <c r="W30" s="36" t="e">
        <f>IF(Table2[[#This Row],[tSDT-BSL,i]]&gt;0, Table2[[#This Row],[End_PDT]], 0)</f>
        <v>#N/A</v>
      </c>
      <c r="X30" s="36" t="e">
        <f>Table2[[#This Row],[Start_SDT]]+Table2[[#This Row],[tSDT-BSL,i]]</f>
        <v>#N/A</v>
      </c>
    </row>
    <row r="31" spans="5:24" x14ac:dyDescent="0.2">
      <c r="E31" t="e">
        <f>INDEX(Table31[[#All],[Ratepeatloss-BSL,I]], MATCH(Table1[[#This Row],[stratum i]], Table31[[#All],[Stratum i]]))</f>
        <v>#N/A</v>
      </c>
      <c r="F31">
        <f>IF(Table1[[#This Row],[Soil type (at Project Start)]]="Peat soil", Table1[[#This Row],[Depthpeat,i,t0]]/Table1[[#This Row],[Ratepeatloss-BSL,I]], 0)</f>
        <v>0</v>
      </c>
      <c r="G31">
        <v>0</v>
      </c>
      <c r="H31">
        <f>Table1[[#This Row],[Start_PDT]]+Table1[[#This Row],[tPDT-BSL,i]]</f>
        <v>0</v>
      </c>
      <c r="K31" t="e">
        <f>INDEX(Table31[[#All],[Soil disturbance type]], MATCH(Table2[[#This Row],[stratum i]], Table31[[#All],[Stratum i]]))</f>
        <v>#N/A</v>
      </c>
      <c r="L31" t="e">
        <f>INDEX(Table31[[#All],[Drained more than 20 years ago before t = 0 as non peat soil]], MATCH(Table2[[#This Row],[stratum i]], Table31[[#All],[Stratum i]]))</f>
        <v>#N/A</v>
      </c>
      <c r="N31" t="e">
        <f>INDEX(Table1[[#All],[tPDT-BSL,i]], MATCH(Table2[[#This Row],[stratum i]], Table1[[#All],[stratum i]]))</f>
        <v>#N/A</v>
      </c>
      <c r="Q31" t="e">
        <f>INDEX(Table31[[#All],[VC,I (mineral soil portion)]], MATCH(Table2[[#This Row],[stratum i]], Table31[[#All],[Stratum i]]))</f>
        <v>#N/A</v>
      </c>
      <c r="S31" t="e">
        <f>INDEX(Table31[[#All],[RateCloss-BSL,i]], MATCH(Table2[[#This Row],[stratum i]], Table31[[#All],[Stratum i]]))</f>
        <v>#N/A</v>
      </c>
      <c r="T31"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1" s="36" t="e">
        <f>INDEX(Table1[[#All],[Start_PDT]], MATCH(Table2[[#This Row],[stratum i]], Table1[[#All],[stratum i]]))</f>
        <v>#N/A</v>
      </c>
      <c r="V31" s="36" t="e">
        <f>MIN(INDEX(Table1[[#All],[End_PDT]], MATCH(Table2[[#This Row],[stratum i]], Table1[[#All],[stratum i]])), Table2[[#This Row],[Number of crediting years]])</f>
        <v>#N/A</v>
      </c>
      <c r="W31" s="36" t="e">
        <f>IF(Table2[[#This Row],[tSDT-BSL,i]]&gt;0, Table2[[#This Row],[End_PDT]], 0)</f>
        <v>#N/A</v>
      </c>
      <c r="X31" s="36" t="e">
        <f>Table2[[#This Row],[Start_SDT]]+Table2[[#This Row],[tSDT-BSL,i]]</f>
        <v>#N/A</v>
      </c>
    </row>
    <row r="32" spans="5:24" x14ac:dyDescent="0.2">
      <c r="E32" t="e">
        <f>INDEX(Table31[[#All],[Ratepeatloss-BSL,I]], MATCH(Table1[[#This Row],[stratum i]], Table31[[#All],[Stratum i]]))</f>
        <v>#N/A</v>
      </c>
      <c r="F32">
        <f>IF(Table1[[#This Row],[Soil type (at Project Start)]]="Peat soil", Table1[[#This Row],[Depthpeat,i,t0]]/Table1[[#This Row],[Ratepeatloss-BSL,I]], 0)</f>
        <v>0</v>
      </c>
      <c r="G32">
        <v>0</v>
      </c>
      <c r="H32">
        <f>Table1[[#This Row],[Start_PDT]]+Table1[[#This Row],[tPDT-BSL,i]]</f>
        <v>0</v>
      </c>
      <c r="K32" t="e">
        <f>INDEX(Table31[[#All],[Soil disturbance type]], MATCH(Table2[[#This Row],[stratum i]], Table31[[#All],[Stratum i]]))</f>
        <v>#N/A</v>
      </c>
      <c r="L32" t="e">
        <f>INDEX(Table31[[#All],[Drained more than 20 years ago before t = 0 as non peat soil]], MATCH(Table2[[#This Row],[stratum i]], Table31[[#All],[Stratum i]]))</f>
        <v>#N/A</v>
      </c>
      <c r="N32" t="e">
        <f>INDEX(Table1[[#All],[tPDT-BSL,i]], MATCH(Table2[[#This Row],[stratum i]], Table1[[#All],[stratum i]]))</f>
        <v>#N/A</v>
      </c>
      <c r="Q32" t="e">
        <f>INDEX(Table31[[#All],[VC,I (mineral soil portion)]], MATCH(Table2[[#This Row],[stratum i]], Table31[[#All],[Stratum i]]))</f>
        <v>#N/A</v>
      </c>
      <c r="S32" t="e">
        <f>INDEX(Table31[[#All],[RateCloss-BSL,i]], MATCH(Table2[[#This Row],[stratum i]], Table31[[#All],[Stratum i]]))</f>
        <v>#N/A</v>
      </c>
      <c r="T32"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2" s="36" t="e">
        <f>INDEX(Table1[[#All],[Start_PDT]], MATCH(Table2[[#This Row],[stratum i]], Table1[[#All],[stratum i]]))</f>
        <v>#N/A</v>
      </c>
      <c r="V32" s="36" t="e">
        <f>MIN(INDEX(Table1[[#All],[End_PDT]], MATCH(Table2[[#This Row],[stratum i]], Table1[[#All],[stratum i]])), Table2[[#This Row],[Number of crediting years]])</f>
        <v>#N/A</v>
      </c>
      <c r="W32" s="36" t="e">
        <f>IF(Table2[[#This Row],[tSDT-BSL,i]]&gt;0, Table2[[#This Row],[End_PDT]], 0)</f>
        <v>#N/A</v>
      </c>
      <c r="X32" s="36" t="e">
        <f>Table2[[#This Row],[Start_SDT]]+Table2[[#This Row],[tSDT-BSL,i]]</f>
        <v>#N/A</v>
      </c>
    </row>
    <row r="33" spans="5:24" x14ac:dyDescent="0.2">
      <c r="E33" t="e">
        <f>INDEX(Table31[[#All],[Ratepeatloss-BSL,I]], MATCH(Table1[[#This Row],[stratum i]], Table31[[#All],[Stratum i]]))</f>
        <v>#N/A</v>
      </c>
      <c r="F33">
        <f>IF(Table1[[#This Row],[Soil type (at Project Start)]]="Peat soil", Table1[[#This Row],[Depthpeat,i,t0]]/Table1[[#This Row],[Ratepeatloss-BSL,I]], 0)</f>
        <v>0</v>
      </c>
      <c r="G33">
        <v>0</v>
      </c>
      <c r="H33">
        <f>Table1[[#This Row],[Start_PDT]]+Table1[[#This Row],[tPDT-BSL,i]]</f>
        <v>0</v>
      </c>
      <c r="K33" t="e">
        <f>INDEX(Table31[[#All],[Soil disturbance type]], MATCH(Table2[[#This Row],[stratum i]], Table31[[#All],[Stratum i]]))</f>
        <v>#N/A</v>
      </c>
      <c r="L33" t="e">
        <f>INDEX(Table31[[#All],[Drained more than 20 years ago before t = 0 as non peat soil]], MATCH(Table2[[#This Row],[stratum i]], Table31[[#All],[Stratum i]]))</f>
        <v>#N/A</v>
      </c>
      <c r="N33" t="e">
        <f>INDEX(Table1[[#All],[tPDT-BSL,i]], MATCH(Table2[[#This Row],[stratum i]], Table1[[#All],[stratum i]]))</f>
        <v>#N/A</v>
      </c>
      <c r="Q33" t="e">
        <f>INDEX(Table31[[#All],[VC,I (mineral soil portion)]], MATCH(Table2[[#This Row],[stratum i]], Table31[[#All],[Stratum i]]))</f>
        <v>#N/A</v>
      </c>
      <c r="S33" t="e">
        <f>INDEX(Table31[[#All],[RateCloss-BSL,i]], MATCH(Table2[[#This Row],[stratum i]], Table31[[#All],[Stratum i]]))</f>
        <v>#N/A</v>
      </c>
      <c r="T33"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3" s="36" t="e">
        <f>INDEX(Table1[[#All],[Start_PDT]], MATCH(Table2[[#This Row],[stratum i]], Table1[[#All],[stratum i]]))</f>
        <v>#N/A</v>
      </c>
      <c r="V33" s="36" t="e">
        <f>MIN(INDEX(Table1[[#All],[End_PDT]], MATCH(Table2[[#This Row],[stratum i]], Table1[[#All],[stratum i]])), Table2[[#This Row],[Number of crediting years]])</f>
        <v>#N/A</v>
      </c>
      <c r="W33" s="36" t="e">
        <f>IF(Table2[[#This Row],[tSDT-BSL,i]]&gt;0, Table2[[#This Row],[End_PDT]], 0)</f>
        <v>#N/A</v>
      </c>
      <c r="X33" s="36" t="e">
        <f>Table2[[#This Row],[Start_SDT]]+Table2[[#This Row],[tSDT-BSL,i]]</f>
        <v>#N/A</v>
      </c>
    </row>
    <row r="34" spans="5:24" x14ac:dyDescent="0.2">
      <c r="E34" t="e">
        <f>INDEX(Table31[[#All],[Ratepeatloss-BSL,I]], MATCH(Table1[[#This Row],[stratum i]], Table31[[#All],[Stratum i]]))</f>
        <v>#N/A</v>
      </c>
      <c r="F34">
        <f>IF(Table1[[#This Row],[Soil type (at Project Start)]]="Peat soil", Table1[[#This Row],[Depthpeat,i,t0]]/Table1[[#This Row],[Ratepeatloss-BSL,I]], 0)</f>
        <v>0</v>
      </c>
      <c r="G34">
        <v>0</v>
      </c>
      <c r="H34">
        <f>Table1[[#This Row],[Start_PDT]]+Table1[[#This Row],[tPDT-BSL,i]]</f>
        <v>0</v>
      </c>
      <c r="K34" t="e">
        <f>INDEX(Table31[[#All],[Soil disturbance type]], MATCH(Table2[[#This Row],[stratum i]], Table31[[#All],[Stratum i]]))</f>
        <v>#N/A</v>
      </c>
      <c r="L34" t="e">
        <f>INDEX(Table31[[#All],[Drained more than 20 years ago before t = 0 as non peat soil]], MATCH(Table2[[#This Row],[stratum i]], Table31[[#All],[Stratum i]]))</f>
        <v>#N/A</v>
      </c>
      <c r="N34" t="e">
        <f>INDEX(Table1[[#All],[tPDT-BSL,i]], MATCH(Table2[[#This Row],[stratum i]], Table1[[#All],[stratum i]]))</f>
        <v>#N/A</v>
      </c>
      <c r="Q34" t="e">
        <f>INDEX(Table31[[#All],[VC,I (mineral soil portion)]], MATCH(Table2[[#This Row],[stratum i]], Table31[[#All],[Stratum i]]))</f>
        <v>#N/A</v>
      </c>
      <c r="S34" t="e">
        <f>INDEX(Table31[[#All],[RateCloss-BSL,i]], MATCH(Table2[[#This Row],[stratum i]], Table31[[#All],[Stratum i]]))</f>
        <v>#N/A</v>
      </c>
      <c r="T34"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4" s="36" t="e">
        <f>INDEX(Table1[[#All],[Start_PDT]], MATCH(Table2[[#This Row],[stratum i]], Table1[[#All],[stratum i]]))</f>
        <v>#N/A</v>
      </c>
      <c r="V34" s="36" t="e">
        <f>MIN(INDEX(Table1[[#All],[End_PDT]], MATCH(Table2[[#This Row],[stratum i]], Table1[[#All],[stratum i]])), Table2[[#This Row],[Number of crediting years]])</f>
        <v>#N/A</v>
      </c>
      <c r="W34" s="36" t="e">
        <f>IF(Table2[[#This Row],[tSDT-BSL,i]]&gt;0, Table2[[#This Row],[End_PDT]], 0)</f>
        <v>#N/A</v>
      </c>
      <c r="X34" s="36" t="e">
        <f>Table2[[#This Row],[Start_SDT]]+Table2[[#This Row],[tSDT-BSL,i]]</f>
        <v>#N/A</v>
      </c>
    </row>
    <row r="35" spans="5:24" x14ac:dyDescent="0.2">
      <c r="E35" t="e">
        <f>INDEX(Table31[[#All],[Ratepeatloss-BSL,I]], MATCH(Table1[[#This Row],[stratum i]], Table31[[#All],[Stratum i]]))</f>
        <v>#N/A</v>
      </c>
      <c r="F35">
        <f>IF(Table1[[#This Row],[Soil type (at Project Start)]]="Peat soil", Table1[[#This Row],[Depthpeat,i,t0]]/Table1[[#This Row],[Ratepeatloss-BSL,I]], 0)</f>
        <v>0</v>
      </c>
      <c r="G35">
        <v>0</v>
      </c>
      <c r="H35">
        <f>Table1[[#This Row],[Start_PDT]]+Table1[[#This Row],[tPDT-BSL,i]]</f>
        <v>0</v>
      </c>
      <c r="K35" t="e">
        <f>INDEX(Table31[[#All],[Soil disturbance type]], MATCH(Table2[[#This Row],[stratum i]], Table31[[#All],[Stratum i]]))</f>
        <v>#N/A</v>
      </c>
      <c r="L35" t="e">
        <f>INDEX(Table31[[#All],[Drained more than 20 years ago before t = 0 as non peat soil]], MATCH(Table2[[#This Row],[stratum i]], Table31[[#All],[Stratum i]]))</f>
        <v>#N/A</v>
      </c>
      <c r="N35" t="e">
        <f>INDEX(Table1[[#All],[tPDT-BSL,i]], MATCH(Table2[[#This Row],[stratum i]], Table1[[#All],[stratum i]]))</f>
        <v>#N/A</v>
      </c>
      <c r="Q35" t="e">
        <f>INDEX(Table31[[#All],[VC,I (mineral soil portion)]], MATCH(Table2[[#This Row],[stratum i]], Table31[[#All],[Stratum i]]))</f>
        <v>#N/A</v>
      </c>
      <c r="S35" t="e">
        <f>INDEX(Table31[[#All],[RateCloss-BSL,i]], MATCH(Table2[[#This Row],[stratum i]], Table31[[#All],[Stratum i]]))</f>
        <v>#N/A</v>
      </c>
      <c r="T35"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5" s="36" t="e">
        <f>INDEX(Table1[[#All],[Start_PDT]], MATCH(Table2[[#This Row],[stratum i]], Table1[[#All],[stratum i]]))</f>
        <v>#N/A</v>
      </c>
      <c r="V35" s="36" t="e">
        <f>MIN(INDEX(Table1[[#All],[End_PDT]], MATCH(Table2[[#This Row],[stratum i]], Table1[[#All],[stratum i]])), Table2[[#This Row],[Number of crediting years]])</f>
        <v>#N/A</v>
      </c>
      <c r="W35" s="36" t="e">
        <f>IF(Table2[[#This Row],[tSDT-BSL,i]]&gt;0, Table2[[#This Row],[End_PDT]], 0)</f>
        <v>#N/A</v>
      </c>
      <c r="X35" s="36" t="e">
        <f>Table2[[#This Row],[Start_SDT]]+Table2[[#This Row],[tSDT-BSL,i]]</f>
        <v>#N/A</v>
      </c>
    </row>
    <row r="36" spans="5:24" x14ac:dyDescent="0.2">
      <c r="E36" t="e">
        <f>INDEX(Table31[[#All],[Ratepeatloss-BSL,I]], MATCH(Table1[[#This Row],[stratum i]], Table31[[#All],[Stratum i]]))</f>
        <v>#N/A</v>
      </c>
      <c r="F36">
        <f>IF(Table1[[#This Row],[Soil type (at Project Start)]]="Peat soil", Table1[[#This Row],[Depthpeat,i,t0]]/Table1[[#This Row],[Ratepeatloss-BSL,I]], 0)</f>
        <v>0</v>
      </c>
      <c r="G36">
        <v>0</v>
      </c>
      <c r="H36">
        <f>Table1[[#This Row],[Start_PDT]]+Table1[[#This Row],[tPDT-BSL,i]]</f>
        <v>0</v>
      </c>
      <c r="K36" t="e">
        <f>INDEX(Table31[[#All],[Soil disturbance type]], MATCH(Table2[[#This Row],[stratum i]], Table31[[#All],[Stratum i]]))</f>
        <v>#N/A</v>
      </c>
      <c r="L36" t="e">
        <f>INDEX(Table31[[#All],[Drained more than 20 years ago before t = 0 as non peat soil]], MATCH(Table2[[#This Row],[stratum i]], Table31[[#All],[Stratum i]]))</f>
        <v>#N/A</v>
      </c>
      <c r="N36" t="e">
        <f>INDEX(Table1[[#All],[tPDT-BSL,i]], MATCH(Table2[[#This Row],[stratum i]], Table1[[#All],[stratum i]]))</f>
        <v>#N/A</v>
      </c>
      <c r="Q36" t="e">
        <f>INDEX(Table31[[#All],[VC,I (mineral soil portion)]], MATCH(Table2[[#This Row],[stratum i]], Table31[[#All],[Stratum i]]))</f>
        <v>#N/A</v>
      </c>
      <c r="S36" t="e">
        <f>INDEX(Table31[[#All],[RateCloss-BSL,i]], MATCH(Table2[[#This Row],[stratum i]], Table31[[#All],[Stratum i]]))</f>
        <v>#N/A</v>
      </c>
      <c r="T36" t="e">
        <f>IF(OR(Table2[[#This Row],[Drained more than 20 years ago before t = 0?]]="Yes", Table2[[#This Row],[Significant soil erosion in baseline scenario?]]="Yes"), 0, IF(Table2[[#This Row],[Number of crediting years]]-Table2[[#This Row],[tPDT-BSL,i]] &gt; 0, IF(Table2[[#This Row],[Soil disturbance type]]="Erosion", 5, Table2[[#This Row],[CBSL,i,t0]]/Table2[[#This Row],[RateCloss-BSL,i]]), 0))</f>
        <v>#N/A</v>
      </c>
      <c r="U36" s="36" t="e">
        <f>INDEX(Table1[[#All],[Start_PDT]], MATCH(Table2[[#This Row],[stratum i]], Table1[[#All],[stratum i]]))</f>
        <v>#N/A</v>
      </c>
      <c r="V36" s="36" t="e">
        <f>MIN(INDEX(Table1[[#All],[End_PDT]], MATCH(Table2[[#This Row],[stratum i]], Table1[[#All],[stratum i]])), Table2[[#This Row],[Number of crediting years]])</f>
        <v>#N/A</v>
      </c>
      <c r="W36" s="36" t="e">
        <f>IF(Table2[[#This Row],[tSDT-BSL,i]]&gt;0, Table2[[#This Row],[End_PDT]], 0)</f>
        <v>#N/A</v>
      </c>
      <c r="X36" s="36" t="e">
        <f>Table2[[#This Row],[Start_SDT]]+Table2[[#This Row],[tSDT-BSL,i]]</f>
        <v>#N/A</v>
      </c>
    </row>
  </sheetData>
  <mergeCells count="1">
    <mergeCell ref="U6:X6"/>
  </mergeCells>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EEFCB-AA6D-477C-9908-C4212DDC057A}">
  <dimension ref="A1:AD47"/>
  <sheetViews>
    <sheetView workbookViewId="0"/>
  </sheetViews>
  <sheetFormatPr baseColWidth="10" defaultColWidth="8.83203125" defaultRowHeight="15" x14ac:dyDescent="0.2"/>
  <cols>
    <col min="3" max="3" width="17.33203125" customWidth="1"/>
    <col min="4" max="4" width="20.33203125" customWidth="1"/>
    <col min="5" max="5" width="31.1640625" customWidth="1"/>
    <col min="6" max="6" width="47.6640625" customWidth="1"/>
    <col min="7" max="7" width="50" customWidth="1"/>
    <col min="8" max="8" width="39.1640625" customWidth="1"/>
    <col min="9" max="9" width="28.6640625" customWidth="1"/>
    <col min="10" max="10" width="29" customWidth="1"/>
    <col min="11" max="11" width="26" customWidth="1"/>
    <col min="12" max="12" width="28.6640625" customWidth="1"/>
    <col min="13" max="13" width="30" customWidth="1"/>
    <col min="14" max="14" width="21" customWidth="1"/>
    <col min="15" max="15" width="10.33203125" customWidth="1"/>
    <col min="16" max="16" width="10" customWidth="1"/>
    <col min="17" max="17" width="11" customWidth="1"/>
    <col min="20" max="20" width="39.1640625" customWidth="1"/>
    <col min="21" max="21" width="21.33203125" customWidth="1"/>
    <col min="22" max="22" width="31.6640625" customWidth="1"/>
    <col min="23" max="23" width="25.33203125" customWidth="1"/>
    <col min="24" max="24" width="21.33203125" customWidth="1"/>
    <col min="25" max="25" width="22" customWidth="1"/>
    <col min="26" max="26" width="31.83203125" customWidth="1"/>
    <col min="27" max="27" width="39" customWidth="1"/>
    <col min="28" max="28" width="32.1640625" customWidth="1"/>
    <col min="29" max="29" width="26.6640625" customWidth="1"/>
    <col min="30" max="30" width="28.6640625" customWidth="1"/>
    <col min="31" max="31" width="18.6640625" customWidth="1"/>
  </cols>
  <sheetData>
    <row r="1" spans="1:18" ht="24" x14ac:dyDescent="0.3">
      <c r="B1" s="38" t="s">
        <v>306</v>
      </c>
      <c r="J1" t="s">
        <v>49</v>
      </c>
    </row>
    <row r="2" spans="1:18" x14ac:dyDescent="0.2">
      <c r="J2" t="s">
        <v>55</v>
      </c>
    </row>
    <row r="3" spans="1:18" x14ac:dyDescent="0.2">
      <c r="C3" t="s">
        <v>307</v>
      </c>
    </row>
    <row r="4" spans="1:18" x14ac:dyDescent="0.2">
      <c r="C4" s="2" t="s">
        <v>308</v>
      </c>
      <c r="D4" s="2" t="s">
        <v>61</v>
      </c>
      <c r="E4" s="2" t="s">
        <v>309</v>
      </c>
    </row>
    <row r="5" spans="1:18" x14ac:dyDescent="0.2">
      <c r="C5" s="2">
        <v>1</v>
      </c>
      <c r="D5" s="2" t="str">
        <f>SOC_Cap_Approach</f>
        <v>Total stock approach</v>
      </c>
      <c r="E5" s="42" t="e">
        <f>IF(SOC_Cap_Approach= "Total stock approach", INDEX(Table4[[#All],[𝐶𝑊𝑃𝑆−𝐵𝑆𝐿,𝑡100 (Total stock approach)]], MATCH(C5,Table4[[#All],[Project instance]])), INDEX(Table4[[#All],[CWPS-BSL,t100 (Stock-loss approach)]], MATCH(C5, Table4[[#All],[Project instance]])))</f>
        <v>#VALUE!</v>
      </c>
      <c r="F5" s="19" t="s">
        <v>310</v>
      </c>
    </row>
    <row r="7" spans="1:18" x14ac:dyDescent="0.2">
      <c r="F7" s="19" t="s">
        <v>311</v>
      </c>
      <c r="G7" s="19" t="s">
        <v>312</v>
      </c>
      <c r="H7" s="19" t="s">
        <v>313</v>
      </c>
    </row>
    <row r="8" spans="1:18" x14ac:dyDescent="0.2">
      <c r="A8" s="19" t="s">
        <v>314</v>
      </c>
      <c r="C8" t="s">
        <v>308</v>
      </c>
      <c r="D8" t="s">
        <v>315</v>
      </c>
      <c r="E8" t="s">
        <v>316</v>
      </c>
      <c r="F8" t="s">
        <v>317</v>
      </c>
      <c r="G8" s="2" t="s">
        <v>318</v>
      </c>
      <c r="H8" t="s">
        <v>319</v>
      </c>
    </row>
    <row r="9" spans="1:18" x14ac:dyDescent="0.2">
      <c r="C9">
        <v>1</v>
      </c>
      <c r="D9" t="e" cm="1">
        <f t="array" ref="D9">SUMPRODUCT(($E$21:$E$25)*($F$21:$F$25))</f>
        <v>#VALUE!</v>
      </c>
      <c r="E9" t="e" cm="1">
        <f t="array" ref="E9">SUMPRODUCT(($G$21:$G$25)*($H$21:$H$25))</f>
        <v>#VALUE!</v>
      </c>
      <c r="F9" t="e">
        <f>IF(Table4[[#This Row],[∑ 𝐶𝑊𝑃𝑆,𝑖,𝑡100 × 𝐴𝑊𝑃𝑆,𝑖,𝑡00]]&gt;=1.05*Table4[[#This Row],[ ∑ 𝐶𝐵𝑆𝐿,𝑖,𝑡100 × 𝐴𝐵𝑆𝐿,𝑖,𝑡100]], TRUE, FALSE)</f>
        <v>#VALUE!</v>
      </c>
      <c r="G9"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9" t="e">
        <f>SUM(Table8[[#All],['[@'[𝐶𝑙𝑜𝑠𝑠−𝐵𝑆𝐿,𝑖,𝑡100']']*'[@'[ABSL,i']']]])-SUM(Table8[[#All],['[@'[𝐶𝑙𝑜𝑠𝑠−𝑊𝑃𝑆,𝑖,𝑡,100']']*'[@'[AWPS,i']']]])</f>
        <v>#VALUE!</v>
      </c>
    </row>
    <row r="10" spans="1:18" x14ac:dyDescent="0.2">
      <c r="E10" t="e" cm="1">
        <f t="array" ref="E10">SUMPRODUCT(($G$21:$G$25)*($H$21:$H$25))</f>
        <v>#VALUE!</v>
      </c>
      <c r="F10" t="e">
        <f>IF(Table4[[#This Row],[∑ 𝐶𝑊𝑃𝑆,𝑖,𝑡100 × 𝐴𝑊𝑃𝑆,𝑖,𝑡00]]&gt;=1.05*Table4[[#This Row],[ ∑ 𝐶𝐵𝑆𝐿,𝑖,𝑡100 × 𝐴𝐵𝑆𝐿,𝑖,𝑡100]], TRUE, FALSE)</f>
        <v>#VALUE!</v>
      </c>
      <c r="G10"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0" t="e">
        <f>SUM(Table8[[#All],['[@'[𝐶𝑙𝑜𝑠𝑠−𝐵𝑆𝐿,𝑖,𝑡100']']*'[@'[ABSL,i']']]])-SUM(Table8[[#All],['[@'[𝐶𝑙𝑜𝑠𝑠−𝑊𝑃𝑆,𝑖,𝑡,100']']*'[@'[AWPS,i']']]])</f>
        <v>#VALUE!</v>
      </c>
    </row>
    <row r="11" spans="1:18" x14ac:dyDescent="0.2">
      <c r="E11" t="e" cm="1">
        <f t="array" ref="E11">SUMPRODUCT(($G$21:$G$25)*($H$21:$H$25))</f>
        <v>#VALUE!</v>
      </c>
      <c r="F11" t="e">
        <f>IF(Table4[[#This Row],[∑ 𝐶𝑊𝑃𝑆,𝑖,𝑡100 × 𝐴𝑊𝑃𝑆,𝑖,𝑡00]]&gt;=1.05*Table4[[#This Row],[ ∑ 𝐶𝐵𝑆𝐿,𝑖,𝑡100 × 𝐴𝐵𝑆𝐿,𝑖,𝑡100]], TRUE, FALSE)</f>
        <v>#VALUE!</v>
      </c>
      <c r="G11"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1" t="e">
        <f>SUM(Table8[[#All],['[@'[𝐶𝑙𝑜𝑠𝑠−𝐵𝑆𝐿,𝑖,𝑡100']']*'[@'[ABSL,i']']]])-SUM(Table8[[#All],['[@'[𝐶𝑙𝑜𝑠𝑠−𝑊𝑃𝑆,𝑖,𝑡,100']']*'[@'[AWPS,i']']]])</f>
        <v>#VALUE!</v>
      </c>
    </row>
    <row r="12" spans="1:18" x14ac:dyDescent="0.2">
      <c r="E12" t="e" cm="1">
        <f t="array" ref="E12">SUMPRODUCT(($G$21:$G$25)*($H$21:$H$25))</f>
        <v>#VALUE!</v>
      </c>
      <c r="F12" t="e">
        <f>IF(Table4[[#This Row],[∑ 𝐶𝑊𝑃𝑆,𝑖,𝑡100 × 𝐴𝑊𝑃𝑆,𝑖,𝑡00]]&gt;=1.05*Table4[[#This Row],[ ∑ 𝐶𝐵𝑆𝐿,𝑖,𝑡100 × 𝐴𝐵𝑆𝐿,𝑖,𝑡100]], TRUE, FALSE)</f>
        <v>#VALUE!</v>
      </c>
      <c r="G12"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2" t="e">
        <f>SUM(Table8[[#All],['[@'[𝐶𝑙𝑜𝑠𝑠−𝐵𝑆𝐿,𝑖,𝑡100']']*'[@'[ABSL,i']']]])-SUM(Table8[[#All],['[@'[𝐶𝑙𝑜𝑠𝑠−𝑊𝑃𝑆,𝑖,𝑡,100']']*'[@'[AWPS,i']']]])</f>
        <v>#VALUE!</v>
      </c>
    </row>
    <row r="13" spans="1:18" x14ac:dyDescent="0.2">
      <c r="E13" t="e" cm="1">
        <f t="array" ref="E13">SUMPRODUCT(($G$21:$G$25)*($H$21:$H$25))</f>
        <v>#VALUE!</v>
      </c>
      <c r="F13" t="e">
        <f>IF(Table4[[#This Row],[∑ 𝐶𝑊𝑃𝑆,𝑖,𝑡100 × 𝐴𝑊𝑃𝑆,𝑖,𝑡00]]&gt;=1.05*Table4[[#This Row],[ ∑ 𝐶𝐵𝑆𝐿,𝑖,𝑡100 × 𝐴𝐵𝑆𝐿,𝑖,𝑡100]], TRUE, FALSE)</f>
        <v>#VALUE!</v>
      </c>
      <c r="G13"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3" t="e">
        <f>SUM(Table8[[#All],['[@'[𝐶𝑙𝑜𝑠𝑠−𝐵𝑆𝐿,𝑖,𝑡100']']*'[@'[ABSL,i']']]])-SUM(Table8[[#All],['[@'[𝐶𝑙𝑜𝑠𝑠−𝑊𝑃𝑆,𝑖,𝑡,100']']*'[@'[AWPS,i']']]])</f>
        <v>#VALUE!</v>
      </c>
    </row>
    <row r="14" spans="1:18" x14ac:dyDescent="0.2">
      <c r="E14" t="e" cm="1">
        <f t="array" ref="E14">SUMPRODUCT(($G$21:$G$25)*($H$21:$H$25))</f>
        <v>#VALUE!</v>
      </c>
      <c r="F14" t="e">
        <f>IF(Table4[[#This Row],[∑ 𝐶𝑊𝑃𝑆,𝑖,𝑡100 × 𝐴𝑊𝑃𝑆,𝑖,𝑡00]]&gt;=1.05*Table4[[#This Row],[ ∑ 𝐶𝐵𝑆𝐿,𝑖,𝑡100 × 𝐴𝐵𝑆𝐿,𝑖,𝑡100]], TRUE, FALSE)</f>
        <v>#VALUE!</v>
      </c>
      <c r="G14"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4" t="e">
        <f>SUM(Table8[[#All],['[@'[𝐶𝑙𝑜𝑠𝑠−𝐵𝑆𝐿,𝑖,𝑡100']']*'[@'[ABSL,i']']]])-SUM(Table8[[#All],['[@'[𝐶𝑙𝑜𝑠𝑠−𝑊𝑃𝑆,𝑖,𝑡,100']']*'[@'[AWPS,i']']]])</f>
        <v>#VALUE!</v>
      </c>
    </row>
    <row r="15" spans="1:18" x14ac:dyDescent="0.2">
      <c r="E15" t="e" cm="1">
        <f t="array" ref="E15">SUMPRODUCT(($G$21:$G$25)*($H$21:$H$25))</f>
        <v>#VALUE!</v>
      </c>
      <c r="F15" t="e">
        <f>IF(Table4[[#This Row],[∑ 𝐶𝑊𝑃𝑆,𝑖,𝑡100 × 𝐴𝑊𝑃𝑆,𝑖,𝑡00]]&gt;=1.05*Table4[[#This Row],[ ∑ 𝐶𝐵𝑆𝐿,𝑖,𝑡100 × 𝐴𝐵𝑆𝐿,𝑖,𝑡100]], TRUE, FALSE)</f>
        <v>#VALUE!</v>
      </c>
      <c r="G15"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5" t="e">
        <f>SUM(Table8[[#All],['[@'[𝐶𝑙𝑜𝑠𝑠−𝐵𝑆𝐿,𝑖,𝑡100']']*'[@'[ABSL,i']']]])-SUM(Table8[[#All],['[@'[𝐶𝑙𝑜𝑠𝑠−𝑊𝑃𝑆,𝑖,𝑡,100']']*'[@'[AWPS,i']']]])</f>
        <v>#VALUE!</v>
      </c>
    </row>
    <row r="16" spans="1:18" x14ac:dyDescent="0.2">
      <c r="E16" t="e" cm="1">
        <f t="array" ref="E16">SUMPRODUCT(($G$21:$G$25)*($H$21:$H$25))</f>
        <v>#VALUE!</v>
      </c>
      <c r="F16" t="e">
        <f>IF(Table4[[#This Row],[∑ 𝐶𝑊𝑃𝑆,𝑖,𝑡100 × 𝐴𝑊𝑃𝑆,𝑖,𝑡00]]&gt;=1.05*Table4[[#This Row],[ ∑ 𝐶𝐵𝑆𝐿,𝑖,𝑡100 × 𝐴𝐵𝑆𝐿,𝑖,𝑡100]], TRUE, FALSE)</f>
        <v>#VALUE!</v>
      </c>
      <c r="G16" t="e">
        <f>IF(Table4[[#This Row],['[@'[∑ 𝐶𝑊𝑃𝑆,𝑖,𝑡100 × 𝐴𝑊𝑃𝑆,𝑖,𝑡00']']&gt;=1.05*'[@'[ ∑ 𝐶𝐵𝑆𝐿,𝑖,𝑡100 × 𝐴𝐵𝑆𝐿,𝑖,𝑡100']']?]], Table4[[#This Row],[∑ 𝐶𝑊𝑃𝑆,𝑖,𝑡100 × 𝐴𝑊𝑃𝑆,𝑖,𝑡00]]-Table4[[#This Row],[ ∑ 𝐶𝐵𝑆𝐿,𝑖,𝑡100 × 𝐴𝐵𝑆𝐿,𝑖,𝑡100]], 0)</f>
        <v>#VALUE!</v>
      </c>
      <c r="H16" t="e">
        <f>SUM(Table8[[#All],['[@'[𝐶𝑙𝑜𝑠𝑠−𝐵𝑆𝐿,𝑖,𝑡100']']*'[@'[ABSL,i']']]])-SUM(Table8[[#All],['[@'[𝐶𝑙𝑜𝑠𝑠−𝑊𝑃𝑆,𝑖,𝑡,100']']*'[@'[AWPS,i']']]])</f>
        <v>#VALUE!</v>
      </c>
      <c r="R16" s="19" t="s">
        <v>320</v>
      </c>
    </row>
    <row r="18" spans="1:25" x14ac:dyDescent="0.2">
      <c r="C18" s="19" t="s">
        <v>321</v>
      </c>
      <c r="E18" t="s">
        <v>322</v>
      </c>
      <c r="F18" t="s">
        <v>322</v>
      </c>
      <c r="G18" t="s">
        <v>322</v>
      </c>
      <c r="H18" t="s">
        <v>322</v>
      </c>
      <c r="R18" s="19" t="s">
        <v>323</v>
      </c>
      <c r="V18" s="5"/>
      <c r="X18" s="19" t="s">
        <v>313</v>
      </c>
      <c r="Y18" s="19" t="s">
        <v>313</v>
      </c>
    </row>
    <row r="19" spans="1:25" x14ac:dyDescent="0.2">
      <c r="A19" s="19" t="s">
        <v>324</v>
      </c>
      <c r="C19" t="s">
        <v>166</v>
      </c>
      <c r="D19" t="s">
        <v>325</v>
      </c>
      <c r="E19" t="s">
        <v>326</v>
      </c>
      <c r="F19" t="s">
        <v>107</v>
      </c>
      <c r="G19" t="s">
        <v>327</v>
      </c>
      <c r="H19" t="s">
        <v>108</v>
      </c>
      <c r="R19" s="16" t="s">
        <v>122</v>
      </c>
      <c r="S19" s="16" t="s">
        <v>325</v>
      </c>
      <c r="T19" t="s">
        <v>328</v>
      </c>
      <c r="U19" t="s">
        <v>109</v>
      </c>
      <c r="V19" t="s">
        <v>329</v>
      </c>
      <c r="W19" t="s">
        <v>110</v>
      </c>
      <c r="X19" t="s">
        <v>330</v>
      </c>
      <c r="Y19" t="s">
        <v>331</v>
      </c>
    </row>
    <row r="20" spans="1:25" x14ac:dyDescent="0.2">
      <c r="D20" t="s">
        <v>332</v>
      </c>
      <c r="E20" t="s">
        <v>304</v>
      </c>
      <c r="F20" t="s">
        <v>333</v>
      </c>
      <c r="G20" t="s">
        <v>304</v>
      </c>
      <c r="H20" t="s">
        <v>333</v>
      </c>
      <c r="R20" s="17"/>
      <c r="S20" s="17" t="s">
        <v>332</v>
      </c>
      <c r="T20" t="s">
        <v>304</v>
      </c>
      <c r="U20" t="s">
        <v>334</v>
      </c>
      <c r="V20" t="s">
        <v>304</v>
      </c>
      <c r="W20" t="s">
        <v>334</v>
      </c>
    </row>
    <row r="21" spans="1:25" x14ac:dyDescent="0.2">
      <c r="C21">
        <v>1</v>
      </c>
      <c r="D21" t="str">
        <f>INDEX(Table1[[#All],[Soil type (at Project Start)]], MATCH(Table3[[#This Row],[stratum i]], Table1[[#All],[stratum i]]))</f>
        <v>Mineral soil</v>
      </c>
      <c r="E21" t="e">
        <f>INDEX(Table5[[#All],[CWPS,i,t100 (organic soil)]], MATCH(Table3[[#This Row],[stratum i]], Table5[[#All],[i]])) + INDEX(Table5[[#All],[𝐶𝑊𝑃𝑆,𝑖,𝑡100 (mineral soil)]], MATCH(Table3[[#This Row],[stratum i]], Table5[[#All],[i]]))</f>
        <v>#VALUE!</v>
      </c>
      <c r="F21" t="str">
        <f>INDEX(Table31[[#All],[AWPS,i,t100]], MATCH(Table3[[#This Row],[stratum i]], Table31[[#All],[Stratum i]]))</f>
        <v>Not applicable</v>
      </c>
      <c r="G21" t="e">
        <f>IF(Table3[[#This Row],[Soil Type]]="Peat soil", INDEX(Table5[[#All],[CBSL,i,t100 (organic soil)]], MATCH(Table3[[#This Row],[stratum i]], Table5[[#All],[i]])), INDEX(Table5[[#All],[𝐶𝐵𝑆𝐿,𝑖,𝑡100 (mineral soil)]], MATCH(Table3[[#This Row],[stratum i]], Table5[[#All],[i]])))</f>
        <v>#VALUE!</v>
      </c>
      <c r="H21" t="str">
        <f>INDEX(Table31[[#All],[ABSL,i,t100]], MATCH(Table3[[#This Row],[stratum i]], Table31[[#All],[Stratum i]]))</f>
        <v>Not applicable</v>
      </c>
      <c r="R21" s="18">
        <v>1</v>
      </c>
      <c r="S21" s="18" t="str">
        <f>INDEX(Table1[[#All],[Soil type (at Project Start)]], MATCH(Table3[[#This Row],[stratum i]], Table1[[#All],[stratum i]]))</f>
        <v>Mineral soil</v>
      </c>
      <c r="T21" t="e">
        <f>IF(Table8[[#This Row],[Soil Type]]="Peat soil", INDEX(Table9[[#All],[𝐶𝑙𝑜𝑠𝑠−𝐵𝑆𝐿,𝑡,100 (organic soil)]], MATCH(Table8[[#This Row],[i]],Table9[[#All],[i]])), INDEX(Table9[[#All],[𝐶𝑙𝑜𝑠𝑠−𝐵𝑆𝐿,𝑡,100 (mineral soil)]], MATCH(Table8[[#This Row],[i]], Table9[[#All],[i]])))</f>
        <v>#VALUE!</v>
      </c>
      <c r="U21">
        <f>INDEX(Table31[[#All],[ABSL,i]], MATCH(Table8[[#This Row],[i]], Table31[[#All],[Stratum i]]))</f>
        <v>1149</v>
      </c>
      <c r="V21" t="e">
        <f>IF(Table8[[#This Row],[Soil Type]]="Peat soil", INDEX(Table9[[#All],[𝐶𝑙𝑜𝑠𝑠−𝑊𝑃𝑆,𝑡,100 (organic soil)]], MATCH(Table8[[#This Row],[i]], Table9[[#All],[i]])), INDEX(Table9[[#All],[𝐶𝑙𝑜𝑠𝑠−𝑊𝑃𝑆,𝑡,100 (mineral soil)]], MATCH(Table8[[#This Row],[i]], Table9[[#All],[i]])))</f>
        <v>#REF!</v>
      </c>
      <c r="W21">
        <f>INDEX(Table31[[#All],[AWPS,i]], MATCH(Table8[[#This Row],[i]], Table31[[#All],[Stratum i]]))</f>
        <v>1149</v>
      </c>
      <c r="X21" t="e">
        <f>Table8[[#This Row],[𝐶𝑙𝑜𝑠𝑠−𝐵𝑆𝐿,𝑖,𝑡100]]*Table8[[#This Row],[ABSL,i]]</f>
        <v>#VALUE!</v>
      </c>
      <c r="Y21" t="e">
        <f>Table8[[#This Row],[𝐶𝑙𝑜𝑠𝑠−𝑊𝑃𝑆,𝑖,𝑡,100]]*Table8[[#This Row],[AWPS,i]]</f>
        <v>#REF!</v>
      </c>
    </row>
    <row r="22" spans="1:25" x14ac:dyDescent="0.2">
      <c r="C22">
        <v>2</v>
      </c>
      <c r="D22" t="str">
        <f>INDEX(Table1[[#All],[Soil type (at Project Start)]], MATCH(Table3[[#This Row],[stratum i]], Table1[[#All],[stratum i]]))</f>
        <v>Mineral soil</v>
      </c>
      <c r="E22" t="e">
        <f>INDEX(Table5[[#All],[CWPS,i,t100 (organic soil)]], MATCH(Table3[[#This Row],[stratum i]], Table5[[#All],[i]])) + INDEX(Table5[[#All],[𝐶𝑊𝑃𝑆,𝑖,𝑡100 (mineral soil)]], MATCH(Table3[[#This Row],[stratum i]], Table5[[#All],[i]]))</f>
        <v>#VALUE!</v>
      </c>
      <c r="F22" t="str">
        <f>INDEX(Table31[[#All],[AWPS,i,t100]], MATCH(Table3[[#This Row],[stratum i]], Table31[[#All],[Stratum i]]))</f>
        <v>Not applicable</v>
      </c>
      <c r="G22" t="e">
        <f>IF(Table3[[#This Row],[Soil Type]]="Peat soil", INDEX(Table5[[#All],[CBSL,i,t100 (organic soil)]], MATCH(Table3[[#This Row],[stratum i]], Table5[[#All],[i]])), INDEX(Table5[[#All],[𝐶𝐵𝑆𝐿,𝑖,𝑡100 (mineral soil)]], MATCH(Table3[[#This Row],[stratum i]], Table5[[#All],[i]])))</f>
        <v>#VALUE!</v>
      </c>
      <c r="H22" t="str">
        <f>INDEX(Table31[[#All],[ABSL,i,t100]], MATCH(Table3[[#This Row],[stratum i]], Table31[[#All],[Stratum i]]))</f>
        <v>Not applicable</v>
      </c>
      <c r="R22" s="17">
        <v>2</v>
      </c>
      <c r="S22" s="17" t="str">
        <f>INDEX(Table1[[#All],[Soil type (at Project Start)]], MATCH(Table3[[#This Row],[stratum i]], Table1[[#All],[stratum i]]))</f>
        <v>Mineral soil</v>
      </c>
      <c r="T22" t="e">
        <f>IF(Table8[[#This Row],[Soil Type]]="Peat soil", INDEX(Table9[[#All],[𝐶𝑙𝑜𝑠𝑠−𝐵𝑆𝐿,𝑡,100 (organic soil)]], MATCH(Table8[[#This Row],[i]],Table9[[#All],[i]])), INDEX(Table9[[#All],[𝐶𝑙𝑜𝑠𝑠−𝐵𝑆𝐿,𝑡,100 (mineral soil)]], MATCH(Table8[[#This Row],[i]], Table9[[#All],[i]])))</f>
        <v>#VALUE!</v>
      </c>
      <c r="U22">
        <f>INDEX(Table31[[#All],[ABSL,i]], MATCH(Table8[[#This Row],[i]], Table31[[#All],[Stratum i]]))</f>
        <v>2115</v>
      </c>
      <c r="V22" t="e">
        <f>IF(Table8[[#This Row],[Soil Type]]="Peat soil", INDEX(Table9[[#All],[𝐶𝑙𝑜𝑠𝑠−𝑊𝑃𝑆,𝑡,100 (organic soil)]], MATCH(Table8[[#This Row],[i]], Table9[[#All],[i]])), INDEX(Table9[[#All],[𝐶𝑙𝑜𝑠𝑠−𝑊𝑃𝑆,𝑡,100 (mineral soil)]], MATCH(Table8[[#This Row],[i]], Table9[[#All],[i]])))</f>
        <v>#REF!</v>
      </c>
      <c r="W22">
        <f>INDEX(Table31[[#All],[AWPS,i]], MATCH(Table8[[#This Row],[i]], Table31[[#All],[Stratum i]]))</f>
        <v>2115</v>
      </c>
      <c r="X22" t="e">
        <f>Table8[[#This Row],[𝐶𝑙𝑜𝑠𝑠−𝐵𝑆𝐿,𝑖,𝑡100]]*Table8[[#This Row],[ABSL,i]]</f>
        <v>#VALUE!</v>
      </c>
      <c r="Y22" t="e">
        <f>Table8[[#This Row],[𝐶𝑙𝑜𝑠𝑠−𝑊𝑃𝑆,𝑖,𝑡,100]]*Table8[[#This Row],[AWPS,i]]</f>
        <v>#REF!</v>
      </c>
    </row>
    <row r="23" spans="1:25" x14ac:dyDescent="0.2">
      <c r="C23">
        <v>3</v>
      </c>
      <c r="D23" t="str">
        <f>INDEX(Table1[[#All],[Soil type (at Project Start)]], MATCH(Table3[[#This Row],[stratum i]], Table1[[#All],[stratum i]]))</f>
        <v>Mineral soil</v>
      </c>
      <c r="E23" t="e">
        <f>INDEX(Table5[[#All],[CWPS,i,t100 (organic soil)]], MATCH(Table3[[#This Row],[stratum i]], Table5[[#All],[i]])) + INDEX(Table5[[#All],[𝐶𝑊𝑃𝑆,𝑖,𝑡100 (mineral soil)]], MATCH(Table3[[#This Row],[stratum i]], Table5[[#All],[i]]))</f>
        <v>#VALUE!</v>
      </c>
      <c r="F23" t="str">
        <f>INDEX(Table31[[#All],[AWPS,i,t100]], MATCH(Table3[[#This Row],[stratum i]], Table31[[#All],[Stratum i]]))</f>
        <v>Not applicable</v>
      </c>
      <c r="G23" t="e">
        <f>IF(Table3[[#This Row],[Soil Type]]="Peat soil", INDEX(Table5[[#All],[CBSL,i,t100 (organic soil)]], MATCH(Table3[[#This Row],[stratum i]], Table5[[#All],[i]])), INDEX(Table5[[#All],[𝐶𝐵𝑆𝐿,𝑖,𝑡100 (mineral soil)]], MATCH(Table3[[#This Row],[stratum i]], Table5[[#All],[i]])))</f>
        <v>#VALUE!</v>
      </c>
      <c r="H23" t="str">
        <f>INDEX(Table31[[#All],[ABSL,i,t100]], MATCH(Table3[[#This Row],[stratum i]], Table31[[#All],[Stratum i]]))</f>
        <v>Not applicable</v>
      </c>
      <c r="R23" s="18">
        <v>3</v>
      </c>
      <c r="S23" s="18" t="str">
        <f>INDEX(Table1[[#All],[Soil type (at Project Start)]], MATCH(Table3[[#This Row],[stratum i]], Table1[[#All],[stratum i]]))</f>
        <v>Mineral soil</v>
      </c>
      <c r="T23" t="e">
        <f>IF(Table8[[#This Row],[Soil Type]]="Peat soil", INDEX(Table9[[#All],[𝐶𝑙𝑜𝑠𝑠−𝐵𝑆𝐿,𝑡,100 (organic soil)]], MATCH(Table8[[#This Row],[i]],Table9[[#All],[i]])), INDEX(Table9[[#All],[𝐶𝑙𝑜𝑠𝑠−𝐵𝑆𝐿,𝑡,100 (mineral soil)]], MATCH(Table8[[#This Row],[i]], Table9[[#All],[i]])))</f>
        <v>#VALUE!</v>
      </c>
      <c r="U23">
        <f>INDEX(Table31[[#All],[ABSL,i]], MATCH(Table8[[#This Row],[i]], Table31[[#All],[Stratum i]]))</f>
        <v>2397</v>
      </c>
      <c r="V23" t="e">
        <f>IF(Table8[[#This Row],[Soil Type]]="Peat soil", INDEX(Table9[[#All],[𝐶𝑙𝑜𝑠𝑠−𝑊𝑃𝑆,𝑡,100 (organic soil)]], MATCH(Table8[[#This Row],[i]], Table9[[#All],[i]])), INDEX(Table9[[#All],[𝐶𝑙𝑜𝑠𝑠−𝑊𝑃𝑆,𝑡,100 (mineral soil)]], MATCH(Table8[[#This Row],[i]], Table9[[#All],[i]])))</f>
        <v>#REF!</v>
      </c>
      <c r="W23">
        <f>INDEX(Table31[[#All],[AWPS,i]], MATCH(Table8[[#This Row],[i]], Table31[[#All],[Stratum i]]))</f>
        <v>2397</v>
      </c>
      <c r="X23" t="e">
        <f>Table8[[#This Row],[𝐶𝑙𝑜𝑠𝑠−𝐵𝑆𝐿,𝑖,𝑡100]]*Table8[[#This Row],[ABSL,i]]</f>
        <v>#VALUE!</v>
      </c>
      <c r="Y23" t="e">
        <f>Table8[[#This Row],[𝐶𝑙𝑜𝑠𝑠−𝑊𝑃𝑆,𝑖,𝑡,100]]*Table8[[#This Row],[AWPS,i]]</f>
        <v>#REF!</v>
      </c>
    </row>
    <row r="24" spans="1:25" x14ac:dyDescent="0.2">
      <c r="C24">
        <v>4</v>
      </c>
      <c r="D24" t="str">
        <f>INDEX(Table1[[#All],[Soil type (at Project Start)]], MATCH(Table3[[#This Row],[stratum i]], Table1[[#All],[stratum i]]))</f>
        <v>Mineral soil</v>
      </c>
      <c r="E24" t="e">
        <f>INDEX(Table5[[#All],[CWPS,i,t100 (organic soil)]], MATCH(Table3[[#This Row],[stratum i]], Table5[[#All],[i]])) + INDEX(Table5[[#All],[𝐶𝑊𝑃𝑆,𝑖,𝑡100 (mineral soil)]], MATCH(Table3[[#This Row],[stratum i]], Table5[[#All],[i]]))</f>
        <v>#VALUE!</v>
      </c>
      <c r="F24" t="str">
        <f>INDEX(Table31[[#All],[AWPS,i,t100]], MATCH(Table3[[#This Row],[stratum i]], Table31[[#All],[Stratum i]]))</f>
        <v>Not applicable</v>
      </c>
      <c r="G24" t="e">
        <f>IF(Table3[[#This Row],[Soil Type]]="Peat soil", INDEX(Table5[[#All],[CBSL,i,t100 (organic soil)]], MATCH(Table3[[#This Row],[stratum i]], Table5[[#All],[i]])), INDEX(Table5[[#All],[𝐶𝐵𝑆𝐿,𝑖,𝑡100 (mineral soil)]], MATCH(Table3[[#This Row],[stratum i]], Table5[[#All],[i]])))</f>
        <v>#VALUE!</v>
      </c>
      <c r="H24" t="str">
        <f>INDEX(Table31[[#All],[ABSL,i,t100]], MATCH(Table3[[#This Row],[stratum i]], Table31[[#All],[Stratum i]]))</f>
        <v>Not applicable</v>
      </c>
      <c r="R24" s="17">
        <v>4</v>
      </c>
      <c r="S24" s="17" t="str">
        <f>INDEX(Table1[[#All],[Soil type (at Project Start)]], MATCH(Table3[[#This Row],[stratum i]], Table1[[#All],[stratum i]]))</f>
        <v>Mineral soil</v>
      </c>
      <c r="T24" t="e">
        <f>IF(Table8[[#This Row],[Soil Type]]="Peat soil", INDEX(Table9[[#All],[𝐶𝑙𝑜𝑠𝑠−𝐵𝑆𝐿,𝑡,100 (organic soil)]], MATCH(Table8[[#This Row],[i]],Table9[[#All],[i]])), INDEX(Table9[[#All],[𝐶𝑙𝑜𝑠𝑠−𝐵𝑆𝐿,𝑡,100 (mineral soil)]], MATCH(Table8[[#This Row],[i]], Table9[[#All],[i]])))</f>
        <v>#VALUE!</v>
      </c>
      <c r="U24">
        <f>INDEX(Table31[[#All],[ABSL,i]], MATCH(Table8[[#This Row],[i]], Table31[[#All],[Stratum i]]))</f>
        <v>1339</v>
      </c>
      <c r="V24" t="e">
        <f>IF(Table8[[#This Row],[Soil Type]]="Peat soil", INDEX(Table9[[#All],[𝐶𝑙𝑜𝑠𝑠−𝑊𝑃𝑆,𝑡,100 (organic soil)]], MATCH(Table8[[#This Row],[i]], Table9[[#All],[i]])), INDEX(Table9[[#All],[𝐶𝑙𝑜𝑠𝑠−𝑊𝑃𝑆,𝑡,100 (mineral soil)]], MATCH(Table8[[#This Row],[i]], Table9[[#All],[i]])))</f>
        <v>#REF!</v>
      </c>
      <c r="W24">
        <f>INDEX(Table31[[#All],[AWPS,i]], MATCH(Table8[[#This Row],[i]], Table31[[#All],[Stratum i]]))</f>
        <v>1339</v>
      </c>
      <c r="X24" t="e">
        <f>Table8[[#This Row],[𝐶𝑙𝑜𝑠𝑠−𝐵𝑆𝐿,𝑖,𝑡100]]*Table8[[#This Row],[ABSL,i]]</f>
        <v>#VALUE!</v>
      </c>
      <c r="Y24" t="e">
        <f>Table8[[#This Row],[𝐶𝑙𝑜𝑠𝑠−𝑊𝑃𝑆,𝑖,𝑡,100]]*Table8[[#This Row],[AWPS,i]]</f>
        <v>#REF!</v>
      </c>
    </row>
    <row r="25" spans="1:25" x14ac:dyDescent="0.2">
      <c r="C25">
        <v>5</v>
      </c>
      <c r="D25" t="str">
        <f>INDEX(Table1[[#All],[Soil type (at Project Start)]], MATCH(Table3[[#This Row],[stratum i]], Table1[[#All],[stratum i]]))</f>
        <v>Mineral soil</v>
      </c>
      <c r="E25" t="e">
        <f>INDEX(Table5[[#All],[CWPS,i,t100 (organic soil)]], MATCH(Table3[[#This Row],[stratum i]], Table5[[#All],[i]])) + INDEX(Table5[[#All],[𝐶𝑊𝑃𝑆,𝑖,𝑡100 (mineral soil)]], MATCH(Table3[[#This Row],[stratum i]], Table5[[#All],[i]]))</f>
        <v>#VALUE!</v>
      </c>
      <c r="F25" t="str">
        <f>INDEX(Table31[[#All],[AWPS,i,t100]], MATCH(Table3[[#This Row],[stratum i]], Table31[[#All],[Stratum i]]))</f>
        <v>Not applicable</v>
      </c>
      <c r="G25" t="e">
        <f>IF(Table3[[#This Row],[Soil Type]]="Peat soil", INDEX(Table5[[#All],[CBSL,i,t100 (organic soil)]], MATCH(Table3[[#This Row],[stratum i]], Table5[[#All],[i]])), INDEX(Table5[[#All],[𝐶𝐵𝑆𝐿,𝑖,𝑡100 (mineral soil)]], MATCH(Table3[[#This Row],[stratum i]], Table5[[#All],[i]])))</f>
        <v>#VALUE!</v>
      </c>
      <c r="H25" t="str">
        <f>INDEX(Table31[[#All],[ABSL,i,t100]], MATCH(Table3[[#This Row],[stratum i]], Table31[[#All],[Stratum i]]))</f>
        <v>Not applicable</v>
      </c>
      <c r="R25" s="18">
        <v>5</v>
      </c>
      <c r="S25" s="18" t="str">
        <f>INDEX(Table1[[#All],[Soil type (at Project Start)]], MATCH(Table3[[#This Row],[stratum i]], Table1[[#All],[stratum i]]))</f>
        <v>Mineral soil</v>
      </c>
      <c r="T25" t="e">
        <f>IF(Table8[[#This Row],[Soil Type]]="Peat soil", INDEX(Table9[[#All],[𝐶𝑙𝑜𝑠𝑠−𝐵𝑆𝐿,𝑡,100 (organic soil)]], MATCH(Table8[[#This Row],[i]],Table9[[#All],[i]])), INDEX(Table9[[#All],[𝐶𝑙𝑜𝑠𝑠−𝐵𝑆𝐿,𝑡,100 (mineral soil)]], MATCH(Table8[[#This Row],[i]], Table9[[#All],[i]])))</f>
        <v>#VALUE!</v>
      </c>
      <c r="U25">
        <f>INDEX(Table31[[#All],[ABSL,i]], MATCH(Table8[[#This Row],[i]], Table31[[#All],[Stratum i]]))</f>
        <v>1339</v>
      </c>
      <c r="V25" t="e">
        <f>IF(Table8[[#This Row],[Soil Type]]="Peat soil", INDEX(Table9[[#All],[𝐶𝑙𝑜𝑠𝑠−𝑊𝑃𝑆,𝑡,100 (organic soil)]], MATCH(Table8[[#This Row],[i]], Table9[[#All],[i]])), INDEX(Table9[[#All],[𝐶𝑙𝑜𝑠𝑠−𝑊𝑃𝑆,𝑡,100 (mineral soil)]], MATCH(Table8[[#This Row],[i]], Table9[[#All],[i]])))</f>
        <v>#REF!</v>
      </c>
      <c r="W25">
        <f>INDEX(Table31[[#All],[AWPS,i]], MATCH(Table8[[#This Row],[i]], Table31[[#All],[Stratum i]]))</f>
        <v>1339</v>
      </c>
      <c r="X25" t="e">
        <f>Table8[[#This Row],[𝐶𝑙𝑜𝑠𝑠−𝐵𝑆𝐿,𝑖,𝑡100]]*Table8[[#This Row],[ABSL,i]]</f>
        <v>#VALUE!</v>
      </c>
      <c r="Y25" t="e">
        <f>Table8[[#This Row],[𝐶𝑙𝑜𝑠𝑠−𝑊𝑃𝑆,𝑖,𝑡,100]]*Table8[[#This Row],[AWPS,i]]</f>
        <v>#REF!</v>
      </c>
    </row>
    <row r="26" spans="1:25" x14ac:dyDescent="0.2">
      <c r="R26" s="17"/>
      <c r="S26" s="17"/>
      <c r="T26" t="e">
        <f>IF(Table8[[#This Row],[Soil Type]]="Peat soil", INDEX(Table9[[#All],[𝐶𝑙𝑜𝑠𝑠−𝐵𝑆𝐿,𝑡,100 (organic soil)]], MATCH(Table8[[#This Row],[i]],Table9[[#All],[i]])), INDEX(Table9[[#All],[𝐶𝑙𝑜𝑠𝑠−𝐵𝑆𝐿,𝑡,100 (mineral soil)]], MATCH(Table8[[#This Row],[i]], Table9[[#All],[i]])))</f>
        <v>#N/A</v>
      </c>
      <c r="U26" t="e">
        <f>INDEX(Table31[[#All],[ABSL,i]], MATCH(Table8[[#This Row],[i]], Table31[[#All],[Stratum i]]))</f>
        <v>#N/A</v>
      </c>
      <c r="V26" t="e">
        <f>IF(Table8[[#This Row],[Soil Type]]="Peat soil", INDEX(Table9[[#All],[𝐶𝑙𝑜𝑠𝑠−𝑊𝑃𝑆,𝑡,100 (organic soil)]], MATCH(Table8[[#This Row],[i]], Table9[[#All],[i]])), INDEX(Table9[[#All],[𝐶𝑙𝑜𝑠𝑠−𝑊𝑃𝑆,𝑡,100 (mineral soil)]], MATCH(Table8[[#This Row],[i]], Table9[[#All],[i]])))</f>
        <v>#N/A</v>
      </c>
      <c r="W26" t="e">
        <f>INDEX(Table31[[#All],[AWPS,i]], MATCH(Table8[[#This Row],[i]], Table31[[#All],[Stratum i]]))</f>
        <v>#N/A</v>
      </c>
    </row>
    <row r="27" spans="1:25" x14ac:dyDescent="0.2">
      <c r="R27" s="18"/>
      <c r="S27" s="18"/>
      <c r="T27" t="e">
        <f>IF(Table8[[#This Row],[Soil Type]]="Peat soil", INDEX(Table9[[#All],[𝐶𝑙𝑜𝑠𝑠−𝐵𝑆𝐿,𝑡,100 (organic soil)]], MATCH(Table8[[#This Row],[i]],Table9[[#All],[i]])), INDEX(Table9[[#All],[𝐶𝑙𝑜𝑠𝑠−𝐵𝑆𝐿,𝑡,100 (mineral soil)]], MATCH(Table8[[#This Row],[i]], Table9[[#All],[i]])))</f>
        <v>#N/A</v>
      </c>
      <c r="U27" t="e">
        <f>INDEX(Table31[[#All],[ABSL,i]], MATCH(Table8[[#This Row],[i]], Table31[[#All],[Stratum i]]))</f>
        <v>#N/A</v>
      </c>
      <c r="V27" t="e">
        <f>IF(Table8[[#This Row],[Soil Type]]="Peat soil", INDEX(Table9[[#All],[𝐶𝑙𝑜𝑠𝑠−𝑊𝑃𝑆,𝑡,100 (organic soil)]], MATCH(Table8[[#This Row],[i]], Table9[[#All],[i]])), INDEX(Table9[[#All],[𝐶𝑙𝑜𝑠𝑠−𝑊𝑃𝑆,𝑡,100 (mineral soil)]], MATCH(Table8[[#This Row],[i]], Table9[[#All],[i]])))</f>
        <v>#N/A</v>
      </c>
      <c r="W27" t="e">
        <f>INDEX(Table31[[#All],[AWPS,i]], MATCH(Table8[[#This Row],[i]], Table31[[#All],[Stratum i]]))</f>
        <v>#N/A</v>
      </c>
    </row>
    <row r="28" spans="1:25" x14ac:dyDescent="0.2">
      <c r="R28" s="17"/>
      <c r="S28" s="17"/>
      <c r="T28" t="e">
        <f>IF(Table8[[#This Row],[Soil Type]]="Peat soil", INDEX(Table9[[#All],[𝐶𝑙𝑜𝑠𝑠−𝐵𝑆𝐿,𝑡,100 (organic soil)]], MATCH(Table8[[#This Row],[i]],Table9[[#All],[i]])), INDEX(Table9[[#All],[𝐶𝑙𝑜𝑠𝑠−𝐵𝑆𝐿,𝑡,100 (mineral soil)]], MATCH(Table8[[#This Row],[i]], Table9[[#All],[i]])))</f>
        <v>#N/A</v>
      </c>
      <c r="U28" t="e">
        <f>INDEX(Table31[[#All],[ABSL,i]], MATCH(Table8[[#This Row],[i]], Table31[[#All],[Stratum i]]))</f>
        <v>#N/A</v>
      </c>
      <c r="V28" t="e">
        <f>IF(Table8[[#This Row],[Soil Type]]="Peat soil", INDEX(Table9[[#All],[𝐶𝑙𝑜𝑠𝑠−𝑊𝑃𝑆,𝑡,100 (organic soil)]], MATCH(Table8[[#This Row],[i]], Table9[[#All],[i]])), INDEX(Table9[[#All],[𝐶𝑙𝑜𝑠𝑠−𝑊𝑃𝑆,𝑡,100 (mineral soil)]], MATCH(Table8[[#This Row],[i]], Table9[[#All],[i]])))</f>
        <v>#N/A</v>
      </c>
      <c r="W28" t="e">
        <f>INDEX(Table31[[#All],[AWPS,i]], MATCH(Table8[[#This Row],[i]], Table31[[#All],[Stratum i]]))</f>
        <v>#N/A</v>
      </c>
    </row>
    <row r="29" spans="1:25" x14ac:dyDescent="0.2">
      <c r="R29" s="18"/>
      <c r="S29" s="18"/>
      <c r="T29" t="e">
        <f>IF(Table8[[#This Row],[Soil Type]]="Peat soil", INDEX(Table9[[#All],[𝐶𝑙𝑜𝑠𝑠−𝐵𝑆𝐿,𝑡,100 (organic soil)]], MATCH(Table8[[#This Row],[i]],Table9[[#All],[i]])), INDEX(Table9[[#All],[𝐶𝑙𝑜𝑠𝑠−𝐵𝑆𝐿,𝑡,100 (mineral soil)]], MATCH(Table8[[#This Row],[i]], Table9[[#All],[i]])))</f>
        <v>#N/A</v>
      </c>
      <c r="U29" t="e">
        <f>INDEX(Table31[[#All],[ABSL,i]], MATCH(Table8[[#This Row],[i]], Table31[[#All],[Stratum i]]))</f>
        <v>#N/A</v>
      </c>
      <c r="V29" t="e">
        <f>IF(Table8[[#This Row],[Soil Type]]="Peat soil", INDEX(Table9[[#All],[𝐶𝑙𝑜𝑠𝑠−𝑊𝑃𝑆,𝑡,100 (organic soil)]], MATCH(Table8[[#This Row],[i]], Table9[[#All],[i]])), INDEX(Table9[[#All],[𝐶𝑙𝑜𝑠𝑠−𝑊𝑃𝑆,𝑡,100 (mineral soil)]], MATCH(Table8[[#This Row],[i]], Table9[[#All],[i]])))</f>
        <v>#N/A</v>
      </c>
      <c r="W29" t="e">
        <f>INDEX(Table31[[#All],[AWPS,i]], MATCH(Table8[[#This Row],[i]], Table31[[#All],[Stratum i]]))</f>
        <v>#N/A</v>
      </c>
    </row>
    <row r="30" spans="1:25" x14ac:dyDescent="0.2">
      <c r="R30" s="17"/>
      <c r="S30" s="17"/>
      <c r="T30" t="e">
        <f>IF(Table8[[#This Row],[Soil Type]]="Peat soil", INDEX(Table9[[#All],[𝐶𝑙𝑜𝑠𝑠−𝐵𝑆𝐿,𝑡,100 (organic soil)]], MATCH(Table8[[#This Row],[i]],Table9[[#All],[i]])), INDEX(Table9[[#All],[𝐶𝑙𝑜𝑠𝑠−𝐵𝑆𝐿,𝑡,100 (mineral soil)]], MATCH(Table8[[#This Row],[i]], Table9[[#All],[i]])))</f>
        <v>#N/A</v>
      </c>
      <c r="U30" t="e">
        <f>INDEX(Table31[[#All],[ABSL,i]], MATCH(Table8[[#This Row],[i]], Table31[[#All],[Stratum i]]))</f>
        <v>#N/A</v>
      </c>
      <c r="V30" t="e">
        <f>IF(Table8[[#This Row],[Soil Type]]="Peat soil", INDEX(Table9[[#All],[𝐶𝑙𝑜𝑠𝑠−𝑊𝑃𝑆,𝑡,100 (organic soil)]], MATCH(Table8[[#This Row],[i]], Table9[[#All],[i]])), INDEX(Table9[[#All],[𝐶𝑙𝑜𝑠𝑠−𝑊𝑃𝑆,𝑡,100 (mineral soil)]], MATCH(Table8[[#This Row],[i]], Table9[[#All],[i]])))</f>
        <v>#N/A</v>
      </c>
      <c r="W30" t="e">
        <f>INDEX(Table31[[#All],[AWPS,i]], MATCH(Table8[[#This Row],[i]], Table31[[#All],[Stratum i]]))</f>
        <v>#N/A</v>
      </c>
    </row>
    <row r="31" spans="1:25" x14ac:dyDescent="0.2">
      <c r="R31" s="18"/>
      <c r="S31" s="18"/>
      <c r="T31" t="e">
        <f>IF(Table8[[#This Row],[Soil Type]]="Peat soil", INDEX(Table9[[#All],[𝐶𝑙𝑜𝑠𝑠−𝐵𝑆𝐿,𝑡,100 (organic soil)]], MATCH(Table8[[#This Row],[i]],Table9[[#All],[i]])), INDEX(Table9[[#All],[𝐶𝑙𝑜𝑠𝑠−𝐵𝑆𝐿,𝑡,100 (mineral soil)]], MATCH(Table8[[#This Row],[i]], Table9[[#All],[i]])))</f>
        <v>#N/A</v>
      </c>
      <c r="U31" t="e">
        <f>INDEX(Table31[[#All],[ABSL,i]], MATCH(Table8[[#This Row],[i]], Table31[[#All],[Stratum i]]))</f>
        <v>#N/A</v>
      </c>
      <c r="V31" t="e">
        <f>IF(Table8[[#This Row],[Soil Type]]="Peat soil", INDEX(Table9[[#All],[𝐶𝑙𝑜𝑠𝑠−𝑊𝑃𝑆,𝑡,100 (organic soil)]], MATCH(Table8[[#This Row],[i]], Table9[[#All],[i]])), INDEX(Table9[[#All],[𝐶𝑙𝑜𝑠𝑠−𝑊𝑃𝑆,𝑡,100 (mineral soil)]], MATCH(Table8[[#This Row],[i]], Table9[[#All],[i]])))</f>
        <v>#N/A</v>
      </c>
      <c r="W31" t="e">
        <f>INDEX(Table31[[#All],[AWPS,i]], MATCH(Table8[[#This Row],[i]], Table31[[#All],[Stratum i]]))</f>
        <v>#N/A</v>
      </c>
    </row>
    <row r="32" spans="1:25" x14ac:dyDescent="0.2">
      <c r="R32" s="17"/>
      <c r="S32" s="17"/>
      <c r="T32" t="e">
        <f>IF(Table8[[#This Row],[Soil Type]]="Peat soil", INDEX(Table9[[#All],[𝐶𝑙𝑜𝑠𝑠−𝐵𝑆𝐿,𝑡,100 (organic soil)]], MATCH(Table8[[#This Row],[i]],Table9[[#All],[i]])), INDEX(Table9[[#All],[𝐶𝑙𝑜𝑠𝑠−𝐵𝑆𝐿,𝑡,100 (mineral soil)]], MATCH(Table8[[#This Row],[i]], Table9[[#All],[i]])))</f>
        <v>#N/A</v>
      </c>
      <c r="U32" t="e">
        <f>INDEX(Table31[[#All],[ABSL,i]], MATCH(Table8[[#This Row],[i]], Table31[[#All],[Stratum i]]))</f>
        <v>#N/A</v>
      </c>
      <c r="V32" t="e">
        <f>IF(Table8[[#This Row],[Soil Type]]="Peat soil", INDEX(Table9[[#All],[𝐶𝑙𝑜𝑠𝑠−𝑊𝑃𝑆,𝑡,100 (organic soil)]], MATCH(Table8[[#This Row],[i]], Table9[[#All],[i]])), INDEX(Table9[[#All],[𝐶𝑙𝑜𝑠𝑠−𝑊𝑃𝑆,𝑡,100 (mineral soil)]], MATCH(Table8[[#This Row],[i]], Table9[[#All],[i]])))</f>
        <v>#N/A</v>
      </c>
      <c r="W32" t="e">
        <f>INDEX(Table31[[#All],[AWPS,i]], MATCH(Table8[[#This Row],[i]], Table31[[#All],[Stratum i]]))</f>
        <v>#N/A</v>
      </c>
    </row>
    <row r="33" spans="1:30" x14ac:dyDescent="0.2">
      <c r="R33" s="18"/>
      <c r="S33" s="18"/>
      <c r="T33" t="e">
        <f>IF(Table8[[#This Row],[Soil Type]]="Peat soil", INDEX(Table9[[#All],[𝐶𝑙𝑜𝑠𝑠−𝐵𝑆𝐿,𝑡,100 (organic soil)]], MATCH(Table8[[#This Row],[i]],Table9[[#All],[i]])), INDEX(Table9[[#All],[𝐶𝑙𝑜𝑠𝑠−𝐵𝑆𝐿,𝑡,100 (mineral soil)]], MATCH(Table8[[#This Row],[i]], Table9[[#All],[i]])))</f>
        <v>#N/A</v>
      </c>
      <c r="U33" t="e">
        <f>INDEX(Table31[[#All],[ABSL,i]], MATCH(Table8[[#This Row],[i]], Table31[[#All],[Stratum i]]))</f>
        <v>#N/A</v>
      </c>
      <c r="V33" t="e">
        <f>IF(Table8[[#This Row],[Soil Type]]="Peat soil", INDEX(Table9[[#All],[𝐶𝑙𝑜𝑠𝑠−𝑊𝑃𝑆,𝑡,100 (organic soil)]], MATCH(Table8[[#This Row],[i]], Table9[[#All],[i]])), INDEX(Table9[[#All],[𝐶𝑙𝑜𝑠𝑠−𝑊𝑃𝑆,𝑡,100 (mineral soil)]], MATCH(Table8[[#This Row],[i]], Table9[[#All],[i]])))</f>
        <v>#N/A</v>
      </c>
      <c r="W33" t="e">
        <f>INDEX(Table31[[#All],[AWPS,i]], MATCH(Table8[[#This Row],[i]], Table31[[#All],[Stratum i]]))</f>
        <v>#N/A</v>
      </c>
    </row>
    <row r="34" spans="1:30" x14ac:dyDescent="0.2">
      <c r="R34" s="17"/>
      <c r="S34" s="17"/>
      <c r="T34" t="e">
        <f>IF(Table8[[#This Row],[Soil Type]]="Peat soil", INDEX(Table9[[#All],[𝐶𝑙𝑜𝑠𝑠−𝐵𝑆𝐿,𝑡,100 (organic soil)]], MATCH(Table8[[#This Row],[i]],Table9[[#All],[i]])), INDEX(Table9[[#All],[𝐶𝑙𝑜𝑠𝑠−𝐵𝑆𝐿,𝑡,100 (mineral soil)]], MATCH(Table8[[#This Row],[i]], Table9[[#All],[i]])))</f>
        <v>#N/A</v>
      </c>
      <c r="U34" t="e">
        <f>INDEX(Table31[[#All],[ABSL,i]], MATCH(Table8[[#This Row],[i]], Table31[[#All],[Stratum i]]))</f>
        <v>#N/A</v>
      </c>
      <c r="V34" t="e">
        <f>IF(Table8[[#This Row],[Soil Type]]="Peat soil", INDEX(Table9[[#All],[𝐶𝑙𝑜𝑠𝑠−𝑊𝑃𝑆,𝑡,100 (organic soil)]], MATCH(Table8[[#This Row],[i]], Table9[[#All],[i]])), INDEX(Table9[[#All],[𝐶𝑙𝑜𝑠𝑠−𝑊𝑃𝑆,𝑡,100 (mineral soil)]], MATCH(Table8[[#This Row],[i]], Table9[[#All],[i]])))</f>
        <v>#N/A</v>
      </c>
      <c r="W34" t="e">
        <f>INDEX(Table31[[#All],[AWPS,i]], MATCH(Table8[[#This Row],[i]], Table31[[#All],[Stratum i]]))</f>
        <v>#N/A</v>
      </c>
    </row>
    <row r="35" spans="1:30" x14ac:dyDescent="0.2">
      <c r="R35" s="18"/>
      <c r="S35" s="18"/>
      <c r="T35" t="e">
        <f>IF(Table8[[#This Row],[Soil Type]]="Peat soil", INDEX(Table9[[#All],[𝐶𝑙𝑜𝑠𝑠−𝐵𝑆𝐿,𝑡,100 (organic soil)]], MATCH(Table8[[#This Row],[i]],Table9[[#All],[i]])), INDEX(Table9[[#All],[𝐶𝑙𝑜𝑠𝑠−𝐵𝑆𝐿,𝑡,100 (mineral soil)]], MATCH(Table8[[#This Row],[i]], Table9[[#All],[i]])))</f>
        <v>#N/A</v>
      </c>
      <c r="U35" t="e">
        <f>INDEX(Table31[[#All],[ABSL,i]], MATCH(Table8[[#This Row],[i]], Table31[[#All],[Stratum i]]))</f>
        <v>#N/A</v>
      </c>
      <c r="V35" t="e">
        <f>IF(Table8[[#This Row],[Soil Type]]="Peat soil", INDEX(Table9[[#All],[𝐶𝑙𝑜𝑠𝑠−𝑊𝑃𝑆,𝑡,100 (organic soil)]], MATCH(Table8[[#This Row],[i]], Table9[[#All],[i]])), INDEX(Table9[[#All],[𝐶𝑙𝑜𝑠𝑠−𝑊𝑃𝑆,𝑡,100 (mineral soil)]], MATCH(Table8[[#This Row],[i]], Table9[[#All],[i]])))</f>
        <v>#N/A</v>
      </c>
      <c r="W35" t="e">
        <f>INDEX(Table31[[#All],[AWPS,i]], MATCH(Table8[[#This Row],[i]], Table31[[#All],[Stratum i]]))</f>
        <v>#N/A</v>
      </c>
    </row>
    <row r="36" spans="1:30" x14ac:dyDescent="0.2">
      <c r="R36" s="17"/>
      <c r="S36" s="17"/>
      <c r="T36" t="e">
        <f>IF(Table8[[#This Row],[Soil Type]]="Peat soil", INDEX(Table9[[#All],[𝐶𝑙𝑜𝑠𝑠−𝐵𝑆𝐿,𝑡,100 (organic soil)]], MATCH(Table8[[#This Row],[i]],Table9[[#All],[i]])), INDEX(Table9[[#All],[𝐶𝑙𝑜𝑠𝑠−𝐵𝑆𝐿,𝑡,100 (mineral soil)]], MATCH(Table8[[#This Row],[i]], Table9[[#All],[i]])))</f>
        <v>#N/A</v>
      </c>
      <c r="U36" t="e">
        <f>INDEX(Table31[[#All],[ABSL,i]], MATCH(Table8[[#This Row],[i]], Table31[[#All],[Stratum i]]))</f>
        <v>#N/A</v>
      </c>
      <c r="V36" t="e">
        <f>IF(Table8[[#This Row],[Soil Type]]="Peat soil", INDEX(Table9[[#All],[𝐶𝑙𝑜𝑠𝑠−𝑊𝑃𝑆,𝑡,100 (organic soil)]], MATCH(Table8[[#This Row],[i]], Table9[[#All],[i]])), INDEX(Table9[[#All],[𝐶𝑙𝑜𝑠𝑠−𝑊𝑃𝑆,𝑡,100 (mineral soil)]], MATCH(Table8[[#This Row],[i]], Table9[[#All],[i]])))</f>
        <v>#N/A</v>
      </c>
      <c r="W36" t="e">
        <f>INDEX(Table31[[#All],[AWPS,i]], MATCH(Table8[[#This Row],[i]], Table31[[#All],[Stratum i]]))</f>
        <v>#N/A</v>
      </c>
    </row>
    <row r="37" spans="1:30" x14ac:dyDescent="0.2">
      <c r="R37" s="18"/>
      <c r="S37" s="18"/>
      <c r="T37" t="e">
        <f>IF(Table8[[#This Row],[Soil Type]]="Peat soil", INDEX(Table9[[#All],[𝐶𝑙𝑜𝑠𝑠−𝐵𝑆𝐿,𝑡,100 (organic soil)]], MATCH(Table8[[#This Row],[i]],Table9[[#All],[i]])), INDEX(Table9[[#All],[𝐶𝑙𝑜𝑠𝑠−𝐵𝑆𝐿,𝑡,100 (mineral soil)]], MATCH(Table8[[#This Row],[i]], Table9[[#All],[i]])))</f>
        <v>#N/A</v>
      </c>
      <c r="U37" t="e">
        <f>INDEX(Table31[[#All],[ABSL,i]], MATCH(Table8[[#This Row],[i]], Table31[[#All],[Stratum i]]))</f>
        <v>#N/A</v>
      </c>
      <c r="V37" t="e">
        <f>IF(Table8[[#This Row],[Soil Type]]="Peat soil", INDEX(Table9[[#All],[𝐶𝑙𝑜𝑠𝑠−𝑊𝑃𝑆,𝑡,100 (organic soil)]], MATCH(Table8[[#This Row],[i]], Table9[[#All],[i]])), INDEX(Table9[[#All],[𝐶𝑙𝑜𝑠𝑠−𝑊𝑃𝑆,𝑡,100 (mineral soil)]], MATCH(Table8[[#This Row],[i]], Table9[[#All],[i]])))</f>
        <v>#N/A</v>
      </c>
      <c r="W37" t="e">
        <f>INDEX(Table31[[#All],[AWPS,i]], MATCH(Table8[[#This Row],[i]], Table31[[#All],[Stratum i]]))</f>
        <v>#N/A</v>
      </c>
    </row>
    <row r="38" spans="1:30" x14ac:dyDescent="0.2">
      <c r="AC38" s="19"/>
      <c r="AD38" s="19"/>
    </row>
    <row r="39" spans="1:30" x14ac:dyDescent="0.2">
      <c r="E39" s="19" t="s">
        <v>335</v>
      </c>
      <c r="G39" s="19" t="s">
        <v>336</v>
      </c>
      <c r="H39" s="19" t="s">
        <v>337</v>
      </c>
      <c r="I39" s="19" t="s">
        <v>338</v>
      </c>
      <c r="K39" s="19" t="s">
        <v>339</v>
      </c>
      <c r="L39" s="19" t="s">
        <v>340</v>
      </c>
      <c r="M39" t="s">
        <v>284</v>
      </c>
      <c r="Y39" s="19" t="s">
        <v>341</v>
      </c>
      <c r="Z39" s="19" t="s">
        <v>342</v>
      </c>
      <c r="AC39" s="19" t="s">
        <v>343</v>
      </c>
      <c r="AD39" s="19" t="s">
        <v>344</v>
      </c>
    </row>
    <row r="40" spans="1:30" ht="32" x14ac:dyDescent="0.2">
      <c r="A40" s="19" t="s">
        <v>345</v>
      </c>
      <c r="C40" s="23" t="s">
        <v>122</v>
      </c>
      <c r="D40" t="s">
        <v>346</v>
      </c>
      <c r="E40" s="24" t="s">
        <v>347</v>
      </c>
      <c r="F40" s="24" t="s">
        <v>111</v>
      </c>
      <c r="G40" s="24" t="s">
        <v>348</v>
      </c>
      <c r="H40" s="24" t="s">
        <v>349</v>
      </c>
      <c r="I40" s="25" t="s">
        <v>350</v>
      </c>
      <c r="J40" s="58" t="s">
        <v>351</v>
      </c>
      <c r="K40" s="24" t="s">
        <v>352</v>
      </c>
      <c r="L40" t="s">
        <v>353</v>
      </c>
      <c r="M40" t="s">
        <v>354</v>
      </c>
      <c r="N40" s="24" t="s">
        <v>355</v>
      </c>
      <c r="R40" s="19" t="s">
        <v>356</v>
      </c>
      <c r="T40" t="s">
        <v>122</v>
      </c>
      <c r="U40" s="20" t="s">
        <v>357</v>
      </c>
      <c r="V40" s="20" t="s">
        <v>358</v>
      </c>
      <c r="W40" t="s">
        <v>359</v>
      </c>
      <c r="X40" t="s">
        <v>360</v>
      </c>
      <c r="Y40" t="s">
        <v>361</v>
      </c>
      <c r="Z40" t="s">
        <v>362</v>
      </c>
      <c r="AA40" t="s">
        <v>363</v>
      </c>
      <c r="AB40" t="s">
        <v>364</v>
      </c>
      <c r="AC40" t="s">
        <v>365</v>
      </c>
      <c r="AD40" t="s">
        <v>366</v>
      </c>
    </row>
    <row r="41" spans="1:30" x14ac:dyDescent="0.2">
      <c r="C41" s="21">
        <v>1</v>
      </c>
      <c r="D41" s="21" t="str">
        <f>INDEX(Table1[[#All],[Depthpeat,i,t0]], MATCH(Table5[[#This Row],[i]], Table1[[#All],[stratum i]]))</f>
        <v>Not applicable</v>
      </c>
      <c r="E41" s="24" t="e">
        <f>IF(Table5[[#This Row],[𝐷𝑒𝑝𝑡ℎ𝑝𝑒𝑎𝑡,𝑖,𝑡,0]]- SUMIF(#REF!, Table5[[#This Row],[i]],#REF!)&lt;= 0, 0, Table5[[#This Row],[𝐷𝑒𝑝𝑡ℎ𝑝𝑒𝑎𝑡,𝑖,𝑡,0]]- SUMIF(#REF!, Table5[[#This Row],[i]],#REF!))</f>
        <v>#VALUE!</v>
      </c>
      <c r="F41" t="str">
        <f>INDEX(Table31[[#All],[VC,I (peat portion)]], MATCH(Table5[[#This Row],[i]], Table31[[#All],[Stratum i]]))</f>
        <v>Not applicable</v>
      </c>
      <c r="G41" s="2">
        <f>IF(Table5[[#This Row],[Soil type]]="Peat soil", Table5[[#This Row],[Depthpeat-WPS,i,t100]]*Table5[[#This Row],[VC,I (peat portion)]]*10, 0)</f>
        <v>0</v>
      </c>
      <c r="H41"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#VALUE!</v>
      </c>
      <c r="I41" s="22">
        <f>IF(Table5[[#This Row],[Soil type]]="Peat soil", Table5[[#This Row],[Depthpeat-BSL,i,t100]]*Table5[[#This Row],[VC,I (peat portion)]]*10, 0)</f>
        <v>0</v>
      </c>
      <c r="J41">
        <f>IFERROR(100 - (Table5[[#This Row],[𝐷𝑒𝑝𝑡ℎ𝑝𝑒𝑎𝑡,𝑖,𝑡,0]]/INDEX(Table1[[#All],[Ratepeatloss-BSL,I]], MATCH(Table5[[#This Row],[i]], Table1[[#All],[stratum i]]))), 100)</f>
        <v>100</v>
      </c>
      <c r="K41"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#VALUE!</v>
      </c>
      <c r="L41" s="40" t="e">
        <f>IF((Table5[[#This Row],[𝐶𝐵𝑆𝐿,𝑖,𝑡0]]- SUMIF(#REF!, Table5[[#This Row],[i]],#REF!))&gt;0, (Table5[[#This Row],[𝐶𝐵𝑆𝐿,𝑖,𝑡0]]- SUMIF(#REF!, Table5[[#This Row],[i]],#REF!)), 0)</f>
        <v>#VALUE!</v>
      </c>
      <c r="M41" s="40" t="e">
        <f>INDEX(Table2[[#All],[CBSL,i,t0]], MATCH(Table5[[#This Row],[i]], Table2[[#All],[stratum i]]))</f>
        <v>#VALUE!</v>
      </c>
      <c r="N41" t="str">
        <f>INDEX(Table3[[#All],[Soil Type]], MATCH(Table5[[#This Row],[i]], Table3[[#All],[stratum i]]))</f>
        <v>Mineral soil</v>
      </c>
      <c r="T41">
        <v>1</v>
      </c>
      <c r="U41" t="str">
        <f>INDEX(Table31[[#All],[VC,I (mineral soil portion)]], MATCH(Table9[[#This Row],[i]], Table31[[#All],[Stratum i]]))</f>
        <v>Not applicable</v>
      </c>
      <c r="V41" t="str">
        <f>INDEX(Table31[[#All],[VC,I (peat portion)]], MATCH(Table9[[#This Row],[i]], Table31[[#All],[Stratum i]]))</f>
        <v>Not applicable</v>
      </c>
      <c r="W41" t="str">
        <f>INDEX(Table1[[#All],[Ratepeatloss-BSL,I]], MATCH(Table9[[#This Row],[i]], Table1[[#All],[stratum i]]))</f>
        <v>Not applicable</v>
      </c>
      <c r="X41" t="e">
        <f xml:space="preserve"> SUMIF(#REF!, Table9[[#This Row],[i]],#REF!)*Table9[[#This Row],[VC,i peat horizon]]</f>
        <v>#REF!</v>
      </c>
      <c r="Y41" t="e">
        <f>10*100*(Table9[[#This Row],[𝑅𝑎𝑡𝑒𝑝𝑒𝑎𝑡𝑙𝑜𝑠𝑠−𝐵𝑆𝐿,𝑖,t]]*Table9[[#This Row],[VC,i peat horizon]])</f>
        <v>#VALUE!</v>
      </c>
      <c r="Z41" t="e">
        <f>10*Table9[[#This Row],[ ∑𝑅𝑎𝑡𝑒𝑝𝑒𝑎𝑡𝑙𝑜𝑠𝑠−𝑊𝑃𝑆,𝑖,t*VC,I peat horizon]]</f>
        <v>#REF!</v>
      </c>
      <c r="AA41" t="str">
        <f>INDEX(Table2[[#All],[RateCloss-BSL,i]], MATCH(Table9[[#This Row],[i]], Table2[[#All],[stratum i]]))</f>
        <v>Not applicable</v>
      </c>
      <c r="AB41" t="e">
        <f xml:space="preserve"> SUMIF(#REF!, Table9[[#This Row],[i]],#REF!)*Table9[[#This Row],[VC,i mineral horizon]]</f>
        <v>#REF!</v>
      </c>
      <c r="AC41" t="e">
        <f>10*100*(Table9[[#This Row],[𝑅𝑎𝑡𝑒𝐶𝑙𝑜𝑠𝑠−𝐵𝑆𝐿,𝑖,t]]*Table9[[#This Row],[VC,i mineral horizon]])</f>
        <v>#VALUE!</v>
      </c>
      <c r="AD41" t="e">
        <f>10*Table9[[#This Row],[ ∑𝑅𝑎𝑡𝑒𝐶𝑙𝑜𝑠𝑠−𝑊𝑃𝑆,𝑖,t*VC]]</f>
        <v>#REF!</v>
      </c>
    </row>
    <row r="42" spans="1:30" x14ac:dyDescent="0.2">
      <c r="C42" s="21">
        <v>2</v>
      </c>
      <c r="D42" s="21" t="str">
        <f>INDEX(Table1[[#All],[Depthpeat,i,t0]], MATCH(Table5[[#This Row],[i]], Table1[[#All],[stratum i]]))</f>
        <v>Not applicable</v>
      </c>
      <c r="E42" s="24" t="e">
        <f>IF(Table5[[#This Row],[𝐷𝑒𝑝𝑡ℎ𝑝𝑒𝑎𝑡,𝑖,𝑡,0]]- SUMIF(#REF!, Table5[[#This Row],[i]],#REF!)&lt;= 0, 0, Table5[[#This Row],[𝐷𝑒𝑝𝑡ℎ𝑝𝑒𝑎𝑡,𝑖,𝑡,0]]- SUMIF(#REF!, Table5[[#This Row],[i]],#REF!))</f>
        <v>#VALUE!</v>
      </c>
      <c r="F42" t="str">
        <f>INDEX(Table31[[#All],[VC,I (peat portion)]], MATCH(Table5[[#This Row],[i]], Table31[[#All],[Stratum i]]))</f>
        <v>Not applicable</v>
      </c>
      <c r="G42" s="2">
        <f>IF(Table5[[#This Row],[Soil type]]="Peat soil", Table5[[#This Row],[Depthpeat-WPS,i,t100]]*Table5[[#This Row],[VC,I (peat portion)]]*10, 0)</f>
        <v>0</v>
      </c>
      <c r="H42"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#VALUE!</v>
      </c>
      <c r="I42" s="22">
        <f>IF(Table5[[#This Row],[Soil type]]="Peat soil", Table5[[#This Row],[Depthpeat-BSL,i,t100]]*Table5[[#This Row],[VC,I (peat portion)]]*10, 0)</f>
        <v>0</v>
      </c>
      <c r="J42">
        <f>IFERROR(100 - (Table5[[#This Row],[𝐷𝑒𝑝𝑡ℎ𝑝𝑒𝑎𝑡,𝑖,𝑡,0]]/INDEX(Table1[[#All],[Ratepeatloss-BSL,I]], MATCH(Table5[[#This Row],[i]], Table1[[#All],[stratum i]]))), 100)</f>
        <v>100</v>
      </c>
      <c r="K42"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#VALUE!</v>
      </c>
      <c r="L42" s="40" t="e">
        <f>IF((Table5[[#This Row],[𝐶𝐵𝑆𝐿,𝑖,𝑡0]]- SUMIF(#REF!, Table5[[#This Row],[i]],#REF!))&gt;0, (Table5[[#This Row],[𝐶𝐵𝑆𝐿,𝑖,𝑡0]]- SUMIF(#REF!, Table5[[#This Row],[i]],#REF!)), 0)</f>
        <v>#VALUE!</v>
      </c>
      <c r="M42" s="40" t="e">
        <f>INDEX(Table2[[#All],[CBSL,i,t0]], MATCH(Table5[[#This Row],[i]], Table2[[#All],[stratum i]]))</f>
        <v>#VALUE!</v>
      </c>
      <c r="N42" t="str">
        <f>INDEX(Table3[[#All],[Soil Type]], MATCH(Table5[[#This Row],[i]], Table3[[#All],[stratum i]]))</f>
        <v>Mineral soil</v>
      </c>
      <c r="T42">
        <v>2</v>
      </c>
      <c r="U42" t="str">
        <f>INDEX(Table31[[#All],[VC,I (mineral soil portion)]], MATCH(Table9[[#This Row],[i]], Table31[[#All],[Stratum i]]))</f>
        <v>Not applicable</v>
      </c>
      <c r="V42" t="str">
        <f>INDEX(Table31[[#All],[VC,I (peat portion)]], MATCH(Table9[[#This Row],[i]], Table31[[#All],[Stratum i]]))</f>
        <v>Not applicable</v>
      </c>
      <c r="W42" t="str">
        <f>INDEX(Table1[[#All],[Ratepeatloss-BSL,I]], MATCH(Table9[[#This Row],[i]], Table1[[#All],[stratum i]]))</f>
        <v>Not applicable</v>
      </c>
      <c r="X42" t="e">
        <f xml:space="preserve"> SUMIF(#REF!, Table9[[#This Row],[i]],#REF!)*Table9[[#This Row],[VC,i peat horizon]]</f>
        <v>#REF!</v>
      </c>
      <c r="Y42" t="e">
        <f>10*100*(Table9[[#This Row],[𝑅𝑎𝑡𝑒𝑝𝑒𝑎𝑡𝑙𝑜𝑠𝑠−𝐵𝑆𝐿,𝑖,t]]*Table9[[#This Row],[VC,i peat horizon]])</f>
        <v>#VALUE!</v>
      </c>
      <c r="Z42" t="e">
        <f>10*Table9[[#This Row],[ ∑𝑅𝑎𝑡𝑒𝑝𝑒𝑎𝑡𝑙𝑜𝑠𝑠−𝑊𝑃𝑆,𝑖,t*VC,I peat horizon]]</f>
        <v>#REF!</v>
      </c>
      <c r="AA42" t="str">
        <f>INDEX(Table2[[#All],[RateCloss-BSL,i]], MATCH(Table9[[#This Row],[i]], Table2[[#All],[stratum i]]))</f>
        <v>Not applicable</v>
      </c>
      <c r="AB42" t="e">
        <f xml:space="preserve"> SUMIF(#REF!, Table9[[#This Row],[i]],#REF!)*Table9[[#This Row],[VC,i mineral horizon]]</f>
        <v>#REF!</v>
      </c>
      <c r="AC42" t="e">
        <f>10*100*(Table9[[#This Row],[𝑅𝑎𝑡𝑒𝐶𝑙𝑜𝑠𝑠−𝐵𝑆𝐿,𝑖,t]]*Table9[[#This Row],[VC,i mineral horizon]])</f>
        <v>#VALUE!</v>
      </c>
      <c r="AD42" t="e">
        <f>10*Table9[[#This Row],[ ∑𝑅𝑎𝑡𝑒𝐶𝑙𝑜𝑠𝑠−𝑊𝑃𝑆,𝑖,t*VC]]</f>
        <v>#REF!</v>
      </c>
    </row>
    <row r="43" spans="1:30" x14ac:dyDescent="0.2">
      <c r="C43" s="21">
        <v>3</v>
      </c>
      <c r="D43" s="21" t="str">
        <f>INDEX(Table1[[#All],[Depthpeat,i,t0]], MATCH(Table5[[#This Row],[i]], Table1[[#All],[stratum i]]))</f>
        <v>Not applicable</v>
      </c>
      <c r="E43" s="24" t="e">
        <f>IF(Table5[[#This Row],[𝐷𝑒𝑝𝑡ℎ𝑝𝑒𝑎𝑡,𝑖,𝑡,0]]- SUMIF(#REF!, Table5[[#This Row],[i]],#REF!)&lt;= 0, 0, Table5[[#This Row],[𝐷𝑒𝑝𝑡ℎ𝑝𝑒𝑎𝑡,𝑖,𝑡,0]]- SUMIF(#REF!, Table5[[#This Row],[i]],#REF!))</f>
        <v>#VALUE!</v>
      </c>
      <c r="F43" t="str">
        <f>INDEX(Table31[[#All],[VC,I (peat portion)]], MATCH(Table5[[#This Row],[i]], Table31[[#All],[Stratum i]]))</f>
        <v>Not applicable</v>
      </c>
      <c r="G43" s="2">
        <f>IF(Table5[[#This Row],[Soil type]]="Peat soil", Table5[[#This Row],[Depthpeat-WPS,i,t100]]*Table5[[#This Row],[VC,I (peat portion)]]*10, 0)</f>
        <v>0</v>
      </c>
      <c r="H43"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#VALUE!</v>
      </c>
      <c r="I43" s="22">
        <f>IF(Table5[[#This Row],[Soil type]]="Peat soil", Table5[[#This Row],[Depthpeat-BSL,i,t100]]*Table5[[#This Row],[VC,I (peat portion)]]*10, 0)</f>
        <v>0</v>
      </c>
      <c r="J43">
        <f>IFERROR(100 - (Table5[[#This Row],[𝐷𝑒𝑝𝑡ℎ𝑝𝑒𝑎𝑡,𝑖,𝑡,0]]/INDEX(Table1[[#All],[Ratepeatloss-BSL,I]], MATCH(Table5[[#This Row],[i]], Table1[[#All],[stratum i]]))), 100)</f>
        <v>100</v>
      </c>
      <c r="K43"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#VALUE!</v>
      </c>
      <c r="L43" s="40" t="e">
        <f>IF((Table5[[#This Row],[𝐶𝐵𝑆𝐿,𝑖,𝑡0]]- SUMIF(#REF!, Table5[[#This Row],[i]],#REF!))&gt;0, (Table5[[#This Row],[𝐶𝐵𝑆𝐿,𝑖,𝑡0]]- SUMIF(#REF!, Table5[[#This Row],[i]],#REF!)), 0)</f>
        <v>#VALUE!</v>
      </c>
      <c r="M43" s="40" t="e">
        <f>INDEX(Table2[[#All],[CBSL,i,t0]], MATCH(Table5[[#This Row],[i]], Table2[[#All],[stratum i]]))</f>
        <v>#VALUE!</v>
      </c>
      <c r="N43" t="str">
        <f>INDEX(Table3[[#All],[Soil Type]], MATCH(Table5[[#This Row],[i]], Table3[[#All],[stratum i]]))</f>
        <v>Mineral soil</v>
      </c>
      <c r="T43">
        <v>3</v>
      </c>
      <c r="U43" t="str">
        <f>INDEX(Table31[[#All],[VC,I (mineral soil portion)]], MATCH(Table9[[#This Row],[i]], Table31[[#All],[Stratum i]]))</f>
        <v>Not applicable</v>
      </c>
      <c r="V43" t="str">
        <f>INDEX(Table31[[#All],[VC,I (peat portion)]], MATCH(Table9[[#This Row],[i]], Table31[[#All],[Stratum i]]))</f>
        <v>Not applicable</v>
      </c>
      <c r="W43" t="str">
        <f>INDEX(Table1[[#All],[Ratepeatloss-BSL,I]], MATCH(Table9[[#This Row],[i]], Table1[[#All],[stratum i]]))</f>
        <v>Not applicable</v>
      </c>
      <c r="X43" t="e">
        <f xml:space="preserve"> SUMIF(#REF!, Table9[[#This Row],[i]],#REF!)*Table9[[#This Row],[VC,i peat horizon]]</f>
        <v>#REF!</v>
      </c>
      <c r="Y43" t="e">
        <f>10*100*(Table9[[#This Row],[𝑅𝑎𝑡𝑒𝑝𝑒𝑎𝑡𝑙𝑜𝑠𝑠−𝐵𝑆𝐿,𝑖,t]]*Table9[[#This Row],[VC,i peat horizon]])</f>
        <v>#VALUE!</v>
      </c>
      <c r="Z43" t="e">
        <f>10*Table9[[#This Row],[ ∑𝑅𝑎𝑡𝑒𝑝𝑒𝑎𝑡𝑙𝑜𝑠𝑠−𝑊𝑃𝑆,𝑖,t*VC,I peat horizon]]</f>
        <v>#REF!</v>
      </c>
      <c r="AA43" t="str">
        <f>INDEX(Table2[[#All],[RateCloss-BSL,i]], MATCH(Table9[[#This Row],[i]], Table2[[#All],[stratum i]]))</f>
        <v>Not applicable</v>
      </c>
      <c r="AB43" t="e">
        <f xml:space="preserve"> SUMIF(#REF!, Table9[[#This Row],[i]],#REF!)*Table9[[#This Row],[VC,i mineral horizon]]</f>
        <v>#REF!</v>
      </c>
      <c r="AC43" t="e">
        <f>10*100*(Table9[[#This Row],[𝑅𝑎𝑡𝑒𝐶𝑙𝑜𝑠𝑠−𝐵𝑆𝐿,𝑖,t]]*Table9[[#This Row],[VC,i mineral horizon]])</f>
        <v>#VALUE!</v>
      </c>
      <c r="AD43" t="e">
        <f>10*Table9[[#This Row],[ ∑𝑅𝑎𝑡𝑒𝐶𝑙𝑜𝑠𝑠−𝑊𝑃𝑆,𝑖,t*VC]]</f>
        <v>#REF!</v>
      </c>
    </row>
    <row r="44" spans="1:30" x14ac:dyDescent="0.2">
      <c r="C44" s="21">
        <v>4</v>
      </c>
      <c r="D44" s="21" t="str">
        <f>INDEX(Table1[[#All],[Depthpeat,i,t0]], MATCH(Table5[[#This Row],[i]], Table1[[#All],[stratum i]]))</f>
        <v>Not applicable</v>
      </c>
      <c r="E44" s="24" t="e">
        <f>IF(Table5[[#This Row],[𝐷𝑒𝑝𝑡ℎ𝑝𝑒𝑎𝑡,𝑖,𝑡,0]]- SUMIF(#REF!, Table5[[#This Row],[i]],#REF!)&lt;= 0, 0, Table5[[#This Row],[𝐷𝑒𝑝𝑡ℎ𝑝𝑒𝑎𝑡,𝑖,𝑡,0]]- SUMIF(#REF!, Table5[[#This Row],[i]],#REF!))</f>
        <v>#VALUE!</v>
      </c>
      <c r="F44" t="str">
        <f>INDEX(Table31[[#All],[VC,I (peat portion)]], MATCH(Table5[[#This Row],[i]], Table31[[#All],[Stratum i]]))</f>
        <v>Not applicable</v>
      </c>
      <c r="G44" s="2">
        <f>IF(Table5[[#This Row],[Soil type]]="Peat soil", Table5[[#This Row],[Depthpeat-WPS,i,t100]]*Table5[[#This Row],[VC,I (peat portion)]]*10, 0)</f>
        <v>0</v>
      </c>
      <c r="H44"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#VALUE!</v>
      </c>
      <c r="I44" s="22">
        <f>IF(Table5[[#This Row],[Soil type]]="Peat soil", Table5[[#This Row],[Depthpeat-BSL,i,t100]]*Table5[[#This Row],[VC,I (peat portion)]]*10, 0)</f>
        <v>0</v>
      </c>
      <c r="J44">
        <f>IFERROR(100 - (Table5[[#This Row],[𝐷𝑒𝑝𝑡ℎ𝑝𝑒𝑎𝑡,𝑖,𝑡,0]]/INDEX(Table1[[#All],[Ratepeatloss-BSL,I]], MATCH(Table5[[#This Row],[i]], Table1[[#All],[stratum i]]))), 100)</f>
        <v>100</v>
      </c>
      <c r="K44"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#VALUE!</v>
      </c>
      <c r="L44" s="40" t="e">
        <f>IF((Table5[[#This Row],[𝐶𝐵𝑆𝐿,𝑖,𝑡0]]- SUMIF(#REF!, Table5[[#This Row],[i]],#REF!))&gt;0, (Table5[[#This Row],[𝐶𝐵𝑆𝐿,𝑖,𝑡0]]- SUMIF(#REF!, Table5[[#This Row],[i]],#REF!)), 0)</f>
        <v>#VALUE!</v>
      </c>
      <c r="M44" s="40" t="e">
        <f>INDEX(Table2[[#All],[CBSL,i,t0]], MATCH(Table5[[#This Row],[i]], Table2[[#All],[stratum i]]))</f>
        <v>#VALUE!</v>
      </c>
      <c r="N44" t="str">
        <f>INDEX(Table3[[#All],[Soil Type]], MATCH(Table5[[#This Row],[i]], Table3[[#All],[stratum i]]))</f>
        <v>Mineral soil</v>
      </c>
      <c r="T44">
        <v>4</v>
      </c>
      <c r="U44" t="str">
        <f>INDEX(Table31[[#All],[VC,I (mineral soil portion)]], MATCH(Table9[[#This Row],[i]], Table31[[#All],[Stratum i]]))</f>
        <v>Not applicable</v>
      </c>
      <c r="V44" t="str">
        <f>INDEX(Table31[[#All],[VC,I (peat portion)]], MATCH(Table9[[#This Row],[i]], Table31[[#All],[Stratum i]]))</f>
        <v>Not applicable</v>
      </c>
      <c r="W44" t="str">
        <f>INDEX(Table1[[#All],[Ratepeatloss-BSL,I]], MATCH(Table9[[#This Row],[i]], Table1[[#All],[stratum i]]))</f>
        <v>Not applicable</v>
      </c>
      <c r="X44" t="e">
        <f xml:space="preserve"> SUMIF(#REF!, Table9[[#This Row],[i]],#REF!)*Table9[[#This Row],[VC,i peat horizon]]</f>
        <v>#REF!</v>
      </c>
      <c r="Y44" t="e">
        <f>10*100*(Table9[[#This Row],[𝑅𝑎𝑡𝑒𝑝𝑒𝑎𝑡𝑙𝑜𝑠𝑠−𝐵𝑆𝐿,𝑖,t]]*Table9[[#This Row],[VC,i peat horizon]])</f>
        <v>#VALUE!</v>
      </c>
      <c r="Z44" t="e">
        <f>10*Table9[[#This Row],[ ∑𝑅𝑎𝑡𝑒𝑝𝑒𝑎𝑡𝑙𝑜𝑠𝑠−𝑊𝑃𝑆,𝑖,t*VC,I peat horizon]]</f>
        <v>#REF!</v>
      </c>
      <c r="AA44" t="str">
        <f>INDEX(Table2[[#All],[RateCloss-BSL,i]], MATCH(Table9[[#This Row],[i]], Table2[[#All],[stratum i]]))</f>
        <v>Not applicable</v>
      </c>
      <c r="AB44" t="e">
        <f xml:space="preserve"> SUMIF(#REF!, Table9[[#This Row],[i]],#REF!)*Table9[[#This Row],[VC,i mineral horizon]]</f>
        <v>#REF!</v>
      </c>
      <c r="AC44" t="e">
        <f>10*100*(Table9[[#This Row],[𝑅𝑎𝑡𝑒𝐶𝑙𝑜𝑠𝑠−𝐵𝑆𝐿,𝑖,t]]*Table9[[#This Row],[VC,i mineral horizon]])</f>
        <v>#VALUE!</v>
      </c>
      <c r="AD44" t="e">
        <f>10*Table9[[#This Row],[ ∑𝑅𝑎𝑡𝑒𝐶𝑙𝑜𝑠𝑠−𝑊𝑃𝑆,𝑖,t*VC]]</f>
        <v>#REF!</v>
      </c>
    </row>
    <row r="45" spans="1:30" x14ac:dyDescent="0.2">
      <c r="C45">
        <v>5</v>
      </c>
      <c r="D45" s="21" t="str">
        <f>INDEX(Table1[[#All],[Depthpeat,i,t0]], MATCH(Table5[[#This Row],[i]], Table1[[#All],[stratum i]]))</f>
        <v>Not applicable</v>
      </c>
      <c r="E45" s="24" t="e">
        <f>IF(Table5[[#This Row],[𝐷𝑒𝑝𝑡ℎ𝑝𝑒𝑎𝑡,𝑖,𝑡,0]]- SUMIF(#REF!, Table5[[#This Row],[i]],#REF!)&lt;= 0, 0, Table5[[#This Row],[𝐷𝑒𝑝𝑡ℎ𝑝𝑒𝑎𝑡,𝑖,𝑡,0]]- SUMIF(#REF!, Table5[[#This Row],[i]],#REF!))</f>
        <v>#VALUE!</v>
      </c>
      <c r="F45" t="str">
        <f>INDEX(Table31[[#All],[VC,I (peat portion)]], MATCH(Table5[[#This Row],[i]], Table31[[#All],[Stratum i]]))</f>
        <v>Not applicable</v>
      </c>
      <c r="G45" s="2">
        <f>IF(Table5[[#This Row],[Soil type]]="Peat soil", Table5[[#This Row],[Depthpeat-WPS,i,t100]]*Table5[[#This Row],[VC,I (peat portion)]]*10, 0)</f>
        <v>0</v>
      </c>
      <c r="H45"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#VALUE!</v>
      </c>
      <c r="I45" s="22">
        <f>IF(Table5[[#This Row],[Soil type]]="Peat soil", Table5[[#This Row],[Depthpeat-BSL,i,t100]]*Table5[[#This Row],[VC,I (peat portion)]]*10, 0)</f>
        <v>0</v>
      </c>
      <c r="J45">
        <f>IFERROR(100 - (Table5[[#This Row],[𝐷𝑒𝑝𝑡ℎ𝑝𝑒𝑎𝑡,𝑖,𝑡,0]]/INDEX(Table1[[#All],[Ratepeatloss-BSL,I]], MATCH(Table5[[#This Row],[i]], Table1[[#All],[stratum i]]))), 100)</f>
        <v>100</v>
      </c>
      <c r="K45"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#VALUE!</v>
      </c>
      <c r="L45" s="40" t="e">
        <f>IF((Table5[[#This Row],[𝐶𝐵𝑆𝐿,𝑖,𝑡0]]- SUMIF(#REF!, Table5[[#This Row],[i]],#REF!))&gt;0, (Table5[[#This Row],[𝐶𝐵𝑆𝐿,𝑖,𝑡0]]- SUMIF(#REF!, Table5[[#This Row],[i]],#REF!)), 0)</f>
        <v>#VALUE!</v>
      </c>
      <c r="M45" s="40" t="e">
        <f>INDEX(Table2[[#All],[CBSL,i,t0]], MATCH(Table5[[#This Row],[i]], Table2[[#All],[stratum i]]))</f>
        <v>#VALUE!</v>
      </c>
      <c r="N45" t="str">
        <f>INDEX(Table3[[#All],[Soil Type]], MATCH(Table5[[#This Row],[i]], Table3[[#All],[stratum i]]))</f>
        <v>Mineral soil</v>
      </c>
      <c r="T45">
        <v>5</v>
      </c>
      <c r="U45" t="str">
        <f>INDEX(Table31[[#All],[VC,I (mineral soil portion)]], MATCH(Table9[[#This Row],[i]], Table31[[#All],[Stratum i]]))</f>
        <v>Not applicable</v>
      </c>
      <c r="V45" t="str">
        <f>INDEX(Table31[[#All],[VC,I (peat portion)]], MATCH(Table9[[#This Row],[i]], Table31[[#All],[Stratum i]]))</f>
        <v>Not applicable</v>
      </c>
      <c r="W45" t="str">
        <f>INDEX(Table1[[#All],[Ratepeatloss-BSL,I]], MATCH(Table9[[#This Row],[i]], Table1[[#All],[stratum i]]))</f>
        <v>Not applicable</v>
      </c>
      <c r="X45" t="e">
        <f xml:space="preserve"> SUMIF(#REF!, Table9[[#This Row],[i]],#REF!)*Table9[[#This Row],[VC,i peat horizon]]</f>
        <v>#REF!</v>
      </c>
      <c r="Y45" t="e">
        <f>10*100*(Table9[[#This Row],[𝑅𝑎𝑡𝑒𝑝𝑒𝑎𝑡𝑙𝑜𝑠𝑠−𝐵𝑆𝐿,𝑖,t]]*Table9[[#This Row],[VC,i peat horizon]])</f>
        <v>#VALUE!</v>
      </c>
      <c r="Z45" t="e">
        <f>10*Table9[[#This Row],[ ∑𝑅𝑎𝑡𝑒𝑝𝑒𝑎𝑡𝑙𝑜𝑠𝑠−𝑊𝑃𝑆,𝑖,t*VC,I peat horizon]]</f>
        <v>#REF!</v>
      </c>
      <c r="AA45" t="str">
        <f>INDEX(Table2[[#All],[RateCloss-BSL,i]], MATCH(Table9[[#This Row],[i]], Table2[[#All],[stratum i]]))</f>
        <v>Not applicable</v>
      </c>
      <c r="AB45" t="e">
        <f xml:space="preserve"> SUMIF(#REF!, Table9[[#This Row],[i]],#REF!)*Table9[[#This Row],[VC,i mineral horizon]]</f>
        <v>#REF!</v>
      </c>
      <c r="AC45" t="e">
        <f>10*100*(Table9[[#This Row],[𝑅𝑎𝑡𝑒𝐶𝑙𝑜𝑠𝑠−𝐵𝑆𝐿,𝑖,t]]*Table9[[#This Row],[VC,i mineral horizon]])</f>
        <v>#VALUE!</v>
      </c>
      <c r="AD45" t="e">
        <f>10*Table9[[#This Row],[ ∑𝑅𝑎𝑡𝑒𝐶𝑙𝑜𝑠𝑠−𝑊𝑃𝑆,𝑖,t*VC]]</f>
        <v>#REF!</v>
      </c>
    </row>
    <row r="46" spans="1:30" x14ac:dyDescent="0.2">
      <c r="C46" s="21"/>
      <c r="D46" s="21" t="e">
        <f>INDEX(Table1[[#All],[Depthpeat,i,t0]], MATCH(Table5[[#This Row],[i]], Table1[[#All],[stratum i]]))</f>
        <v>#N/A</v>
      </c>
      <c r="E46" s="24" t="e">
        <f>IF(Table5[[#This Row],[𝐷𝑒𝑝𝑡ℎ𝑝𝑒𝑎𝑡,𝑖,𝑡,0]]- SUMIF(#REF!, Table5[[#This Row],[i]],#REF!)&lt;= 0, 0, Table5[[#This Row],[𝐷𝑒𝑝𝑡ℎ𝑝𝑒𝑎𝑡,𝑖,𝑡,0]]- SUMIF(#REF!, Table5[[#This Row],[i]],#REF!))</f>
        <v>#N/A</v>
      </c>
      <c r="F46" s="2" t="e">
        <f>INDEX(Table31[[#All],[VC,I (peat portion)]], MATCH(Table5[[#This Row],[i]], Table31[[#All],[Stratum i]]))</f>
        <v>#N/A</v>
      </c>
      <c r="G46" s="2" t="e">
        <f>IF(Table5[[#This Row],[Soil type]]="Peat soil", Table5[[#This Row],[Depthpeat-WPS,i,t100]]*Table5[[#This Row],[VC,I (peat portion)]]*10, 0)</f>
        <v>#N/A</v>
      </c>
      <c r="H46" s="2" t="e">
        <f>IF(Table5[[#This Row],[𝐷𝑒𝑝𝑡ℎ𝑝𝑒𝑎𝑡,𝑖,𝑡,0]]-100*INDEX(Table1[[#All],[Ratepeatloss-BSL,I]], MATCH(Table5[[#This Row],[i]], Table1[[#All],[stratum i]])) &lt;=0, 0, Table5[[#This Row],[𝐷𝑒𝑝𝑡ℎ𝑝𝑒𝑎𝑡,𝑖,𝑡,0]]-100*INDEX(Table1[[#All],[Ratepeatloss-BSL,I]], MATCH(Table5[[#This Row],[i]], Table1[[#All],[stratum i]])))</f>
        <v>#N/A</v>
      </c>
      <c r="I46" s="22" t="e">
        <f>IF(Table5[[#This Row],[Soil type]]="Peat soil", Table5[[#This Row],[Depthpeat-BSL,i,t100]]*Table5[[#This Row],[VC,I (peat portion)]]*10, 0)</f>
        <v>#N/A</v>
      </c>
      <c r="K46"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#N/A</v>
      </c>
      <c r="L46" s="41" t="e">
        <f>IF((Table5[[#This Row],[𝐶𝐵𝑆𝐿,𝑖,𝑡0]]- SUMIF(#REF!, Table5[[#This Row],[i]],#REF!))&gt;0, (Table5[[#This Row],[𝐶𝐵𝑆𝐿,𝑖,𝑡0]]- SUMIF(#REF!, Table5[[#This Row],[i]],#REF!)), 0)</f>
        <v>#N/A</v>
      </c>
      <c r="M46" s="40" t="e">
        <f>INDEX(Table2[[#All],[CBSL,i,t0]], MATCH(Table5[[#This Row],[i]], Table2[[#All],[stratum i]]))</f>
        <v>#N/A</v>
      </c>
      <c r="N46" t="e">
        <f>INDEX(Table3[[#All],[Soil Type]], MATCH(Table5[[#This Row],[i]], Table3[[#All],[stratum i]]))</f>
        <v>#N/A</v>
      </c>
      <c r="V46" t="e">
        <f>INDEX(Table31[[#All],[VC,I (peat portion)]], MATCH(Table9[[#This Row],[i]], Table31[[#All],[Stratum i]]))</f>
        <v>#N/A</v>
      </c>
      <c r="X46" t="e">
        <f xml:space="preserve"> SUMIF(#REF!, Table9[[#This Row],[i]],#REF!)*Table9[[#This Row],[VC,i peat horizon]]</f>
        <v>#REF!</v>
      </c>
      <c r="Y46" t="e">
        <f>10*100*(Table9[[#This Row],[𝑅𝑎𝑡𝑒𝑝𝑒𝑎𝑡𝑙𝑜𝑠𝑠−𝐵𝑆𝐿,𝑖,t]]*Table9[[#This Row],[VC,i peat horizon]])</f>
        <v>#N/A</v>
      </c>
      <c r="Z46" t="e">
        <f>10*Table9[[#This Row],[ ∑𝑅𝑎𝑡𝑒𝑝𝑒𝑎𝑡𝑙𝑜𝑠𝑠−𝑊𝑃𝑆,𝑖,t*VC,I peat horizon]]</f>
        <v>#REF!</v>
      </c>
      <c r="AA46" t="e">
        <f>INDEX(Table2[[#All],[RateCloss-BSL,i]], MATCH(Table9[[#This Row],[i]], Table2[[#All],[stratum i]]))</f>
        <v>#N/A</v>
      </c>
      <c r="AB46" t="e">
        <f xml:space="preserve"> SUMIF(#REF!, Table9[[#This Row],[i]],#REF!)*Table9[[#This Row],[VC,i mineral horizon]]</f>
        <v>#REF!</v>
      </c>
      <c r="AC46" t="e">
        <f>10*100*(Table9[[#This Row],[𝑅𝑎𝑡𝑒𝐶𝑙𝑜𝑠𝑠−𝐵𝑆𝐿,𝑖,t]]*Table9[[#This Row],[VC,i mineral horizon]])</f>
        <v>#N/A</v>
      </c>
      <c r="AD46" t="e">
        <f>10*Table9[[#This Row],[ ∑𝑅𝑎𝑡𝑒𝐶𝑙𝑜𝑠𝑠−𝑊𝑃𝑆,𝑖,t*VC]]</f>
        <v>#REF!</v>
      </c>
    </row>
    <row r="47" spans="1:30" x14ac:dyDescent="0.2">
      <c r="C47" s="26"/>
      <c r="D47" s="26" t="e">
        <f>INDEX(Table1[[#All],[Depthpeat,i,t0]], MATCH(Table5[[#This Row],[i]], Table1[[#All],[stratum i]]))</f>
        <v>#N/A</v>
      </c>
      <c r="E47" s="24" t="e">
        <f>IF(Table5[[#This Row],[𝐷𝑒𝑝𝑡ℎ𝑝𝑒𝑎𝑡,𝑖,𝑡,0]]- SUMIF(#REF!, Table5[[#This Row],[i]],#REF!)&lt;= 0, 0, Table5[[#This Row],[𝐷𝑒𝑝𝑡ℎ𝑝𝑒𝑎𝑡,𝑖,𝑡,0]]- SUMIF(#REF!, Table5[[#This Row],[i]],#REF!))</f>
        <v>#N/A</v>
      </c>
      <c r="F47" s="27" t="e">
        <f>INDEX(Table31[[#All],[VC,I (peat portion)]], MATCH(Table5[[#This Row],[i]], Table31[[#All],[Stratum i]]))</f>
        <v>#N/A</v>
      </c>
      <c r="G47" s="27" t="e">
        <f>IF(Table5[[#This Row],[Soil type]]="Peat soil", Table5[[#This Row],[Depthpeat-WPS,i,t100]]*Table5[[#This Row],[VC,I (peat portion)]]*10, 0)</f>
        <v>#N/A</v>
      </c>
      <c r="H47" s="27" t="e">
        <f>IF(Table5[[#This Row],[𝐷𝑒𝑝𝑡ℎ𝑝𝑒𝑎𝑡,𝑖,𝑡,0]]-100*INDEX(Table1[[#All],[Ratepeatloss-BSL,I]], MATCH(Table5[[#This Row],[i]], Table1[[#All],[stratum i]])) &lt;=0, 0, Table5[[#This Row],[𝐷𝑒𝑝𝑡ℎ𝑝𝑒𝑎𝑡,𝑖,𝑡,0]]-100*INDEX(Table1[[#All],[Ratepeatloss-BSL,I]], MATCH(Table5[[#This Row],[i]], Table1[[#All],[stratum i]])))</f>
        <v>#N/A</v>
      </c>
      <c r="I47" s="28" t="e">
        <f>IF(Table5[[#This Row],[Soil type]]="Peat soil", Table5[[#This Row],[Depthpeat-BSL,i,t100]]*Table5[[#This Row],[VC,I (peat portion)]]*10, 0)</f>
        <v>#N/A</v>
      </c>
      <c r="K47" t="e">
        <f>IF(Table5[[#This Row],[𝐶𝐵𝑆𝐿,𝑖,𝑡0]]-Table5[[#This Row],[Remaining years after peat depletion (BSL)]]*INDEX(Table2[[#All],[RateCloss-BSL,i]], MATCH(Table5[[#This Row],[i]], Table2[[#All],[stratum i]]))&gt;0, Table5[[#This Row],[𝐶𝐵𝑆𝐿,𝑖,𝑡0]]-100*INDEX(Table2[[#All],[RateCloss-BSL,i]], MATCH(Table5[[#This Row],[i]], Table2[[#All],[stratum i]])), 0)</f>
        <v>#N/A</v>
      </c>
      <c r="L47" s="41" t="e">
        <f>IF((Table5[[#This Row],[𝐶𝐵𝑆𝐿,𝑖,𝑡0]]- SUMIF(#REF!, Table5[[#This Row],[i]],#REF!))&gt;0, (Table5[[#This Row],[𝐶𝐵𝑆𝐿,𝑖,𝑡0]]- SUMIF(#REF!, Table5[[#This Row],[i]],#REF!)), 0)</f>
        <v>#N/A</v>
      </c>
      <c r="M47" s="40" t="e">
        <f>INDEX(Table2[[#All],[CBSL,i,t0]], MATCH(Table5[[#This Row],[i]], Table2[[#All],[stratum i]]))</f>
        <v>#N/A</v>
      </c>
      <c r="N47" t="e">
        <f>INDEX(Table3[[#All],[Soil Type]], MATCH(Table5[[#This Row],[i]], Table3[[#All],[stratum i]]))</f>
        <v>#N/A</v>
      </c>
      <c r="V47" t="e">
        <f>INDEX(Table31[[#All],[VC,I (peat portion)]], MATCH(Table9[[#This Row],[i]], Table31[[#All],[Stratum i]]))</f>
        <v>#N/A</v>
      </c>
      <c r="X47" t="e">
        <f xml:space="preserve"> SUMIF(#REF!, Table9[[#This Row],[i]],#REF!)*Table9[[#This Row],[VC,i peat horizon]]</f>
        <v>#REF!</v>
      </c>
      <c r="Y47" t="e">
        <f>10*100*(Table9[[#This Row],[𝑅𝑎𝑡𝑒𝑝𝑒𝑎𝑡𝑙𝑜𝑠𝑠−𝐵𝑆𝐿,𝑖,t]]*Table9[[#This Row],[VC,i peat horizon]])</f>
        <v>#N/A</v>
      </c>
      <c r="Z47" t="e">
        <f>10*Table9[[#This Row],[ ∑𝑅𝑎𝑡𝑒𝑝𝑒𝑎𝑡𝑙𝑜𝑠𝑠−𝑊𝑃𝑆,𝑖,t*VC,I peat horizon]]</f>
        <v>#REF!</v>
      </c>
      <c r="AA47" t="e">
        <f>INDEX(Table2[[#All],[RateCloss-BSL,i]], MATCH(Table9[[#This Row],[i]], Table2[[#All],[stratum i]]))</f>
        <v>#N/A</v>
      </c>
      <c r="AB47" t="e">
        <f xml:space="preserve"> SUMIF(#REF!, Table9[[#This Row],[i]],#REF!)*Table9[[#This Row],[VC,i mineral horizon]]</f>
        <v>#REF!</v>
      </c>
      <c r="AC47" t="e">
        <f>10*100*(Table9[[#This Row],[𝑅𝑎𝑡𝑒𝐶𝑙𝑜𝑠𝑠−𝐵𝑆𝐿,𝑖,t]]*Table9[[#This Row],[VC,i mineral horizon]])</f>
        <v>#N/A</v>
      </c>
      <c r="AD47" t="e">
        <f>10*Table9[[#This Row],[ ∑𝑅𝑎𝑡𝑒𝐶𝑙𝑜𝑠𝑠−𝑊𝑃𝑆,𝑖,t*VC]]</f>
        <v>#REF!</v>
      </c>
    </row>
  </sheetData>
  <phoneticPr fontId="6" type="noConversion"/>
  <pageMargins left="0.7" right="0.7" top="0.75" bottom="0.75" header="0.3" footer="0.3"/>
  <legacyDrawing r:id="rId1"/>
  <tableParts count="5">
    <tablePart r:id="rId2"/>
    <tablePart r:id="rId3"/>
    <tablePart r:id="rId4"/>
    <tablePart r:id="rId5"/>
    <tablePart r:id="rId6"/>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B73B-31B6-406D-AD59-9BA455F08EFF}">
  <sheetPr>
    <tabColor theme="6" tint="0.39997558519241921"/>
  </sheetPr>
  <dimension ref="A1:J45"/>
  <sheetViews>
    <sheetView tabSelected="1" zoomScaleNormal="100" workbookViewId="0">
      <pane ySplit="4" topLeftCell="A5" activePane="bottomLeft" state="frozen"/>
      <selection pane="bottomLeft" activeCell="H46" sqref="H46"/>
    </sheetView>
  </sheetViews>
  <sheetFormatPr baseColWidth="10" defaultColWidth="8.83203125" defaultRowHeight="15" x14ac:dyDescent="0.2"/>
  <cols>
    <col min="2" max="2" width="16.83203125" customWidth="1"/>
    <col min="3" max="3" width="24.5" customWidth="1"/>
    <col min="4" max="4" width="20.33203125" customWidth="1"/>
    <col min="5" max="5" width="27.1640625" customWidth="1"/>
    <col min="6" max="6" width="27" customWidth="1"/>
    <col min="7" max="7" width="34" customWidth="1"/>
    <col min="8" max="8" width="31.6640625" customWidth="1"/>
    <col min="10" max="10" width="13.6640625" bestFit="1" customWidth="1"/>
  </cols>
  <sheetData>
    <row r="1" spans="1:10" ht="28" x14ac:dyDescent="0.2">
      <c r="A1" s="52" t="s">
        <v>262</v>
      </c>
      <c r="B1" s="52" t="s">
        <v>263</v>
      </c>
      <c r="C1" s="52" t="s">
        <v>264</v>
      </c>
      <c r="D1" s="52" t="s">
        <v>265</v>
      </c>
      <c r="E1" s="52" t="s">
        <v>266</v>
      </c>
      <c r="F1" s="52" t="s">
        <v>267</v>
      </c>
      <c r="G1" s="52" t="s">
        <v>268</v>
      </c>
      <c r="H1" s="52" t="s">
        <v>269</v>
      </c>
    </row>
    <row r="2" spans="1:10" ht="22.25" customHeight="1" x14ac:dyDescent="0.2">
      <c r="A2" s="210" t="s">
        <v>270</v>
      </c>
      <c r="B2" s="53" t="s">
        <v>271</v>
      </c>
      <c r="C2" s="53" t="s">
        <v>271</v>
      </c>
      <c r="D2" s="53" t="s">
        <v>271</v>
      </c>
      <c r="E2" s="53" t="s">
        <v>271</v>
      </c>
      <c r="F2" s="53" t="s">
        <v>271</v>
      </c>
      <c r="G2" s="53" t="s">
        <v>271</v>
      </c>
      <c r="H2" s="53" t="s">
        <v>271</v>
      </c>
    </row>
    <row r="3" spans="1:10" x14ac:dyDescent="0.2">
      <c r="A3" s="210"/>
      <c r="B3" s="54">
        <v>50000</v>
      </c>
      <c r="C3" s="54">
        <v>20000</v>
      </c>
      <c r="D3" s="54">
        <v>10000</v>
      </c>
      <c r="E3" s="54">
        <v>4000</v>
      </c>
      <c r="F3" s="54">
        <v>8000</v>
      </c>
      <c r="G3" s="54">
        <v>8000</v>
      </c>
      <c r="H3" s="54">
        <v>16000</v>
      </c>
    </row>
    <row r="4" spans="1:10" ht="64.25" customHeight="1" x14ac:dyDescent="0.2">
      <c r="A4" s="210"/>
      <c r="B4" s="53" t="s">
        <v>272</v>
      </c>
      <c r="C4" s="53" t="s">
        <v>273</v>
      </c>
      <c r="D4" s="53" t="s">
        <v>274</v>
      </c>
      <c r="E4" s="53" t="s">
        <v>275</v>
      </c>
      <c r="F4" s="53" t="s">
        <v>276</v>
      </c>
      <c r="G4" s="53" t="s">
        <v>277</v>
      </c>
      <c r="H4" s="53" t="s">
        <v>278</v>
      </c>
    </row>
    <row r="5" spans="1:10" x14ac:dyDescent="0.2">
      <c r="A5" s="146">
        <v>2022</v>
      </c>
      <c r="B5" s="55">
        <f>INDEX(Table11[[#All],[GHG(BSL)]], MATCH(A5,Table11[[#All],[year t]])) -0</f>
        <v>0</v>
      </c>
      <c r="C5" s="55">
        <f>INDEX(Table1120[[#All],[GHG(WPS) (Eq 69)]], MATCH(A5, Table1120[[#All],[year t]]))-0</f>
        <v>0</v>
      </c>
      <c r="D5" s="55">
        <v>0</v>
      </c>
      <c r="E5" s="55">
        <f>INDEX(Table27[[#All],[Buffer_deduction (Eq 94)]], MATCH(A5, Table27[[#All],[Year t]]))</f>
        <v>0</v>
      </c>
      <c r="F5" s="53">
        <f>INDEX(Table27[[#All],[adjusted_NERt (Eq 92)]], MATCH(A5, Table27[[#All],[Year t]])) - 0</f>
        <v>0</v>
      </c>
      <c r="G5" s="53">
        <v>0</v>
      </c>
      <c r="H5" s="55">
        <f>INDEX(Table27[[#All],[VCUt(Eq 93)]], MATCH(A5, Table27[[#All],[Year t]]))</f>
        <v>0</v>
      </c>
      <c r="J5" s="56"/>
    </row>
    <row r="6" spans="1:10" x14ac:dyDescent="0.2">
      <c r="A6" s="146">
        <v>2023</v>
      </c>
      <c r="B6" s="55">
        <f>INDEX(Table11[[#All],[GHG(BSL)]], MATCH(A6,Table11[[#All],[year t]]))-INDEX(Table11[[#All],[GHG(BSL)]], MATCH(A6-1,Table11[[#All],[year t]]))</f>
        <v>0</v>
      </c>
      <c r="C6" s="55">
        <f>INDEX(Table1120[[#All],[GHG(WPS) (Eq 69)]], MATCH(A6, Table1120[[#All],[year t]])) - INDEX(Table1120[[#All],[GHG(WPS) (Eq 69)]], MATCH(A6-1, Table1120[[#All],[year t]]))</f>
        <v>-6.3122772395956227E-3</v>
      </c>
      <c r="D6" s="55">
        <v>0</v>
      </c>
      <c r="E6" s="55">
        <f>INDEX(Table27[[#All],[Buffer_deduction (Eq 94)]], MATCH(A6, Table27[[#All],[Year t]]))</f>
        <v>8.2059604114743099E-4</v>
      </c>
      <c r="F6" s="53">
        <f>INDEX(Table27[[#All],[adjusted_NERt (Eq 92)]], MATCH(A6, Table27[[#All],[Year t]])) - INDEX(Table27[[#All],[adjusted_NERt (Eq 92)]], MATCH(A6-1, Table27[[#All],[Year t]]))</f>
        <v>6.3122772395956227E-3</v>
      </c>
      <c r="G6" s="53">
        <v>0</v>
      </c>
      <c r="H6" s="55">
        <f>INDEX(Table27[[#All],[VCUt(Eq 93)]], MATCH(A6, Table27[[#All],[Year t]]))</f>
        <v>5.4916811984481919E-3</v>
      </c>
      <c r="J6" s="56"/>
    </row>
    <row r="7" spans="1:10" x14ac:dyDescent="0.2">
      <c r="A7" s="146">
        <v>2024</v>
      </c>
      <c r="B7" s="55">
        <f>INDEX(Table11[[#All],[GHG(BSL)]], MATCH(A7,Table11[[#All],[year t]]))-INDEX(Table11[[#All],[GHG(BSL)]], MATCH(A7-1,Table11[[#All],[year t]]))</f>
        <v>0</v>
      </c>
      <c r="C7" s="55">
        <f>INDEX(Table1120[[#All],[GHG(WPS) (Eq 69)]], MATCH(A7, Table1120[[#All],[year t]])) - INDEX(Table1120[[#All],[GHG(WPS) (Eq 69)]], MATCH(A7-1, Table1120[[#All],[year t]]))</f>
        <v>-0.33739567168355838</v>
      </c>
      <c r="D7" s="55">
        <v>0</v>
      </c>
      <c r="E7" s="55">
        <f>INDEX(Table27[[#All],[Buffer_deduction (Eq 94)]], MATCH(A7, Table27[[#All],[Year t]]))</f>
        <v>4.3861437318862592E-2</v>
      </c>
      <c r="F7" s="53">
        <f>INDEX(Table27[[#All],[adjusted_NERt (Eq 92)]], MATCH(A7, Table27[[#All],[Year t]])) - INDEX(Table27[[#All],[adjusted_NERt (Eq 92)]], MATCH(A7-1, Table27[[#All],[Year t]]))</f>
        <v>0.33739567168355838</v>
      </c>
      <c r="G7" s="53">
        <v>0</v>
      </c>
      <c r="H7" s="55">
        <f>INDEX(Table27[[#All],[VCUt(Eq 93)]], MATCH(A7, Table27[[#All],[Year t]]))</f>
        <v>0.29353423436469578</v>
      </c>
      <c r="J7" s="56"/>
    </row>
    <row r="8" spans="1:10" x14ac:dyDescent="0.2">
      <c r="A8" s="146">
        <v>2025</v>
      </c>
      <c r="B8" s="55">
        <f>INDEX(Table11[[#All],[GHG(BSL)]], MATCH(A8,Table11[[#All],[year t]]))-INDEX(Table11[[#All],[GHG(BSL)]], MATCH(A8-1,Table11[[#All],[year t]]))</f>
        <v>0</v>
      </c>
      <c r="C8" s="55">
        <f>INDEX(Table1120[[#All],[GHG(WPS) (Eq 69)]], MATCH(A8, Table1120[[#All],[year t]])) - INDEX(Table1120[[#All],[GHG(WPS) (Eq 69)]], MATCH(A8-1, Table1120[[#All],[year t]]))</f>
        <v>-4.952703725435498</v>
      </c>
      <c r="D8" s="55">
        <v>0</v>
      </c>
      <c r="E8" s="55">
        <f>INDEX(Table27[[#All],[Buffer_deduction (Eq 94)]], MATCH(A8, Table27[[#All],[Year t]]))</f>
        <v>0.64385148430661476</v>
      </c>
      <c r="F8" s="53">
        <f>INDEX(Table27[[#All],[adjusted_NERt (Eq 92)]], MATCH(A8, Table27[[#All],[Year t]])) - INDEX(Table27[[#All],[adjusted_NERt (Eq 92)]], MATCH(A8-1, Table27[[#All],[Year t]]))</f>
        <v>4.952703725435498</v>
      </c>
      <c r="G8" s="53">
        <v>0</v>
      </c>
      <c r="H8" s="55">
        <f>INDEX(Table27[[#All],[VCUt(Eq 93)]], MATCH(A8, Table27[[#All],[Year t]]))</f>
        <v>4.308852241128883</v>
      </c>
      <c r="J8" s="56"/>
    </row>
    <row r="9" spans="1:10" x14ac:dyDescent="0.2">
      <c r="A9" s="146">
        <v>2026</v>
      </c>
      <c r="B9" s="55">
        <f>INDEX(Table11[[#All],[GHG(BSL)]], MATCH(A9,Table11[[#All],[year t]]))-INDEX(Table11[[#All],[GHG(BSL)]], MATCH(A9-1,Table11[[#All],[year t]]))</f>
        <v>0</v>
      </c>
      <c r="C9" s="55">
        <f>INDEX(Table1120[[#All],[GHG(WPS) (Eq 69)]], MATCH(A9, Table1120[[#All],[year t]])) - INDEX(Table1120[[#All],[GHG(WPS) (Eq 69)]], MATCH(A9-1, Table1120[[#All],[year t]]))</f>
        <v>-1503.0603175041226</v>
      </c>
      <c r="D9" s="55">
        <v>0</v>
      </c>
      <c r="E9" s="55">
        <f>INDEX(Table27[[#All],[Buffer_deduction (Eq 94)]], MATCH(A9, Table27[[#All],[Year t]]))</f>
        <v>195.39784127553594</v>
      </c>
      <c r="F9" s="53">
        <f>INDEX(Table27[[#All],[adjusted_NERt (Eq 92)]], MATCH(A9, Table27[[#All],[Year t]])) - INDEX(Table27[[#All],[adjusted_NERt (Eq 92)]], MATCH(A9-1, Table27[[#All],[Year t]]))</f>
        <v>1503.0603175041226</v>
      </c>
      <c r="G9" s="53">
        <v>0</v>
      </c>
      <c r="H9" s="55">
        <f>INDEX(Table27[[#All],[VCUt(Eq 93)]], MATCH(A9, Table27[[#All],[Year t]]))</f>
        <v>1307.6624762285867</v>
      </c>
      <c r="J9" s="56"/>
    </row>
    <row r="10" spans="1:10" x14ac:dyDescent="0.2">
      <c r="A10" s="146">
        <v>2027</v>
      </c>
      <c r="B10" s="55">
        <f>INDEX(Table11[[#All],[GHG(BSL)]], MATCH(A10,Table11[[#All],[year t]]))-INDEX(Table11[[#All],[GHG(BSL)]], MATCH(A10-1,Table11[[#All],[year t]]))</f>
        <v>0</v>
      </c>
      <c r="C10" s="55">
        <f>INDEX(Table1120[[#All],[GHG(WPS) (Eq 69)]], MATCH(A10, Table1120[[#All],[year t]])) - INDEX(Table1120[[#All],[GHG(WPS) (Eq 69)]], MATCH(A10-1, Table1120[[#All],[year t]]))</f>
        <v>-4743.0451968913057</v>
      </c>
      <c r="D10" s="55">
        <v>0</v>
      </c>
      <c r="E10" s="55">
        <f>INDEX(Table27[[#All],[Buffer_deduction (Eq 94)]], MATCH(A10, Table27[[#All],[Year t]]))</f>
        <v>616.59587559586976</v>
      </c>
      <c r="F10" s="53">
        <f>INDEX(Table27[[#All],[adjusted_NERt (Eq 92)]], MATCH(A10, Table27[[#All],[Year t]])) - INDEX(Table27[[#All],[adjusted_NERt (Eq 92)]], MATCH(A10-1, Table27[[#All],[Year t]]))</f>
        <v>4743.0451968913057</v>
      </c>
      <c r="G10" s="53">
        <v>0</v>
      </c>
      <c r="H10" s="55">
        <f>INDEX(Table27[[#All],[VCUt(Eq 93)]], MATCH(A10, Table27[[#All],[Year t]]))</f>
        <v>4126.4493212954358</v>
      </c>
      <c r="J10" s="56"/>
    </row>
    <row r="11" spans="1:10" x14ac:dyDescent="0.2">
      <c r="A11" s="146">
        <v>2028</v>
      </c>
      <c r="B11" s="55">
        <f>INDEX(Table11[[#All],[GHG(BSL)]], MATCH(A11,Table11[[#All],[year t]]))-INDEX(Table11[[#All],[GHG(BSL)]], MATCH(A11-1,Table11[[#All],[year t]]))</f>
        <v>0</v>
      </c>
      <c r="C11" s="55">
        <f>INDEX(Table1120[[#All],[GHG(WPS) (Eq 69)]], MATCH(A11, Table1120[[#All],[year t]])) - INDEX(Table1120[[#All],[GHG(WPS) (Eq 69)]], MATCH(A11-1, Table1120[[#All],[year t]]))</f>
        <v>-9379.6900851710088</v>
      </c>
      <c r="D11" s="55">
        <v>0</v>
      </c>
      <c r="E11" s="55">
        <f>INDEX(Table27[[#All],[Buffer_deduction (Eq 94)]], MATCH(A11, Table27[[#All],[Year t]]))</f>
        <v>1219.3597110722312</v>
      </c>
      <c r="F11" s="53">
        <f>INDEX(Table27[[#All],[adjusted_NERt (Eq 92)]], MATCH(A11, Table27[[#All],[Year t]])) - INDEX(Table27[[#All],[adjusted_NERt (Eq 92)]], MATCH(A11-1, Table27[[#All],[Year t]]))</f>
        <v>9379.6900851710088</v>
      </c>
      <c r="G11" s="53">
        <v>0</v>
      </c>
      <c r="H11" s="55">
        <f>INDEX(Table27[[#All],[VCUt(Eq 93)]], MATCH(A11, Table27[[#All],[Year t]]))</f>
        <v>8160.3303740987776</v>
      </c>
      <c r="J11" s="56"/>
    </row>
    <row r="12" spans="1:10" x14ac:dyDescent="0.2">
      <c r="A12" s="146">
        <v>2029</v>
      </c>
      <c r="B12" s="55">
        <f>SUM(B5:B11)</f>
        <v>0</v>
      </c>
      <c r="C12" s="55">
        <f>INDEX(Table1120[[#All],[GHG(WPS) (Eq 69)]], MATCH(A12, Table1120[[#All],[year t]])) - INDEX(Table1120[[#All],[GHG(WPS) (Eq 69)]], MATCH(A12-1, Table1120[[#All],[year t]]))</f>
        <v>-14145.738741564988</v>
      </c>
      <c r="D12" s="55">
        <v>0</v>
      </c>
      <c r="E12" s="55">
        <f>INDEX(Table27[[#All],[Buffer_deduction (Eq 94)]], MATCH(A12, Table27[[#All],[Year t]]))</f>
        <v>1838.9460364034485</v>
      </c>
      <c r="F12" s="53">
        <f>INDEX(Table27[[#All],[adjusted_NERt (Eq 92)]], MATCH(A12, Table27[[#All],[Year t]])) - INDEX(Table27[[#All],[adjusted_NERt (Eq 92)]], MATCH(A12-1, Table27[[#All],[Year t]]))</f>
        <v>14145.738741564988</v>
      </c>
      <c r="G12" s="53">
        <f t="shared" ref="G12" si="0">SUM(G5:G11)</f>
        <v>0</v>
      </c>
      <c r="H12" s="55">
        <f>INDEX(Table27[[#All],[VCUt(Eq 93)]], MATCH(A12, Table27[[#All],[Year t]]))</f>
        <v>12306.792705161541</v>
      </c>
    </row>
    <row r="13" spans="1:10" x14ac:dyDescent="0.2">
      <c r="A13" s="146">
        <v>2030</v>
      </c>
      <c r="B13" s="55">
        <f t="shared" ref="B13:G13" si="1">SUM(B6:B12)</f>
        <v>0</v>
      </c>
      <c r="C13" s="55">
        <f>INDEX(Table1120[[#All],[GHG(WPS) (Eq 69)]], MATCH(A13, Table1120[[#All],[year t]])) - INDEX(Table1120[[#All],[GHG(WPS) (Eq 69)]], MATCH(A13-1, Table1120[[#All],[year t]]))</f>
        <v>-18720.929377341614</v>
      </c>
      <c r="D13" s="55">
        <v>0</v>
      </c>
      <c r="E13" s="55">
        <f>INDEX(Table27[[#All],[Buffer_deduction (Eq 94)]], MATCH(A13, Table27[[#All],[Year t]]))</f>
        <v>2433.7208190544097</v>
      </c>
      <c r="F13" s="53">
        <f>INDEX(Table27[[#All],[adjusted_NERt (Eq 92)]], MATCH(A13, Table27[[#All],[Year t]])) - INDEX(Table27[[#All],[adjusted_NERt (Eq 92)]], MATCH(A13-1, Table27[[#All],[Year t]]))</f>
        <v>18720.929377341614</v>
      </c>
      <c r="G13" s="53">
        <f t="shared" si="1"/>
        <v>0</v>
      </c>
      <c r="H13" s="55">
        <f>INDEX(Table27[[#All],[VCUt(Eq 93)]], MATCH(A13, Table27[[#All],[Year t]]))</f>
        <v>16287.208558287204</v>
      </c>
    </row>
    <row r="14" spans="1:10" x14ac:dyDescent="0.2">
      <c r="A14" s="146">
        <v>2031</v>
      </c>
      <c r="B14" s="55">
        <f t="shared" ref="B14:G14" si="2">SUM(B7:B13)</f>
        <v>0</v>
      </c>
      <c r="C14" s="55">
        <f>INDEX(Table1120[[#All],[GHG(WPS) (Eq 69)]], MATCH(A14, Table1120[[#All],[year t]])) - INDEX(Table1120[[#All],[GHG(WPS) (Eq 69)]], MATCH(A14-1, Table1120[[#All],[year t]]))</f>
        <v>-28331.700740370528</v>
      </c>
      <c r="D14" s="55">
        <v>0</v>
      </c>
      <c r="E14" s="55">
        <f>INDEX(Table27[[#All],[Buffer_deduction (Eq 94)]], MATCH(A14, Table27[[#All],[Year t]]))</f>
        <v>3683.1210962481687</v>
      </c>
      <c r="F14" s="53">
        <f>INDEX(Table27[[#All],[adjusted_NERt (Eq 92)]], MATCH(A14, Table27[[#All],[Year t]])) - INDEX(Table27[[#All],[adjusted_NERt (Eq 92)]], MATCH(A14-1, Table27[[#All],[Year t]]))</f>
        <v>28331.700740370528</v>
      </c>
      <c r="G14" s="53">
        <f t="shared" si="2"/>
        <v>0</v>
      </c>
      <c r="H14" s="55">
        <f>INDEX(Table27[[#All],[VCUt(Eq 93)]], MATCH(A14, Table27[[#All],[Year t]]))</f>
        <v>24648.579644122361</v>
      </c>
    </row>
    <row r="15" spans="1:10" x14ac:dyDescent="0.2">
      <c r="A15" s="146">
        <v>2032</v>
      </c>
      <c r="B15" s="55">
        <f t="shared" ref="B15:G15" si="3">SUM(B8:B14)</f>
        <v>0</v>
      </c>
      <c r="C15" s="55">
        <f>INDEX(Table1120[[#All],[GHG(WPS) (Eq 69)]], MATCH(A15, Table1120[[#All],[year t]])) - INDEX(Table1120[[#All],[GHG(WPS) (Eq 69)]], MATCH(A15-1, Table1120[[#All],[year t]]))</f>
        <v>-42166.535745279223</v>
      </c>
      <c r="D15" s="55">
        <v>0</v>
      </c>
      <c r="E15" s="55">
        <f>INDEX(Table27[[#All],[Buffer_deduction (Eq 94)]], MATCH(A15, Table27[[#All],[Year t]]))</f>
        <v>5481.6496468862988</v>
      </c>
      <c r="F15" s="53">
        <f>INDEX(Table27[[#All],[adjusted_NERt (Eq 92)]], MATCH(A15, Table27[[#All],[Year t]])) - INDEX(Table27[[#All],[adjusted_NERt (Eq 92)]], MATCH(A15-1, Table27[[#All],[Year t]]))</f>
        <v>42166.535745279223</v>
      </c>
      <c r="G15" s="53">
        <f t="shared" si="3"/>
        <v>0</v>
      </c>
      <c r="H15" s="55">
        <f>INDEX(Table27[[#All],[VCUt(Eq 93)]], MATCH(A15, Table27[[#All],[Year t]]))</f>
        <v>36684.886098392926</v>
      </c>
    </row>
    <row r="16" spans="1:10" x14ac:dyDescent="0.2">
      <c r="A16" s="146">
        <v>2033</v>
      </c>
      <c r="B16" s="55">
        <f t="shared" ref="B16:G16" si="4">SUM(B9:B15)</f>
        <v>0</v>
      </c>
      <c r="C16" s="55">
        <f>INDEX(Table1120[[#All],[GHG(WPS) (Eq 69)]], MATCH(A16, Table1120[[#All],[year t]])) - INDEX(Table1120[[#All],[GHG(WPS) (Eq 69)]], MATCH(A16-1, Table1120[[#All],[year t]]))</f>
        <v>-57759.81451599281</v>
      </c>
      <c r="D16" s="55">
        <v>0</v>
      </c>
      <c r="E16" s="55">
        <f>INDEX(Table27[[#All],[Buffer_deduction (Eq 94)]], MATCH(A16, Table27[[#All],[Year t]]))</f>
        <v>7508.7758870790658</v>
      </c>
      <c r="F16" s="53">
        <f>INDEX(Table27[[#All],[adjusted_NERt (Eq 92)]], MATCH(A16, Table27[[#All],[Year t]])) - INDEX(Table27[[#All],[adjusted_NERt (Eq 92)]], MATCH(A16-1, Table27[[#All],[Year t]]))</f>
        <v>57759.81451599281</v>
      </c>
      <c r="G16" s="53">
        <f t="shared" si="4"/>
        <v>0</v>
      </c>
      <c r="H16" s="55">
        <f>INDEX(Table27[[#All],[VCUt(Eq 93)]], MATCH(A16, Table27[[#All],[Year t]]))</f>
        <v>50251.038628913746</v>
      </c>
    </row>
    <row r="17" spans="1:8" x14ac:dyDescent="0.2">
      <c r="A17" s="146">
        <v>2034</v>
      </c>
      <c r="B17" s="55">
        <f t="shared" ref="B17:G17" si="5">SUM(B10:B16)</f>
        <v>0</v>
      </c>
      <c r="C17" s="55">
        <f>INDEX(Table1120[[#All],[GHG(WPS) (Eq 69)]], MATCH(A17, Table1120[[#All],[year t]])) - INDEX(Table1120[[#All],[GHG(WPS) (Eq 69)]], MATCH(A17-1, Table1120[[#All],[year t]]))</f>
        <v>-70706.58811850613</v>
      </c>
      <c r="D17" s="55">
        <v>0</v>
      </c>
      <c r="E17" s="55">
        <f>INDEX(Table27[[#All],[Buffer_deduction (Eq 94)]], MATCH(A17, Table27[[#All],[Year t]]))</f>
        <v>9191.8564554057975</v>
      </c>
      <c r="F17" s="53">
        <f>INDEX(Table27[[#All],[adjusted_NERt (Eq 92)]], MATCH(A17, Table27[[#All],[Year t]])) - INDEX(Table27[[#All],[adjusted_NERt (Eq 92)]], MATCH(A17-1, Table27[[#All],[Year t]]))</f>
        <v>70706.58811850613</v>
      </c>
      <c r="G17" s="53">
        <f t="shared" si="5"/>
        <v>0</v>
      </c>
      <c r="H17" s="55">
        <f>INDEX(Table27[[#All],[VCUt(Eq 93)]], MATCH(A17, Table27[[#All],[Year t]]))</f>
        <v>61514.731663100334</v>
      </c>
    </row>
    <row r="18" spans="1:8" x14ac:dyDescent="0.2">
      <c r="A18" s="146">
        <v>2035</v>
      </c>
      <c r="B18" s="55">
        <f t="shared" ref="B18:G18" si="6">SUM(B11:B17)</f>
        <v>0</v>
      </c>
      <c r="C18" s="55">
        <f>INDEX(Table1120[[#All],[GHG(WPS) (Eq 69)]], MATCH(A18, Table1120[[#All],[year t]])) - INDEX(Table1120[[#All],[GHG(WPS) (Eq 69)]], MATCH(A18-1, Table1120[[#All],[year t]]))</f>
        <v>-80249.525016652973</v>
      </c>
      <c r="D18" s="55">
        <v>0</v>
      </c>
      <c r="E18" s="55">
        <f>INDEX(Table27[[#All],[Buffer_deduction (Eq 94)]], MATCH(A18, Table27[[#All],[Year t]]))</f>
        <v>10432.438252164888</v>
      </c>
      <c r="F18" s="53">
        <f>INDEX(Table27[[#All],[adjusted_NERt (Eq 92)]], MATCH(A18, Table27[[#All],[Year t]])) - INDEX(Table27[[#All],[adjusted_NERt (Eq 92)]], MATCH(A18-1, Table27[[#All],[Year t]]))</f>
        <v>80249.525016652973</v>
      </c>
      <c r="G18" s="53">
        <f t="shared" si="6"/>
        <v>0</v>
      </c>
      <c r="H18" s="55">
        <f>INDEX(Table27[[#All],[VCUt(Eq 93)]], MATCH(A18, Table27[[#All],[Year t]]))</f>
        <v>69817.086764488078</v>
      </c>
    </row>
    <row r="19" spans="1:8" x14ac:dyDescent="0.2">
      <c r="A19" s="146">
        <v>2036</v>
      </c>
      <c r="B19" s="55">
        <f t="shared" ref="B19:G19" si="7">SUM(B12:B18)</f>
        <v>0</v>
      </c>
      <c r="C19" s="55">
        <f>INDEX(Table1120[[#All],[GHG(WPS) (Eq 69)]], MATCH(A19, Table1120[[#All],[year t]])) - INDEX(Table1120[[#All],[GHG(WPS) (Eq 69)]], MATCH(A19-1, Table1120[[#All],[year t]]))</f>
        <v>-90484.038694789982</v>
      </c>
      <c r="D19" s="55">
        <v>0</v>
      </c>
      <c r="E19" s="55">
        <f>INDEX(Table27[[#All],[Buffer_deduction (Eq 94)]], MATCH(A19, Table27[[#All],[Year t]]))</f>
        <v>11762.925030322698</v>
      </c>
      <c r="F19" s="53">
        <f>INDEX(Table27[[#All],[adjusted_NERt (Eq 92)]], MATCH(A19, Table27[[#All],[Year t]])) - INDEX(Table27[[#All],[adjusted_NERt (Eq 92)]], MATCH(A19-1, Table27[[#All],[Year t]]))</f>
        <v>90484.038694789982</v>
      </c>
      <c r="G19" s="53">
        <f t="shared" si="7"/>
        <v>0</v>
      </c>
      <c r="H19" s="55">
        <f>INDEX(Table27[[#All],[VCUt(Eq 93)]], MATCH(A19, Table27[[#All],[Year t]]))</f>
        <v>78721.113664467281</v>
      </c>
    </row>
    <row r="20" spans="1:8" x14ac:dyDescent="0.2">
      <c r="A20" s="146">
        <v>2037</v>
      </c>
      <c r="B20" s="55">
        <f t="shared" ref="B20:G20" si="8">SUM(B13:B19)</f>
        <v>0</v>
      </c>
      <c r="C20" s="55">
        <f>INDEX(Table1120[[#All],[GHG(WPS) (Eq 69)]], MATCH(A20, Table1120[[#All],[year t]])) - INDEX(Table1120[[#All],[GHG(WPS) (Eq 69)]], MATCH(A20-1, Table1120[[#All],[year t]]))</f>
        <v>-100815.90422421589</v>
      </c>
      <c r="D20" s="55">
        <v>0</v>
      </c>
      <c r="E20" s="55">
        <f>INDEX(Table27[[#All],[Buffer_deduction (Eq 94)]], MATCH(A20, Table27[[#All],[Year t]]))</f>
        <v>13106.067549148067</v>
      </c>
      <c r="F20" s="53">
        <f>INDEX(Table27[[#All],[adjusted_NERt (Eq 92)]], MATCH(A20, Table27[[#All],[Year t]])) - INDEX(Table27[[#All],[adjusted_NERt (Eq 92)]], MATCH(A20-1, Table27[[#All],[Year t]]))</f>
        <v>100815.90422421589</v>
      </c>
      <c r="G20" s="53">
        <f t="shared" si="8"/>
        <v>0</v>
      </c>
      <c r="H20" s="55">
        <f>INDEX(Table27[[#All],[VCUt(Eq 93)]], MATCH(A20, Table27[[#All],[Year t]]))</f>
        <v>87709.836675067825</v>
      </c>
    </row>
    <row r="21" spans="1:8" x14ac:dyDescent="0.2">
      <c r="A21" s="146">
        <v>2038</v>
      </c>
      <c r="B21" s="55">
        <f t="shared" ref="B21:G21" si="9">SUM(B14:B20)</f>
        <v>0</v>
      </c>
      <c r="C21" s="55">
        <f>INDEX(Table1120[[#All],[GHG(WPS) (Eq 69)]], MATCH(A21, Table1120[[#All],[year t]])) - INDEX(Table1120[[#All],[GHG(WPS) (Eq 69)]], MATCH(A21-1, Table1120[[#All],[year t]]))</f>
        <v>-110670.031602473</v>
      </c>
      <c r="D21" s="55">
        <v>0</v>
      </c>
      <c r="E21" s="55">
        <f>INDEX(Table27[[#All],[Buffer_deduction (Eq 94)]], MATCH(A21, Table27[[#All],[Year t]]))</f>
        <v>14387.10410832149</v>
      </c>
      <c r="F21" s="53">
        <f>INDEX(Table27[[#All],[adjusted_NERt (Eq 92)]], MATCH(A21, Table27[[#All],[Year t]])) - INDEX(Table27[[#All],[adjusted_NERt (Eq 92)]], MATCH(A21-1, Table27[[#All],[Year t]]))</f>
        <v>110670.031602473</v>
      </c>
      <c r="G21" s="53">
        <f t="shared" si="9"/>
        <v>0</v>
      </c>
      <c r="H21" s="55">
        <f>INDEX(Table27[[#All],[VCUt(Eq 93)]], MATCH(A21, Table27[[#All],[Year t]]))</f>
        <v>96282.927494151503</v>
      </c>
    </row>
    <row r="22" spans="1:8" x14ac:dyDescent="0.2">
      <c r="A22" s="146">
        <v>2039</v>
      </c>
      <c r="B22" s="55">
        <f t="shared" ref="B22:G22" si="10">SUM(B15:B21)</f>
        <v>0</v>
      </c>
      <c r="C22" s="55">
        <f>INDEX(Table1120[[#All],[GHG(WPS) (Eq 69)]], MATCH(A22, Table1120[[#All],[year t]])) - INDEX(Table1120[[#All],[GHG(WPS) (Eq 69)]], MATCH(A22-1, Table1120[[#All],[year t]]))</f>
        <v>-119554.59954457672</v>
      </c>
      <c r="D22" s="55">
        <v>0</v>
      </c>
      <c r="E22" s="55">
        <f>INDEX(Table27[[#All],[Buffer_deduction (Eq 94)]], MATCH(A22, Table27[[#All],[Year t]]))</f>
        <v>15542.097940794974</v>
      </c>
      <c r="F22" s="53">
        <f>INDEX(Table27[[#All],[adjusted_NERt (Eq 92)]], MATCH(A22, Table27[[#All],[Year t]])) - INDEX(Table27[[#All],[adjusted_NERt (Eq 92)]], MATCH(A22-1, Table27[[#All],[Year t]]))</f>
        <v>119554.59954457672</v>
      </c>
      <c r="G22" s="53">
        <f t="shared" si="10"/>
        <v>0</v>
      </c>
      <c r="H22" s="55">
        <f>INDEX(Table27[[#All],[VCUt(Eq 93)]], MATCH(A22, Table27[[#All],[Year t]]))</f>
        <v>104012.50160378174</v>
      </c>
    </row>
    <row r="23" spans="1:8" x14ac:dyDescent="0.2">
      <c r="A23" s="146">
        <v>2040</v>
      </c>
      <c r="B23" s="55">
        <f t="shared" ref="B23:G23" si="11">SUM(B16:B22)</f>
        <v>0</v>
      </c>
      <c r="C23" s="55">
        <f>INDEX(Table1120[[#All],[GHG(WPS) (Eq 69)]], MATCH(A23, Table1120[[#All],[year t]])) - INDEX(Table1120[[#All],[GHG(WPS) (Eq 69)]], MATCH(A23-1, Table1120[[#All],[year t]]))</f>
        <v>-127099.37419588096</v>
      </c>
      <c r="D23" s="55">
        <v>0</v>
      </c>
      <c r="E23" s="55">
        <f>INDEX(Table27[[#All],[Buffer_deduction (Eq 94)]], MATCH(A23, Table27[[#All],[Year t]]))</f>
        <v>16522.918645464524</v>
      </c>
      <c r="F23" s="53">
        <f>INDEX(Table27[[#All],[adjusted_NERt (Eq 92)]], MATCH(A23, Table27[[#All],[Year t]])) - INDEX(Table27[[#All],[adjusted_NERt (Eq 92)]], MATCH(A23-1, Table27[[#All],[Year t]]))</f>
        <v>127099.37419588096</v>
      </c>
      <c r="G23" s="53">
        <f t="shared" si="11"/>
        <v>0</v>
      </c>
      <c r="H23" s="55">
        <f>INDEX(Table27[[#All],[VCUt(Eq 93)]], MATCH(A23, Table27[[#All],[Year t]]))</f>
        <v>110576.45555041643</v>
      </c>
    </row>
    <row r="24" spans="1:8" x14ac:dyDescent="0.2">
      <c r="A24" s="146">
        <v>2041</v>
      </c>
      <c r="B24" s="55">
        <f t="shared" ref="B24:G24" si="12">SUM(B17:B23)</f>
        <v>0</v>
      </c>
      <c r="C24" s="55">
        <f>INDEX(Table1120[[#All],[GHG(WPS) (Eq 69)]], MATCH(A24, Table1120[[#All],[year t]])) - INDEX(Table1120[[#All],[GHG(WPS) (Eq 69)]], MATCH(A24-1, Table1120[[#All],[year t]]))</f>
        <v>-133069.42151744082</v>
      </c>
      <c r="D24" s="55">
        <v>0</v>
      </c>
      <c r="E24" s="55">
        <f>INDEX(Table27[[#All],[Buffer_deduction (Eq 94)]], MATCH(A24, Table27[[#All],[Year t]]))</f>
        <v>17299.024797267306</v>
      </c>
      <c r="F24" s="53">
        <f>INDEX(Table27[[#All],[adjusted_NERt (Eq 92)]], MATCH(A24, Table27[[#All],[Year t]])) - INDEX(Table27[[#All],[adjusted_NERt (Eq 92)]], MATCH(A24-1, Table27[[#All],[Year t]]))</f>
        <v>133069.42151744082</v>
      </c>
      <c r="G24" s="53">
        <f t="shared" si="12"/>
        <v>0</v>
      </c>
      <c r="H24" s="55">
        <f>INDEX(Table27[[#All],[VCUt(Eq 93)]], MATCH(A24, Table27[[#All],[Year t]]))</f>
        <v>115770.39672017351</v>
      </c>
    </row>
    <row r="25" spans="1:8" x14ac:dyDescent="0.2">
      <c r="A25" s="146">
        <v>2042</v>
      </c>
      <c r="B25" s="55">
        <f t="shared" ref="B25:G25" si="13">SUM(B18:B24)</f>
        <v>0</v>
      </c>
      <c r="C25" s="55">
        <f>INDEX(Table1120[[#All],[GHG(WPS) (Eq 69)]], MATCH(A25, Table1120[[#All],[year t]])) - INDEX(Table1120[[#All],[GHG(WPS) (Eq 69)]], MATCH(A25-1, Table1120[[#All],[year t]]))</f>
        <v>-137359.52974751091</v>
      </c>
      <c r="D25" s="55">
        <v>0</v>
      </c>
      <c r="E25" s="55">
        <f>INDEX(Table27[[#All],[Buffer_deduction (Eq 94)]], MATCH(A25, Table27[[#All],[Year t]]))</f>
        <v>17856.73886717642</v>
      </c>
      <c r="F25" s="53">
        <f>INDEX(Table27[[#All],[adjusted_NERt (Eq 92)]], MATCH(A25, Table27[[#All],[Year t]])) - INDEX(Table27[[#All],[adjusted_NERt (Eq 92)]], MATCH(A25-1, Table27[[#All],[Year t]]))</f>
        <v>137359.52974751091</v>
      </c>
      <c r="G25" s="53">
        <f t="shared" si="13"/>
        <v>0</v>
      </c>
      <c r="H25" s="55">
        <f>INDEX(Table27[[#All],[VCUt(Eq 93)]], MATCH(A25, Table27[[#All],[Year t]]))</f>
        <v>119502.79088033449</v>
      </c>
    </row>
    <row r="26" spans="1:8" x14ac:dyDescent="0.2">
      <c r="A26" s="146">
        <v>2043</v>
      </c>
      <c r="B26" s="55">
        <f t="shared" ref="B26:G26" si="14">SUM(B19:B25)</f>
        <v>0</v>
      </c>
      <c r="C26" s="55">
        <f>INDEX(Table1120[[#All],[GHG(WPS) (Eq 69)]], MATCH(A26, Table1120[[#All],[year t]])) - INDEX(Table1120[[#All],[GHG(WPS) (Eq 69)]], MATCH(A26-1, Table1120[[#All],[year t]]))</f>
        <v>-139976.04067335697</v>
      </c>
      <c r="D26" s="55">
        <v>0</v>
      </c>
      <c r="E26" s="55">
        <f>INDEX(Table27[[#All],[Buffer_deduction (Eq 94)]], MATCH(A26, Table27[[#All],[Year t]]))</f>
        <v>18196.885287536406</v>
      </c>
      <c r="F26" s="53">
        <f>INDEX(Table27[[#All],[adjusted_NERt (Eq 92)]], MATCH(A26, Table27[[#All],[Year t]])) - INDEX(Table27[[#All],[adjusted_NERt (Eq 92)]], MATCH(A26-1, Table27[[#All],[Year t]]))</f>
        <v>139976.04067335697</v>
      </c>
      <c r="G26" s="53">
        <f t="shared" si="14"/>
        <v>0</v>
      </c>
      <c r="H26" s="55">
        <f>INDEX(Table27[[#All],[VCUt(Eq 93)]], MATCH(A26, Table27[[#All],[Year t]]))</f>
        <v>121779.15538582056</v>
      </c>
    </row>
    <row r="27" spans="1:8" x14ac:dyDescent="0.2">
      <c r="A27" s="146">
        <v>2044</v>
      </c>
      <c r="B27" s="55">
        <f t="shared" ref="B27:G27" si="15">SUM(B20:B26)</f>
        <v>0</v>
      </c>
      <c r="C27" s="55">
        <f>INDEX(Table1120[[#All],[GHG(WPS) (Eq 69)]], MATCH(A27, Table1120[[#All],[year t]])) - INDEX(Table1120[[#All],[GHG(WPS) (Eq 69)]], MATCH(A27-1, Table1120[[#All],[year t]]))</f>
        <v>-141012.35215348611</v>
      </c>
      <c r="D27" s="55">
        <v>0</v>
      </c>
      <c r="E27" s="55">
        <f>INDEX(Table27[[#All],[Buffer_deduction (Eq 94)]], MATCH(A27, Table27[[#All],[Year t]]))</f>
        <v>18331.605779953195</v>
      </c>
      <c r="F27" s="53">
        <f>INDEX(Table27[[#All],[adjusted_NERt (Eq 92)]], MATCH(A27, Table27[[#All],[Year t]])) - INDEX(Table27[[#All],[adjusted_NERt (Eq 92)]], MATCH(A27-1, Table27[[#All],[Year t]]))</f>
        <v>141012.35215348611</v>
      </c>
      <c r="G27" s="53">
        <f t="shared" si="15"/>
        <v>0</v>
      </c>
      <c r="H27" s="55">
        <f>INDEX(Table27[[#All],[VCUt(Eq 93)]], MATCH(A27, Table27[[#All],[Year t]]))</f>
        <v>122680.74637353291</v>
      </c>
    </row>
    <row r="28" spans="1:8" x14ac:dyDescent="0.2">
      <c r="A28" s="146">
        <v>2045</v>
      </c>
      <c r="B28" s="55">
        <f t="shared" ref="B28:G28" si="16">SUM(B21:B27)</f>
        <v>0</v>
      </c>
      <c r="C28" s="55">
        <f>INDEX(Table1120[[#All],[GHG(WPS) (Eq 69)]], MATCH(A28, Table1120[[#All],[year t]])) - INDEX(Table1120[[#All],[GHG(WPS) (Eq 69)]], MATCH(A28-1, Table1120[[#All],[year t]]))</f>
        <v>-140623.00090650702</v>
      </c>
      <c r="D28" s="55">
        <v>0</v>
      </c>
      <c r="E28" s="55">
        <f>INDEX(Table27[[#All],[Buffer_deduction (Eq 94)]], MATCH(A28, Table27[[#All],[Year t]]))</f>
        <v>18280.990117845911</v>
      </c>
      <c r="F28" s="53">
        <f>INDEX(Table27[[#All],[adjusted_NERt (Eq 92)]], MATCH(A28, Table27[[#All],[Year t]])) - INDEX(Table27[[#All],[adjusted_NERt (Eq 92)]], MATCH(A28-1, Table27[[#All],[Year t]]))</f>
        <v>140623.00090650702</v>
      </c>
      <c r="G28" s="53">
        <f t="shared" si="16"/>
        <v>0</v>
      </c>
      <c r="H28" s="55">
        <f>INDEX(Table27[[#All],[VCUt(Eq 93)]], MATCH(A28, Table27[[#All],[Year t]]))</f>
        <v>122342.01078866111</v>
      </c>
    </row>
    <row r="29" spans="1:8" x14ac:dyDescent="0.2">
      <c r="A29" s="146">
        <v>2046</v>
      </c>
      <c r="B29" s="55">
        <f t="shared" ref="B29:G29" si="17">SUM(B22:B28)</f>
        <v>0</v>
      </c>
      <c r="C29" s="55">
        <f>INDEX(Table1120[[#All],[GHG(WPS) (Eq 69)]], MATCH(A29, Table1120[[#All],[year t]])) - INDEX(Table1120[[#All],[GHG(WPS) (Eq 69)]], MATCH(A29-1, Table1120[[#All],[year t]]))</f>
        <v>-138999.63298308011</v>
      </c>
      <c r="D29" s="55">
        <v>0</v>
      </c>
      <c r="E29" s="55">
        <f>INDEX(Table27[[#All],[Buffer_deduction (Eq 94)]], MATCH(A29, Table27[[#All],[Year t]]))</f>
        <v>18069.952287800414</v>
      </c>
      <c r="F29" s="53">
        <f>INDEX(Table27[[#All],[adjusted_NERt (Eq 92)]], MATCH(A29, Table27[[#All],[Year t]])) - INDEX(Table27[[#All],[adjusted_NERt (Eq 92)]], MATCH(A29-1, Table27[[#All],[Year t]]))</f>
        <v>138999.63298308011</v>
      </c>
      <c r="G29" s="53">
        <f t="shared" si="17"/>
        <v>0</v>
      </c>
      <c r="H29" s="55">
        <f>INDEX(Table27[[#All],[VCUt(Eq 93)]], MATCH(A29, Table27[[#All],[Year t]]))</f>
        <v>120929.68069527971</v>
      </c>
    </row>
    <row r="30" spans="1:8" x14ac:dyDescent="0.2">
      <c r="A30" s="146">
        <v>2047</v>
      </c>
      <c r="B30" s="55">
        <f t="shared" ref="B30:G30" si="18">SUM(B23:B29)</f>
        <v>0</v>
      </c>
      <c r="C30" s="55">
        <f>INDEX(Table1120[[#All],[GHG(WPS) (Eq 69)]], MATCH(A30, Table1120[[#All],[year t]])) - INDEX(Table1120[[#All],[GHG(WPS) (Eq 69)]], MATCH(A30-1, Table1120[[#All],[year t]]))</f>
        <v>-136350.71713660005</v>
      </c>
      <c r="D30" s="55">
        <v>0</v>
      </c>
      <c r="E30" s="55">
        <f>INDEX(Table27[[#All],[Buffer_deduction (Eq 94)]], MATCH(A30, Table27[[#All],[Year t]]))</f>
        <v>17725.593227758007</v>
      </c>
      <c r="F30" s="53">
        <f>INDEX(Table27[[#All],[adjusted_NERt (Eq 92)]], MATCH(A30, Table27[[#All],[Year t]])) - INDEX(Table27[[#All],[adjusted_NERt (Eq 92)]], MATCH(A30-1, Table27[[#All],[Year t]]))</f>
        <v>136350.71713660005</v>
      </c>
      <c r="G30" s="53">
        <f t="shared" si="18"/>
        <v>0</v>
      </c>
      <c r="H30" s="55">
        <f>INDEX(Table27[[#All],[VCUt(Eq 93)]], MATCH(A30, Table27[[#All],[Year t]]))</f>
        <v>118625.12390884204</v>
      </c>
    </row>
    <row r="31" spans="1:8" x14ac:dyDescent="0.2">
      <c r="A31" s="146">
        <v>2048</v>
      </c>
      <c r="B31" s="55">
        <f t="shared" ref="B31:G31" si="19">SUM(B24:B30)</f>
        <v>0</v>
      </c>
      <c r="C31" s="55">
        <f>INDEX(Table1120[[#All],[GHG(WPS) (Eq 69)]], MATCH(A31, Table1120[[#All],[year t]])) - INDEX(Table1120[[#All],[GHG(WPS) (Eq 69)]], MATCH(A31-1, Table1120[[#All],[year t]]))</f>
        <v>-132885.73085080739</v>
      </c>
      <c r="D31" s="55">
        <v>0</v>
      </c>
      <c r="E31" s="55">
        <f>INDEX(Table27[[#All],[Buffer_deduction (Eq 94)]], MATCH(A31, Table27[[#All],[Year t]]))</f>
        <v>17275.14501060496</v>
      </c>
      <c r="F31" s="53">
        <f>INDEX(Table27[[#All],[adjusted_NERt (Eq 92)]], MATCH(A31, Table27[[#All],[Year t]])) - INDEX(Table27[[#All],[adjusted_NERt (Eq 92)]], MATCH(A31-1, Table27[[#All],[Year t]]))</f>
        <v>132885.73085080739</v>
      </c>
      <c r="G31" s="53">
        <f t="shared" si="19"/>
        <v>0</v>
      </c>
      <c r="H31" s="55">
        <f>INDEX(Table27[[#All],[VCUt(Eq 93)]], MATCH(A31, Table27[[#All],[Year t]]))</f>
        <v>115610.58584020243</v>
      </c>
    </row>
    <row r="32" spans="1:8" x14ac:dyDescent="0.2">
      <c r="A32" s="146">
        <v>2049</v>
      </c>
      <c r="B32" s="55">
        <f t="shared" ref="B32:G32" si="20">SUM(B25:B31)</f>
        <v>0</v>
      </c>
      <c r="C32" s="55">
        <f>INDEX(Table1120[[#All],[GHG(WPS) (Eq 69)]], MATCH(A32, Table1120[[#All],[year t]])) - INDEX(Table1120[[#All],[GHG(WPS) (Eq 69)]], MATCH(A32-1, Table1120[[#All],[year t]]))</f>
        <v>-128803.78280110285</v>
      </c>
      <c r="D32" s="55">
        <v>0</v>
      </c>
      <c r="E32" s="55">
        <f>INDEX(Table27[[#All],[Buffer_deduction (Eq 94)]], MATCH(A32, Table27[[#All],[Year t]]))</f>
        <v>16744.491764143371</v>
      </c>
      <c r="F32" s="53">
        <f>INDEX(Table27[[#All],[adjusted_NERt (Eq 92)]], MATCH(A32, Table27[[#All],[Year t]])) - INDEX(Table27[[#All],[adjusted_NERt (Eq 92)]], MATCH(A32-1, Table27[[#All],[Year t]]))</f>
        <v>128803.78280110285</v>
      </c>
      <c r="G32" s="53">
        <f t="shared" si="20"/>
        <v>0</v>
      </c>
      <c r="H32" s="55">
        <f>INDEX(Table27[[#All],[VCUt(Eq 93)]], MATCH(A32, Table27[[#All],[Year t]]))</f>
        <v>112059.29103695948</v>
      </c>
    </row>
    <row r="33" spans="1:8" x14ac:dyDescent="0.2">
      <c r="A33" s="146">
        <v>2050</v>
      </c>
      <c r="B33" s="55">
        <f t="shared" ref="B33:G33" si="21">SUM(B26:B32)</f>
        <v>0</v>
      </c>
      <c r="C33" s="55">
        <f>INDEX(Table1120[[#All],[GHG(WPS) (Eq 69)]], MATCH(A33, Table1120[[#All],[year t]])) - INDEX(Table1120[[#All],[GHG(WPS) (Eq 69)]], MATCH(A33-1, Table1120[[#All],[year t]]))</f>
        <v>-124286.18424124271</v>
      </c>
      <c r="D33" s="55">
        <v>0</v>
      </c>
      <c r="E33" s="55">
        <f>INDEX(Table27[[#All],[Buffer_deduction (Eq 94)]], MATCH(A33, Table27[[#All],[Year t]]))</f>
        <v>16157.203951361553</v>
      </c>
      <c r="F33" s="53">
        <f>INDEX(Table27[[#All],[adjusted_NERt (Eq 92)]], MATCH(A33, Table27[[#All],[Year t]])) - INDEX(Table27[[#All],[adjusted_NERt (Eq 92)]], MATCH(A33-1, Table27[[#All],[Year t]]))</f>
        <v>124286.18424124271</v>
      </c>
      <c r="G33" s="53">
        <f t="shared" si="21"/>
        <v>0</v>
      </c>
      <c r="H33" s="55">
        <f>INDEX(Table27[[#All],[VCUt(Eq 93)]], MATCH(A33, Table27[[#All],[Year t]]))</f>
        <v>108128.98028988115</v>
      </c>
    </row>
    <row r="34" spans="1:8" x14ac:dyDescent="0.2">
      <c r="A34" s="146">
        <v>2051</v>
      </c>
      <c r="B34" s="55">
        <f t="shared" ref="B34:G34" si="22">SUM(B27:B33)</f>
        <v>0</v>
      </c>
      <c r="C34" s="55">
        <f>INDEX(Table1120[[#All],[GHG(WPS) (Eq 69)]], MATCH(A34, Table1120[[#All],[year t]])) - INDEX(Table1120[[#All],[GHG(WPS) (Eq 69)]], MATCH(A34-1, Table1120[[#All],[year t]]))</f>
        <v>-119492.27041515103</v>
      </c>
      <c r="D34" s="55">
        <v>0</v>
      </c>
      <c r="E34" s="55">
        <f>INDEX(Table27[[#All],[Buffer_deduction (Eq 94)]], MATCH(A34, Table27[[#All],[Year t]]))</f>
        <v>15533.995153969634</v>
      </c>
      <c r="F34" s="53">
        <f>INDEX(Table27[[#All],[adjusted_NERt (Eq 92)]], MATCH(A34, Table27[[#All],[Year t]])) - INDEX(Table27[[#All],[adjusted_NERt (Eq 92)]], MATCH(A34-1, Table27[[#All],[Year t]]))</f>
        <v>119492.27041515103</v>
      </c>
      <c r="G34" s="53">
        <f t="shared" si="22"/>
        <v>0</v>
      </c>
      <c r="H34" s="55">
        <f>INDEX(Table27[[#All],[VCUt(Eq 93)]], MATCH(A34, Table27[[#All],[Year t]]))</f>
        <v>103958.27526118139</v>
      </c>
    </row>
    <row r="35" spans="1:8" x14ac:dyDescent="0.2">
      <c r="A35" s="146">
        <v>2052</v>
      </c>
      <c r="B35" s="55">
        <f t="shared" ref="B35:G35" si="23">SUM(B28:B34)</f>
        <v>0</v>
      </c>
      <c r="C35" s="55">
        <f>INDEX(Table1120[[#All],[GHG(WPS) (Eq 69)]], MATCH(A35, Table1120[[#All],[year t]])) - INDEX(Table1120[[#All],[GHG(WPS) (Eq 69)]], MATCH(A35-1, Table1120[[#All],[year t]]))</f>
        <v>-114557.72499866039</v>
      </c>
      <c r="D35" s="55">
        <v>0</v>
      </c>
      <c r="E35" s="55">
        <f>INDEX(Table27[[#All],[Buffer_deduction (Eq 94)]], MATCH(A35, Table27[[#All],[Year t]]))</f>
        <v>14892.50424982585</v>
      </c>
      <c r="F35" s="53">
        <f>INDEX(Table27[[#All],[adjusted_NERt (Eq 92)]], MATCH(A35, Table27[[#All],[Year t]])) - INDEX(Table27[[#All],[adjusted_NERt (Eq 92)]], MATCH(A35-1, Table27[[#All],[Year t]]))</f>
        <v>114557.72499866039</v>
      </c>
      <c r="G35" s="53">
        <f t="shared" si="23"/>
        <v>0</v>
      </c>
      <c r="H35" s="55">
        <f>INDEX(Table27[[#All],[VCUt(Eq 93)]], MATCH(A35, Table27[[#All],[Year t]]))</f>
        <v>99665.22074883453</v>
      </c>
    </row>
    <row r="36" spans="1:8" x14ac:dyDescent="0.2">
      <c r="A36" s="146">
        <v>2053</v>
      </c>
      <c r="B36" s="55">
        <f t="shared" ref="B36:G36" si="24">SUM(B29:B35)</f>
        <v>0</v>
      </c>
      <c r="C36" s="55">
        <f>INDEX(Table1120[[#All],[GHG(WPS) (Eq 69)]], MATCH(A36, Table1120[[#All],[year t]])) - INDEX(Table1120[[#All],[GHG(WPS) (Eq 69)]], MATCH(A36-1, Table1120[[#All],[year t]]))</f>
        <v>-109594.71107289242</v>
      </c>
      <c r="D36" s="55">
        <v>0</v>
      </c>
      <c r="E36" s="55">
        <f>INDEX(Table27[[#All],[Buffer_deduction (Eq 94)]], MATCH(A36, Table27[[#All],[Year t]]))</f>
        <v>14247.312439476014</v>
      </c>
      <c r="F36" s="53">
        <f>INDEX(Table27[[#All],[adjusted_NERt (Eq 92)]], MATCH(A36, Table27[[#All],[Year t]])) - INDEX(Table27[[#All],[adjusted_NERt (Eq 92)]], MATCH(A36-1, Table27[[#All],[Year t]]))</f>
        <v>109594.71107289242</v>
      </c>
      <c r="G36" s="53">
        <f t="shared" si="24"/>
        <v>0</v>
      </c>
      <c r="H36" s="55">
        <f>INDEX(Table27[[#All],[VCUt(Eq 93)]], MATCH(A36, Table27[[#All],[Year t]]))</f>
        <v>95347.398633416407</v>
      </c>
    </row>
    <row r="37" spans="1:8" x14ac:dyDescent="0.2">
      <c r="A37" s="146">
        <v>2054</v>
      </c>
      <c r="B37" s="55">
        <f t="shared" ref="B37:G37" si="25">SUM(B30:B36)</f>
        <v>0</v>
      </c>
      <c r="C37" s="55">
        <f>INDEX(Table1120[[#All],[GHG(WPS) (Eq 69)]], MATCH(A37, Table1120[[#All],[year t]])) - INDEX(Table1120[[#All],[GHG(WPS) (Eq 69)]], MATCH(A37-1, Table1120[[#All],[year t]]))</f>
        <v>-104693.21279790252</v>
      </c>
      <c r="D37" s="55">
        <v>0</v>
      </c>
      <c r="E37" s="55">
        <f>INDEX(Table27[[#All],[Buffer_deduction (Eq 94)]], MATCH(A37, Table27[[#All],[Year t]]))</f>
        <v>13610.117663727329</v>
      </c>
      <c r="F37" s="53">
        <f>INDEX(Table27[[#All],[adjusted_NERt (Eq 92)]], MATCH(A37, Table27[[#All],[Year t]])) - INDEX(Table27[[#All],[adjusted_NERt (Eq 92)]], MATCH(A37-1, Table27[[#All],[Year t]]))</f>
        <v>104693.21279790252</v>
      </c>
      <c r="G37" s="53">
        <f t="shared" si="25"/>
        <v>0</v>
      </c>
      <c r="H37" s="55">
        <f>INDEX(Table27[[#All],[VCUt(Eq 93)]], MATCH(A37, Table27[[#All],[Year t]]))</f>
        <v>91083.095134175193</v>
      </c>
    </row>
    <row r="38" spans="1:8" x14ac:dyDescent="0.2">
      <c r="A38" s="146">
        <v>2055</v>
      </c>
      <c r="B38" s="55">
        <f t="shared" ref="B38:G38" si="26">SUM(B31:B37)</f>
        <v>0</v>
      </c>
      <c r="C38" s="55">
        <f>INDEX(Table1120[[#All],[GHG(WPS) (Eq 69)]], MATCH(A38, Table1120[[#All],[year t]])) - INDEX(Table1120[[#All],[GHG(WPS) (Eq 69)]], MATCH(A38-1, Table1120[[#All],[year t]]))</f>
        <v>-99923.109987746459</v>
      </c>
      <c r="D38" s="55">
        <v>0</v>
      </c>
      <c r="E38" s="55">
        <f>INDEX(Table27[[#All],[Buffer_deduction (Eq 94)]], MATCH(A38, Table27[[#All],[Year t]]))</f>
        <v>12990.004298407041</v>
      </c>
      <c r="F38" s="53">
        <f>INDEX(Table27[[#All],[adjusted_NERt (Eq 92)]], MATCH(A38, Table27[[#All],[Year t]])) - INDEX(Table27[[#All],[adjusted_NERt (Eq 92)]], MATCH(A38-1, Table27[[#All],[Year t]]))</f>
        <v>99923.109987746459</v>
      </c>
      <c r="G38" s="53">
        <f t="shared" si="26"/>
        <v>0</v>
      </c>
      <c r="H38" s="55">
        <f>INDEX(Table27[[#All],[VCUt(Eq 93)]], MATCH(A38, Table27[[#All],[Year t]]))</f>
        <v>86933.105689339412</v>
      </c>
    </row>
    <row r="39" spans="1:8" x14ac:dyDescent="0.2">
      <c r="A39" s="146">
        <v>2056</v>
      </c>
      <c r="B39" s="55">
        <f t="shared" ref="B39:G39" si="27">SUM(B32:B38)</f>
        <v>0</v>
      </c>
      <c r="C39" s="55">
        <f>INDEX(Table1120[[#All],[GHG(WPS) (Eq 69)]], MATCH(A39, Table1120[[#All],[year t]])) - INDEX(Table1120[[#All],[GHG(WPS) (Eq 69)]], MATCH(A39-1, Table1120[[#All],[year t]]))</f>
        <v>-95336.623133369721</v>
      </c>
      <c r="D39" s="55">
        <v>0</v>
      </c>
      <c r="E39" s="55">
        <f>INDEX(Table27[[#All],[Buffer_deduction (Eq 94)]], MATCH(A39, Table27[[#All],[Year t]]))</f>
        <v>12393.761007338064</v>
      </c>
      <c r="F39" s="53">
        <f>INDEX(Table27[[#All],[adjusted_NERt (Eq 92)]], MATCH(A39, Table27[[#All],[Year t]])) - INDEX(Table27[[#All],[adjusted_NERt (Eq 92)]], MATCH(A39-1, Table27[[#All],[Year t]]))</f>
        <v>95336.623133369721</v>
      </c>
      <c r="G39" s="53">
        <f t="shared" si="27"/>
        <v>0</v>
      </c>
      <c r="H39" s="55">
        <f>INDEX(Table27[[#All],[VCUt(Eq 93)]], MATCH(A39, Table27[[#All],[Year t]]))</f>
        <v>82942.862126031658</v>
      </c>
    </row>
    <row r="40" spans="1:8" x14ac:dyDescent="0.2">
      <c r="A40" s="146">
        <v>2057</v>
      </c>
      <c r="B40" s="55">
        <f t="shared" ref="B40:G40" si="28">SUM(B33:B39)</f>
        <v>0</v>
      </c>
      <c r="C40" s="55">
        <f>INDEX(Table1120[[#All],[GHG(WPS) (Eq 69)]], MATCH(A40, Table1120[[#All],[year t]])) - INDEX(Table1120[[#All],[GHG(WPS) (Eq 69)]], MATCH(A40-1, Table1120[[#All],[year t]]))</f>
        <v>-90970.868390498683</v>
      </c>
      <c r="D40" s="55">
        <v>0</v>
      </c>
      <c r="E40" s="55">
        <f>INDEX(Table27[[#All],[Buffer_deduction (Eq 94)]], MATCH(A40, Table27[[#All],[Year t]]))</f>
        <v>11826.212890764829</v>
      </c>
      <c r="F40" s="53">
        <f>INDEX(Table27[[#All],[adjusted_NERt (Eq 92)]], MATCH(A40, Table27[[#All],[Year t]])) - INDEX(Table27[[#All],[adjusted_NERt (Eq 92)]], MATCH(A40-1, Table27[[#All],[Year t]]))</f>
        <v>90970.868390498683</v>
      </c>
      <c r="G40" s="53">
        <f t="shared" si="28"/>
        <v>0</v>
      </c>
      <c r="H40" s="55">
        <f>INDEX(Table27[[#All],[VCUt(Eq 93)]], MATCH(A40, Table27[[#All],[Year t]]))</f>
        <v>79144.655499733854</v>
      </c>
    </row>
    <row r="41" spans="1:8" x14ac:dyDescent="0.2">
      <c r="A41" s="146">
        <v>2058</v>
      </c>
      <c r="B41" s="55">
        <f t="shared" ref="B41:G41" si="29">SUM(B34:B40)</f>
        <v>0</v>
      </c>
      <c r="C41" s="55">
        <f>INDEX(Table1120[[#All],[GHG(WPS) (Eq 69)]], MATCH(A41, Table1120[[#All],[year t]])) - INDEX(Table1120[[#All],[GHG(WPS) (Eq 69)]], MATCH(A41-1, Table1120[[#All],[year t]]))</f>
        <v>-86850.346258372534</v>
      </c>
      <c r="D41" s="55">
        <v>0</v>
      </c>
      <c r="E41" s="55">
        <f>INDEX(Table27[[#All],[Buffer_deduction (Eq 94)]], MATCH(A41, Table27[[#All],[Year t]]))</f>
        <v>11290.545013588429</v>
      </c>
      <c r="F41" s="53">
        <f>INDEX(Table27[[#All],[adjusted_NERt (Eq 92)]], MATCH(A41, Table27[[#All],[Year t]])) - INDEX(Table27[[#All],[adjusted_NERt (Eq 92)]], MATCH(A41-1, Table27[[#All],[Year t]]))</f>
        <v>86850.346258372534</v>
      </c>
      <c r="G41" s="53">
        <f t="shared" si="29"/>
        <v>0</v>
      </c>
      <c r="H41" s="55">
        <f>INDEX(Table27[[#All],[VCUt(Eq 93)]], MATCH(A41, Table27[[#All],[Year t]]))</f>
        <v>75559.801244784103</v>
      </c>
    </row>
    <row r="42" spans="1:8" x14ac:dyDescent="0.2">
      <c r="A42" s="146">
        <v>2059</v>
      </c>
      <c r="B42" s="55">
        <f t="shared" ref="B42:G42" si="30">SUM(B35:B41)</f>
        <v>0</v>
      </c>
      <c r="C42" s="55">
        <f>INDEX(Table1120[[#All],[GHG(WPS) (Eq 69)]], MATCH(A42, Table1120[[#All],[year t]])) - INDEX(Table1120[[#All],[GHG(WPS) (Eq 69)]], MATCH(A42-1, Table1120[[#All],[year t]]))</f>
        <v>-82989.253607587889</v>
      </c>
      <c r="D42" s="55">
        <v>0</v>
      </c>
      <c r="E42" s="55">
        <f>INDEX(Table27[[#All],[Buffer_deduction (Eq 94)]], MATCH(A42, Table27[[#All],[Year t]]))</f>
        <v>10788.602968986426</v>
      </c>
      <c r="F42" s="53">
        <f>INDEX(Table27[[#All],[adjusted_NERt (Eq 92)]], MATCH(A42, Table27[[#All],[Year t]])) - INDEX(Table27[[#All],[adjusted_NERt (Eq 92)]], MATCH(A42-1, Table27[[#All],[Year t]]))</f>
        <v>82989.253607587889</v>
      </c>
      <c r="G42" s="53">
        <f t="shared" si="30"/>
        <v>0</v>
      </c>
      <c r="H42" s="55">
        <f>INDEX(Table27[[#All],[VCUt(Eq 93)]], MATCH(A42, Table27[[#All],[Year t]]))</f>
        <v>72200.650638601466</v>
      </c>
    </row>
    <row r="43" spans="1:8" x14ac:dyDescent="0.2">
      <c r="A43" s="146">
        <v>2060</v>
      </c>
      <c r="B43" s="55">
        <f t="shared" ref="B43:G43" si="31">SUM(B36:B42)</f>
        <v>0</v>
      </c>
      <c r="C43" s="55">
        <f>INDEX(Table1120[[#All],[GHG(WPS) (Eq 69)]], MATCH(A43, Table1120[[#All],[year t]])) - INDEX(Table1120[[#All],[GHG(WPS) (Eq 69)]], MATCH(A43-1, Table1120[[#All],[year t]]))</f>
        <v>-79393.557980586775</v>
      </c>
      <c r="D43" s="55">
        <v>0</v>
      </c>
      <c r="E43" s="55">
        <f>INDEX(Table27[[#All],[Buffer_deduction (Eq 94)]], MATCH(A43, Table27[[#All],[Year t]]))</f>
        <v>10321.162537476281</v>
      </c>
      <c r="F43" s="53">
        <f>INDEX(Table27[[#All],[adjusted_NERt (Eq 92)]], MATCH(A43, Table27[[#All],[Year t]])) - INDEX(Table27[[#All],[adjusted_NERt (Eq 92)]], MATCH(A43-1, Table27[[#All],[Year t]]))</f>
        <v>79393.557980586775</v>
      </c>
      <c r="G43" s="53">
        <f t="shared" si="31"/>
        <v>0</v>
      </c>
      <c r="H43" s="55">
        <f>INDEX(Table27[[#All],[VCUt(Eq 93)]], MATCH(A43, Table27[[#All],[Year t]]))</f>
        <v>69072.395443110494</v>
      </c>
    </row>
    <row r="44" spans="1:8" x14ac:dyDescent="0.2">
      <c r="A44" s="146">
        <v>2061</v>
      </c>
      <c r="B44" s="55">
        <f t="shared" ref="B44:G44" si="32">SUM(B37:B43)</f>
        <v>0</v>
      </c>
      <c r="C44" s="55">
        <f>INDEX(Table1120[[#All],[GHG(WPS) (Eq 69)]], MATCH(A44, Table1120[[#All],[year t]])) - INDEX(Table1120[[#All],[GHG(WPS) (Eq 69)]], MATCH(A44-1, Table1120[[#All],[year t]]))</f>
        <v>-76062.808251569979</v>
      </c>
      <c r="D44" s="55">
        <f t="shared" si="32"/>
        <v>0</v>
      </c>
      <c r="E44" s="55">
        <f>INDEX(Table27[[#All],[Buffer_deduction (Eq 94)]], MATCH(A44, Table27[[#All],[Year t]]))</f>
        <v>9888.1650727040978</v>
      </c>
      <c r="F44" s="53">
        <f>INDEX(Table27[[#All],[adjusted_NERt (Eq 92)]], MATCH(A44, Table27[[#All],[Year t]])) - INDEX(Table27[[#All],[adjusted_NERt (Eq 92)]], MATCH(A44-1, Table27[[#All],[Year t]]))</f>
        <v>76062.808251569979</v>
      </c>
      <c r="G44" s="53">
        <f t="shared" si="32"/>
        <v>0</v>
      </c>
      <c r="H44" s="55">
        <f>INDEX(Table27[[#All],[VCUt(Eq 93)]], MATCH(A44, Table27[[#All],[Year t]]))</f>
        <v>66174.643178865881</v>
      </c>
    </row>
    <row r="45" spans="1:8" x14ac:dyDescent="0.2">
      <c r="A45" s="55" t="s">
        <v>534</v>
      </c>
      <c r="B45" s="55"/>
      <c r="C45" s="147">
        <f>SUM(C5:C44)</f>
        <v>-3289566.7524343589</v>
      </c>
      <c r="D45" s="147">
        <f t="shared" ref="D45:H45" si="33">SUM(D5:D44)</f>
        <v>0</v>
      </c>
      <c r="E45" s="147">
        <f t="shared" si="33"/>
        <v>427643.6778164666</v>
      </c>
      <c r="F45" s="147">
        <f t="shared" si="33"/>
        <v>3289566.7524343589</v>
      </c>
      <c r="G45" s="147">
        <f t="shared" si="33"/>
        <v>0</v>
      </c>
      <c r="H45" s="147">
        <f t="shared" si="33"/>
        <v>2861923.074617892</v>
      </c>
    </row>
  </sheetData>
  <mergeCells count="1">
    <mergeCell ref="A2:A4"/>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D271-51C1-4224-8FAD-1D106D187C46}">
  <sheetPr>
    <tabColor theme="8" tint="0.59999389629810485"/>
  </sheetPr>
  <dimension ref="B1:CE158"/>
  <sheetViews>
    <sheetView topLeftCell="A6" workbookViewId="0">
      <selection activeCell="E44" sqref="E44"/>
    </sheetView>
  </sheetViews>
  <sheetFormatPr baseColWidth="10" defaultColWidth="8.83203125" defaultRowHeight="15" x14ac:dyDescent="0.2"/>
  <cols>
    <col min="4" max="4" width="23.83203125" customWidth="1"/>
    <col min="5" max="5" width="25.33203125" customWidth="1"/>
    <col min="6" max="7" width="18.6640625" customWidth="1"/>
    <col min="8" max="8" width="23.33203125" customWidth="1"/>
    <col min="9" max="9" width="15.33203125" customWidth="1"/>
    <col min="10" max="10" width="13.6640625" customWidth="1"/>
    <col min="12" max="12" width="10.6640625" customWidth="1"/>
    <col min="13" max="13" width="30.33203125" customWidth="1"/>
    <col min="14" max="14" width="32.1640625" style="57" customWidth="1"/>
    <col min="15" max="15" width="34.83203125" customWidth="1"/>
    <col min="16" max="16" width="22.83203125" customWidth="1"/>
    <col min="17" max="17" width="37.83203125" customWidth="1"/>
    <col min="18" max="18" width="26.33203125" customWidth="1"/>
    <col min="19" max="19" width="19.33203125" customWidth="1"/>
    <col min="20" max="20" width="18.33203125" customWidth="1"/>
    <col min="25" max="25" width="9.6640625" customWidth="1"/>
    <col min="26" max="26" width="11" customWidth="1"/>
    <col min="27" max="27" width="28.6640625" customWidth="1"/>
    <col min="28" max="28" width="29" customWidth="1"/>
    <col min="32" max="32" width="9.6640625" customWidth="1"/>
    <col min="33" max="33" width="10.83203125" customWidth="1"/>
    <col min="34" max="34" width="12.6640625" customWidth="1"/>
    <col min="35" max="35" width="15.83203125" customWidth="1"/>
    <col min="36" max="36" width="17.6640625" customWidth="1"/>
    <col min="37" max="37" width="27.6640625" customWidth="1"/>
    <col min="38" max="38" width="14" customWidth="1"/>
    <col min="39" max="39" width="29" customWidth="1"/>
    <col min="40" max="40" width="29.6640625" customWidth="1"/>
    <col min="41" max="41" width="22.33203125" customWidth="1"/>
    <col min="42" max="42" width="22.6640625" customWidth="1"/>
    <col min="43" max="43" width="24.83203125" customWidth="1"/>
    <col min="44" max="44" width="30" customWidth="1"/>
    <col min="45" max="45" width="23.1640625" customWidth="1"/>
    <col min="46" max="46" width="22.33203125" customWidth="1"/>
    <col min="47" max="47" width="28" customWidth="1"/>
    <col min="48" max="48" width="19.1640625" customWidth="1"/>
    <col min="49" max="49" width="22.1640625" customWidth="1"/>
    <col min="50" max="50" width="16.83203125" customWidth="1"/>
    <col min="51" max="51" width="23.33203125" customWidth="1"/>
    <col min="52" max="52" width="30.33203125" customWidth="1"/>
    <col min="54" max="54" width="8.1640625" customWidth="1"/>
    <col min="55" max="55" width="11.6640625" customWidth="1"/>
    <col min="56" max="56" width="24.83203125" customWidth="1"/>
    <col min="57" max="57" width="29.33203125" customWidth="1"/>
    <col min="62" max="62" width="9.6640625" customWidth="1"/>
    <col min="63" max="63" width="21.33203125" customWidth="1"/>
    <col min="64" max="64" width="29.33203125" customWidth="1"/>
    <col min="65" max="65" width="23.6640625" customWidth="1"/>
    <col min="66" max="66" width="32.6640625" customWidth="1"/>
    <col min="67" max="67" width="29.33203125" customWidth="1"/>
    <col min="68" max="68" width="31.83203125" customWidth="1"/>
    <col min="69" max="69" width="23.33203125" customWidth="1"/>
    <col min="70" max="70" width="27.83203125" customWidth="1"/>
    <col min="71" max="71" width="28.6640625" customWidth="1"/>
    <col min="75" max="75" width="17.33203125" customWidth="1"/>
    <col min="76" max="76" width="9.6640625" customWidth="1"/>
    <col min="77" max="77" width="15.1640625" customWidth="1"/>
    <col min="78" max="78" width="16.1640625" customWidth="1"/>
    <col min="79" max="79" width="15" customWidth="1"/>
    <col min="80" max="80" width="14.6640625" customWidth="1"/>
    <col min="81" max="81" width="26.6640625" customWidth="1"/>
    <col min="82" max="82" width="22.83203125" customWidth="1"/>
    <col min="83" max="83" width="22.33203125" customWidth="1"/>
  </cols>
  <sheetData>
    <row r="1" spans="2:83" x14ac:dyDescent="0.2">
      <c r="P1" s="5"/>
      <c r="AA1" s="5"/>
      <c r="AE1" t="s">
        <v>437</v>
      </c>
      <c r="AN1" s="5"/>
      <c r="AR1" t="s">
        <v>368</v>
      </c>
      <c r="BD1" s="5"/>
      <c r="BE1" s="5"/>
      <c r="BI1" t="s">
        <v>56</v>
      </c>
      <c r="BP1" t="s">
        <v>58</v>
      </c>
      <c r="BW1" t="s">
        <v>438</v>
      </c>
    </row>
    <row r="2" spans="2:83" x14ac:dyDescent="0.2">
      <c r="D2" t="s">
        <v>369</v>
      </c>
      <c r="E2" t="s">
        <v>369</v>
      </c>
      <c r="F2" t="s">
        <v>369</v>
      </c>
      <c r="G2" t="s">
        <v>369</v>
      </c>
      <c r="H2" t="s">
        <v>369</v>
      </c>
      <c r="AB2" s="5"/>
    </row>
    <row r="3" spans="2:83" ht="48" x14ac:dyDescent="0.2">
      <c r="B3" s="19" t="s">
        <v>439</v>
      </c>
      <c r="D3" s="126" t="s">
        <v>440</v>
      </c>
      <c r="E3" s="126" t="s">
        <v>441</v>
      </c>
      <c r="F3" s="19" t="s">
        <v>442</v>
      </c>
      <c r="G3" s="19" t="s">
        <v>443</v>
      </c>
      <c r="H3" s="19" t="s">
        <v>444</v>
      </c>
      <c r="M3" t="s">
        <v>445</v>
      </c>
      <c r="N3" s="57" t="s">
        <v>446</v>
      </c>
      <c r="O3" s="19" t="s">
        <v>447</v>
      </c>
      <c r="P3" t="s">
        <v>448</v>
      </c>
      <c r="Q3" s="19" t="s">
        <v>449</v>
      </c>
      <c r="R3" s="19" t="s">
        <v>450</v>
      </c>
      <c r="S3" s="19" t="s">
        <v>382</v>
      </c>
      <c r="AA3" t="s">
        <v>531</v>
      </c>
      <c r="AB3" s="19" t="s">
        <v>448</v>
      </c>
      <c r="AI3" t="s">
        <v>389</v>
      </c>
      <c r="AJ3" s="1" t="s">
        <v>389</v>
      </c>
      <c r="AK3" s="19" t="s">
        <v>451</v>
      </c>
      <c r="AM3" s="144" t="s">
        <v>452</v>
      </c>
      <c r="AQ3" s="19" t="s">
        <v>450</v>
      </c>
      <c r="AR3" t="s">
        <v>453</v>
      </c>
      <c r="AS3" t="s">
        <v>453</v>
      </c>
      <c r="AT3" t="s">
        <v>453</v>
      </c>
      <c r="AU3" t="s">
        <v>453</v>
      </c>
      <c r="BB3" t="s">
        <v>59</v>
      </c>
      <c r="BD3" t="s">
        <v>531</v>
      </c>
      <c r="BE3" t="s">
        <v>454</v>
      </c>
      <c r="CC3" s="19" t="s">
        <v>455</v>
      </c>
      <c r="CD3" s="19" t="s">
        <v>456</v>
      </c>
      <c r="CE3" s="19" t="s">
        <v>457</v>
      </c>
    </row>
    <row r="4" spans="2:83" ht="77" customHeight="1" x14ac:dyDescent="0.2">
      <c r="C4" t="s">
        <v>158</v>
      </c>
      <c r="D4" t="s">
        <v>458</v>
      </c>
      <c r="E4" t="s">
        <v>459</v>
      </c>
      <c r="F4" t="s">
        <v>460</v>
      </c>
      <c r="G4" s="47" t="s">
        <v>461</v>
      </c>
      <c r="H4" t="s">
        <v>462</v>
      </c>
      <c r="K4" t="s">
        <v>158</v>
      </c>
      <c r="L4" t="s">
        <v>166</v>
      </c>
      <c r="M4" s="47" t="s">
        <v>463</v>
      </c>
      <c r="N4" s="47" t="s">
        <v>464</v>
      </c>
      <c r="O4" t="s">
        <v>465</v>
      </c>
      <c r="P4" s="47" t="s">
        <v>466</v>
      </c>
      <c r="Q4" t="s">
        <v>467</v>
      </c>
      <c r="R4" t="s">
        <v>468</v>
      </c>
      <c r="S4" s="47" t="s">
        <v>469</v>
      </c>
      <c r="T4" t="s">
        <v>254</v>
      </c>
      <c r="Y4" s="29" t="s">
        <v>158</v>
      </c>
      <c r="Z4" s="16" t="s">
        <v>166</v>
      </c>
      <c r="AA4" s="16" t="s">
        <v>517</v>
      </c>
      <c r="AB4" s="16" t="s">
        <v>470</v>
      </c>
      <c r="AE4" s="16" t="s">
        <v>158</v>
      </c>
      <c r="AF4" s="16" t="s">
        <v>166</v>
      </c>
      <c r="AG4" s="31" t="s">
        <v>182</v>
      </c>
      <c r="AH4" s="31" t="s">
        <v>418</v>
      </c>
      <c r="AI4" s="47" t="s">
        <v>291</v>
      </c>
      <c r="AJ4" s="47" t="s">
        <v>297</v>
      </c>
      <c r="AK4" s="47" t="s">
        <v>471</v>
      </c>
      <c r="AL4" t="s">
        <v>221</v>
      </c>
      <c r="AM4" s="47" t="s">
        <v>472</v>
      </c>
      <c r="AN4" s="131" t="s">
        <v>529</v>
      </c>
      <c r="AO4" s="47" t="s">
        <v>473</v>
      </c>
      <c r="AP4" s="47" t="s">
        <v>474</v>
      </c>
      <c r="AQ4" s="131" t="s">
        <v>475</v>
      </c>
      <c r="AR4" t="s">
        <v>476</v>
      </c>
      <c r="AS4" t="s">
        <v>477</v>
      </c>
      <c r="AT4" t="s">
        <v>478</v>
      </c>
      <c r="AU4" t="s">
        <v>479</v>
      </c>
      <c r="AV4" t="s">
        <v>104</v>
      </c>
      <c r="AW4" t="s">
        <v>429</v>
      </c>
      <c r="AX4" t="s">
        <v>430</v>
      </c>
      <c r="AY4" t="s">
        <v>431</v>
      </c>
      <c r="AZ4" t="s">
        <v>428</v>
      </c>
      <c r="BB4" s="29" t="s">
        <v>158</v>
      </c>
      <c r="BC4" s="16" t="s">
        <v>166</v>
      </c>
      <c r="BD4" s="162" t="s">
        <v>515</v>
      </c>
      <c r="BE4" s="16" t="s">
        <v>432</v>
      </c>
      <c r="BI4" s="16" t="s">
        <v>158</v>
      </c>
      <c r="BJ4" s="16" t="s">
        <v>166</v>
      </c>
      <c r="BK4" t="s">
        <v>182</v>
      </c>
      <c r="BL4" t="s">
        <v>241</v>
      </c>
      <c r="BM4" t="s">
        <v>243</v>
      </c>
      <c r="BN4" t="s">
        <v>245</v>
      </c>
      <c r="BO4" s="50" t="s">
        <v>480</v>
      </c>
      <c r="BP4" t="s">
        <v>247</v>
      </c>
      <c r="BQ4" t="s">
        <v>249</v>
      </c>
      <c r="BR4" t="s">
        <v>251</v>
      </c>
      <c r="BS4" s="50" t="s">
        <v>481</v>
      </c>
      <c r="BW4" s="16" t="s">
        <v>158</v>
      </c>
      <c r="BX4" s="16" t="s">
        <v>166</v>
      </c>
      <c r="BY4" s="31" t="s">
        <v>182</v>
      </c>
      <c r="BZ4" t="s">
        <v>253</v>
      </c>
      <c r="CA4" t="s">
        <v>76</v>
      </c>
      <c r="CB4" t="s">
        <v>78</v>
      </c>
      <c r="CC4" t="s">
        <v>482</v>
      </c>
      <c r="CD4" t="s">
        <v>483</v>
      </c>
      <c r="CE4" t="s">
        <v>484</v>
      </c>
    </row>
    <row r="5" spans="2:83" x14ac:dyDescent="0.2">
      <c r="C5" s="18">
        <v>2022</v>
      </c>
      <c r="D5">
        <f>-SUMIF( Table1221[[#All],[year t]],  "&lt;="&amp;Table1120[[#This Row],[year t]], Table1221[[#All],[∆𝐶WPS−𝑏𝑖𝑜𝑚𝑎𝑠𝑠,𝑖,t (equation 74)]])*44/12</f>
        <v>0</v>
      </c>
      <c r="E5">
        <f>SUMIF(Table1221[[#All],[year t]], "&lt;="&amp;Table1120[[#This Row],[year t]],  Table1221[[#All],[𝐺𝐻𝐺WPS−𝑠𝑜𝑖𝑙,𝑖,t]])</f>
        <v>0</v>
      </c>
      <c r="F5">
        <f>SUMIF(Table1221[[#All],[year t]], "&lt;="&amp;Table1120[[#This Row],[year t]], Table1221[[#All],[𝐺𝐻𝐺WPS−𝑓𝑢𝑒𝑙,𝑖,t]])</f>
        <v>0</v>
      </c>
      <c r="G5">
        <f>IF(project_prescribed_burning = "Included", SUMIF(Table10[[#All],[year t]], "&lt;="&amp;Table1120[[#This Row],[year t]], Table10[[#All],[GHGWPS-burn,i,t (Eq 81)]]), 0)</f>
        <v>0</v>
      </c>
      <c r="H5">
        <f>Table1120[[#This Row],[GHG(WPS-biomass)]]+Table1120[[#This Row],[GHG(WPS-soil)]]+Table1120[[#This Row],[GHG(WPS-burn)]]+Table1120[[#This Row],[GHG(WPS-fuel)]]</f>
        <v>0</v>
      </c>
      <c r="K5" s="18">
        <v>2022</v>
      </c>
      <c r="L5" s="17">
        <v>1</v>
      </c>
      <c r="M5" cm="1">
        <f t="array" ref="M5">IF(project_aboveground_tree = "Included", INDEX(Table32[[#All],[ΔCTREE_PROJ,i,t (AR Tool 14) t C/yr]], MATCH(1, (Table1221[[#This Row],[year t]]=Table32[[#All],[year t]])*(Table1221[[#This Row],[stratum i]]=Table32[[#All],[stratum i]]), 0)), 0)</f>
        <v>0</v>
      </c>
      <c r="N5" s="57" cm="1">
        <f t="array" ref="N5">IF(project_aboveground_nontree = "Included", INDEX(#REF!, MATCH(1, (Table1221[[#This Row],[year t]]=Table32[[#All],[year t]])*(Table1221[[#This Row],[stratum i]]=Table32[[#All],[stratum i]]), 0)), 0)</f>
        <v>0</v>
      </c>
      <c r="O5">
        <f>12/44*(Table1221[[#This Row],[ΔCTREE_PROJ,t (AR Tool 14) t CO2e/yr]]+Table1221[[#This Row],[ΔCSHRUB_PROJ,t (AR Tool 14) t CO2e/yr]])</f>
        <v>0</v>
      </c>
      <c r="P5" cm="1">
        <f t="array" ref="P5">IF(project_aboveground_nontree = "Included", IFERROR(INDEX(Table1322[[#All],[ΔCWPS-herb,i,t (Eq 78)]], MATCH(1, (Table1221[[#This Row],[stratum i]]=Table1322[[#All],[stratum i]])*(Table1221[[#This Row],[year t]]&gt;=#REF!)*(Table1221[[#This Row],[year t]]&lt;=Table1322[[#All],[year t]]), 0)), 0), 0)</f>
        <v>0</v>
      </c>
      <c r="Q5">
        <f>Table1221[[#This Row],[ΔCWPS-tree/shrub,i,t (t C/yr) (Eq 75)]]+Table1221[[#This Row],[ΔCWPS-herb,i,t (t C/yr)]]</f>
        <v>0</v>
      </c>
      <c r="R5" cm="1">
        <f t="array" ref="R5">INDEX(Table1423[[#All],[GHGWPS-soil,i,t]], MATCH(1, (Table1221[[#This Row],[year t]]=Table1423[[#All],[year t]])*(Table1221[[#This Row],[stratum i]]=Table1423[[#All],[stratum i]]), 0))</f>
        <v>0</v>
      </c>
      <c r="S5">
        <f>IF(project_ff_CO2 = "Included", Table1221[[#This Row],[ET(FC,I,t) AR-Tool 5 WPS]], 0)</f>
        <v>0</v>
      </c>
      <c r="T5" t="e" cm="1">
        <f t="array" ref="T5">INDEX(#REF!, MATCH(1, (Table1221[[#This Row],[year t]]=Table32[[#All],[year t]])*(Table1221[[#This Row],[stratum i]]=Table32[[#All],[stratum i]]), 0))</f>
        <v>#REF!</v>
      </c>
      <c r="Y5">
        <v>7</v>
      </c>
      <c r="Z5">
        <v>1</v>
      </c>
      <c r="AA5" s="45" t="e" cm="1">
        <f t="array" ref="AA5">INDEX(#REF!, MATCH(1, (Table1322[[#This Row],[year t]]=Table32[[#All],[year t]])*(Table1322[[#This Row],[stratum i]]=Table32[[#All],[stratum i]]), 0))</f>
        <v>#REF!</v>
      </c>
      <c r="AB5" s="45" t="e">
        <f>Table1322[[#This Row],[ΔCWPS-herb,i,t (tC/ha)]]</f>
        <v>#REF!</v>
      </c>
      <c r="AE5" s="18">
        <v>2022</v>
      </c>
      <c r="AF5" s="17">
        <v>1</v>
      </c>
      <c r="AG5" s="17" cm="1">
        <f t="array" ref="AG5">INDEX(Table32[[#All],[Ai,t]], MATCH(1, (Table1423[[#This Row],[year t]]=Table32[[#All],[year t]])*(Table1423[[#This Row],[stratum i]]=Table32[[#All],[stratum i]]), 0))</f>
        <v>1090.4420357142858</v>
      </c>
      <c r="AH5" t="str">
        <f>INDEX(Table31[[#All],[Soil type (t=0)]], MATCH(Table1423[[#This Row],[stratum i]], Table31[[#All],[Stratum i]]))</f>
        <v>Mineral soil</v>
      </c>
      <c r="AI5">
        <f>IF(Emission_reduction_from_stock_loss?, INDEX(Table2[[#All],[End_PDT]], MATCH(Table1423[[#This Row],[stratum i]], Table2[[#All],[stratum i]])), crediting_period)</f>
        <v>40</v>
      </c>
      <c r="AJ5">
        <f>IF(Emission_reduction_from_stock_loss?, INDEX(Table2[[#All],[End_SDT]], MATCH(Table1423[[#This Row],[stratum i]], Table2[[#All],[stratum i]])), crediting_period)</f>
        <v>40</v>
      </c>
      <c r="AK5" cm="1">
        <f t="array" ref="AK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5" cm="1">
        <f t="array" ref="AL5">INDEX(Table32[[#All],[%Calloch WPS]], MATCH(1, (Table1423[[#This Row],[year t]]=Table32[[#All],[year t]])*(Table1423[[#This Row],[stratum i]]=Table32[[#All],[stratum i]]), 0))</f>
        <v>23.561573856247001</v>
      </c>
      <c r="AM5">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5">
        <f>(Table1423[[#This Row],[GHGWPS-soil-CO2,i,t]]-Table1423[[#This Row],[Deductionalloch WPS (Eq 38)]])*Table1423[[#This Row],[Ai,t]]</f>
        <v>0</v>
      </c>
      <c r="AO5" cm="1">
        <f t="array" ref="AO5">IF(project_soil_CH4 = "Included", INDEX(Table1830[[#All],[GHGWPS-soil-CH4,i,t (Eq 59)]], MATCH(1, (Table1423[[#This Row],[year t]]=Table1830[[#All],[year t]])*(Table1423[[#This Row],[stratum i]]=Table1830[[#All],[stratum i]]), 0)), 0)</f>
        <v>0</v>
      </c>
      <c r="AP5" cm="1">
        <f t="array" ref="AP5">IF(project_soil_N2O = "Included", INDEX(Table1830[[#All],[GHGWPS-soil-N2O,i,t (Eq 62)]], MATCH(1, (Table1423[[#This Row],[year t]]=Table1830[[#All],[year t]])*(Table1423[[#This Row],[stratum i]]=Table1830[[#All],[stratum i]]), 0)), 0)</f>
        <v>0</v>
      </c>
      <c r="AQ5">
        <f>Table1423[[#This Row],[Ai,t]]*(Table1423[[#This Row],[GHGWPS-soil-CO2,i,t]]-Table1423[[#This Row],[Deductionalloch WPS (Eq 38)]]+Table1423[[#This Row],[GHGWPS-soil-CH4,i,t]]+Table1423[[#This Row],[GHGWPS-soil-N2O,i,t]])</f>
        <v>0</v>
      </c>
      <c r="AR5" t="e" cm="1">
        <f t="array" ref="AR5">INDEX(#REF!, MATCH(1, (Table1423[[#This Row],[year t]]=Table32[[#All],[year t]])*(Table1423[[#This Row],[stratum i]]=Table32[[#All],[stratum i]]), 0))</f>
        <v>#REF!</v>
      </c>
      <c r="AS5" t="e" cm="1">
        <f t="array" ref="AS5">INDEX(#REF!, MATCH(1, (Table1423[[#This Row],[year t]]=Table32[[#All],[year t]])*(Table1423[[#This Row],[stratum i]]=Table32[[#All],[stratum i]]), 0))</f>
        <v>#REF!</v>
      </c>
      <c r="AT5" t="e" cm="1">
        <f t="array" ref="AT5">INDEX(#REF!, MATCH(1, (Table1423[[#This Row],[year t]]=Table32[[#All],[year t]])*(Table1423[[#This Row],[stratum i]]=Table32[[#All],[stratum i]]), 0))</f>
        <v>#REF!</v>
      </c>
      <c r="AU5" t="e" cm="1">
        <f t="array" ref="AU5">INDEX(#REF!, MATCH(1, (Table1423[[#This Row],[year t]]=Table32[[#All],[year t]])*(Table1423[[#This Row],[stratum i]]=Table32[[#All],[stratum i]]), 0))</f>
        <v>#REF!</v>
      </c>
      <c r="BB5" s="18">
        <v>2022</v>
      </c>
      <c r="BC5" s="17">
        <v>1</v>
      </c>
      <c r="BD5" cm="1">
        <f t="array" ref="BD5">INDEX(Table32[[#All],[∆CWPS-soil,i,t (tC/ha)]], MATCH(1, (Table1329[[#This Row],[year t]]=Table32[[#All],[year t]])*(Table1329[[#This Row],[stratum i]]=Table32[[#All],[stratum i]]), 0))</f>
        <v>0</v>
      </c>
      <c r="BE5">
        <f>-44/12*Table1329[[#This Row],[∆CWPS-soil,i,t (tC/ha)]]</f>
        <v>0</v>
      </c>
      <c r="BI5" s="17">
        <v>1</v>
      </c>
      <c r="BJ5" s="17">
        <v>1</v>
      </c>
      <c r="BK5" s="32" t="e" cm="1">
        <f t="array" ref="BK5">INDEX(Table32[[#All],[Ai,t]], MATCH(1, (Table1830[[#This Row],[year t]]=Table32[[#All],[year t]])*(Table1830[[#This Row],[stratum i]]=Table32[[#All],[stratum i]]), 0))</f>
        <v>#N/A</v>
      </c>
      <c r="BL5" t="e" cm="1">
        <f t="array" ref="BL5">INDEX(#REF!, MATCH(1, (Table1830[[#This Row],[year t]]=Table32[[#All],[year t]])*(Table1830[[#This Row],[stratum i]]=Table32[[#All],[stratum i]]), 0))</f>
        <v>#REF!</v>
      </c>
      <c r="BM5" t="e" cm="1">
        <f t="array" ref="BM5">INDEX(#REF!, MATCH(1, (Table1830[[#This Row],[year t]]=Table32[[#All],[year t]])*(Table1830[[#This Row],[stratum i]]=Table32[[#All],[stratum i]]), 0))</f>
        <v>#REF!</v>
      </c>
      <c r="BN5" t="e" cm="1">
        <f t="array" ref="BN5">INDEX(#REF!, MATCH(1, (Table1830[[#This Row],[year t]]=Table32[[#All],[year t]])*(Table1830[[#This Row],[stratum i]]=Table32[[#All],[stratum i]]), 0))</f>
        <v>#REF!</v>
      </c>
      <c r="BO5" t="e">
        <f>IF(soil_CH4_approach = "Proxies", Table1830[[#This Row],[ƒ (GHG emission proxy: CH4) WPS]]*GWP_CH4, IF(soil_CH4_approach = "IPCC emission factors", Table1830[[#This Row],[IPCC Emission factor EF(CH4) WPS]]*Table1830[[#This Row],[Ai,t]]*GWP_CH4, Table1830[[#This Row],[CH4(WPS-soil,I,t)]]*GWP_CH4))</f>
        <v>#REF!</v>
      </c>
      <c r="BP5" t="e" cm="1">
        <f t="array" ref="BP5">INDEX(#REF!, MATCH(1, (Table1830[[#This Row],[year t]]=Table32[[#All],[year t]])*(Table1830[[#This Row],[stratum i]]=Table32[[#All],[stratum i]]), 0))</f>
        <v>#REF!</v>
      </c>
      <c r="BQ5" t="e" cm="1">
        <f t="array" ref="BQ5">INDEX(#REF!, MATCH(1, (Table1830[[#This Row],[year t]]=Table32[[#All],[year t]])*(Table1830[[#This Row],[stratum i]]=Table32[[#All],[stratum i]]), 0))</f>
        <v>#REF!</v>
      </c>
      <c r="BR5" t="e" cm="1">
        <f t="array" ref="BR5">INDEX(#REF!, MATCH(1, (Table1830[[#This Row],[year t]]=Table32[[#All],[year t]])*(Table1830[[#This Row],[stratum i]]=Table32[[#All],[stratum i]]), 0))</f>
        <v>#REF!</v>
      </c>
      <c r="BS5" t="e">
        <f>IF(soil_N2O_approach = "Proxies", Table1830[[#This Row],[ƒ (N2O emission proxy: N2O) WPS]]*GWP_N2O, IF(soil_N2O_approach = "IPCC emission factors", Table1830[[#This Row],[IPCC Emission factor EF(N2O) WPS]]*Table1830[[#This Row],[Ai,t]]*GWP_N2O, Table1830[[#This Row],[N2O (WPS-soil,I,t)]]*GWP_N2O))</f>
        <v>#REF!</v>
      </c>
      <c r="BW5" s="17">
        <v>1</v>
      </c>
      <c r="BX5" s="17">
        <v>1</v>
      </c>
      <c r="BY5" t="e" cm="1">
        <f t="array" ref="BY5">INDEX(Table32[[#All],[Ai,t]], MATCH(1, (Table10[[#This Row],[year t]]=Table32[[#All],[year t]])*(Table10[[#This Row],[stratum i]]=Table32[[#All],[stratum i]]), 0))</f>
        <v>#N/A</v>
      </c>
      <c r="BZ5" t="e" cm="1">
        <f t="array" ref="BZ5">INDEX(#REF!, MATCH(1, (Table10[[#This Row],[year t]]=Table32[[#All],[year t]])*(Table10[[#This Row],[stratum i]]=Table32[[#All],[stratum i]]), 0))</f>
        <v>#REF!</v>
      </c>
      <c r="CA5">
        <f t="shared" ref="CA5:CA36" si="0">EF_N2O_burn</f>
        <v>0</v>
      </c>
      <c r="CB5">
        <f t="shared" ref="CB5:CB36" si="1">EF_CH4_burn</f>
        <v>0</v>
      </c>
      <c r="CC5" t="e">
        <f>Table10[[#This Row],[Biomassi,t]]*Table10[[#This Row],[EF(N2O,burn)]]*GWP_N2O*10^(-6)*Table10[[#This Row],[Ai,t]]</f>
        <v>#REF!</v>
      </c>
      <c r="CD5" t="e">
        <f>Table10[[#This Row],[Biomassi,t]]*Table10[[#This Row],[EF(CH4,burn)]]*GWP_CH4*10^(-6)*Table10[[#This Row],[Ai,t]]</f>
        <v>#REF!</v>
      </c>
      <c r="CE5" t="e">
        <f>Table10[[#This Row],[CO2eN2O,i,t (Eq 82)]]+Table10[[#This Row],[CO2eCH4,i,t (Eq 83)]]</f>
        <v>#REF!</v>
      </c>
    </row>
    <row r="6" spans="2:83" x14ac:dyDescent="0.2">
      <c r="C6" s="18">
        <v>2023</v>
      </c>
      <c r="D6">
        <f>-SUMIF( Table1221[[#All],[year t]],  "&lt;="&amp;Table1120[[#This Row],[year t]], Table1221[[#All],[∆𝐶WPS−𝑏𝑖𝑜𝑚𝑎𝑠𝑠,𝑖,t (equation 74)]])*44/12</f>
        <v>-6.3122772395956227E-3</v>
      </c>
      <c r="E6">
        <f>SUMIF(Table1221[[#All],[year t]], "&lt;="&amp;Table1120[[#This Row],[year t]],  Table1221[[#All],[𝐺𝐻𝐺WPS−𝑠𝑜𝑖𝑙,𝑖,t]])</f>
        <v>0</v>
      </c>
      <c r="F6">
        <f>SUMIF(Table1221[[#All],[year t]], "&lt;="&amp;Table1120[[#This Row],[year t]], Table1221[[#All],[𝐺𝐻𝐺WPS−𝑓𝑢𝑒𝑙,𝑖,t]])</f>
        <v>0</v>
      </c>
      <c r="G6">
        <f>IF(project_prescribed_burning = "Included", SUMIF(Table10[[#All],[year t]], "&lt;="&amp;Table1120[[#This Row],[year t]], Table10[[#All],[GHGWPS-burn,i,t (Eq 81)]]), 0)</f>
        <v>0</v>
      </c>
      <c r="H6">
        <f>Table1120[[#This Row],[GHG(WPS-biomass)]]+Table1120[[#This Row],[GHG(WPS-soil)]]+Table1120[[#This Row],[GHG(WPS-burn)]]+Table1120[[#This Row],[GHG(WPS-fuel)]]</f>
        <v>-6.3122772395956227E-3</v>
      </c>
      <c r="K6" s="18">
        <v>2023</v>
      </c>
      <c r="L6" s="18">
        <v>1</v>
      </c>
      <c r="M6" cm="1">
        <f t="array" ref="M6">IF(project_aboveground_tree = "Included", INDEX(Table32[[#All],[ΔCTREE_PROJ,i,t (AR Tool 14) t C/yr]], MATCH(1, (Table1221[[#This Row],[year t]]=Table32[[#All],[year t]])*(Table1221[[#This Row],[stratum i]]=Table32[[#All],[stratum i]]), 0)), 0)</f>
        <v>6.3037383166711976E-3</v>
      </c>
      <c r="N6" s="57" cm="1">
        <f t="array" ref="N6">IF(project_aboveground_nontree = "Included", INDEX(#REF!, MATCH(1, (Table1221[[#This Row],[year t]]=Table32[[#All],[year t]])*(Table1221[[#This Row],[stratum i]]=Table32[[#All],[stratum i]]), 0)), 0)</f>
        <v>0</v>
      </c>
      <c r="O6">
        <f>12/44*(Table1221[[#This Row],[ΔCTREE_PROJ,t (AR Tool 14) t CO2e/yr]]+Table1221[[#This Row],[ΔCSHRUB_PROJ,t (AR Tool 14) t CO2e/yr]])</f>
        <v>1.7192013590921448E-3</v>
      </c>
      <c r="P6" cm="1">
        <f t="array" ref="P6">IF(project_aboveground_nontree = "Included", IFERROR(INDEX(Table1322[[#All],[ΔCWPS-herb,i,t (Eq 78)]], MATCH(1, (Table1221[[#This Row],[stratum i]]=Table1322[[#All],[stratum i]])*(Table1221[[#This Row],[year t]]&gt;=#REF!)*(Table1221[[#This Row],[year t]]&lt;=Table1322[[#All],[year t]]), 0)), 0), 0)</f>
        <v>0</v>
      </c>
      <c r="Q6">
        <f>Table1221[[#This Row],[ΔCWPS-tree/shrub,i,t (t C/yr) (Eq 75)]]+Table1221[[#This Row],[ΔCWPS-herb,i,t (t C/yr)]]</f>
        <v>1.7192013590921448E-3</v>
      </c>
      <c r="R6" cm="1">
        <f t="array" ref="R6">INDEX(Table1423[[#All],[GHGWPS-soil,i,t]], MATCH(1, (Table1221[[#This Row],[year t]]=Table1423[[#All],[year t]])*(Table1221[[#This Row],[stratum i]]=Table1423[[#All],[stratum i]]), 0))</f>
        <v>0</v>
      </c>
      <c r="S6">
        <f>IF(project_ff_CO2 = "Included", Table1221[[#This Row],[ET(FC,I,t) AR-Tool 5 WPS]], 0)</f>
        <v>0</v>
      </c>
      <c r="T6" t="e" cm="1">
        <f t="array" ref="T6">INDEX(#REF!, MATCH(1, (Table1221[[#This Row],[year t]]=Table32[[#All],[year t]])*(Table1221[[#This Row],[stratum i]]=Table32[[#All],[stratum i]]), 0))</f>
        <v>#REF!</v>
      </c>
      <c r="Y6">
        <v>6</v>
      </c>
      <c r="Z6">
        <v>2</v>
      </c>
      <c r="AA6" s="45" t="e" cm="1">
        <f t="array" ref="AA6">INDEX(#REF!, MATCH(1, (Table1322[[#This Row],[year t]]=Table32[[#All],[year t]])*(Table1322[[#This Row],[stratum i]]=Table32[[#All],[stratum i]]), 0))</f>
        <v>#REF!</v>
      </c>
      <c r="AB6" s="45" t="e">
        <f>Table1322[[#This Row],[ΔCWPS-herb,i,t (tC/ha)]]</f>
        <v>#REF!</v>
      </c>
      <c r="AE6" s="18">
        <v>2023</v>
      </c>
      <c r="AF6" s="18">
        <v>1</v>
      </c>
      <c r="AG6" s="18" cm="1">
        <f t="array" ref="AG6">INDEX(Table32[[#All],[Ai,t]], MATCH(1, (Table1423[[#This Row],[year t]]=Table32[[#All],[year t]])*(Table1423[[#This Row],[stratum i]]=Table32[[#All],[stratum i]]), 0))</f>
        <v>1090.4420357142858</v>
      </c>
      <c r="AH6" t="str">
        <f>INDEX(Table31[[#All],[Soil type (t=0)]], MATCH(Table1423[[#This Row],[stratum i]], Table31[[#All],[Stratum i]]))</f>
        <v>Mineral soil</v>
      </c>
      <c r="AI6">
        <f>IF(Emission_reduction_from_stock_loss?, INDEX(Table2[[#All],[End_PDT]], MATCH(Table1423[[#This Row],[stratum i]], Table2[[#All],[stratum i]])), crediting_period)</f>
        <v>40</v>
      </c>
      <c r="AJ6">
        <f>IF(Emission_reduction_from_stock_loss?, INDEX(Table2[[#All],[End_SDT]], MATCH(Table1423[[#This Row],[stratum i]], Table2[[#All],[stratum i]])), crediting_period)</f>
        <v>40</v>
      </c>
      <c r="AK6" cm="1">
        <f t="array" ref="AK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6" cm="1">
        <f t="array" ref="AL6">INDEX(Table32[[#All],[%Calloch WPS]], MATCH(1, (Table1423[[#This Row],[year t]]=Table32[[#All],[year t]])*(Table1423[[#This Row],[stratum i]]=Table32[[#All],[stratum i]]), 0))</f>
        <v>23.561573856247001</v>
      </c>
      <c r="AM6">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6">
        <f>(Table1423[[#This Row],[GHGWPS-soil-CO2,i,t]]-Table1423[[#This Row],[Deductionalloch WPS (Eq 38)]])*Table1423[[#This Row],[Ai,t]]</f>
        <v>0</v>
      </c>
      <c r="AO6" cm="1">
        <f t="array" ref="AO6">IF(project_soil_CH4 = "Included", INDEX(Table1830[[#All],[GHGWPS-soil-CH4,i,t (Eq 59)]], MATCH(1, (Table1423[[#This Row],[year t]]=Table1830[[#All],[year t]])*(Table1423[[#This Row],[stratum i]]=Table1830[[#All],[stratum i]]), 0)), 0)</f>
        <v>0</v>
      </c>
      <c r="AP6" cm="1">
        <f t="array" ref="AP6">IF(project_soil_N2O = "Included", INDEX(Table1830[[#All],[GHGWPS-soil-N2O,i,t (Eq 62)]], MATCH(1, (Table1423[[#This Row],[year t]]=Table1830[[#All],[year t]])*(Table1423[[#This Row],[stratum i]]=Table1830[[#All],[stratum i]]), 0)), 0)</f>
        <v>0</v>
      </c>
      <c r="AQ6">
        <f>Table1423[[#This Row],[Ai,t]]*(Table1423[[#This Row],[GHGWPS-soil-CO2,i,t]]-Table1423[[#This Row],[Deductionalloch WPS (Eq 38)]]+Table1423[[#This Row],[GHGWPS-soil-CH4,i,t]]+Table1423[[#This Row],[GHGWPS-soil-N2O,i,t]])</f>
        <v>0</v>
      </c>
      <c r="AR6" t="e" cm="1">
        <f t="array" ref="AR6">INDEX(#REF!, MATCH(1, (Table1423[[#This Row],[year t]]=Table32[[#All],[year t]])*(Table1423[[#This Row],[stratum i]]=Table32[[#All],[stratum i]]), 0))</f>
        <v>#REF!</v>
      </c>
      <c r="AS6" t="e" cm="1">
        <f t="array" ref="AS6">INDEX(#REF!, MATCH(1, (Table1423[[#This Row],[year t]]=Table32[[#All],[year t]])*(Table1423[[#This Row],[stratum i]]=Table32[[#All],[stratum i]]), 0))</f>
        <v>#REF!</v>
      </c>
      <c r="AT6" t="e" cm="1">
        <f t="array" ref="AT6">INDEX(#REF!, MATCH(1, (Table1423[[#This Row],[year t]]=Table32[[#All],[year t]])*(Table1423[[#This Row],[stratum i]]=Table32[[#All],[stratum i]]), 0))</f>
        <v>#REF!</v>
      </c>
      <c r="AU6" t="e" cm="1">
        <f t="array" ref="AU6">INDEX(#REF!, MATCH(1, (Table1423[[#This Row],[year t]]=Table32[[#All],[year t]])*(Table1423[[#This Row],[stratum i]]=Table32[[#All],[stratum i]]), 0))</f>
        <v>#REF!</v>
      </c>
      <c r="BB6" s="18">
        <v>2023</v>
      </c>
      <c r="BC6" s="18">
        <v>1</v>
      </c>
      <c r="BD6" cm="1">
        <f t="array" ref="BD6">INDEX(Table32[[#All],[∆CWPS-soil,i,t (tC/ha)]], MATCH(1, (Table1329[[#This Row],[year t]]=Table32[[#All],[year t]])*(Table1329[[#This Row],[stratum i]]=Table32[[#All],[stratum i]]), 0))</f>
        <v>0</v>
      </c>
      <c r="BE6">
        <f>-44/12*Table1329[[#This Row],[∆CWPS-soil,i,t (tC/ha)]]</f>
        <v>0</v>
      </c>
      <c r="BI6" s="18">
        <v>2</v>
      </c>
      <c r="BJ6" s="18">
        <v>1</v>
      </c>
      <c r="BK6" t="e" cm="1">
        <f t="array" ref="BK6">INDEX(Table32[[#All],[Ai,t]], MATCH(1, (Table1830[[#This Row],[year t]]=Table32[[#All],[year t]])*(Table1830[[#This Row],[stratum i]]=Table32[[#All],[stratum i]]), 0))</f>
        <v>#N/A</v>
      </c>
      <c r="BL6" t="e" cm="1">
        <f t="array" ref="BL6">INDEX(#REF!, MATCH(1, (Table1830[[#This Row],[year t]]=Table32[[#All],[year t]])*(Table1830[[#This Row],[stratum i]]=Table32[[#All],[stratum i]]), 0))</f>
        <v>#REF!</v>
      </c>
      <c r="BM6" t="e" cm="1">
        <f t="array" ref="BM6">INDEX(#REF!, MATCH(1, (Table1830[[#This Row],[year t]]=Table32[[#All],[year t]])*(Table1830[[#This Row],[stratum i]]=Table32[[#All],[stratum i]]), 0))</f>
        <v>#REF!</v>
      </c>
      <c r="BN6" t="e" cm="1">
        <f t="array" ref="BN6">INDEX(#REF!, MATCH(1, (Table1830[[#This Row],[year t]]=Table32[[#All],[year t]])*(Table1830[[#This Row],[stratum i]]=Table32[[#All],[stratum i]]), 0))</f>
        <v>#REF!</v>
      </c>
      <c r="BO6" t="e">
        <f>IF(soil_CH4_approach = "Proxies", Table1830[[#This Row],[ƒ (GHG emission proxy: CH4) WPS]]*GWP_CH4, IF(soil_CH4_approach = "IPCC emission factors", Table1830[[#This Row],[IPCC Emission factor EF(CH4) WPS]]*Table1830[[#This Row],[Ai,t]]*GWP_CH4, Table1830[[#This Row],[CH4(WPS-soil,I,t)]]*GWP_CH4))</f>
        <v>#REF!</v>
      </c>
      <c r="BP6" t="e" cm="1">
        <f t="array" ref="BP6">INDEX(#REF!, MATCH(1, (Table1830[[#This Row],[year t]]=Table32[[#All],[year t]])*(Table1830[[#This Row],[stratum i]]=Table32[[#All],[stratum i]]), 0))</f>
        <v>#REF!</v>
      </c>
      <c r="BQ6" t="e" cm="1">
        <f t="array" ref="BQ6">INDEX(#REF!, MATCH(1, (Table1830[[#This Row],[year t]]=Table32[[#All],[year t]])*(Table1830[[#This Row],[stratum i]]=Table32[[#All],[stratum i]]), 0))</f>
        <v>#REF!</v>
      </c>
      <c r="BR6" t="e" cm="1">
        <f t="array" ref="BR6">INDEX(#REF!, MATCH(1, (Table1830[[#This Row],[year t]]=Table32[[#All],[year t]])*(Table1830[[#This Row],[stratum i]]=Table32[[#All],[stratum i]]), 0))</f>
        <v>#REF!</v>
      </c>
      <c r="BS6" t="e">
        <f>IF(soil_N2O_approach = "Proxies", Table1830[[#This Row],[ƒ (N2O emission proxy: N2O) WPS]]*GWP_N2O, IF(soil_N2O_approach = "IPCC emission factors", Table1830[[#This Row],[IPCC Emission factor EF(N2O) WPS]]*Table1830[[#This Row],[Ai,t]]*GWP_N2O, Table1830[[#This Row],[N2O (WPS-soil,I,t)]]*GWP_N2O))</f>
        <v>#REF!</v>
      </c>
      <c r="BW6" s="18">
        <v>2</v>
      </c>
      <c r="BX6" s="18">
        <v>1</v>
      </c>
      <c r="BY6" t="e" cm="1">
        <f t="array" ref="BY6">INDEX(Table32[[#All],[Ai,t]], MATCH(1, (Table10[[#This Row],[year t]]=Table32[[#All],[year t]])*(Table10[[#This Row],[stratum i]]=Table32[[#All],[stratum i]]), 0))</f>
        <v>#N/A</v>
      </c>
      <c r="BZ6" t="e" cm="1">
        <f t="array" ref="BZ6">INDEX(#REF!, MATCH(1, (Table10[[#This Row],[year t]]=Table32[[#All],[year t]])*(Table10[[#This Row],[stratum i]]=Table32[[#All],[stratum i]]), 0))</f>
        <v>#REF!</v>
      </c>
      <c r="CA6">
        <f t="shared" si="0"/>
        <v>0</v>
      </c>
      <c r="CB6">
        <f t="shared" si="1"/>
        <v>0</v>
      </c>
      <c r="CC6" t="e">
        <f>Table10[[#This Row],[Biomassi,t]]*Table10[[#This Row],[EF(N2O,burn)]]*GWP_N2O*10^(-6)*Table10[[#This Row],[Ai,t]]</f>
        <v>#REF!</v>
      </c>
      <c r="CD6" t="e">
        <f>Table10[[#This Row],[Biomassi,t]]*Table10[[#This Row],[EF(CH4,burn)]]*GWP_CH4*10^(-6)*Table10[[#This Row],[Ai,t]]</f>
        <v>#REF!</v>
      </c>
      <c r="CE6" t="e">
        <f>Table10[[#This Row],[CO2eN2O,i,t (Eq 82)]]+Table10[[#This Row],[CO2eCH4,i,t (Eq 83)]]</f>
        <v>#REF!</v>
      </c>
    </row>
    <row r="7" spans="2:83" x14ac:dyDescent="0.2">
      <c r="C7" s="18">
        <v>2024</v>
      </c>
      <c r="D7">
        <f>-SUMIF( Table1221[[#All],[year t]],  "&lt;="&amp;Table1120[[#This Row],[year t]], Table1221[[#All],[∆𝐶WPS−𝑏𝑖𝑜𝑚𝑎𝑠𝑠,𝑖,t (equation 74)]])*44/12</f>
        <v>-0.34370794892315398</v>
      </c>
      <c r="E7">
        <f>SUMIF(Table1221[[#All],[year t]], "&lt;="&amp;Table1120[[#This Row],[year t]],  Table1221[[#All],[𝐺𝐻𝐺WPS−𝑠𝑜𝑖𝑙,𝑖,t]])</f>
        <v>0</v>
      </c>
      <c r="F7">
        <f>SUMIF(Table1221[[#All],[year t]], "&lt;="&amp;Table1120[[#This Row],[year t]], Table1221[[#All],[𝐺𝐻𝐺WPS−𝑓𝑢𝑒𝑙,𝑖,t]])</f>
        <v>0</v>
      </c>
      <c r="G7">
        <f>IF(project_prescribed_burning = "Included", SUMIF(Table10[[#All],[year t]], "&lt;="&amp;Table1120[[#This Row],[year t]], Table10[[#All],[GHGWPS-burn,i,t (Eq 81)]]), 0)</f>
        <v>0</v>
      </c>
      <c r="H7">
        <f>Table1120[[#This Row],[GHG(WPS-biomass)]]+Table1120[[#This Row],[GHG(WPS-soil)]]+Table1120[[#This Row],[GHG(WPS-burn)]]+Table1120[[#This Row],[GHG(WPS-fuel)]]</f>
        <v>-0.34370794892315398</v>
      </c>
      <c r="K7" s="18">
        <v>2024</v>
      </c>
      <c r="L7" s="17">
        <v>1</v>
      </c>
      <c r="M7" cm="1">
        <f t="array" ref="M7">IF(project_aboveground_tree = "Included", INDEX(Table32[[#All],[ΔCTREE_PROJ,i,t (AR Tool 14) t C/yr]], MATCH(1, (Table1221[[#This Row],[year t]]=Table32[[#All],[year t]])*(Table1221[[#This Row],[stratum i]]=Table32[[#All],[stratum i]]), 0)), 0)</f>
        <v>0.32592269487982473</v>
      </c>
      <c r="N7" s="57" cm="1">
        <f t="array" ref="N7">IF(project_aboveground_nontree = "Included", INDEX(#REF!, MATCH(1, (Table1221[[#This Row],[year t]]=Table32[[#All],[year t]])*(Table1221[[#This Row],[stratum i]]=Table32[[#All],[stratum i]]), 0)), 0)</f>
        <v>0</v>
      </c>
      <c r="O7">
        <f>12/44*(Table1221[[#This Row],[ΔCTREE_PROJ,t (AR Tool 14) t CO2e/yr]]+Table1221[[#This Row],[ΔCSHRUB_PROJ,t (AR Tool 14) t CO2e/yr]])</f>
        <v>8.8888007694497645E-2</v>
      </c>
      <c r="P7" cm="1">
        <f t="array" ref="P7">IF(project_aboveground_nontree = "Included", IFERROR(INDEX(Table1322[[#All],[ΔCWPS-herb,i,t (Eq 78)]], MATCH(1, (Table1221[[#This Row],[stratum i]]=Table1322[[#All],[stratum i]])*(Table1221[[#This Row],[year t]]&gt;=#REF!)*(Table1221[[#This Row],[year t]]&lt;=Table1322[[#All],[year t]]), 0)), 0), 0)</f>
        <v>0</v>
      </c>
      <c r="Q7">
        <f>Table1221[[#This Row],[ΔCWPS-tree/shrub,i,t (t C/yr) (Eq 75)]]+Table1221[[#This Row],[ΔCWPS-herb,i,t (t C/yr)]]</f>
        <v>8.8888007694497645E-2</v>
      </c>
      <c r="R7" cm="1">
        <f t="array" ref="R7">INDEX(Table1423[[#All],[GHGWPS-soil,i,t]], MATCH(1, (Table1221[[#This Row],[year t]]=Table1423[[#All],[year t]])*(Table1221[[#This Row],[stratum i]]=Table1423[[#All],[stratum i]]), 0))</f>
        <v>0</v>
      </c>
      <c r="S7">
        <f>IF(project_ff_CO2 = "Included", Table1221[[#This Row],[ET(FC,I,t) AR-Tool 5 WPS]], 0)</f>
        <v>0</v>
      </c>
      <c r="T7" t="e" cm="1">
        <f t="array" ref="T7">INDEX(#REF!, MATCH(1, (Table1221[[#This Row],[year t]]=Table32[[#All],[year t]])*(Table1221[[#This Row],[stratum i]]=Table32[[#All],[stratum i]]), 0))</f>
        <v>#REF!</v>
      </c>
      <c r="Y7">
        <v>5</v>
      </c>
      <c r="Z7">
        <v>3</v>
      </c>
      <c r="AA7" s="45" t="e" cm="1">
        <f t="array" ref="AA7">INDEX(#REF!, MATCH(1, (Table1322[[#This Row],[year t]]=Table32[[#All],[year t]])*(Table1322[[#This Row],[stratum i]]=Table32[[#All],[stratum i]]), 0))</f>
        <v>#REF!</v>
      </c>
      <c r="AB7" s="45" t="e">
        <f>Table1322[[#This Row],[ΔCWPS-herb,i,t (tC/ha)]]</f>
        <v>#REF!</v>
      </c>
      <c r="AE7" s="18">
        <v>2024</v>
      </c>
      <c r="AF7" s="17">
        <v>1</v>
      </c>
      <c r="AG7" s="17" cm="1">
        <f t="array" ref="AG7">INDEX(Table32[[#All],[Ai,t]], MATCH(1, (Table1423[[#This Row],[year t]]=Table32[[#All],[year t]])*(Table1423[[#This Row],[stratum i]]=Table32[[#All],[stratum i]]), 0))</f>
        <v>1090.4420357142858</v>
      </c>
      <c r="AH7" t="str">
        <f>INDEX(Table31[[#All],[Soil type (t=0)]], MATCH(Table1423[[#This Row],[stratum i]], Table31[[#All],[Stratum i]]))</f>
        <v>Mineral soil</v>
      </c>
      <c r="AI7">
        <f>IF(Emission_reduction_from_stock_loss?, INDEX(Table2[[#All],[End_PDT]], MATCH(Table1423[[#This Row],[stratum i]], Table2[[#All],[stratum i]])), crediting_period)</f>
        <v>40</v>
      </c>
      <c r="AJ7">
        <f>IF(Emission_reduction_from_stock_loss?, INDEX(Table2[[#All],[End_SDT]], MATCH(Table1423[[#This Row],[stratum i]], Table2[[#All],[stratum i]])), crediting_period)</f>
        <v>40</v>
      </c>
      <c r="AK7" cm="1">
        <f t="array" ref="AK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7" cm="1">
        <f t="array" ref="AL7">INDEX(Table32[[#All],[%Calloch WPS]], MATCH(1, (Table1423[[#This Row],[year t]]=Table32[[#All],[year t]])*(Table1423[[#This Row],[stratum i]]=Table32[[#All],[stratum i]]), 0))</f>
        <v>23.561573856247001</v>
      </c>
      <c r="AM7">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7">
        <f>(Table1423[[#This Row],[GHGWPS-soil-CO2,i,t]]-Table1423[[#This Row],[Deductionalloch WPS (Eq 38)]])*Table1423[[#This Row],[Ai,t]]</f>
        <v>0</v>
      </c>
      <c r="AO7" cm="1">
        <f t="array" ref="AO7">IF(project_soil_CH4 = "Included", INDEX(Table1830[[#All],[GHGWPS-soil-CH4,i,t (Eq 59)]], MATCH(1, (Table1423[[#This Row],[year t]]=Table1830[[#All],[year t]])*(Table1423[[#This Row],[stratum i]]=Table1830[[#All],[stratum i]]), 0)), 0)</f>
        <v>0</v>
      </c>
      <c r="AP7" cm="1">
        <f t="array" ref="AP7">IF(project_soil_N2O = "Included", INDEX(Table1830[[#All],[GHGWPS-soil-N2O,i,t (Eq 62)]], MATCH(1, (Table1423[[#This Row],[year t]]=Table1830[[#All],[year t]])*(Table1423[[#This Row],[stratum i]]=Table1830[[#All],[stratum i]]), 0)), 0)</f>
        <v>0</v>
      </c>
      <c r="AQ7">
        <f>Table1423[[#This Row],[Ai,t]]*(Table1423[[#This Row],[GHGWPS-soil-CO2,i,t]]-Table1423[[#This Row],[Deductionalloch WPS (Eq 38)]]+Table1423[[#This Row],[GHGWPS-soil-CH4,i,t]]+Table1423[[#This Row],[GHGWPS-soil-N2O,i,t]])</f>
        <v>0</v>
      </c>
      <c r="AR7" t="e" cm="1">
        <f t="array" ref="AR7">INDEX(#REF!, MATCH(1, (Table1423[[#This Row],[year t]]=Table32[[#All],[year t]])*(Table1423[[#This Row],[stratum i]]=Table32[[#All],[stratum i]]), 0))</f>
        <v>#REF!</v>
      </c>
      <c r="AS7" t="e" cm="1">
        <f t="array" ref="AS7">INDEX(#REF!, MATCH(1, (Table1423[[#This Row],[year t]]=Table32[[#All],[year t]])*(Table1423[[#This Row],[stratum i]]=Table32[[#All],[stratum i]]), 0))</f>
        <v>#REF!</v>
      </c>
      <c r="AT7" t="e" cm="1">
        <f t="array" ref="AT7">INDEX(#REF!, MATCH(1, (Table1423[[#This Row],[year t]]=Table32[[#All],[year t]])*(Table1423[[#This Row],[stratum i]]=Table32[[#All],[stratum i]]), 0))</f>
        <v>#REF!</v>
      </c>
      <c r="AU7" t="e" cm="1">
        <f t="array" ref="AU7">INDEX(#REF!, MATCH(1, (Table1423[[#This Row],[year t]]=Table32[[#All],[year t]])*(Table1423[[#This Row],[stratum i]]=Table32[[#All],[stratum i]]), 0))</f>
        <v>#REF!</v>
      </c>
      <c r="BB7" s="18">
        <v>2024</v>
      </c>
      <c r="BC7" s="17">
        <v>1</v>
      </c>
      <c r="BD7" cm="1">
        <f t="array" ref="BD7">INDEX(Table32[[#All],[∆CWPS-soil,i,t (tC/ha)]], MATCH(1, (Table1329[[#This Row],[year t]]=Table32[[#All],[year t]])*(Table1329[[#This Row],[stratum i]]=Table32[[#All],[stratum i]]), 0))</f>
        <v>0</v>
      </c>
      <c r="BE7">
        <f>-44/12*Table1329[[#This Row],[∆CWPS-soil,i,t (tC/ha)]]</f>
        <v>0</v>
      </c>
      <c r="BI7" s="17">
        <v>3</v>
      </c>
      <c r="BJ7" s="17">
        <v>1</v>
      </c>
      <c r="BK7" s="32" t="e" cm="1">
        <f t="array" ref="BK7">INDEX(Table32[[#All],[Ai,t]], MATCH(1, (Table1830[[#This Row],[year t]]=Table32[[#All],[year t]])*(Table1830[[#This Row],[stratum i]]=Table32[[#All],[stratum i]]), 0))</f>
        <v>#N/A</v>
      </c>
      <c r="BL7" t="e" cm="1">
        <f t="array" ref="BL7">INDEX(#REF!, MATCH(1, (Table1830[[#This Row],[year t]]=Table32[[#All],[year t]])*(Table1830[[#This Row],[stratum i]]=Table32[[#All],[stratum i]]), 0))</f>
        <v>#REF!</v>
      </c>
      <c r="BM7" t="e" cm="1">
        <f t="array" ref="BM7">INDEX(#REF!, MATCH(1, (Table1830[[#This Row],[year t]]=Table32[[#All],[year t]])*(Table1830[[#This Row],[stratum i]]=Table32[[#All],[stratum i]]), 0))</f>
        <v>#REF!</v>
      </c>
      <c r="BN7" t="e" cm="1">
        <f t="array" ref="BN7">INDEX(#REF!, MATCH(1, (Table1830[[#This Row],[year t]]=Table32[[#All],[year t]])*(Table1830[[#This Row],[stratum i]]=Table32[[#All],[stratum i]]), 0))</f>
        <v>#REF!</v>
      </c>
      <c r="BO7" t="e">
        <f>IF(soil_CH4_approach = "Proxies", Table1830[[#This Row],[ƒ (GHG emission proxy: CH4) WPS]]*GWP_CH4, IF(soil_CH4_approach = "IPCC emission factors", Table1830[[#This Row],[IPCC Emission factor EF(CH4) WPS]]*Table1830[[#This Row],[Ai,t]]*GWP_CH4, Table1830[[#This Row],[CH4(WPS-soil,I,t)]]*GWP_CH4))</f>
        <v>#REF!</v>
      </c>
      <c r="BP7" t="e" cm="1">
        <f t="array" ref="BP7">INDEX(#REF!, MATCH(1, (Table1830[[#This Row],[year t]]=Table32[[#All],[year t]])*(Table1830[[#This Row],[stratum i]]=Table32[[#All],[stratum i]]), 0))</f>
        <v>#REF!</v>
      </c>
      <c r="BQ7" t="e" cm="1">
        <f t="array" ref="BQ7">INDEX(#REF!, MATCH(1, (Table1830[[#This Row],[year t]]=Table32[[#All],[year t]])*(Table1830[[#This Row],[stratum i]]=Table32[[#All],[stratum i]]), 0))</f>
        <v>#REF!</v>
      </c>
      <c r="BR7" t="e" cm="1">
        <f t="array" ref="BR7">INDEX(#REF!, MATCH(1, (Table1830[[#This Row],[year t]]=Table32[[#All],[year t]])*(Table1830[[#This Row],[stratum i]]=Table32[[#All],[stratum i]]), 0))</f>
        <v>#REF!</v>
      </c>
      <c r="BS7" t="e">
        <f>IF(soil_N2O_approach = "Proxies", Table1830[[#This Row],[ƒ (N2O emission proxy: N2O) WPS]]*GWP_N2O, IF(soil_N2O_approach = "IPCC emission factors", Table1830[[#This Row],[IPCC Emission factor EF(N2O) WPS]]*Table1830[[#This Row],[Ai,t]]*GWP_N2O, Table1830[[#This Row],[N2O (WPS-soil,I,t)]]*GWP_N2O))</f>
        <v>#REF!</v>
      </c>
      <c r="BW7" s="17">
        <v>3</v>
      </c>
      <c r="BX7" s="17">
        <v>1</v>
      </c>
      <c r="BY7" t="e" cm="1">
        <f t="array" ref="BY7">INDEX(Table32[[#All],[Ai,t]], MATCH(1, (Table10[[#This Row],[year t]]=Table32[[#All],[year t]])*(Table10[[#This Row],[stratum i]]=Table32[[#All],[stratum i]]), 0))</f>
        <v>#N/A</v>
      </c>
      <c r="BZ7" t="e" cm="1">
        <f t="array" ref="BZ7">INDEX(#REF!, MATCH(1, (Table10[[#This Row],[year t]]=Table32[[#All],[year t]])*(Table10[[#This Row],[stratum i]]=Table32[[#All],[stratum i]]), 0))</f>
        <v>#REF!</v>
      </c>
      <c r="CA7">
        <f t="shared" si="0"/>
        <v>0</v>
      </c>
      <c r="CB7">
        <f t="shared" si="1"/>
        <v>0</v>
      </c>
      <c r="CC7" t="e">
        <f>Table10[[#This Row],[Biomassi,t]]*Table10[[#This Row],[EF(N2O,burn)]]*GWP_N2O*10^(-6)*Table10[[#This Row],[Ai,t]]</f>
        <v>#REF!</v>
      </c>
      <c r="CD7" t="e">
        <f>Table10[[#This Row],[Biomassi,t]]*Table10[[#This Row],[EF(CH4,burn)]]*GWP_CH4*10^(-6)*Table10[[#This Row],[Ai,t]]</f>
        <v>#REF!</v>
      </c>
      <c r="CE7" t="e">
        <f>Table10[[#This Row],[CO2eN2O,i,t (Eq 82)]]+Table10[[#This Row],[CO2eCH4,i,t (Eq 83)]]</f>
        <v>#REF!</v>
      </c>
    </row>
    <row r="8" spans="2:83" x14ac:dyDescent="0.2">
      <c r="C8" s="18">
        <v>2025</v>
      </c>
      <c r="D8">
        <f>-SUMIF( Table1221[[#All],[year t]],  "&lt;="&amp;Table1120[[#This Row],[year t]], Table1221[[#All],[∆𝐶WPS−𝑏𝑖𝑜𝑚𝑎𝑠𝑠,𝑖,t (equation 74)]])*44/12</f>
        <v>-5.2964116743586516</v>
      </c>
      <c r="E8">
        <f>SUMIF(Table1221[[#All],[year t]], "&lt;="&amp;Table1120[[#This Row],[year t]],  Table1221[[#All],[𝐺𝐻𝐺WPS−𝑠𝑜𝑖𝑙,𝑖,t]])</f>
        <v>0</v>
      </c>
      <c r="F8">
        <f>SUMIF(Table1221[[#All],[year t]], "&lt;="&amp;Table1120[[#This Row],[year t]], Table1221[[#All],[𝐺𝐻𝐺WPS−𝑓𝑢𝑒𝑙,𝑖,t]])</f>
        <v>0</v>
      </c>
      <c r="G8">
        <f>IF(project_prescribed_burning = "Included", SUMIF(Table10[[#All],[year t]], "&lt;="&amp;Table1120[[#This Row],[year t]], Table10[[#All],[GHGWPS-burn,i,t (Eq 81)]]), 0)</f>
        <v>0</v>
      </c>
      <c r="H8">
        <f>Table1120[[#This Row],[GHG(WPS-biomass)]]+Table1120[[#This Row],[GHG(WPS-soil)]]+Table1120[[#This Row],[GHG(WPS-burn)]]+Table1120[[#This Row],[GHG(WPS-fuel)]]</f>
        <v>-5.2964116743586516</v>
      </c>
      <c r="K8" s="18">
        <v>2025</v>
      </c>
      <c r="L8" s="18">
        <v>1</v>
      </c>
      <c r="M8" cm="1">
        <f t="array" ref="M8">IF(project_aboveground_tree = "Included", INDEX(Table32[[#All],[ΔCTREE_PROJ,i,t (AR Tool 14) t C/yr]], MATCH(1, (Table1221[[#This Row],[year t]]=Table32[[#All],[year t]])*(Table1221[[#This Row],[stratum i]]=Table32[[#All],[stratum i]]), 0)), 0)</f>
        <v>4.3471550335181579</v>
      </c>
      <c r="N8" s="57" cm="1">
        <f t="array" ref="N8">IF(project_aboveground_nontree = "Included", INDEX(#REF!, MATCH(1, (Table1221[[#This Row],[year t]]=Table32[[#All],[year t]])*(Table1221[[#This Row],[stratum i]]=Table32[[#All],[stratum i]]), 0)), 0)</f>
        <v>0</v>
      </c>
      <c r="O8">
        <f>12/44*(Table1221[[#This Row],[ΔCTREE_PROJ,t (AR Tool 14) t CO2e/yr]]+Table1221[[#This Row],[ΔCSHRUB_PROJ,t (AR Tool 14) t CO2e/yr]])</f>
        <v>1.185587736414043</v>
      </c>
      <c r="P8" cm="1">
        <f t="array" ref="P8">IF(project_aboveground_nontree = "Included", IFERROR(INDEX(Table1322[[#All],[ΔCWPS-herb,i,t (Eq 78)]], MATCH(1, (Table1221[[#This Row],[stratum i]]=Table1322[[#All],[stratum i]])*(Table1221[[#This Row],[year t]]&gt;=#REF!)*(Table1221[[#This Row],[year t]]&lt;=Table1322[[#All],[year t]]), 0)), 0), 0)</f>
        <v>0</v>
      </c>
      <c r="Q8">
        <f>Table1221[[#This Row],[ΔCWPS-tree/shrub,i,t (t C/yr) (Eq 75)]]+Table1221[[#This Row],[ΔCWPS-herb,i,t (t C/yr)]]</f>
        <v>1.185587736414043</v>
      </c>
      <c r="R8" cm="1">
        <f t="array" ref="R8">INDEX(Table1423[[#All],[GHGWPS-soil,i,t]], MATCH(1, (Table1221[[#This Row],[year t]]=Table1423[[#All],[year t]])*(Table1221[[#This Row],[stratum i]]=Table1423[[#All],[stratum i]]), 0))</f>
        <v>0</v>
      </c>
      <c r="S8">
        <f>IF(project_ff_CO2 = "Included", Table1221[[#This Row],[ET(FC,I,t) AR-Tool 5 WPS]], 0)</f>
        <v>0</v>
      </c>
      <c r="T8" t="e" cm="1">
        <f t="array" ref="T8">INDEX(#REF!, MATCH(1, (Table1221[[#This Row],[year t]]=Table32[[#All],[year t]])*(Table1221[[#This Row],[stratum i]]=Table32[[#All],[stratum i]]), 0))</f>
        <v>#REF!</v>
      </c>
      <c r="Y8">
        <v>7</v>
      </c>
      <c r="Z8">
        <v>4</v>
      </c>
      <c r="AA8" s="45" t="e" cm="1">
        <f t="array" ref="AA8">INDEX(#REF!, MATCH(1, (Table1322[[#This Row],[year t]]=Table32[[#All],[year t]])*(Table1322[[#This Row],[stratum i]]=Table32[[#All],[stratum i]]), 0))</f>
        <v>#REF!</v>
      </c>
      <c r="AB8" s="45" t="e">
        <f>Table1322[[#This Row],[ΔCWPS-herb,i,t (tC/ha)]]</f>
        <v>#REF!</v>
      </c>
      <c r="AE8" s="18">
        <v>2025</v>
      </c>
      <c r="AF8" s="18">
        <v>1</v>
      </c>
      <c r="AG8" s="18" cm="1">
        <f t="array" ref="AG8">INDEX(Table32[[#All],[Ai,t]], MATCH(1, (Table1423[[#This Row],[year t]]=Table32[[#All],[year t]])*(Table1423[[#This Row],[stratum i]]=Table32[[#All],[stratum i]]), 0))</f>
        <v>1090.4420357142858</v>
      </c>
      <c r="AH8" t="str">
        <f>INDEX(Table31[[#All],[Soil type (t=0)]], MATCH(Table1423[[#This Row],[stratum i]], Table31[[#All],[Stratum i]]))</f>
        <v>Mineral soil</v>
      </c>
      <c r="AI8">
        <f>IF(Emission_reduction_from_stock_loss?, INDEX(Table2[[#All],[End_PDT]], MATCH(Table1423[[#This Row],[stratum i]], Table2[[#All],[stratum i]])), crediting_period)</f>
        <v>40</v>
      </c>
      <c r="AJ8">
        <f>IF(Emission_reduction_from_stock_loss?, INDEX(Table2[[#All],[End_SDT]], MATCH(Table1423[[#This Row],[stratum i]], Table2[[#All],[stratum i]])), crediting_period)</f>
        <v>40</v>
      </c>
      <c r="AK8" cm="1">
        <f t="array" ref="AK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8" cm="1">
        <f t="array" ref="AL8">INDEX(Table32[[#All],[%Calloch WPS]], MATCH(1, (Table1423[[#This Row],[year t]]=Table32[[#All],[year t]])*(Table1423[[#This Row],[stratum i]]=Table32[[#All],[stratum i]]), 0))</f>
        <v>23.561573856247001</v>
      </c>
      <c r="AM8">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8">
        <f>(Table1423[[#This Row],[GHGWPS-soil-CO2,i,t]]-Table1423[[#This Row],[Deductionalloch WPS (Eq 38)]])*Table1423[[#This Row],[Ai,t]]</f>
        <v>0</v>
      </c>
      <c r="AO8" cm="1">
        <f t="array" ref="AO8">IF(project_soil_CH4 = "Included", INDEX(Table1830[[#All],[GHGWPS-soil-CH4,i,t (Eq 59)]], MATCH(1, (Table1423[[#This Row],[year t]]=Table1830[[#All],[year t]])*(Table1423[[#This Row],[stratum i]]=Table1830[[#All],[stratum i]]), 0)), 0)</f>
        <v>0</v>
      </c>
      <c r="AP8" cm="1">
        <f t="array" ref="AP8">IF(project_soil_N2O = "Included", INDEX(Table1830[[#All],[GHGWPS-soil-N2O,i,t (Eq 62)]], MATCH(1, (Table1423[[#This Row],[year t]]=Table1830[[#All],[year t]])*(Table1423[[#This Row],[stratum i]]=Table1830[[#All],[stratum i]]), 0)), 0)</f>
        <v>0</v>
      </c>
      <c r="AQ8">
        <f>Table1423[[#This Row],[Ai,t]]*(Table1423[[#This Row],[GHGWPS-soil-CO2,i,t]]-Table1423[[#This Row],[Deductionalloch WPS (Eq 38)]]+Table1423[[#This Row],[GHGWPS-soil-CH4,i,t]]+Table1423[[#This Row],[GHGWPS-soil-N2O,i,t]])</f>
        <v>0</v>
      </c>
      <c r="AR8" t="e" cm="1">
        <f t="array" ref="AR8">INDEX(#REF!, MATCH(1, (Table1423[[#This Row],[year t]]=Table32[[#All],[year t]])*(Table1423[[#This Row],[stratum i]]=Table32[[#All],[stratum i]]), 0))</f>
        <v>#REF!</v>
      </c>
      <c r="AS8" t="e" cm="1">
        <f t="array" ref="AS8">INDEX(#REF!, MATCH(1, (Table1423[[#This Row],[year t]]=Table32[[#All],[year t]])*(Table1423[[#This Row],[stratum i]]=Table32[[#All],[stratum i]]), 0))</f>
        <v>#REF!</v>
      </c>
      <c r="AT8" t="e" cm="1">
        <f t="array" ref="AT8">INDEX(#REF!, MATCH(1, (Table1423[[#This Row],[year t]]=Table32[[#All],[year t]])*(Table1423[[#This Row],[stratum i]]=Table32[[#All],[stratum i]]), 0))</f>
        <v>#REF!</v>
      </c>
      <c r="AU8" t="e" cm="1">
        <f t="array" ref="AU8">INDEX(#REF!, MATCH(1, (Table1423[[#This Row],[year t]]=Table32[[#All],[year t]])*(Table1423[[#This Row],[stratum i]]=Table32[[#All],[stratum i]]), 0))</f>
        <v>#REF!</v>
      </c>
      <c r="BB8" s="18">
        <v>2025</v>
      </c>
      <c r="BC8" s="18">
        <v>1</v>
      </c>
      <c r="BD8" cm="1">
        <f t="array" ref="BD8">INDEX(Table32[[#All],[∆CWPS-soil,i,t (tC/ha)]], MATCH(1, (Table1329[[#This Row],[year t]]=Table32[[#All],[year t]])*(Table1329[[#This Row],[stratum i]]=Table32[[#All],[stratum i]]), 0))</f>
        <v>0</v>
      </c>
      <c r="BE8">
        <f>-44/12*Table1329[[#This Row],[∆CWPS-soil,i,t (tC/ha)]]</f>
        <v>0</v>
      </c>
      <c r="BI8" s="18">
        <v>4</v>
      </c>
      <c r="BJ8" s="18">
        <v>1</v>
      </c>
      <c r="BK8" t="e" cm="1">
        <f t="array" ref="BK8">INDEX(Table32[[#All],[Ai,t]], MATCH(1, (Table1830[[#This Row],[year t]]=Table32[[#All],[year t]])*(Table1830[[#This Row],[stratum i]]=Table32[[#All],[stratum i]]), 0))</f>
        <v>#N/A</v>
      </c>
      <c r="BL8" t="e" cm="1">
        <f t="array" ref="BL8">INDEX(#REF!, MATCH(1, (Table1830[[#This Row],[year t]]=Table32[[#All],[year t]])*(Table1830[[#This Row],[stratum i]]=Table32[[#All],[stratum i]]), 0))</f>
        <v>#REF!</v>
      </c>
      <c r="BM8" t="e" cm="1">
        <f t="array" ref="BM8">INDEX(#REF!, MATCH(1, (Table1830[[#This Row],[year t]]=Table32[[#All],[year t]])*(Table1830[[#This Row],[stratum i]]=Table32[[#All],[stratum i]]), 0))</f>
        <v>#REF!</v>
      </c>
      <c r="BN8" t="e" cm="1">
        <f t="array" ref="BN8">INDEX(#REF!, MATCH(1, (Table1830[[#This Row],[year t]]=Table32[[#All],[year t]])*(Table1830[[#This Row],[stratum i]]=Table32[[#All],[stratum i]]), 0))</f>
        <v>#REF!</v>
      </c>
      <c r="BO8" t="e">
        <f>IF(soil_CH4_approach = "Proxies", Table1830[[#This Row],[ƒ (GHG emission proxy: CH4) WPS]]*GWP_CH4, IF(soil_CH4_approach = "IPCC emission factors", Table1830[[#This Row],[IPCC Emission factor EF(CH4) WPS]]*Table1830[[#This Row],[Ai,t]]*GWP_CH4, Table1830[[#This Row],[CH4(WPS-soil,I,t)]]*GWP_CH4))</f>
        <v>#REF!</v>
      </c>
      <c r="BP8" t="e" cm="1">
        <f t="array" ref="BP8">INDEX(#REF!, MATCH(1, (Table1830[[#This Row],[year t]]=Table32[[#All],[year t]])*(Table1830[[#This Row],[stratum i]]=Table32[[#All],[stratum i]]), 0))</f>
        <v>#REF!</v>
      </c>
      <c r="BQ8" t="e" cm="1">
        <f t="array" ref="BQ8">INDEX(#REF!, MATCH(1, (Table1830[[#This Row],[year t]]=Table32[[#All],[year t]])*(Table1830[[#This Row],[stratum i]]=Table32[[#All],[stratum i]]), 0))</f>
        <v>#REF!</v>
      </c>
      <c r="BR8" t="e" cm="1">
        <f t="array" ref="BR8">INDEX(#REF!, MATCH(1, (Table1830[[#This Row],[year t]]=Table32[[#All],[year t]])*(Table1830[[#This Row],[stratum i]]=Table32[[#All],[stratum i]]), 0))</f>
        <v>#REF!</v>
      </c>
      <c r="BS8" t="e">
        <f>IF(soil_N2O_approach = "Proxies", Table1830[[#This Row],[ƒ (N2O emission proxy: N2O) WPS]]*GWP_N2O, IF(soil_N2O_approach = "IPCC emission factors", Table1830[[#This Row],[IPCC Emission factor EF(N2O) WPS]]*Table1830[[#This Row],[Ai,t]]*GWP_N2O, Table1830[[#This Row],[N2O (WPS-soil,I,t)]]*GWP_N2O))</f>
        <v>#REF!</v>
      </c>
      <c r="BW8" s="18">
        <v>4</v>
      </c>
      <c r="BX8" s="18">
        <v>1</v>
      </c>
      <c r="BY8" t="e" cm="1">
        <f t="array" ref="BY8">INDEX(Table32[[#All],[Ai,t]], MATCH(1, (Table10[[#This Row],[year t]]=Table32[[#All],[year t]])*(Table10[[#This Row],[stratum i]]=Table32[[#All],[stratum i]]), 0))</f>
        <v>#N/A</v>
      </c>
      <c r="BZ8" t="e" cm="1">
        <f t="array" ref="BZ8">INDEX(#REF!, MATCH(1, (Table10[[#This Row],[year t]]=Table32[[#All],[year t]])*(Table10[[#This Row],[stratum i]]=Table32[[#All],[stratum i]]), 0))</f>
        <v>#REF!</v>
      </c>
      <c r="CA8">
        <f t="shared" si="0"/>
        <v>0</v>
      </c>
      <c r="CB8">
        <f t="shared" si="1"/>
        <v>0</v>
      </c>
      <c r="CC8" t="e">
        <f>Table10[[#This Row],[Biomassi,t]]*Table10[[#This Row],[EF(N2O,burn)]]*GWP_N2O*10^(-6)*Table10[[#This Row],[Ai,t]]</f>
        <v>#REF!</v>
      </c>
      <c r="CD8" t="e">
        <f>Table10[[#This Row],[Biomassi,t]]*Table10[[#This Row],[EF(CH4,burn)]]*GWP_CH4*10^(-6)*Table10[[#This Row],[Ai,t]]</f>
        <v>#REF!</v>
      </c>
      <c r="CE8" t="e">
        <f>Table10[[#This Row],[CO2eN2O,i,t (Eq 82)]]+Table10[[#This Row],[CO2eCH4,i,t (Eq 83)]]</f>
        <v>#REF!</v>
      </c>
    </row>
    <row r="9" spans="2:83" x14ac:dyDescent="0.2">
      <c r="C9" s="18">
        <v>2026</v>
      </c>
      <c r="D9">
        <f>-SUMIF( Table1221[[#All],[year t]],  "&lt;="&amp;Table1120[[#This Row],[year t]], Table1221[[#All],[∆𝐶WPS−𝑏𝑖𝑜𝑚𝑎𝑠𝑠,𝑖,t (equation 74)]])*44/12</f>
        <v>-41.367284185055659</v>
      </c>
      <c r="E9">
        <f>SUMIF(Table1221[[#All],[year t]], "&lt;="&amp;Table1120[[#This Row],[year t]],  Table1221[[#All],[𝐺𝐻𝐺WPS−𝑠𝑜𝑖𝑙,𝑖,t]])</f>
        <v>-1466.9894449934256</v>
      </c>
      <c r="F9">
        <f>SUMIF(Table1221[[#All],[year t]], "&lt;="&amp;Table1120[[#This Row],[year t]], Table1221[[#All],[𝐺𝐻𝐺WPS−𝑓𝑢𝑒𝑙,𝑖,t]])</f>
        <v>0</v>
      </c>
      <c r="G9">
        <f>IF(project_prescribed_burning = "Included", SUMIF(Table10[[#All],[year t]], "&lt;="&amp;Table1120[[#This Row],[year t]], Table10[[#All],[GHGWPS-burn,i,t (Eq 81)]]), 0)</f>
        <v>0</v>
      </c>
      <c r="H9">
        <f>Table1120[[#This Row],[GHG(WPS-biomass)]]+Table1120[[#This Row],[GHG(WPS-soil)]]+Table1120[[#This Row],[GHG(WPS-burn)]]+Table1120[[#This Row],[GHG(WPS-fuel)]]</f>
        <v>-1508.3567291784814</v>
      </c>
      <c r="K9" s="18">
        <v>2026</v>
      </c>
      <c r="L9" s="17">
        <v>1</v>
      </c>
      <c r="M9" cm="1">
        <f t="array" ref="M9">IF(project_aboveground_tree = "Included", INDEX(Table32[[#All],[ΔCTREE_PROJ,i,t (AR Tool 14) t C/yr]], MATCH(1, (Table1221[[#This Row],[year t]]=Table32[[#All],[year t]])*(Table1221[[#This Row],[stratum i]]=Table32[[#All],[stratum i]]), 0)), 0)</f>
        <v>27.494047400510507</v>
      </c>
      <c r="N9" s="57" cm="1">
        <f t="array" ref="N9">IF(project_aboveground_nontree = "Included", INDEX(#REF!, MATCH(1, (Table1221[[#This Row],[year t]]=Table32[[#All],[year t]])*(Table1221[[#This Row],[stratum i]]=Table32[[#All],[stratum i]]), 0)), 0)</f>
        <v>0</v>
      </c>
      <c r="O9">
        <f>12/44*(Table1221[[#This Row],[ΔCTREE_PROJ,t (AR Tool 14) t CO2e/yr]]+Table1221[[#This Row],[ΔCSHRUB_PROJ,t (AR Tool 14) t CO2e/yr]])</f>
        <v>7.4983765637755919</v>
      </c>
      <c r="P9" cm="1">
        <f t="array" ref="P9">IF(project_aboveground_nontree = "Included", IFERROR(INDEX(Table1322[[#All],[ΔCWPS-herb,i,t (Eq 78)]], MATCH(1, (Table1221[[#This Row],[stratum i]]=Table1322[[#All],[stratum i]])*(Table1221[[#This Row],[year t]]&gt;=#REF!)*(Table1221[[#This Row],[year t]]&lt;=Table1322[[#All],[year t]]), 0)), 0), 0)</f>
        <v>0</v>
      </c>
      <c r="Q9">
        <f>Table1221[[#This Row],[ΔCWPS-tree/shrub,i,t (t C/yr) (Eq 75)]]+Table1221[[#This Row],[ΔCWPS-herb,i,t (t C/yr)]]</f>
        <v>7.4983765637755919</v>
      </c>
      <c r="R9" cm="1">
        <f t="array" ref="R9">INDEX(Table1423[[#All],[GHGWPS-soil,i,t]], MATCH(1, (Table1221[[#This Row],[year t]]=Table1423[[#All],[year t]])*(Table1221[[#This Row],[stratum i]]=Table1423[[#All],[stratum i]]), 0))</f>
        <v>-1466.9894449934256</v>
      </c>
      <c r="S9">
        <f>IF(project_ff_CO2 = "Included", Table1221[[#This Row],[ET(FC,I,t) AR-Tool 5 WPS]], 0)</f>
        <v>0</v>
      </c>
      <c r="T9" t="e" cm="1">
        <f t="array" ref="T9">INDEX(#REF!, MATCH(1, (Table1221[[#This Row],[year t]]=Table32[[#All],[year t]])*(Table1221[[#This Row],[stratum i]]=Table32[[#All],[stratum i]]), 0))</f>
        <v>#REF!</v>
      </c>
      <c r="Y9">
        <v>4</v>
      </c>
      <c r="Z9">
        <v>5</v>
      </c>
      <c r="AA9" s="45" t="e" cm="1">
        <f t="array" ref="AA9">INDEX(#REF!, MATCH(1, (Table1322[[#This Row],[year t]]=Table32[[#All],[year t]])*(Table1322[[#This Row],[stratum i]]=Table32[[#All],[stratum i]]), 0))</f>
        <v>#REF!</v>
      </c>
      <c r="AB9" s="45" t="e">
        <f>Table1322[[#This Row],[ΔCWPS-herb,i,t (tC/ha)]]</f>
        <v>#REF!</v>
      </c>
      <c r="AE9" s="18">
        <v>2026</v>
      </c>
      <c r="AF9" s="17">
        <v>1</v>
      </c>
      <c r="AG9" s="17" cm="1">
        <f t="array" ref="AG9">INDEX(Table32[[#All],[Ai,t]], MATCH(1, (Table1423[[#This Row],[year t]]=Table32[[#All],[year t]])*(Table1423[[#This Row],[stratum i]]=Table32[[#All],[stratum i]]), 0))</f>
        <v>1090.4420357142858</v>
      </c>
      <c r="AH9" t="str">
        <f>INDEX(Table31[[#All],[Soil type (t=0)]], MATCH(Table1423[[#This Row],[stratum i]], Table31[[#All],[Stratum i]]))</f>
        <v>Mineral soil</v>
      </c>
      <c r="AI9">
        <f>IF(Emission_reduction_from_stock_loss?, INDEX(Table2[[#All],[End_PDT]], MATCH(Table1423[[#This Row],[stratum i]], Table2[[#All],[stratum i]])), crediting_period)</f>
        <v>40</v>
      </c>
      <c r="AJ9">
        <f>IF(Emission_reduction_from_stock_loss?, INDEX(Table2[[#All],[End_SDT]], MATCH(Table1423[[#This Row],[stratum i]], Table2[[#All],[stratum i]])), crediting_period)</f>
        <v>40</v>
      </c>
      <c r="AK9" cm="1">
        <f t="array" ref="AK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-1.7599999999999998</v>
      </c>
      <c r="AL9" cm="1">
        <f t="array" ref="AL9">INDEX(Table32[[#All],[%Calloch WPS]], MATCH(1, (Table1423[[#This Row],[year t]]=Table32[[#All],[year t]])*(Table1423[[#This Row],[stratum i]]=Table32[[#All],[stratum i]]), 0))</f>
        <v>23.561573856247001</v>
      </c>
      <c r="AM9">
        <f>IF(project_soil_SOC="Included", IF(Table1423[[#This Row],[Soil]]="Peat soil",0, IF(OR(soil_insitu_approach = "Proxies", soil_insitu_approach = "Field-collected data"), Table1423[[#This Row],[GHGWPS-soil-CO2,i,t]]*(Table1423[[#This Row],[%Calloch WPS]]/100),  Table1423[[#This Row],[GHGWPS-insitu-CO2,i,t]]*(Table1423[[#This Row],[%Calloch WPS]]/100))), 0)</f>
        <v>-0.41468369986994719</v>
      </c>
      <c r="AN9">
        <f>(Table1423[[#This Row],[GHGWPS-soil-CO2,i,t]]-Table1423[[#This Row],[Deductionalloch WPS (Eq 38)]])*Table1423[[#This Row],[Ai,t]]</f>
        <v>-1466.9894449934256</v>
      </c>
      <c r="AO9" cm="1">
        <f t="array" ref="AO9">IF(project_soil_CH4 = "Included", INDEX(Table1830[[#All],[GHGWPS-soil-CH4,i,t (Eq 59)]], MATCH(1, (Table1423[[#This Row],[year t]]=Table1830[[#All],[year t]])*(Table1423[[#This Row],[stratum i]]=Table1830[[#All],[stratum i]]), 0)), 0)</f>
        <v>0</v>
      </c>
      <c r="AP9" cm="1">
        <f t="array" ref="AP9">IF(project_soil_N2O = "Included", INDEX(Table1830[[#All],[GHGWPS-soil-N2O,i,t (Eq 62)]], MATCH(1, (Table1423[[#This Row],[year t]]=Table1830[[#All],[year t]])*(Table1423[[#This Row],[stratum i]]=Table1830[[#All],[stratum i]]), 0)), 0)</f>
        <v>0</v>
      </c>
      <c r="AQ9">
        <f>Table1423[[#This Row],[Ai,t]]*(Table1423[[#This Row],[GHGWPS-soil-CO2,i,t]]-Table1423[[#This Row],[Deductionalloch WPS (Eq 38)]]+Table1423[[#This Row],[GHGWPS-soil-CH4,i,t]]+Table1423[[#This Row],[GHGWPS-soil-N2O,i,t]])</f>
        <v>-1466.9894449934256</v>
      </c>
      <c r="AR9" t="e" cm="1">
        <f t="array" ref="AR9">INDEX(#REF!, MATCH(1, (Table1423[[#This Row],[year t]]=Table32[[#All],[year t]])*(Table1423[[#This Row],[stratum i]]=Table32[[#All],[stratum i]]), 0))</f>
        <v>#REF!</v>
      </c>
      <c r="AS9" t="e" cm="1">
        <f t="array" ref="AS9">INDEX(#REF!, MATCH(1, (Table1423[[#This Row],[year t]]=Table32[[#All],[year t]])*(Table1423[[#This Row],[stratum i]]=Table32[[#All],[stratum i]]), 0))</f>
        <v>#REF!</v>
      </c>
      <c r="AT9" t="e" cm="1">
        <f t="array" ref="AT9">INDEX(#REF!, MATCH(1, (Table1423[[#This Row],[year t]]=Table32[[#All],[year t]])*(Table1423[[#This Row],[stratum i]]=Table32[[#All],[stratum i]]), 0))</f>
        <v>#REF!</v>
      </c>
      <c r="AU9" t="e" cm="1">
        <f t="array" ref="AU9">INDEX(#REF!, MATCH(1, (Table1423[[#This Row],[year t]]=Table32[[#All],[year t]])*(Table1423[[#This Row],[stratum i]]=Table32[[#All],[stratum i]]), 0))</f>
        <v>#REF!</v>
      </c>
      <c r="BB9" s="18">
        <v>2026</v>
      </c>
      <c r="BC9" s="17">
        <v>1</v>
      </c>
      <c r="BD9" cm="1">
        <f t="array" ref="BD9">INDEX(Table32[[#All],[∆CWPS-soil,i,t (tC/ha)]], MATCH(1, (Table1329[[#This Row],[year t]]=Table32[[#All],[year t]])*(Table1329[[#This Row],[stratum i]]=Table32[[#All],[stratum i]]), 0))</f>
        <v>0.48</v>
      </c>
      <c r="BE9">
        <f>-44/12*Table1329[[#This Row],[∆CWPS-soil,i,t (tC/ha)]]</f>
        <v>-1.7599999999999998</v>
      </c>
      <c r="BI9" s="17">
        <v>5</v>
      </c>
      <c r="BJ9" s="17">
        <v>1</v>
      </c>
      <c r="BK9" s="32" t="e" cm="1">
        <f t="array" ref="BK9">INDEX(Table32[[#All],[Ai,t]], MATCH(1, (Table1830[[#This Row],[year t]]=Table32[[#All],[year t]])*(Table1830[[#This Row],[stratum i]]=Table32[[#All],[stratum i]]), 0))</f>
        <v>#N/A</v>
      </c>
      <c r="BL9" t="e" cm="1">
        <f t="array" ref="BL9">INDEX(#REF!, MATCH(1, (Table1830[[#This Row],[year t]]=Table32[[#All],[year t]])*(Table1830[[#This Row],[stratum i]]=Table32[[#All],[stratum i]]), 0))</f>
        <v>#REF!</v>
      </c>
      <c r="BM9" t="e" cm="1">
        <f t="array" ref="BM9">INDEX(#REF!, MATCH(1, (Table1830[[#This Row],[year t]]=Table32[[#All],[year t]])*(Table1830[[#This Row],[stratum i]]=Table32[[#All],[stratum i]]), 0))</f>
        <v>#REF!</v>
      </c>
      <c r="BN9" t="e" cm="1">
        <f t="array" ref="BN9">INDEX(#REF!, MATCH(1, (Table1830[[#This Row],[year t]]=Table32[[#All],[year t]])*(Table1830[[#This Row],[stratum i]]=Table32[[#All],[stratum i]]), 0))</f>
        <v>#REF!</v>
      </c>
      <c r="BO9" t="e">
        <f>IF(soil_CH4_approach = "Proxies", Table1830[[#This Row],[ƒ (GHG emission proxy: CH4) WPS]]*GWP_CH4, IF(soil_CH4_approach = "IPCC emission factors", Table1830[[#This Row],[IPCC Emission factor EF(CH4) WPS]]*Table1830[[#This Row],[Ai,t]]*GWP_CH4, Table1830[[#This Row],[CH4(WPS-soil,I,t)]]*GWP_CH4))</f>
        <v>#REF!</v>
      </c>
      <c r="BP9" t="e" cm="1">
        <f t="array" ref="BP9">INDEX(#REF!, MATCH(1, (Table1830[[#This Row],[year t]]=Table32[[#All],[year t]])*(Table1830[[#This Row],[stratum i]]=Table32[[#All],[stratum i]]), 0))</f>
        <v>#REF!</v>
      </c>
      <c r="BQ9" t="e" cm="1">
        <f t="array" ref="BQ9">INDEX(#REF!, MATCH(1, (Table1830[[#This Row],[year t]]=Table32[[#All],[year t]])*(Table1830[[#This Row],[stratum i]]=Table32[[#All],[stratum i]]), 0))</f>
        <v>#REF!</v>
      </c>
      <c r="BR9" t="e" cm="1">
        <f t="array" ref="BR9">INDEX(#REF!, MATCH(1, (Table1830[[#This Row],[year t]]=Table32[[#All],[year t]])*(Table1830[[#This Row],[stratum i]]=Table32[[#All],[stratum i]]), 0))</f>
        <v>#REF!</v>
      </c>
      <c r="BS9" t="e">
        <f>IF(soil_N2O_approach = "Proxies", Table1830[[#This Row],[ƒ (N2O emission proxy: N2O) WPS]]*GWP_N2O, IF(soil_N2O_approach = "IPCC emission factors", Table1830[[#This Row],[IPCC Emission factor EF(N2O) WPS]]*Table1830[[#This Row],[Ai,t]]*GWP_N2O, Table1830[[#This Row],[N2O (WPS-soil,I,t)]]*GWP_N2O))</f>
        <v>#REF!</v>
      </c>
      <c r="BW9" s="17">
        <v>5</v>
      </c>
      <c r="BX9" s="17">
        <v>1</v>
      </c>
      <c r="BY9" t="e" cm="1">
        <f t="array" ref="BY9">INDEX(Table32[[#All],[Ai,t]], MATCH(1, (Table10[[#This Row],[year t]]=Table32[[#All],[year t]])*(Table10[[#This Row],[stratum i]]=Table32[[#All],[stratum i]]), 0))</f>
        <v>#N/A</v>
      </c>
      <c r="BZ9" t="e" cm="1">
        <f t="array" ref="BZ9">INDEX(#REF!, MATCH(1, (Table10[[#This Row],[year t]]=Table32[[#All],[year t]])*(Table10[[#This Row],[stratum i]]=Table32[[#All],[stratum i]]), 0))</f>
        <v>#REF!</v>
      </c>
      <c r="CA9">
        <f t="shared" si="0"/>
        <v>0</v>
      </c>
      <c r="CB9">
        <f t="shared" si="1"/>
        <v>0</v>
      </c>
      <c r="CC9" t="e">
        <f>Table10[[#This Row],[Biomassi,t]]*Table10[[#This Row],[EF(N2O,burn)]]*GWP_N2O*10^(-6)*Table10[[#This Row],[Ai,t]]</f>
        <v>#REF!</v>
      </c>
      <c r="CD9" t="e">
        <f>Table10[[#This Row],[Biomassi,t]]*Table10[[#This Row],[EF(CH4,burn)]]*GWP_CH4*10^(-6)*Table10[[#This Row],[Ai,t]]</f>
        <v>#REF!</v>
      </c>
      <c r="CE9" t="e">
        <f>Table10[[#This Row],[CO2eN2O,i,t (Eq 82)]]+Table10[[#This Row],[CO2eCH4,i,t (Eq 83)]]</f>
        <v>#REF!</v>
      </c>
    </row>
    <row r="10" spans="2:83" x14ac:dyDescent="0.2">
      <c r="C10" s="18">
        <v>2027</v>
      </c>
      <c r="D10">
        <f>-SUMIF( Table1221[[#All],[year t]],  "&lt;="&amp;Table1120[[#This Row],[year t]], Table1221[[#All],[∆𝐶WPS−𝑏𝑖𝑜𝑚𝑎𝑠𝑠,𝑖,t (equation 74)]])*44/12</f>
        <v>-209.59266349241224</v>
      </c>
      <c r="E10">
        <f>SUMIF(Table1221[[#All],[year t]], "&lt;="&amp;Table1120[[#This Row],[year t]],  Table1221[[#All],[𝐺𝐻𝐺WPS−𝑠𝑜𝑖𝑙,𝑖,t]])</f>
        <v>-6041.8092625773743</v>
      </c>
      <c r="F10">
        <f>SUMIF(Table1221[[#All],[year t]], "&lt;="&amp;Table1120[[#This Row],[year t]], Table1221[[#All],[𝐺𝐻𝐺WPS−𝑓𝑢𝑒𝑙,𝑖,t]])</f>
        <v>0</v>
      </c>
      <c r="G10">
        <f>IF(project_prescribed_burning = "Included", SUMIF(Table10[[#All],[year t]], "&lt;="&amp;Table1120[[#This Row],[year t]], Table10[[#All],[GHGWPS-burn,i,t (Eq 81)]]), 0)</f>
        <v>0</v>
      </c>
      <c r="H10">
        <f>Table1120[[#This Row],[GHG(WPS-biomass)]]+Table1120[[#This Row],[GHG(WPS-soil)]]+Table1120[[#This Row],[GHG(WPS-burn)]]+Table1120[[#This Row],[GHG(WPS-fuel)]]</f>
        <v>-6251.4019260697869</v>
      </c>
      <c r="K10" s="18">
        <v>2027</v>
      </c>
      <c r="L10" s="18">
        <v>1</v>
      </c>
      <c r="M10" cm="1">
        <f t="array" ref="M10">IF(project_aboveground_tree = "Included", INDEX(Table32[[#All],[ΔCTREE_PROJ,i,t (AR Tool 14) t C/yr]], MATCH(1, (Table1221[[#This Row],[year t]]=Table32[[#All],[year t]])*(Table1221[[#This Row],[stratum i]]=Table32[[#All],[stratum i]]), 0)), 0)</f>
        <v>108.99865083488629</v>
      </c>
      <c r="N10" s="57" cm="1">
        <f t="array" ref="N10">IF(project_aboveground_nontree = "Included", INDEX(#REF!, MATCH(1, (Table1221[[#This Row],[year t]]=Table32[[#All],[year t]])*(Table1221[[#This Row],[stratum i]]=Table32[[#All],[stratum i]]), 0)), 0)</f>
        <v>0</v>
      </c>
      <c r="O10">
        <f>12/44*(Table1221[[#This Row],[ΔCTREE_PROJ,t (AR Tool 14) t CO2e/yr]]+Table1221[[#This Row],[ΔCSHRUB_PROJ,t (AR Tool 14) t CO2e/yr]])</f>
        <v>29.726904773150803</v>
      </c>
      <c r="P10" cm="1">
        <f t="array" ref="P10">IF(project_aboveground_nontree = "Included", IFERROR(INDEX(Table1322[[#All],[ΔCWPS-herb,i,t (Eq 78)]], MATCH(1, (Table1221[[#This Row],[stratum i]]=Table1322[[#All],[stratum i]])*(Table1221[[#This Row],[year t]]&gt;=#REF!)*(Table1221[[#This Row],[year t]]&lt;=Table1322[[#All],[year t]]), 0)), 0), 0)</f>
        <v>0</v>
      </c>
      <c r="Q10">
        <f>Table1221[[#This Row],[ΔCWPS-tree/shrub,i,t (t C/yr) (Eq 75)]]+Table1221[[#This Row],[ΔCWPS-herb,i,t (t C/yr)]]</f>
        <v>29.726904773150803</v>
      </c>
      <c r="R10" cm="1">
        <f t="array" ref="R10">INDEX(Table1423[[#All],[GHGWPS-soil,i,t]], MATCH(1, (Table1221[[#This Row],[year t]]=Table1423[[#All],[year t]])*(Table1221[[#This Row],[stratum i]]=Table1423[[#All],[stratum i]]), 0))</f>
        <v>-1907.0862784914536</v>
      </c>
      <c r="S10">
        <f>IF(project_ff_CO2 = "Included", Table1221[[#This Row],[ET(FC,I,t) AR-Tool 5 WPS]], 0)</f>
        <v>0</v>
      </c>
      <c r="T10" t="e" cm="1">
        <f t="array" ref="T10">INDEX(#REF!, MATCH(1, (Table1221[[#This Row],[year t]]=Table32[[#All],[year t]])*(Table1221[[#This Row],[stratum i]]=Table32[[#All],[stratum i]]), 0))</f>
        <v>#REF!</v>
      </c>
      <c r="AA10" s="45" t="e" cm="1">
        <f t="array" ref="AA10">INDEX(#REF!, MATCH(1, (Table1322[[#This Row],[year t]]=Table32[[#All],[year t]])*(Table1322[[#This Row],[stratum i]]=Table32[[#All],[stratum i]]), 0))</f>
        <v>#REF!</v>
      </c>
      <c r="AB10" s="45" t="e">
        <f>Table1322[[#This Row],[ΔCWPS-herb,i,t (tC/ha)]]</f>
        <v>#REF!</v>
      </c>
      <c r="AE10" s="18">
        <v>2027</v>
      </c>
      <c r="AF10" s="18">
        <v>1</v>
      </c>
      <c r="AG10" s="18" cm="1">
        <f t="array" ref="AG10">INDEX(Table32[[#All],[Ai,t]], MATCH(1, (Table1423[[#This Row],[year t]]=Table32[[#All],[year t]])*(Table1423[[#This Row],[stratum i]]=Table32[[#All],[stratum i]]), 0))</f>
        <v>1090.4420357142858</v>
      </c>
      <c r="AH10" t="str">
        <f>INDEX(Table31[[#All],[Soil type (t=0)]], MATCH(Table1423[[#This Row],[stratum i]], Table31[[#All],[Stratum i]]))</f>
        <v>Mineral soil</v>
      </c>
      <c r="AI10">
        <f>IF(Emission_reduction_from_stock_loss?, INDEX(Table2[[#All],[End_PDT]], MATCH(Table1423[[#This Row],[stratum i]], Table2[[#All],[stratum i]])), crediting_period)</f>
        <v>40</v>
      </c>
      <c r="AJ10">
        <f>IF(Emission_reduction_from_stock_loss?, INDEX(Table2[[#All],[End_SDT]], MATCH(Table1423[[#This Row],[stratum i]], Table2[[#All],[stratum i]])), crediting_period)</f>
        <v>40</v>
      </c>
      <c r="AK10" cm="1">
        <f t="array" ref="AK1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-2.2879999999999998</v>
      </c>
      <c r="AL10" cm="1">
        <f t="array" ref="AL10">INDEX(Table32[[#All],[%Calloch WPS]], MATCH(1, (Table1423[[#This Row],[year t]]=Table32[[#All],[year t]])*(Table1423[[#This Row],[stratum i]]=Table32[[#All],[stratum i]]), 0))</f>
        <v>23.561573856247001</v>
      </c>
      <c r="AM10">
        <f>IF(project_soil_SOC="Included", IF(Table1423[[#This Row],[Soil]]="Peat soil",0, IF(OR(soil_insitu_approach = "Proxies", soil_insitu_approach = "Field-collected data"), Table1423[[#This Row],[GHGWPS-soil-CO2,i,t]]*(Table1423[[#This Row],[%Calloch WPS]]/100),  Table1423[[#This Row],[GHGWPS-insitu-CO2,i,t]]*(Table1423[[#This Row],[%Calloch WPS]]/100))), 0)</f>
        <v>-0.53908880983093133</v>
      </c>
      <c r="AN10">
        <f>(Table1423[[#This Row],[GHGWPS-soil-CO2,i,t]]-Table1423[[#This Row],[Deductionalloch WPS (Eq 38)]])*Table1423[[#This Row],[Ai,t]]</f>
        <v>-1907.0862784914536</v>
      </c>
      <c r="AO10" cm="1">
        <f t="array" ref="AO10">IF(project_soil_CH4 = "Included", INDEX(Table1830[[#All],[GHGWPS-soil-CH4,i,t (Eq 59)]], MATCH(1, (Table1423[[#This Row],[year t]]=Table1830[[#All],[year t]])*(Table1423[[#This Row],[stratum i]]=Table1830[[#All],[stratum i]]), 0)), 0)</f>
        <v>0</v>
      </c>
      <c r="AP10" cm="1">
        <f t="array" ref="AP10">IF(project_soil_N2O = "Included", INDEX(Table1830[[#All],[GHGWPS-soil-N2O,i,t (Eq 62)]], MATCH(1, (Table1423[[#This Row],[year t]]=Table1830[[#All],[year t]])*(Table1423[[#This Row],[stratum i]]=Table1830[[#All],[stratum i]]), 0)), 0)</f>
        <v>0</v>
      </c>
      <c r="AQ10">
        <f>Table1423[[#This Row],[Ai,t]]*(Table1423[[#This Row],[GHGWPS-soil-CO2,i,t]]-Table1423[[#This Row],[Deductionalloch WPS (Eq 38)]]+Table1423[[#This Row],[GHGWPS-soil-CH4,i,t]]+Table1423[[#This Row],[GHGWPS-soil-N2O,i,t]])</f>
        <v>-1907.0862784914536</v>
      </c>
      <c r="AR10" t="e" cm="1">
        <f t="array" ref="AR10">INDEX(#REF!, MATCH(1, (Table1423[[#This Row],[year t]]=Table32[[#All],[year t]])*(Table1423[[#This Row],[stratum i]]=Table32[[#All],[stratum i]]), 0))</f>
        <v>#REF!</v>
      </c>
      <c r="AS10" t="e" cm="1">
        <f t="array" ref="AS10">INDEX(#REF!, MATCH(1, (Table1423[[#This Row],[year t]]=Table32[[#All],[year t]])*(Table1423[[#This Row],[stratum i]]=Table32[[#All],[stratum i]]), 0))</f>
        <v>#REF!</v>
      </c>
      <c r="AT10" t="e" cm="1">
        <f t="array" ref="AT10">INDEX(#REF!, MATCH(1, (Table1423[[#This Row],[year t]]=Table32[[#All],[year t]])*(Table1423[[#This Row],[stratum i]]=Table32[[#All],[stratum i]]), 0))</f>
        <v>#REF!</v>
      </c>
      <c r="AU10" t="e" cm="1">
        <f t="array" ref="AU10">INDEX(#REF!, MATCH(1, (Table1423[[#This Row],[year t]]=Table32[[#All],[year t]])*(Table1423[[#This Row],[stratum i]]=Table32[[#All],[stratum i]]), 0))</f>
        <v>#REF!</v>
      </c>
      <c r="BB10" s="18">
        <v>2027</v>
      </c>
      <c r="BC10" s="18">
        <v>1</v>
      </c>
      <c r="BD10" cm="1">
        <f t="array" ref="BD10">INDEX(Table32[[#All],[∆CWPS-soil,i,t (tC/ha)]], MATCH(1, (Table1329[[#This Row],[year t]]=Table32[[#All],[year t]])*(Table1329[[#This Row],[stratum i]]=Table32[[#All],[stratum i]]), 0))</f>
        <v>0.624</v>
      </c>
      <c r="BE10">
        <f>-44/12*Table1329[[#This Row],[∆CWPS-soil,i,t (tC/ha)]]</f>
        <v>-2.2879999999999998</v>
      </c>
      <c r="BI10" s="18">
        <v>6</v>
      </c>
      <c r="BJ10" s="18">
        <v>1</v>
      </c>
      <c r="BK10" t="e" cm="1">
        <f t="array" ref="BK10">INDEX(Table32[[#All],[Ai,t]], MATCH(1, (Table1830[[#This Row],[year t]]=Table32[[#All],[year t]])*(Table1830[[#This Row],[stratum i]]=Table32[[#All],[stratum i]]), 0))</f>
        <v>#N/A</v>
      </c>
      <c r="BL10" t="e" cm="1">
        <f t="array" ref="BL10">INDEX(#REF!, MATCH(1, (Table1830[[#This Row],[year t]]=Table32[[#All],[year t]])*(Table1830[[#This Row],[stratum i]]=Table32[[#All],[stratum i]]), 0))</f>
        <v>#REF!</v>
      </c>
      <c r="BM10" t="e" cm="1">
        <f t="array" ref="BM10">INDEX(#REF!, MATCH(1, (Table1830[[#This Row],[year t]]=Table32[[#All],[year t]])*(Table1830[[#This Row],[stratum i]]=Table32[[#All],[stratum i]]), 0))</f>
        <v>#REF!</v>
      </c>
      <c r="BN10" t="e" cm="1">
        <f t="array" ref="BN10">INDEX(#REF!, MATCH(1, (Table1830[[#This Row],[year t]]=Table32[[#All],[year t]])*(Table1830[[#This Row],[stratum i]]=Table32[[#All],[stratum i]]), 0))</f>
        <v>#REF!</v>
      </c>
      <c r="BO10" t="e">
        <f>IF(soil_CH4_approach = "Proxies", Table1830[[#This Row],[ƒ (GHG emission proxy: CH4) WPS]]*GWP_CH4, IF(soil_CH4_approach = "IPCC emission factors", Table1830[[#This Row],[IPCC Emission factor EF(CH4) WPS]]*Table1830[[#This Row],[Ai,t]]*GWP_CH4, Table1830[[#This Row],[CH4(WPS-soil,I,t)]]*GWP_CH4))</f>
        <v>#REF!</v>
      </c>
      <c r="BP10" t="e" cm="1">
        <f t="array" ref="BP10">INDEX(#REF!, MATCH(1, (Table1830[[#This Row],[year t]]=Table32[[#All],[year t]])*(Table1830[[#This Row],[stratum i]]=Table32[[#All],[stratum i]]), 0))</f>
        <v>#REF!</v>
      </c>
      <c r="BQ10" t="e" cm="1">
        <f t="array" ref="BQ10">INDEX(#REF!, MATCH(1, (Table1830[[#This Row],[year t]]=Table32[[#All],[year t]])*(Table1830[[#This Row],[stratum i]]=Table32[[#All],[stratum i]]), 0))</f>
        <v>#REF!</v>
      </c>
      <c r="BR10" t="e" cm="1">
        <f t="array" ref="BR10">INDEX(#REF!, MATCH(1, (Table1830[[#This Row],[year t]]=Table32[[#All],[year t]])*(Table1830[[#This Row],[stratum i]]=Table32[[#All],[stratum i]]), 0))</f>
        <v>#REF!</v>
      </c>
      <c r="BS10" t="e">
        <f>IF(soil_N2O_approach = "Proxies", Table1830[[#This Row],[ƒ (N2O emission proxy: N2O) WPS]]*GWP_N2O, IF(soil_N2O_approach = "IPCC emission factors", Table1830[[#This Row],[IPCC Emission factor EF(N2O) WPS]]*Table1830[[#This Row],[Ai,t]]*GWP_N2O, Table1830[[#This Row],[N2O (WPS-soil,I,t)]]*GWP_N2O))</f>
        <v>#REF!</v>
      </c>
      <c r="BW10" s="18">
        <v>6</v>
      </c>
      <c r="BX10" s="18">
        <v>1</v>
      </c>
      <c r="BY10" t="e" cm="1">
        <f t="array" ref="BY10">INDEX(Table32[[#All],[Ai,t]], MATCH(1, (Table10[[#This Row],[year t]]=Table32[[#All],[year t]])*(Table10[[#This Row],[stratum i]]=Table32[[#All],[stratum i]]), 0))</f>
        <v>#N/A</v>
      </c>
      <c r="BZ10" t="e" cm="1">
        <f t="array" ref="BZ10">INDEX(#REF!, MATCH(1, (Table10[[#This Row],[year t]]=Table32[[#All],[year t]])*(Table10[[#This Row],[stratum i]]=Table32[[#All],[stratum i]]), 0))</f>
        <v>#REF!</v>
      </c>
      <c r="CA10">
        <f t="shared" si="0"/>
        <v>0</v>
      </c>
      <c r="CB10">
        <f t="shared" si="1"/>
        <v>0</v>
      </c>
      <c r="CC10" t="e">
        <f>Table10[[#This Row],[Biomassi,t]]*Table10[[#This Row],[EF(N2O,burn)]]*GWP_N2O*10^(-6)*Table10[[#This Row],[Ai,t]]</f>
        <v>#REF!</v>
      </c>
      <c r="CD10" t="e">
        <f>Table10[[#This Row],[Biomassi,t]]*Table10[[#This Row],[EF(CH4,burn)]]*GWP_CH4*10^(-6)*Table10[[#This Row],[Ai,t]]</f>
        <v>#REF!</v>
      </c>
      <c r="CE10" t="e">
        <f>Table10[[#This Row],[CO2eN2O,i,t (Eq 82)]]+Table10[[#This Row],[CO2eCH4,i,t (Eq 83)]]</f>
        <v>#REF!</v>
      </c>
    </row>
    <row r="11" spans="2:83" x14ac:dyDescent="0.2">
      <c r="C11" s="18">
        <v>2028</v>
      </c>
      <c r="D11">
        <f>-SUMIF( Table1221[[#All],[year t]],  "&lt;="&amp;Table1120[[#This Row],[year t]], Table1221[[#All],[∆𝐶WPS−𝑏𝑖𝑜𝑚𝑎𝑠𝑠,𝑖,t (equation 74)]])*44/12</f>
        <v>-783.61742983457532</v>
      </c>
      <c r="E11">
        <f>SUMIF(Table1221[[#All],[year t]], "&lt;="&amp;Table1120[[#This Row],[year t]],  Table1221[[#All],[𝐺𝐻𝐺WPS−𝑠𝑜𝑖𝑙,𝑖,t]])</f>
        <v>-14847.474581406221</v>
      </c>
      <c r="F11">
        <f>SUMIF(Table1221[[#All],[year t]], "&lt;="&amp;Table1120[[#This Row],[year t]], Table1221[[#All],[𝐺𝐻𝐺WPS−𝑓𝑢𝑒𝑙,𝑖,t]])</f>
        <v>0</v>
      </c>
      <c r="G11">
        <f>IF(project_prescribed_burning = "Included", SUMIF(Table10[[#All],[year t]], "&lt;="&amp;Table1120[[#This Row],[year t]], Table10[[#All],[GHGWPS-burn,i,t (Eq 81)]]), 0)</f>
        <v>0</v>
      </c>
      <c r="H11">
        <f>Table1120[[#This Row],[GHG(WPS-biomass)]]+Table1120[[#This Row],[GHG(WPS-soil)]]+Table1120[[#This Row],[GHG(WPS-burn)]]+Table1120[[#This Row],[GHG(WPS-fuel)]]</f>
        <v>-15631.092011240797</v>
      </c>
      <c r="K11" s="18">
        <v>2028</v>
      </c>
      <c r="L11" s="18">
        <v>1</v>
      </c>
      <c r="M11" cm="1">
        <f t="array" ref="M11">IF(project_aboveground_tree = "Included", INDEX(Table32[[#All],[ΔCTREE_PROJ,i,t (AR Tool 14) t C/yr]], MATCH(1, (Table1221[[#This Row],[year t]]=Table32[[#All],[year t]])*(Table1221[[#This Row],[stratum i]]=Table32[[#All],[stratum i]]), 0)), 0)</f>
        <v>314.86907075202919</v>
      </c>
      <c r="N11" s="57" cm="1">
        <f t="array" ref="N11">IF(project_aboveground_nontree = "Included", INDEX(#REF!, MATCH(1, (Table1221[[#This Row],[year t]]=Table32[[#All],[year t]])*(Table1221[[#This Row],[stratum i]]=Table32[[#All],[stratum i]]), 0)), 0)</f>
        <v>0</v>
      </c>
      <c r="O11">
        <f>12/44*(Table1221[[#This Row],[ΔCTREE_PROJ,t (AR Tool 14) t CO2e/yr]]+Table1221[[#This Row],[ΔCSHRUB_PROJ,t (AR Tool 14) t CO2e/yr]])</f>
        <v>85.873382932371584</v>
      </c>
      <c r="P11" cm="1">
        <f t="array" ref="P11">IF(project_aboveground_nontree = "Included", IFERROR(INDEX(Table1322[[#All],[ΔCWPS-herb,i,t (Eq 78)]], MATCH(1, (Table1221[[#This Row],[stratum i]]=Table1322[[#All],[stratum i]])*(Table1221[[#This Row],[year t]]&gt;=#REF!)*(Table1221[[#This Row],[year t]]&lt;=Table1322[[#All],[year t]]), 0)), 0), 0)</f>
        <v>0</v>
      </c>
      <c r="Q11">
        <f>Table1221[[#This Row],[ΔCWPS-tree/shrub,i,t (t C/yr) (Eq 75)]]+Table1221[[#This Row],[ΔCWPS-herb,i,t (t C/yr)]]</f>
        <v>85.873382932371584</v>
      </c>
      <c r="R11" cm="1">
        <f t="array" ref="R11">INDEX(Table1423[[#All],[GHGWPS-soil,i,t]], MATCH(1, (Table1221[[#This Row],[year t]]=Table1423[[#All],[year t]])*(Table1221[[#This Row],[stratum i]]=Table1423[[#All],[stratum i]]), 0))</f>
        <v>-2347.1831119894809</v>
      </c>
      <c r="S11">
        <f>IF(project_ff_CO2 = "Included", Table1221[[#This Row],[ET(FC,I,t) AR-Tool 5 WPS]], 0)</f>
        <v>0</v>
      </c>
      <c r="T11" t="e" cm="1">
        <f t="array" ref="T11">INDEX(#REF!, MATCH(1, (Table1221[[#This Row],[year t]]=Table32[[#All],[year t]])*(Table1221[[#This Row],[stratum i]]=Table32[[#All],[stratum i]]), 0))</f>
        <v>#REF!</v>
      </c>
      <c r="AA11" s="45" t="e" cm="1">
        <f t="array" ref="AA11">INDEX(#REF!, MATCH(1, (Table1322[[#This Row],[year t]]=Table32[[#All],[year t]])*(Table1322[[#This Row],[stratum i]]=Table32[[#All],[stratum i]]), 0))</f>
        <v>#REF!</v>
      </c>
      <c r="AB11" s="45" t="e">
        <f>Table1322[[#This Row],[ΔCWPS-herb,i,t (tC/ha)]]</f>
        <v>#REF!</v>
      </c>
      <c r="AE11" s="18">
        <v>2028</v>
      </c>
      <c r="AF11" s="18">
        <v>1</v>
      </c>
      <c r="AG11" s="17" cm="1">
        <f t="array" ref="AG11">INDEX(Table32[[#All],[Ai,t]], MATCH(1, (Table1423[[#This Row],[year t]]=Table32[[#All],[year t]])*(Table1423[[#This Row],[stratum i]]=Table32[[#All],[stratum i]]), 0))</f>
        <v>1090.4420357142858</v>
      </c>
      <c r="AH11" t="str">
        <f>INDEX(Table31[[#All],[Soil type (t=0)]], MATCH(Table1423[[#This Row],[stratum i]], Table31[[#All],[Stratum i]]))</f>
        <v>Mineral soil</v>
      </c>
      <c r="AI11">
        <f>IF(Emission_reduction_from_stock_loss?, INDEX(Table2[[#All],[End_PDT]], MATCH(Table1423[[#This Row],[stratum i]], Table2[[#All],[stratum i]])), crediting_period)</f>
        <v>40</v>
      </c>
      <c r="AJ11">
        <f>IF(Emission_reduction_from_stock_loss?, INDEX(Table2[[#All],[End_SDT]], MATCH(Table1423[[#This Row],[stratum i]], Table2[[#All],[stratum i]])), crediting_period)</f>
        <v>40</v>
      </c>
      <c r="AK11" cm="1">
        <f t="array" ref="AK1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-2.8159999999999994</v>
      </c>
      <c r="AL11" cm="1">
        <f t="array" ref="AL11">INDEX(Table32[[#All],[%Calloch WPS]], MATCH(1, (Table1423[[#This Row],[year t]]=Table32[[#All],[year t]])*(Table1423[[#This Row],[stratum i]]=Table32[[#All],[stratum i]]), 0))</f>
        <v>23.561573856247001</v>
      </c>
      <c r="AM11">
        <f>IF(project_soil_SOC="Included", IF(Table1423[[#This Row],[Soil]]="Peat soil",0, IF(OR(soil_insitu_approach = "Proxies", soil_insitu_approach = "Field-collected data"), Table1423[[#This Row],[GHGWPS-soil-CO2,i,t]]*(Table1423[[#This Row],[%Calloch WPS]]/100),  Table1423[[#This Row],[GHGWPS-insitu-CO2,i,t]]*(Table1423[[#This Row],[%Calloch WPS]]/100))), 0)</f>
        <v>-0.66349391979191541</v>
      </c>
      <c r="AN11">
        <f>(Table1423[[#This Row],[GHGWPS-soil-CO2,i,t]]-Table1423[[#This Row],[Deductionalloch WPS (Eq 38)]])*Table1423[[#This Row],[Ai,t]]</f>
        <v>-2347.1831119894809</v>
      </c>
      <c r="AO11" cm="1">
        <f t="array" ref="AO11">IF(project_soil_CH4 = "Included", INDEX(Table1830[[#All],[GHGWPS-soil-CH4,i,t (Eq 59)]], MATCH(1, (Table1423[[#This Row],[year t]]=Table1830[[#All],[year t]])*(Table1423[[#This Row],[stratum i]]=Table1830[[#All],[stratum i]]), 0)), 0)</f>
        <v>0</v>
      </c>
      <c r="AP11" cm="1">
        <f t="array" ref="AP11">IF(project_soil_N2O = "Included", INDEX(Table1830[[#All],[GHGWPS-soil-N2O,i,t (Eq 62)]], MATCH(1, (Table1423[[#This Row],[year t]]=Table1830[[#All],[year t]])*(Table1423[[#This Row],[stratum i]]=Table1830[[#All],[stratum i]]), 0)), 0)</f>
        <v>0</v>
      </c>
      <c r="AQ11">
        <f>Table1423[[#This Row],[Ai,t]]*(Table1423[[#This Row],[GHGWPS-soil-CO2,i,t]]-Table1423[[#This Row],[Deductionalloch WPS (Eq 38)]]+Table1423[[#This Row],[GHGWPS-soil-CH4,i,t]]+Table1423[[#This Row],[GHGWPS-soil-N2O,i,t]])</f>
        <v>-2347.1831119894809</v>
      </c>
      <c r="AR11" t="e" cm="1">
        <f t="array" ref="AR11">INDEX(#REF!, MATCH(1, (Table1423[[#This Row],[year t]]=Table32[[#All],[year t]])*(Table1423[[#This Row],[stratum i]]=Table32[[#All],[stratum i]]), 0))</f>
        <v>#REF!</v>
      </c>
      <c r="AS11" t="e" cm="1">
        <f t="array" ref="AS11">INDEX(#REF!, MATCH(1, (Table1423[[#This Row],[year t]]=Table32[[#All],[year t]])*(Table1423[[#This Row],[stratum i]]=Table32[[#All],[stratum i]]), 0))</f>
        <v>#REF!</v>
      </c>
      <c r="AT11" t="e" cm="1">
        <f t="array" ref="AT11">INDEX(#REF!, MATCH(1, (Table1423[[#This Row],[year t]]=Table32[[#All],[year t]])*(Table1423[[#This Row],[stratum i]]=Table32[[#All],[stratum i]]), 0))</f>
        <v>#REF!</v>
      </c>
      <c r="AU11" t="e" cm="1">
        <f t="array" ref="AU11">INDEX(#REF!, MATCH(1, (Table1423[[#This Row],[year t]]=Table32[[#All],[year t]])*(Table1423[[#This Row],[stratum i]]=Table32[[#All],[stratum i]]), 0))</f>
        <v>#REF!</v>
      </c>
      <c r="BB11" s="18">
        <v>2028</v>
      </c>
      <c r="BC11" s="18">
        <v>1</v>
      </c>
      <c r="BD11" cm="1">
        <f t="array" ref="BD11">INDEX(Table32[[#All],[∆CWPS-soil,i,t (tC/ha)]], MATCH(1, (Table1329[[#This Row],[year t]]=Table32[[#All],[year t]])*(Table1329[[#This Row],[stratum i]]=Table32[[#All],[stratum i]]), 0))</f>
        <v>0.7679999999999999</v>
      </c>
      <c r="BE11">
        <f>-44/12*Table1329[[#This Row],[∆CWPS-soil,i,t (tC/ha)]]</f>
        <v>-2.8159999999999994</v>
      </c>
      <c r="BI11" s="17">
        <v>7</v>
      </c>
      <c r="BJ11" s="17">
        <v>1</v>
      </c>
      <c r="BK11" s="32" t="e" cm="1">
        <f t="array" ref="BK11">INDEX(Table32[[#All],[Ai,t]], MATCH(1, (Table1830[[#This Row],[year t]]=Table32[[#All],[year t]])*(Table1830[[#This Row],[stratum i]]=Table32[[#All],[stratum i]]), 0))</f>
        <v>#N/A</v>
      </c>
      <c r="BL11" t="e" cm="1">
        <f t="array" ref="BL11">INDEX(#REF!, MATCH(1, (Table1830[[#This Row],[year t]]=Table32[[#All],[year t]])*(Table1830[[#This Row],[stratum i]]=Table32[[#All],[stratum i]]), 0))</f>
        <v>#REF!</v>
      </c>
      <c r="BM11" t="e" cm="1">
        <f t="array" ref="BM11">INDEX(#REF!, MATCH(1, (Table1830[[#This Row],[year t]]=Table32[[#All],[year t]])*(Table1830[[#This Row],[stratum i]]=Table32[[#All],[stratum i]]), 0))</f>
        <v>#REF!</v>
      </c>
      <c r="BN11" t="e" cm="1">
        <f t="array" ref="BN11">INDEX(#REF!, MATCH(1, (Table1830[[#This Row],[year t]]=Table32[[#All],[year t]])*(Table1830[[#This Row],[stratum i]]=Table32[[#All],[stratum i]]), 0))</f>
        <v>#REF!</v>
      </c>
      <c r="BO11" t="e">
        <f>IF(soil_CH4_approach = "Proxies", Table1830[[#This Row],[ƒ (GHG emission proxy: CH4) WPS]]*GWP_CH4, IF(soil_CH4_approach = "IPCC emission factors", Table1830[[#This Row],[IPCC Emission factor EF(CH4) WPS]]*Table1830[[#This Row],[Ai,t]]*GWP_CH4, Table1830[[#This Row],[CH4(WPS-soil,I,t)]]*GWP_CH4))</f>
        <v>#REF!</v>
      </c>
      <c r="BP11" t="e" cm="1">
        <f t="array" ref="BP11">INDEX(#REF!, MATCH(1, (Table1830[[#This Row],[year t]]=Table32[[#All],[year t]])*(Table1830[[#This Row],[stratum i]]=Table32[[#All],[stratum i]]), 0))</f>
        <v>#REF!</v>
      </c>
      <c r="BQ11" t="e" cm="1">
        <f t="array" ref="BQ11">INDEX(#REF!, MATCH(1, (Table1830[[#This Row],[year t]]=Table32[[#All],[year t]])*(Table1830[[#This Row],[stratum i]]=Table32[[#All],[stratum i]]), 0))</f>
        <v>#REF!</v>
      </c>
      <c r="BR11" t="e" cm="1">
        <f t="array" ref="BR11">INDEX(#REF!, MATCH(1, (Table1830[[#This Row],[year t]]=Table32[[#All],[year t]])*(Table1830[[#This Row],[stratum i]]=Table32[[#All],[stratum i]]), 0))</f>
        <v>#REF!</v>
      </c>
      <c r="BS11" t="e">
        <f>IF(soil_N2O_approach = "Proxies", Table1830[[#This Row],[ƒ (N2O emission proxy: N2O) WPS]]*GWP_N2O, IF(soil_N2O_approach = "IPCC emission factors", Table1830[[#This Row],[IPCC Emission factor EF(N2O) WPS]]*Table1830[[#This Row],[Ai,t]]*GWP_N2O, Table1830[[#This Row],[N2O (WPS-soil,I,t)]]*GWP_N2O))</f>
        <v>#REF!</v>
      </c>
      <c r="BW11" s="17">
        <v>7</v>
      </c>
      <c r="BX11" s="17">
        <v>1</v>
      </c>
      <c r="BY11" t="e" cm="1">
        <f t="array" ref="BY11">INDEX(Table32[[#All],[Ai,t]], MATCH(1, (Table10[[#This Row],[year t]]=Table32[[#All],[year t]])*(Table10[[#This Row],[stratum i]]=Table32[[#All],[stratum i]]), 0))</f>
        <v>#N/A</v>
      </c>
      <c r="BZ11" t="e" cm="1">
        <f t="array" ref="BZ11">INDEX(#REF!, MATCH(1, (Table10[[#This Row],[year t]]=Table32[[#All],[year t]])*(Table10[[#This Row],[stratum i]]=Table32[[#All],[stratum i]]), 0))</f>
        <v>#REF!</v>
      </c>
      <c r="CA11">
        <f t="shared" si="0"/>
        <v>0</v>
      </c>
      <c r="CB11">
        <f t="shared" si="1"/>
        <v>0</v>
      </c>
      <c r="CC11" t="e">
        <f>Table10[[#This Row],[Biomassi,t]]*Table10[[#This Row],[EF(N2O,burn)]]*GWP_N2O*10^(-6)*Table10[[#This Row],[Ai,t]]</f>
        <v>#REF!</v>
      </c>
      <c r="CD11" t="e">
        <f>Table10[[#This Row],[Biomassi,t]]*Table10[[#This Row],[EF(CH4,burn)]]*GWP_CH4*10^(-6)*Table10[[#This Row],[Ai,t]]</f>
        <v>#REF!</v>
      </c>
      <c r="CE11" t="e">
        <f>Table10[[#This Row],[CO2eN2O,i,t (Eq 82)]]+Table10[[#This Row],[CO2eCH4,i,t (Eq 83)]]</f>
        <v>#REF!</v>
      </c>
    </row>
    <row r="12" spans="2:83" x14ac:dyDescent="0.2">
      <c r="C12" s="18">
        <v>2029</v>
      </c>
      <c r="D12">
        <f>-SUMIF( Table1221[[#All],[year t]],  "&lt;="&amp;Table1120[[#This Row],[year t]], Table1221[[#All],[∆𝐶WPS−𝑏𝑖𝑜𝑚𝑎𝑠𝑠,𝑖,t (equation 74)]])*44/12</f>
        <v>-2334.4150840031102</v>
      </c>
      <c r="E12">
        <f>SUMIF(Table1221[[#All],[year t]], "&lt;="&amp;Table1120[[#This Row],[year t]],  Table1221[[#All],[𝐺𝐻𝐺WPS−𝑠𝑜𝑖𝑙,𝑖,t]])</f>
        <v>-27442.415668802674</v>
      </c>
      <c r="F12">
        <f>SUMIF(Table1221[[#All],[year t]], "&lt;="&amp;Table1120[[#This Row],[year t]], Table1221[[#All],[𝐺𝐻𝐺WPS−𝑓𝑢𝑒𝑙,𝑖,t]])</f>
        <v>0</v>
      </c>
      <c r="G12">
        <f>IF(project_prescribed_burning = "Included", SUMIF(Table10[[#All],[year t]], "&lt;="&amp;Table1120[[#This Row],[year t]], Table10[[#All],[GHGWPS-burn,i,t (Eq 81)]]), 0)</f>
        <v>0</v>
      </c>
      <c r="H12">
        <f>Table1120[[#This Row],[GHG(WPS-biomass)]]+Table1120[[#This Row],[GHG(WPS-soil)]]+Table1120[[#This Row],[GHG(WPS-burn)]]+Table1120[[#This Row],[GHG(WPS-fuel)]]</f>
        <v>-29776.830752805785</v>
      </c>
      <c r="K12" s="18">
        <v>2029</v>
      </c>
      <c r="L12" s="18">
        <v>1</v>
      </c>
      <c r="M12" cm="1">
        <f t="array" ref="M12">IF(project_aboveground_tree = "Included", INDEX(Table32[[#All],[ΔCTREE_PROJ,i,t (AR Tool 14) t C/yr]], MATCH(1, (Table1221[[#This Row],[year t]]=Table32[[#All],[year t]])*(Table1221[[#This Row],[stratum i]]=Table32[[#All],[stratum i]]), 0)), 0)</f>
        <v>725.05741520179004</v>
      </c>
      <c r="N12" s="57" cm="1">
        <f t="array" ref="N12">IF(project_aboveground_nontree = "Included", INDEX(#REF!, MATCH(1, (Table1221[[#This Row],[year t]]=Table32[[#All],[year t]])*(Table1221[[#This Row],[stratum i]]=Table32[[#All],[stratum i]]), 0)), 0)</f>
        <v>0</v>
      </c>
      <c r="O12">
        <f>12/44*(Table1221[[#This Row],[ΔCTREE_PROJ,t (AR Tool 14) t CO2e/yr]]+Table1221[[#This Row],[ΔCSHRUB_PROJ,t (AR Tool 14) t CO2e/yr]])</f>
        <v>197.74293141867</v>
      </c>
      <c r="P12" cm="1">
        <f t="array" ref="P12">IF(project_aboveground_nontree = "Included", IFERROR(INDEX(Table1322[[#All],[ΔCWPS-herb,i,t (Eq 78)]], MATCH(1, (Table1221[[#This Row],[stratum i]]=Table1322[[#All],[stratum i]])*(Table1221[[#This Row],[year t]]&gt;=#REF!)*(Table1221[[#This Row],[year t]]&lt;=Table1322[[#All],[year t]]), 0)), 0), 0)</f>
        <v>0</v>
      </c>
      <c r="Q12">
        <f>Table1221[[#This Row],[ΔCWPS-tree/shrub,i,t (t C/yr) (Eq 75)]]+Table1221[[#This Row],[ΔCWPS-herb,i,t (t C/yr)]]</f>
        <v>197.74293141867</v>
      </c>
      <c r="R12" cm="1">
        <f t="array" ref="R12">INDEX(Table1423[[#All],[GHGWPS-soil,i,t]], MATCH(1, (Table1221[[#This Row],[year t]]=Table1423[[#All],[year t]])*(Table1221[[#This Row],[stratum i]]=Table1423[[#All],[stratum i]]), 0))</f>
        <v>-2787.2799454875089</v>
      </c>
      <c r="S12">
        <f>IF(project_ff_CO2 = "Included", Table1221[[#This Row],[ET(FC,I,t) AR-Tool 5 WPS]], 0)</f>
        <v>0</v>
      </c>
      <c r="T12" t="e" cm="1">
        <f t="array" ref="T12">INDEX(#REF!, MATCH(1, (Table1221[[#This Row],[year t]]=Table32[[#All],[year t]])*(Table1221[[#This Row],[stratum i]]=Table32[[#All],[stratum i]]), 0))</f>
        <v>#REF!</v>
      </c>
      <c r="AA12" s="45" t="e" cm="1">
        <f t="array" ref="AA12">INDEX(#REF!, MATCH(1, (Table1322[[#This Row],[year t]]=Table32[[#All],[year t]])*(Table1322[[#This Row],[stratum i]]=Table32[[#All],[stratum i]]), 0))</f>
        <v>#REF!</v>
      </c>
      <c r="AB12" s="45" t="e">
        <f>Table1322[[#This Row],[ΔCWPS-herb,i,t (tC/ha)]]</f>
        <v>#REF!</v>
      </c>
      <c r="AE12" s="18">
        <v>2029</v>
      </c>
      <c r="AF12" s="18">
        <v>1</v>
      </c>
      <c r="AG12" s="18" cm="1">
        <f t="array" ref="AG12">INDEX(Table32[[#All],[Ai,t]], MATCH(1, (Table1423[[#This Row],[year t]]=Table32[[#All],[year t]])*(Table1423[[#This Row],[stratum i]]=Table32[[#All],[stratum i]]), 0))</f>
        <v>1090.4420357142858</v>
      </c>
      <c r="AH12" t="str">
        <f>INDEX(Table31[[#All],[Soil type (t=0)]], MATCH(Table1423[[#This Row],[stratum i]], Table31[[#All],[Stratum i]]))</f>
        <v>Mineral soil</v>
      </c>
      <c r="AI12">
        <f>IF(Emission_reduction_from_stock_loss?, INDEX(Table2[[#All],[End_PDT]], MATCH(Table1423[[#This Row],[stratum i]], Table2[[#All],[stratum i]])), crediting_period)</f>
        <v>40</v>
      </c>
      <c r="AJ12">
        <f>IF(Emission_reduction_from_stock_loss?, INDEX(Table2[[#All],[End_SDT]], MATCH(Table1423[[#This Row],[stratum i]], Table2[[#All],[stratum i]])), crediting_period)</f>
        <v>40</v>
      </c>
      <c r="AK12" cm="1">
        <f t="array" ref="AK1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-3.3439999999999999</v>
      </c>
      <c r="AL12" cm="1">
        <f t="array" ref="AL12">INDEX(Table32[[#All],[%Calloch WPS]], MATCH(1, (Table1423[[#This Row],[year t]]=Table32[[#All],[year t]])*(Table1423[[#This Row],[stratum i]]=Table32[[#All],[stratum i]]), 0))</f>
        <v>23.561573856247001</v>
      </c>
      <c r="AM12">
        <f>IF(project_soil_SOC="Included", IF(Table1423[[#This Row],[Soil]]="Peat soil",0, IF(OR(soil_insitu_approach = "Proxies", soil_insitu_approach = "Field-collected data"), Table1423[[#This Row],[GHGWPS-soil-CO2,i,t]]*(Table1423[[#This Row],[%Calloch WPS]]/100),  Table1423[[#This Row],[GHGWPS-insitu-CO2,i,t]]*(Table1423[[#This Row],[%Calloch WPS]]/100))), 0)</f>
        <v>-0.78789902975289972</v>
      </c>
      <c r="AN12">
        <f>(Table1423[[#This Row],[GHGWPS-soil-CO2,i,t]]-Table1423[[#This Row],[Deductionalloch WPS (Eq 38)]])*Table1423[[#This Row],[Ai,t]]</f>
        <v>-2787.2799454875089</v>
      </c>
      <c r="AO12" cm="1">
        <f t="array" ref="AO12">IF(project_soil_CH4 = "Included", INDEX(Table1830[[#All],[GHGWPS-soil-CH4,i,t (Eq 59)]], MATCH(1, (Table1423[[#This Row],[year t]]=Table1830[[#All],[year t]])*(Table1423[[#This Row],[stratum i]]=Table1830[[#All],[stratum i]]), 0)), 0)</f>
        <v>0</v>
      </c>
      <c r="AP12" cm="1">
        <f t="array" ref="AP12">IF(project_soil_N2O = "Included", INDEX(Table1830[[#All],[GHGWPS-soil-N2O,i,t (Eq 62)]], MATCH(1, (Table1423[[#This Row],[year t]]=Table1830[[#All],[year t]])*(Table1423[[#This Row],[stratum i]]=Table1830[[#All],[stratum i]]), 0)), 0)</f>
        <v>0</v>
      </c>
      <c r="AQ12">
        <f>Table1423[[#This Row],[Ai,t]]*(Table1423[[#This Row],[GHGWPS-soil-CO2,i,t]]-Table1423[[#This Row],[Deductionalloch WPS (Eq 38)]]+Table1423[[#This Row],[GHGWPS-soil-CH4,i,t]]+Table1423[[#This Row],[GHGWPS-soil-N2O,i,t]])</f>
        <v>-2787.2799454875089</v>
      </c>
      <c r="AR12" t="e" cm="1">
        <f t="array" ref="AR12">INDEX(#REF!, MATCH(1, (Table1423[[#This Row],[year t]]=Table32[[#All],[year t]])*(Table1423[[#This Row],[stratum i]]=Table32[[#All],[stratum i]]), 0))</f>
        <v>#REF!</v>
      </c>
      <c r="AS12" t="e" cm="1">
        <f t="array" ref="AS12">INDEX(#REF!, MATCH(1, (Table1423[[#This Row],[year t]]=Table32[[#All],[year t]])*(Table1423[[#This Row],[stratum i]]=Table32[[#All],[stratum i]]), 0))</f>
        <v>#REF!</v>
      </c>
      <c r="AT12" t="e" cm="1">
        <f t="array" ref="AT12">INDEX(#REF!, MATCH(1, (Table1423[[#This Row],[year t]]=Table32[[#All],[year t]])*(Table1423[[#This Row],[stratum i]]=Table32[[#All],[stratum i]]), 0))</f>
        <v>#REF!</v>
      </c>
      <c r="AU12" t="e" cm="1">
        <f t="array" ref="AU12">INDEX(#REF!, MATCH(1, (Table1423[[#This Row],[year t]]=Table32[[#All],[year t]])*(Table1423[[#This Row],[stratum i]]=Table32[[#All],[stratum i]]), 0))</f>
        <v>#REF!</v>
      </c>
      <c r="BB12" s="18">
        <v>2029</v>
      </c>
      <c r="BC12" s="18">
        <v>1</v>
      </c>
      <c r="BD12" cm="1">
        <f t="array" ref="BD12">INDEX(Table32[[#All],[∆CWPS-soil,i,t (tC/ha)]], MATCH(1, (Table1329[[#This Row],[year t]]=Table32[[#All],[year t]])*(Table1329[[#This Row],[stratum i]]=Table32[[#All],[stratum i]]), 0))</f>
        <v>0.91200000000000003</v>
      </c>
      <c r="BE12">
        <f>-44/12*Table1329[[#This Row],[∆CWPS-soil,i,t (tC/ha)]]</f>
        <v>-3.3439999999999999</v>
      </c>
      <c r="BI12" s="17">
        <v>1</v>
      </c>
      <c r="BJ12" s="18">
        <v>2</v>
      </c>
      <c r="BK12" t="e" cm="1">
        <f t="array" ref="BK12">INDEX(Table32[[#All],[Ai,t]], MATCH(1, (Table1830[[#This Row],[year t]]=Table32[[#All],[year t]])*(Table1830[[#This Row],[stratum i]]=Table32[[#All],[stratum i]]), 0))</f>
        <v>#N/A</v>
      </c>
      <c r="BL12" t="e" cm="1">
        <f t="array" ref="BL12">INDEX(#REF!, MATCH(1, (Table1830[[#This Row],[year t]]=Table32[[#All],[year t]])*(Table1830[[#This Row],[stratum i]]=Table32[[#All],[stratum i]]), 0))</f>
        <v>#REF!</v>
      </c>
      <c r="BM12" t="e" cm="1">
        <f t="array" ref="BM12">INDEX(#REF!, MATCH(1, (Table1830[[#This Row],[year t]]=Table32[[#All],[year t]])*(Table1830[[#This Row],[stratum i]]=Table32[[#All],[stratum i]]), 0))</f>
        <v>#REF!</v>
      </c>
      <c r="BN12" t="e" cm="1">
        <f t="array" ref="BN12">INDEX(#REF!, MATCH(1, (Table1830[[#This Row],[year t]]=Table32[[#All],[year t]])*(Table1830[[#This Row],[stratum i]]=Table32[[#All],[stratum i]]), 0))</f>
        <v>#REF!</v>
      </c>
      <c r="BO12" t="e">
        <f>IF(soil_CH4_approach = "Proxies", Table1830[[#This Row],[ƒ (GHG emission proxy: CH4) WPS]]*GWP_CH4, IF(soil_CH4_approach = "IPCC emission factors", Table1830[[#This Row],[IPCC Emission factor EF(CH4) WPS]]*Table1830[[#This Row],[Ai,t]]*GWP_CH4, Table1830[[#This Row],[CH4(WPS-soil,I,t)]]*GWP_CH4))</f>
        <v>#REF!</v>
      </c>
      <c r="BP12" t="e" cm="1">
        <f t="array" ref="BP12">INDEX(#REF!, MATCH(1, (Table1830[[#This Row],[year t]]=Table32[[#All],[year t]])*(Table1830[[#This Row],[stratum i]]=Table32[[#All],[stratum i]]), 0))</f>
        <v>#REF!</v>
      </c>
      <c r="BQ12" t="e" cm="1">
        <f t="array" ref="BQ12">INDEX(#REF!, MATCH(1, (Table1830[[#This Row],[year t]]=Table32[[#All],[year t]])*(Table1830[[#This Row],[stratum i]]=Table32[[#All],[stratum i]]), 0))</f>
        <v>#REF!</v>
      </c>
      <c r="BR12" t="e" cm="1">
        <f t="array" ref="BR12">INDEX(#REF!, MATCH(1, (Table1830[[#This Row],[year t]]=Table32[[#All],[year t]])*(Table1830[[#This Row],[stratum i]]=Table32[[#All],[stratum i]]), 0))</f>
        <v>#REF!</v>
      </c>
      <c r="BS12" t="e">
        <f>IF(soil_N2O_approach = "Proxies", Table1830[[#This Row],[ƒ (N2O emission proxy: N2O) WPS]]*GWP_N2O, IF(soil_N2O_approach = "IPCC emission factors", Table1830[[#This Row],[IPCC Emission factor EF(N2O) WPS]]*Table1830[[#This Row],[Ai,t]]*GWP_N2O, Table1830[[#This Row],[N2O (WPS-soil,I,t)]]*GWP_N2O))</f>
        <v>#REF!</v>
      </c>
      <c r="BW12" s="17">
        <v>1</v>
      </c>
      <c r="BX12" s="18">
        <v>2</v>
      </c>
      <c r="BY12" t="e" cm="1">
        <f t="array" ref="BY12">INDEX(Table32[[#All],[Ai,t]], MATCH(1, (Table10[[#This Row],[year t]]=Table32[[#All],[year t]])*(Table10[[#This Row],[stratum i]]=Table32[[#All],[stratum i]]), 0))</f>
        <v>#N/A</v>
      </c>
      <c r="BZ12" t="e" cm="1">
        <f t="array" ref="BZ12">INDEX(#REF!, MATCH(1, (Table10[[#This Row],[year t]]=Table32[[#All],[year t]])*(Table10[[#This Row],[stratum i]]=Table32[[#All],[stratum i]]), 0))</f>
        <v>#REF!</v>
      </c>
      <c r="CA12">
        <f t="shared" si="0"/>
        <v>0</v>
      </c>
      <c r="CB12">
        <f t="shared" si="1"/>
        <v>0</v>
      </c>
      <c r="CC12" t="e">
        <f>Table10[[#This Row],[Biomassi,t]]*Table10[[#This Row],[EF(N2O,burn)]]*GWP_N2O*10^(-6)*Table10[[#This Row],[Ai,t]]</f>
        <v>#REF!</v>
      </c>
      <c r="CD12" t="e">
        <f>Table10[[#This Row],[Biomassi,t]]*Table10[[#This Row],[EF(CH4,burn)]]*GWP_CH4*10^(-6)*Table10[[#This Row],[Ai,t]]</f>
        <v>#REF!</v>
      </c>
      <c r="CE12" t="e">
        <f>Table10[[#This Row],[CO2eN2O,i,t (Eq 82)]]+Table10[[#This Row],[CO2eCH4,i,t (Eq 83)]]</f>
        <v>#REF!</v>
      </c>
    </row>
    <row r="13" spans="2:83" x14ac:dyDescent="0.2">
      <c r="C13" s="18">
        <v>2030</v>
      </c>
      <c r="D13">
        <f>-SUMIF( Table1221[[#All],[year t]],  "&lt;="&amp;Table1120[[#This Row],[year t]], Table1221[[#All],[∆𝐶WPS−𝑏𝑖𝑜𝑚𝑎𝑠𝑠,𝑖,t (equation 74)]])*44/12</f>
        <v>-5827.3388094559277</v>
      </c>
      <c r="E13">
        <f>SUMIF(Table1221[[#All],[year t]], "&lt;="&amp;Table1120[[#This Row],[year t]],  Table1221[[#All],[𝐺𝐻𝐺WPS−𝑠𝑜𝑖𝑙,𝑖,t]])</f>
        <v>-42670.421320691472</v>
      </c>
      <c r="F13">
        <f>SUMIF(Table1221[[#All],[year t]], "&lt;="&amp;Table1120[[#This Row],[year t]], Table1221[[#All],[𝐺𝐻𝐺WPS−𝑓𝑢𝑒𝑙,𝑖,t]])</f>
        <v>0</v>
      </c>
      <c r="G13">
        <f>IF(project_prescribed_burning = "Included", SUMIF(Table10[[#All],[year t]], "&lt;="&amp;Table1120[[#This Row],[year t]], Table10[[#All],[GHGWPS-burn,i,t (Eq 81)]]), 0)</f>
        <v>0</v>
      </c>
      <c r="H13">
        <f>Table1120[[#This Row],[GHG(WPS-biomass)]]+Table1120[[#This Row],[GHG(WPS-soil)]]+Table1120[[#This Row],[GHG(WPS-burn)]]+Table1120[[#This Row],[GHG(WPS-fuel)]]</f>
        <v>-48497.760130147399</v>
      </c>
      <c r="K13" s="18">
        <v>2030</v>
      </c>
      <c r="L13" s="18">
        <v>1</v>
      </c>
      <c r="M13" cm="1">
        <f t="array" ref="M13">IF(project_aboveground_tree = "Included", INDEX(Table32[[#All],[ΔCTREE_PROJ,i,t (AR Tool 14) t C/yr]], MATCH(1, (Table1221[[#This Row],[year t]]=Table32[[#All],[year t]])*(Table1221[[#This Row],[stratum i]]=Table32[[#All],[stratum i]]), 0)), 0)</f>
        <v>1409.8209162411979</v>
      </c>
      <c r="N13" s="57" cm="1">
        <f t="array" ref="N13">IF(project_aboveground_nontree = "Included", INDEX(#REF!, MATCH(1, (Table1221[[#This Row],[year t]]=Table32[[#All],[year t]])*(Table1221[[#This Row],[stratum i]]=Table32[[#All],[stratum i]]), 0)), 0)</f>
        <v>0</v>
      </c>
      <c r="O13">
        <f>12/44*(Table1221[[#This Row],[ΔCTREE_PROJ,t (AR Tool 14) t CO2e/yr]]+Table1221[[#This Row],[ΔCSHRUB_PROJ,t (AR Tool 14) t CO2e/yr]])</f>
        <v>384.49661352032666</v>
      </c>
      <c r="P13" cm="1">
        <f t="array" ref="P13">IF(project_aboveground_nontree = "Included", IFERROR(INDEX(Table1322[[#All],[ΔCWPS-herb,i,t (Eq 78)]], MATCH(1, (Table1221[[#This Row],[stratum i]]=Table1322[[#All],[stratum i]])*(Table1221[[#This Row],[year t]]&gt;=#REF!)*(Table1221[[#This Row],[year t]]&lt;=Table1322[[#All],[year t]]), 0)), 0), 0)</f>
        <v>0</v>
      </c>
      <c r="Q13">
        <f>Table1221[[#This Row],[ΔCWPS-tree/shrub,i,t (t C/yr) (Eq 75)]]+Table1221[[#This Row],[ΔCWPS-herb,i,t (t C/yr)]]</f>
        <v>384.49661352032666</v>
      </c>
      <c r="R13" cm="1">
        <f t="array" ref="R13">INDEX(Table1423[[#All],[GHGWPS-soil,i,t]], MATCH(1, (Table1221[[#This Row],[year t]]=Table1423[[#All],[year t]])*(Table1221[[#This Row],[stratum i]]=Table1423[[#All],[stratum i]]), 0))</f>
        <v>-3227.3767789855369</v>
      </c>
      <c r="S13">
        <f>IF(project_ff_CO2 = "Included", Table1221[[#This Row],[ET(FC,I,t) AR-Tool 5 WPS]], 0)</f>
        <v>0</v>
      </c>
      <c r="T13" t="e" cm="1">
        <f t="array" ref="T13">INDEX(#REF!, MATCH(1, (Table1221[[#This Row],[year t]]=Table32[[#All],[year t]])*(Table1221[[#This Row],[stratum i]]=Table32[[#All],[stratum i]]), 0))</f>
        <v>#REF!</v>
      </c>
      <c r="AA13" s="45" t="e" cm="1">
        <f t="array" ref="AA13">INDEX(#REF!, MATCH(1, (Table1322[[#This Row],[year t]]=Table32[[#All],[year t]])*(Table1322[[#This Row],[stratum i]]=Table32[[#All],[stratum i]]), 0))</f>
        <v>#REF!</v>
      </c>
      <c r="AB13" s="45" t="e">
        <f>Table1322[[#This Row],[ΔCWPS-herb,i,t (tC/ha)]]</f>
        <v>#REF!</v>
      </c>
      <c r="AE13" s="18">
        <v>2030</v>
      </c>
      <c r="AF13" s="18">
        <v>1</v>
      </c>
      <c r="AG13" s="17" cm="1">
        <f t="array" ref="AG13">INDEX(Table32[[#All],[Ai,t]], MATCH(1, (Table1423[[#This Row],[year t]]=Table32[[#All],[year t]])*(Table1423[[#This Row],[stratum i]]=Table32[[#All],[stratum i]]), 0))</f>
        <v>1090.4420357142858</v>
      </c>
      <c r="AH13" t="str">
        <f>INDEX(Table31[[#All],[Soil type (t=0)]], MATCH(Table1423[[#This Row],[stratum i]], Table31[[#All],[Stratum i]]))</f>
        <v>Mineral soil</v>
      </c>
      <c r="AI13">
        <f>IF(Emission_reduction_from_stock_loss?, INDEX(Table2[[#All],[End_PDT]], MATCH(Table1423[[#This Row],[stratum i]], Table2[[#All],[stratum i]])), crediting_period)</f>
        <v>40</v>
      </c>
      <c r="AJ13">
        <f>IF(Emission_reduction_from_stock_loss?, INDEX(Table2[[#All],[End_SDT]], MATCH(Table1423[[#This Row],[stratum i]], Table2[[#All],[stratum i]])), crediting_period)</f>
        <v>40</v>
      </c>
      <c r="AK13" cm="1">
        <f t="array" ref="AK1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-3.8719999999999999</v>
      </c>
      <c r="AL13" cm="1">
        <f t="array" ref="AL13">INDEX(Table32[[#All],[%Calloch WPS]], MATCH(1, (Table1423[[#This Row],[year t]]=Table32[[#All],[year t]])*(Table1423[[#This Row],[stratum i]]=Table32[[#All],[stratum i]]), 0))</f>
        <v>23.561573856247001</v>
      </c>
      <c r="AM13">
        <f>IF(project_soil_SOC="Included", IF(Table1423[[#This Row],[Soil]]="Peat soil",0, IF(OR(soil_insitu_approach = "Proxies", soil_insitu_approach = "Field-collected data"), Table1423[[#This Row],[GHGWPS-soil-CO2,i,t]]*(Table1423[[#This Row],[%Calloch WPS]]/100),  Table1423[[#This Row],[GHGWPS-insitu-CO2,i,t]]*(Table1423[[#This Row],[%Calloch WPS]]/100))), 0)</f>
        <v>-0.9123041397138838</v>
      </c>
      <c r="AN13">
        <f>(Table1423[[#This Row],[GHGWPS-soil-CO2,i,t]]-Table1423[[#This Row],[Deductionalloch WPS (Eq 38)]])*Table1423[[#This Row],[Ai,t]]</f>
        <v>-3227.3767789855369</v>
      </c>
      <c r="AO13" cm="1">
        <f t="array" ref="AO13">IF(project_soil_CH4 = "Included", INDEX(Table1830[[#All],[GHGWPS-soil-CH4,i,t (Eq 59)]], MATCH(1, (Table1423[[#This Row],[year t]]=Table1830[[#All],[year t]])*(Table1423[[#This Row],[stratum i]]=Table1830[[#All],[stratum i]]), 0)), 0)</f>
        <v>0</v>
      </c>
      <c r="AP13" cm="1">
        <f t="array" ref="AP13">IF(project_soil_N2O = "Included", INDEX(Table1830[[#All],[GHGWPS-soil-N2O,i,t (Eq 62)]], MATCH(1, (Table1423[[#This Row],[year t]]=Table1830[[#All],[year t]])*(Table1423[[#This Row],[stratum i]]=Table1830[[#All],[stratum i]]), 0)), 0)</f>
        <v>0</v>
      </c>
      <c r="AQ13">
        <f>Table1423[[#This Row],[Ai,t]]*(Table1423[[#This Row],[GHGWPS-soil-CO2,i,t]]-Table1423[[#This Row],[Deductionalloch WPS (Eq 38)]]+Table1423[[#This Row],[GHGWPS-soil-CH4,i,t]]+Table1423[[#This Row],[GHGWPS-soil-N2O,i,t]])</f>
        <v>-3227.3767789855369</v>
      </c>
      <c r="AR13" t="e" cm="1">
        <f t="array" ref="AR13">INDEX(#REF!, MATCH(1, (Table1423[[#This Row],[year t]]=Table32[[#All],[year t]])*(Table1423[[#This Row],[stratum i]]=Table32[[#All],[stratum i]]), 0))</f>
        <v>#REF!</v>
      </c>
      <c r="AS13" t="e" cm="1">
        <f t="array" ref="AS13">INDEX(#REF!, MATCH(1, (Table1423[[#This Row],[year t]]=Table32[[#All],[year t]])*(Table1423[[#This Row],[stratum i]]=Table32[[#All],[stratum i]]), 0))</f>
        <v>#REF!</v>
      </c>
      <c r="AT13" t="e" cm="1">
        <f t="array" ref="AT13">INDEX(#REF!, MATCH(1, (Table1423[[#This Row],[year t]]=Table32[[#All],[year t]])*(Table1423[[#This Row],[stratum i]]=Table32[[#All],[stratum i]]), 0))</f>
        <v>#REF!</v>
      </c>
      <c r="AU13" t="e" cm="1">
        <f t="array" ref="AU13">INDEX(#REF!, MATCH(1, (Table1423[[#This Row],[year t]]=Table32[[#All],[year t]])*(Table1423[[#This Row],[stratum i]]=Table32[[#All],[stratum i]]), 0))</f>
        <v>#REF!</v>
      </c>
      <c r="BB13" s="18">
        <v>2030</v>
      </c>
      <c r="BC13" s="18">
        <v>1</v>
      </c>
      <c r="BD13" cm="1">
        <f t="array" ref="BD13">INDEX(Table32[[#All],[∆CWPS-soil,i,t (tC/ha)]], MATCH(1, (Table1329[[#This Row],[year t]]=Table32[[#All],[year t]])*(Table1329[[#This Row],[stratum i]]=Table32[[#All],[stratum i]]), 0))</f>
        <v>1.056</v>
      </c>
      <c r="BE13">
        <f>-44/12*Table1329[[#This Row],[∆CWPS-soil,i,t (tC/ha)]]</f>
        <v>-3.8719999999999999</v>
      </c>
      <c r="BI13" s="18">
        <v>2</v>
      </c>
      <c r="BJ13" s="17">
        <v>2</v>
      </c>
      <c r="BK13" s="32" t="e" cm="1">
        <f t="array" ref="BK13">INDEX(Table32[[#All],[Ai,t]], MATCH(1, (Table1830[[#This Row],[year t]]=Table32[[#All],[year t]])*(Table1830[[#This Row],[stratum i]]=Table32[[#All],[stratum i]]), 0))</f>
        <v>#N/A</v>
      </c>
      <c r="BL13" t="e" cm="1">
        <f t="array" ref="BL13">INDEX(#REF!, MATCH(1, (Table1830[[#This Row],[year t]]=Table32[[#All],[year t]])*(Table1830[[#This Row],[stratum i]]=Table32[[#All],[stratum i]]), 0))</f>
        <v>#REF!</v>
      </c>
      <c r="BM13" t="e" cm="1">
        <f t="array" ref="BM13">INDEX(#REF!, MATCH(1, (Table1830[[#This Row],[year t]]=Table32[[#All],[year t]])*(Table1830[[#This Row],[stratum i]]=Table32[[#All],[stratum i]]), 0))</f>
        <v>#REF!</v>
      </c>
      <c r="BN13" t="e" cm="1">
        <f t="array" ref="BN13">INDEX(#REF!, MATCH(1, (Table1830[[#This Row],[year t]]=Table32[[#All],[year t]])*(Table1830[[#This Row],[stratum i]]=Table32[[#All],[stratum i]]), 0))</f>
        <v>#REF!</v>
      </c>
      <c r="BO13" t="e">
        <f>IF(soil_CH4_approach = "Proxies", Table1830[[#This Row],[ƒ (GHG emission proxy: CH4) WPS]]*GWP_CH4, IF(soil_CH4_approach = "IPCC emission factors", Table1830[[#This Row],[IPCC Emission factor EF(CH4) WPS]]*Table1830[[#This Row],[Ai,t]]*GWP_CH4, Table1830[[#This Row],[CH4(WPS-soil,I,t)]]*GWP_CH4))</f>
        <v>#REF!</v>
      </c>
      <c r="BP13" t="e" cm="1">
        <f t="array" ref="BP13">INDEX(#REF!, MATCH(1, (Table1830[[#This Row],[year t]]=Table32[[#All],[year t]])*(Table1830[[#This Row],[stratum i]]=Table32[[#All],[stratum i]]), 0))</f>
        <v>#REF!</v>
      </c>
      <c r="BQ13" t="e" cm="1">
        <f t="array" ref="BQ13">INDEX(#REF!, MATCH(1, (Table1830[[#This Row],[year t]]=Table32[[#All],[year t]])*(Table1830[[#This Row],[stratum i]]=Table32[[#All],[stratum i]]), 0))</f>
        <v>#REF!</v>
      </c>
      <c r="BR13" t="e" cm="1">
        <f t="array" ref="BR13">INDEX(#REF!, MATCH(1, (Table1830[[#This Row],[year t]]=Table32[[#All],[year t]])*(Table1830[[#This Row],[stratum i]]=Table32[[#All],[stratum i]]), 0))</f>
        <v>#REF!</v>
      </c>
      <c r="BS13" t="e">
        <f>IF(soil_N2O_approach = "Proxies", Table1830[[#This Row],[ƒ (N2O emission proxy: N2O) WPS]]*GWP_N2O, IF(soil_N2O_approach = "IPCC emission factors", Table1830[[#This Row],[IPCC Emission factor EF(N2O) WPS]]*Table1830[[#This Row],[Ai,t]]*GWP_N2O, Table1830[[#This Row],[N2O (WPS-soil,I,t)]]*GWP_N2O))</f>
        <v>#REF!</v>
      </c>
      <c r="BW13" s="18">
        <v>2</v>
      </c>
      <c r="BX13" s="17">
        <v>2</v>
      </c>
      <c r="BY13" t="e" cm="1">
        <f t="array" ref="BY13">INDEX(Table32[[#All],[Ai,t]], MATCH(1, (Table10[[#This Row],[year t]]=Table32[[#All],[year t]])*(Table10[[#This Row],[stratum i]]=Table32[[#All],[stratum i]]), 0))</f>
        <v>#N/A</v>
      </c>
      <c r="BZ13" t="e" cm="1">
        <f t="array" ref="BZ13">INDEX(#REF!, MATCH(1, (Table10[[#This Row],[year t]]=Table32[[#All],[year t]])*(Table10[[#This Row],[stratum i]]=Table32[[#All],[stratum i]]), 0))</f>
        <v>#REF!</v>
      </c>
      <c r="CA13">
        <f t="shared" si="0"/>
        <v>0</v>
      </c>
      <c r="CB13">
        <f t="shared" si="1"/>
        <v>0</v>
      </c>
      <c r="CC13" t="e">
        <f>Table10[[#This Row],[Biomassi,t]]*Table10[[#This Row],[EF(N2O,burn)]]*GWP_N2O*10^(-6)*Table10[[#This Row],[Ai,t]]</f>
        <v>#REF!</v>
      </c>
      <c r="CD13" t="e">
        <f>Table10[[#This Row],[Biomassi,t]]*Table10[[#This Row],[EF(CH4,burn)]]*GWP_CH4*10^(-6)*Table10[[#This Row],[Ai,t]]</f>
        <v>#REF!</v>
      </c>
      <c r="CE13" t="e">
        <f>Table10[[#This Row],[CO2eN2O,i,t (Eq 82)]]+Table10[[#This Row],[CO2eCH4,i,t (Eq 83)]]</f>
        <v>#REF!</v>
      </c>
    </row>
    <row r="14" spans="2:83" x14ac:dyDescent="0.2">
      <c r="C14" s="18">
        <v>2031</v>
      </c>
      <c r="D14">
        <f>-SUMIF( Table1221[[#All],[year t]],  "&lt;="&amp;Table1120[[#This Row],[year t]], Table1221[[#All],[∆𝐶WPS−𝑏𝑖𝑜𝑚𝑎𝑠𝑠,𝑖,t (equation 74)]])*44/12</f>
        <v>-12630.495720961755</v>
      </c>
      <c r="E14">
        <f>SUMIF(Table1221[[#All],[year t]], "&lt;="&amp;Table1120[[#This Row],[year t]],  Table1221[[#All],[𝐺𝐻𝐺WPS−𝑠𝑜𝑖𝑙,𝑖,t]])</f>
        <v>-64198.96514955617</v>
      </c>
      <c r="F14">
        <f>SUMIF(Table1221[[#All],[year t]], "&lt;="&amp;Table1120[[#This Row],[year t]], Table1221[[#All],[𝐺𝐻𝐺WPS−𝑓𝑢𝑒𝑙,𝑖,t]])</f>
        <v>0</v>
      </c>
      <c r="G14">
        <f>IF(project_prescribed_burning = "Included", SUMIF(Table10[[#All],[year t]], "&lt;="&amp;Table1120[[#This Row],[year t]], Table10[[#All],[GHGWPS-burn,i,t (Eq 81)]]), 0)</f>
        <v>0</v>
      </c>
      <c r="H14">
        <f>Table1120[[#This Row],[GHG(WPS-biomass)]]+Table1120[[#This Row],[GHG(WPS-soil)]]+Table1120[[#This Row],[GHG(WPS-burn)]]+Table1120[[#This Row],[GHG(WPS-fuel)]]</f>
        <v>-76829.460870517927</v>
      </c>
      <c r="K14" s="18">
        <v>2031</v>
      </c>
      <c r="L14" s="18">
        <v>1</v>
      </c>
      <c r="M14" cm="1">
        <f t="array" ref="M14">IF(project_aboveground_tree = "Included", INDEX(Table32[[#All],[ΔCTREE_PROJ,i,t (AR Tool 14) t C/yr]], MATCH(1, (Table1221[[#This Row],[year t]]=Table32[[#All],[year t]])*(Table1221[[#This Row],[stratum i]]=Table32[[#All],[stratum i]]), 0)), 0)</f>
        <v>2406.8486886785549</v>
      </c>
      <c r="N14" s="57" cm="1">
        <f t="array" ref="N14">IF(project_aboveground_nontree = "Included", INDEX(#REF!, MATCH(1, (Table1221[[#This Row],[year t]]=Table32[[#All],[year t]])*(Table1221[[#This Row],[stratum i]]=Table32[[#All],[stratum i]]), 0)), 0)</f>
        <v>0</v>
      </c>
      <c r="O14">
        <f>12/44*(Table1221[[#This Row],[ΔCTREE_PROJ,t (AR Tool 14) t CO2e/yr]]+Table1221[[#This Row],[ΔCSHRUB_PROJ,t (AR Tool 14) t CO2e/yr]])</f>
        <v>656.41327873051489</v>
      </c>
      <c r="P14" cm="1">
        <f t="array" ref="P14">IF(project_aboveground_nontree = "Included", IFERROR(INDEX(Table1322[[#All],[ΔCWPS-herb,i,t (Eq 78)]], MATCH(1, (Table1221[[#This Row],[stratum i]]=Table1322[[#All],[stratum i]])*(Table1221[[#This Row],[year t]]&gt;=#REF!)*(Table1221[[#This Row],[year t]]&lt;=Table1322[[#All],[year t]]), 0)), 0), 0)</f>
        <v>0</v>
      </c>
      <c r="Q14">
        <f>Table1221[[#This Row],[ΔCWPS-tree/shrub,i,t (t C/yr) (Eq 75)]]+Table1221[[#This Row],[ΔCWPS-herb,i,t (t C/yr)]]</f>
        <v>656.41327873051489</v>
      </c>
      <c r="R14" cm="1">
        <f t="array" ref="R14">INDEX(Table1423[[#All],[GHGWPS-soil,i,t]], MATCH(1, (Table1221[[#This Row],[year t]]=Table1423[[#All],[year t]])*(Table1221[[#This Row],[stratum i]]=Table1423[[#All],[stratum i]]), 0))</f>
        <v>-7334.947224967128</v>
      </c>
      <c r="S14">
        <f>IF(project_ff_CO2 = "Included", Table1221[[#This Row],[ET(FC,I,t) AR-Tool 5 WPS]], 0)</f>
        <v>0</v>
      </c>
      <c r="T14" t="e" cm="1">
        <f t="array" ref="T14">INDEX(#REF!, MATCH(1, (Table1221[[#This Row],[year t]]=Table32[[#All],[year t]])*(Table1221[[#This Row],[stratum i]]=Table32[[#All],[stratum i]]), 0))</f>
        <v>#REF!</v>
      </c>
      <c r="AA14" s="45" t="e" cm="1">
        <f t="array" ref="AA14">INDEX(#REF!, MATCH(1, (Table1322[[#This Row],[year t]]=Table32[[#All],[year t]])*(Table1322[[#This Row],[stratum i]]=Table32[[#All],[stratum i]]), 0))</f>
        <v>#REF!</v>
      </c>
      <c r="AB14" s="45" t="e">
        <f>Table1322[[#This Row],[ΔCWPS-herb,i,t (tC/ha)]]</f>
        <v>#REF!</v>
      </c>
      <c r="AE14" s="18">
        <v>2031</v>
      </c>
      <c r="AF14" s="18">
        <v>1</v>
      </c>
      <c r="AG14" s="18" cm="1">
        <f t="array" ref="AG14">INDEX(Table32[[#All],[Ai,t]], MATCH(1, (Table1423[[#This Row],[year t]]=Table32[[#All],[year t]])*(Table1423[[#This Row],[stratum i]]=Table32[[#All],[stratum i]]), 0))</f>
        <v>1090.4420357142858</v>
      </c>
      <c r="AH14" t="str">
        <f>INDEX(Table31[[#All],[Soil type (t=0)]], MATCH(Table1423[[#This Row],[stratum i]], Table31[[#All],[Stratum i]]))</f>
        <v>Mineral soil</v>
      </c>
      <c r="AI14">
        <f>IF(Emission_reduction_from_stock_loss?, INDEX(Table2[[#All],[End_PDT]], MATCH(Table1423[[#This Row],[stratum i]], Table2[[#All],[stratum i]])), crediting_period)</f>
        <v>40</v>
      </c>
      <c r="AJ14">
        <f>IF(Emission_reduction_from_stock_loss?, INDEX(Table2[[#All],[End_SDT]], MATCH(Table1423[[#This Row],[stratum i]], Table2[[#All],[stratum i]])), crediting_period)</f>
        <v>40</v>
      </c>
      <c r="AK14" cm="1">
        <f t="array" ref="AK1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 cm="1">
        <f t="array" ref="AL14">INDEX(Table32[[#All],[%Calloch WPS]], MATCH(1, (Table1423[[#This Row],[year t]]=Table32[[#All],[year t]])*(Table1423[[#This Row],[stratum i]]=Table32[[#All],[stratum i]]), 0))</f>
        <v>23.561573856247001</v>
      </c>
      <c r="AM1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
        <f>(Table1423[[#This Row],[GHGWPS-soil-CO2,i,t]]-Table1423[[#This Row],[Deductionalloch WPS (Eq 38)]])*Table1423[[#This Row],[Ai,t]]</f>
        <v>-7334.947224967128</v>
      </c>
      <c r="AO14" cm="1">
        <f t="array" ref="AO14">IF(project_soil_CH4 = "Included", INDEX(Table1830[[#All],[GHGWPS-soil-CH4,i,t (Eq 59)]], MATCH(1, (Table1423[[#This Row],[year t]]=Table1830[[#All],[year t]])*(Table1423[[#This Row],[stratum i]]=Table1830[[#All],[stratum i]]), 0)), 0)</f>
        <v>0</v>
      </c>
      <c r="AP14" cm="1">
        <f t="array" ref="AP14">IF(project_soil_N2O = "Included", INDEX(Table1830[[#All],[GHGWPS-soil-N2O,i,t (Eq 62)]], MATCH(1, (Table1423[[#This Row],[year t]]=Table1830[[#All],[year t]])*(Table1423[[#This Row],[stratum i]]=Table1830[[#All],[stratum i]]), 0)), 0)</f>
        <v>0</v>
      </c>
      <c r="AQ14">
        <f>Table1423[[#This Row],[Ai,t]]*(Table1423[[#This Row],[GHGWPS-soil-CO2,i,t]]-Table1423[[#This Row],[Deductionalloch WPS (Eq 38)]]+Table1423[[#This Row],[GHGWPS-soil-CH4,i,t]]+Table1423[[#This Row],[GHGWPS-soil-N2O,i,t]])</f>
        <v>-7334.947224967128</v>
      </c>
      <c r="AR14" t="e" cm="1">
        <f t="array" ref="AR14">INDEX(#REF!, MATCH(1, (Table1423[[#This Row],[year t]]=Table32[[#All],[year t]])*(Table1423[[#This Row],[stratum i]]=Table32[[#All],[stratum i]]), 0))</f>
        <v>#REF!</v>
      </c>
      <c r="AS14" t="e" cm="1">
        <f t="array" ref="AS14">INDEX(#REF!, MATCH(1, (Table1423[[#This Row],[year t]]=Table32[[#All],[year t]])*(Table1423[[#This Row],[stratum i]]=Table32[[#All],[stratum i]]), 0))</f>
        <v>#REF!</v>
      </c>
      <c r="AT14" t="e" cm="1">
        <f t="array" ref="AT14">INDEX(#REF!, MATCH(1, (Table1423[[#This Row],[year t]]=Table32[[#All],[year t]])*(Table1423[[#This Row],[stratum i]]=Table32[[#All],[stratum i]]), 0))</f>
        <v>#REF!</v>
      </c>
      <c r="AU14" t="e" cm="1">
        <f t="array" ref="AU14">INDEX(#REF!, MATCH(1, (Table1423[[#This Row],[year t]]=Table32[[#All],[year t]])*(Table1423[[#This Row],[stratum i]]=Table32[[#All],[stratum i]]), 0))</f>
        <v>#REF!</v>
      </c>
      <c r="BB14" s="18">
        <v>2031</v>
      </c>
      <c r="BC14" s="18">
        <v>1</v>
      </c>
      <c r="BD14" cm="1">
        <f t="array" ref="BD14">INDEX(Table32[[#All],[∆CWPS-soil,i,t (tC/ha)]], MATCH(1, (Table1329[[#This Row],[year t]]=Table32[[#All],[year t]])*(Table1329[[#This Row],[stratum i]]=Table32[[#All],[stratum i]]), 0))</f>
        <v>2.4</v>
      </c>
      <c r="BE14">
        <f>-44/12*Table1329[[#This Row],[∆CWPS-soil,i,t (tC/ha)]]</f>
        <v>-8.7999999999999989</v>
      </c>
      <c r="BI14" s="17">
        <v>3</v>
      </c>
      <c r="BJ14" s="18">
        <v>2</v>
      </c>
      <c r="BK14" t="e" cm="1">
        <f t="array" ref="BK14">INDEX(Table32[[#All],[Ai,t]], MATCH(1, (Table1830[[#This Row],[year t]]=Table32[[#All],[year t]])*(Table1830[[#This Row],[stratum i]]=Table32[[#All],[stratum i]]), 0))</f>
        <v>#N/A</v>
      </c>
      <c r="BL14" t="e" cm="1">
        <f t="array" ref="BL14">INDEX(#REF!, MATCH(1, (Table1830[[#This Row],[year t]]=Table32[[#All],[year t]])*(Table1830[[#This Row],[stratum i]]=Table32[[#All],[stratum i]]), 0))</f>
        <v>#REF!</v>
      </c>
      <c r="BM14" t="e" cm="1">
        <f t="array" ref="BM14">INDEX(#REF!, MATCH(1, (Table1830[[#This Row],[year t]]=Table32[[#All],[year t]])*(Table1830[[#This Row],[stratum i]]=Table32[[#All],[stratum i]]), 0))</f>
        <v>#REF!</v>
      </c>
      <c r="BN14" t="e" cm="1">
        <f t="array" ref="BN14">INDEX(#REF!, MATCH(1, (Table1830[[#This Row],[year t]]=Table32[[#All],[year t]])*(Table1830[[#This Row],[stratum i]]=Table32[[#All],[stratum i]]), 0))</f>
        <v>#REF!</v>
      </c>
      <c r="BO14" t="e">
        <f>IF(soil_CH4_approach = "Proxies", Table1830[[#This Row],[ƒ (GHG emission proxy: CH4) WPS]]*GWP_CH4, IF(soil_CH4_approach = "IPCC emission factors", Table1830[[#This Row],[IPCC Emission factor EF(CH4) WPS]]*Table1830[[#This Row],[Ai,t]]*GWP_CH4, Table1830[[#This Row],[CH4(WPS-soil,I,t)]]*GWP_CH4))</f>
        <v>#REF!</v>
      </c>
      <c r="BP14" t="e" cm="1">
        <f t="array" ref="BP14">INDEX(#REF!, MATCH(1, (Table1830[[#This Row],[year t]]=Table32[[#All],[year t]])*(Table1830[[#This Row],[stratum i]]=Table32[[#All],[stratum i]]), 0))</f>
        <v>#REF!</v>
      </c>
      <c r="BQ14" t="e" cm="1">
        <f t="array" ref="BQ14">INDEX(#REF!, MATCH(1, (Table1830[[#This Row],[year t]]=Table32[[#All],[year t]])*(Table1830[[#This Row],[stratum i]]=Table32[[#All],[stratum i]]), 0))</f>
        <v>#REF!</v>
      </c>
      <c r="BR14" t="e" cm="1">
        <f t="array" ref="BR14">INDEX(#REF!, MATCH(1, (Table1830[[#This Row],[year t]]=Table32[[#All],[year t]])*(Table1830[[#This Row],[stratum i]]=Table32[[#All],[stratum i]]), 0))</f>
        <v>#REF!</v>
      </c>
      <c r="BS14" t="e">
        <f>IF(soil_N2O_approach = "Proxies", Table1830[[#This Row],[ƒ (N2O emission proxy: N2O) WPS]]*GWP_N2O, IF(soil_N2O_approach = "IPCC emission factors", Table1830[[#This Row],[IPCC Emission factor EF(N2O) WPS]]*Table1830[[#This Row],[Ai,t]]*GWP_N2O, Table1830[[#This Row],[N2O (WPS-soil,I,t)]]*GWP_N2O))</f>
        <v>#REF!</v>
      </c>
      <c r="BW14" s="17">
        <v>3</v>
      </c>
      <c r="BX14" s="18">
        <v>2</v>
      </c>
      <c r="BY14" t="e" cm="1">
        <f t="array" ref="BY14">INDEX(Table32[[#All],[Ai,t]], MATCH(1, (Table10[[#This Row],[year t]]=Table32[[#All],[year t]])*(Table10[[#This Row],[stratum i]]=Table32[[#All],[stratum i]]), 0))</f>
        <v>#N/A</v>
      </c>
      <c r="BZ14" t="e" cm="1">
        <f t="array" ref="BZ14">INDEX(#REF!, MATCH(1, (Table10[[#This Row],[year t]]=Table32[[#All],[year t]])*(Table10[[#This Row],[stratum i]]=Table32[[#All],[stratum i]]), 0))</f>
        <v>#REF!</v>
      </c>
      <c r="CA14">
        <f t="shared" si="0"/>
        <v>0</v>
      </c>
      <c r="CB14">
        <f t="shared" si="1"/>
        <v>0</v>
      </c>
      <c r="CC14" t="e">
        <f>Table10[[#This Row],[Biomassi,t]]*Table10[[#This Row],[EF(N2O,burn)]]*GWP_N2O*10^(-6)*Table10[[#This Row],[Ai,t]]</f>
        <v>#REF!</v>
      </c>
      <c r="CD14" t="e">
        <f>Table10[[#This Row],[Biomassi,t]]*Table10[[#This Row],[EF(CH4,burn)]]*GWP_CH4*10^(-6)*Table10[[#This Row],[Ai,t]]</f>
        <v>#REF!</v>
      </c>
      <c r="CE14" t="e">
        <f>Table10[[#This Row],[CO2eN2O,i,t (Eq 82)]]+Table10[[#This Row],[CO2eCH4,i,t (Eq 83)]]</f>
        <v>#REF!</v>
      </c>
    </row>
    <row r="15" spans="2:83" x14ac:dyDescent="0.2">
      <c r="C15" s="18">
        <v>2032</v>
      </c>
      <c r="D15">
        <f>-SUMIF( Table1221[[#All],[year t]],  "&lt;="&amp;Table1120[[#This Row],[year t]], Table1221[[#All],[∆𝐶WPS−𝑏𝑖𝑜𝑚𝑎𝑠𝑠,𝑖,t (equation 74)]])*44/12</f>
        <v>-24406.186058650739</v>
      </c>
      <c r="E15">
        <f>SUMIF(Table1221[[#All],[year t]], "&lt;="&amp;Table1120[[#This Row],[year t]],  Table1221[[#All],[𝐺𝐻𝐺WPS−𝑠𝑜𝑖𝑙,𝑖,t]])</f>
        <v>-94589.810557146411</v>
      </c>
      <c r="F15">
        <f>SUMIF(Table1221[[#All],[year t]], "&lt;="&amp;Table1120[[#This Row],[year t]], Table1221[[#All],[𝐺𝐻𝐺WPS−𝑓𝑢𝑒𝑙,𝑖,t]])</f>
        <v>0</v>
      </c>
      <c r="G15">
        <f>IF(project_prescribed_burning = "Included", SUMIF(Table10[[#All],[year t]], "&lt;="&amp;Table1120[[#This Row],[year t]], Table10[[#All],[GHGWPS-burn,i,t (Eq 81)]]), 0)</f>
        <v>0</v>
      </c>
      <c r="H15">
        <f>Table1120[[#This Row],[GHG(WPS-biomass)]]+Table1120[[#This Row],[GHG(WPS-soil)]]+Table1120[[#This Row],[GHG(WPS-burn)]]+Table1120[[#This Row],[GHG(WPS-fuel)]]</f>
        <v>-118995.99661579715</v>
      </c>
      <c r="K15" s="18">
        <v>2032</v>
      </c>
      <c r="L15" s="18">
        <v>1</v>
      </c>
      <c r="M15" cm="1">
        <f t="array" ref="M15">IF(project_aboveground_tree = "Included", INDEX(Table32[[#All],[ΔCTREE_PROJ,i,t (AR Tool 14) t C/yr]], MATCH(1, (Table1221[[#This Row],[year t]]=Table32[[#All],[year t]])*(Table1221[[#This Row],[stratum i]]=Table32[[#All],[stratum i]]), 0)), 0)</f>
        <v>3708.5572688174207</v>
      </c>
      <c r="N15" s="57" cm="1">
        <f t="array" ref="N15">IF(project_aboveground_nontree = "Included", INDEX(#REF!, MATCH(1, (Table1221[[#This Row],[year t]]=Table32[[#All],[year t]])*(Table1221[[#This Row],[stratum i]]=Table32[[#All],[stratum i]]), 0)), 0)</f>
        <v>0</v>
      </c>
      <c r="O15">
        <f>12/44*(Table1221[[#This Row],[ΔCTREE_PROJ,t (AR Tool 14) t CO2e/yr]]+Table1221[[#This Row],[ΔCSHRUB_PROJ,t (AR Tool 14) t CO2e/yr]])</f>
        <v>1011.4247096774783</v>
      </c>
      <c r="P15" cm="1">
        <f t="array" ref="P15">IF(project_aboveground_nontree = "Included", IFERROR(INDEX(Table1322[[#All],[ΔCWPS-herb,i,t (Eq 78)]], MATCH(1, (Table1221[[#This Row],[stratum i]]=Table1322[[#All],[stratum i]])*(Table1221[[#This Row],[year t]]&gt;=#REF!)*(Table1221[[#This Row],[year t]]&lt;=Table1322[[#All],[year t]]), 0)), 0), 0)</f>
        <v>0</v>
      </c>
      <c r="Q15">
        <f>Table1221[[#This Row],[ΔCWPS-tree/shrub,i,t (t C/yr) (Eq 75)]]+Table1221[[#This Row],[ΔCWPS-herb,i,t (t C/yr)]]</f>
        <v>1011.4247096774783</v>
      </c>
      <c r="R15" cm="1">
        <f t="array" ref="R15">INDEX(Table1423[[#All],[GHGWPS-soil,i,t]], MATCH(1, (Table1221[[#This Row],[year t]]=Table1423[[#All],[year t]])*(Table1221[[#This Row],[stratum i]]=Table1423[[#All],[stratum i]]), 0))</f>
        <v>-7334.947224967128</v>
      </c>
      <c r="S15">
        <f>IF(project_ff_CO2 = "Included", Table1221[[#This Row],[ET(FC,I,t) AR-Tool 5 WPS]], 0)</f>
        <v>0</v>
      </c>
      <c r="T15" t="e" cm="1">
        <f t="array" ref="T15">INDEX(#REF!, MATCH(1, (Table1221[[#This Row],[year t]]=Table32[[#All],[year t]])*(Table1221[[#This Row],[stratum i]]=Table32[[#All],[stratum i]]), 0))</f>
        <v>#REF!</v>
      </c>
      <c r="AA15" s="45" t="e" cm="1">
        <f t="array" ref="AA15">INDEX(#REF!, MATCH(1, (Table1322[[#This Row],[year t]]=Table32[[#All],[year t]])*(Table1322[[#This Row],[stratum i]]=Table32[[#All],[stratum i]]), 0))</f>
        <v>#REF!</v>
      </c>
      <c r="AB15" s="45" t="e">
        <f>Table1322[[#This Row],[ΔCWPS-herb,i,t (tC/ha)]]</f>
        <v>#REF!</v>
      </c>
      <c r="AE15" s="18">
        <v>2032</v>
      </c>
      <c r="AF15" s="18">
        <v>1</v>
      </c>
      <c r="AG15" s="17" cm="1">
        <f t="array" ref="AG15">INDEX(Table32[[#All],[Ai,t]], MATCH(1, (Table1423[[#This Row],[year t]]=Table32[[#All],[year t]])*(Table1423[[#This Row],[stratum i]]=Table32[[#All],[stratum i]]), 0))</f>
        <v>1090.4420357142858</v>
      </c>
      <c r="AH15" t="str">
        <f>INDEX(Table31[[#All],[Soil type (t=0)]], MATCH(Table1423[[#This Row],[stratum i]], Table31[[#All],[Stratum i]]))</f>
        <v>Mineral soil</v>
      </c>
      <c r="AI15">
        <f>IF(Emission_reduction_from_stock_loss?, INDEX(Table2[[#All],[End_PDT]], MATCH(Table1423[[#This Row],[stratum i]], Table2[[#All],[stratum i]])), crediting_period)</f>
        <v>40</v>
      </c>
      <c r="AJ15">
        <f>IF(Emission_reduction_from_stock_loss?, INDEX(Table2[[#All],[End_SDT]], MATCH(Table1423[[#This Row],[stratum i]], Table2[[#All],[stratum i]])), crediting_period)</f>
        <v>40</v>
      </c>
      <c r="AK15" cm="1">
        <f t="array" ref="AK1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 cm="1">
        <f t="array" ref="AL15">INDEX(Table32[[#All],[%Calloch WPS]], MATCH(1, (Table1423[[#This Row],[year t]]=Table32[[#All],[year t]])*(Table1423[[#This Row],[stratum i]]=Table32[[#All],[stratum i]]), 0))</f>
        <v>23.561573856247001</v>
      </c>
      <c r="AM1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
        <f>(Table1423[[#This Row],[GHGWPS-soil-CO2,i,t]]-Table1423[[#This Row],[Deductionalloch WPS (Eq 38)]])*Table1423[[#This Row],[Ai,t]]</f>
        <v>-7334.947224967128</v>
      </c>
      <c r="AO15" cm="1">
        <f t="array" ref="AO15">IF(project_soil_CH4 = "Included", INDEX(Table1830[[#All],[GHGWPS-soil-CH4,i,t (Eq 59)]], MATCH(1, (Table1423[[#This Row],[year t]]=Table1830[[#All],[year t]])*(Table1423[[#This Row],[stratum i]]=Table1830[[#All],[stratum i]]), 0)), 0)</f>
        <v>0</v>
      </c>
      <c r="AP15" cm="1">
        <f t="array" ref="AP15">IF(project_soil_N2O = "Included", INDEX(Table1830[[#All],[GHGWPS-soil-N2O,i,t (Eq 62)]], MATCH(1, (Table1423[[#This Row],[year t]]=Table1830[[#All],[year t]])*(Table1423[[#This Row],[stratum i]]=Table1830[[#All],[stratum i]]), 0)), 0)</f>
        <v>0</v>
      </c>
      <c r="AQ15">
        <f>Table1423[[#This Row],[Ai,t]]*(Table1423[[#This Row],[GHGWPS-soil-CO2,i,t]]-Table1423[[#This Row],[Deductionalloch WPS (Eq 38)]]+Table1423[[#This Row],[GHGWPS-soil-CH4,i,t]]+Table1423[[#This Row],[GHGWPS-soil-N2O,i,t]])</f>
        <v>-7334.947224967128</v>
      </c>
      <c r="AR15" t="e" cm="1">
        <f t="array" ref="AR15">INDEX(#REF!, MATCH(1, (Table1423[[#This Row],[year t]]=Table32[[#All],[year t]])*(Table1423[[#This Row],[stratum i]]=Table32[[#All],[stratum i]]), 0))</f>
        <v>#REF!</v>
      </c>
      <c r="AS15" t="e" cm="1">
        <f t="array" ref="AS15">INDEX(#REF!, MATCH(1, (Table1423[[#This Row],[year t]]=Table32[[#All],[year t]])*(Table1423[[#This Row],[stratum i]]=Table32[[#All],[stratum i]]), 0))</f>
        <v>#REF!</v>
      </c>
      <c r="AT15" t="e" cm="1">
        <f t="array" ref="AT15">INDEX(#REF!, MATCH(1, (Table1423[[#This Row],[year t]]=Table32[[#All],[year t]])*(Table1423[[#This Row],[stratum i]]=Table32[[#All],[stratum i]]), 0))</f>
        <v>#REF!</v>
      </c>
      <c r="AU15" t="e" cm="1">
        <f t="array" ref="AU15">INDEX(#REF!, MATCH(1, (Table1423[[#This Row],[year t]]=Table32[[#All],[year t]])*(Table1423[[#This Row],[stratum i]]=Table32[[#All],[stratum i]]), 0))</f>
        <v>#REF!</v>
      </c>
      <c r="BB15" s="18">
        <v>2032</v>
      </c>
      <c r="BC15" s="18">
        <v>1</v>
      </c>
      <c r="BD15" cm="1">
        <f t="array" ref="BD15">INDEX(Table32[[#All],[∆CWPS-soil,i,t (tC/ha)]], MATCH(1, (Table1329[[#This Row],[year t]]=Table32[[#All],[year t]])*(Table1329[[#This Row],[stratum i]]=Table32[[#All],[stratum i]]), 0))</f>
        <v>2.4</v>
      </c>
      <c r="BE15">
        <f>-44/12*Table1329[[#This Row],[∆CWPS-soil,i,t (tC/ha)]]</f>
        <v>-8.7999999999999989</v>
      </c>
      <c r="BI15" s="18">
        <v>4</v>
      </c>
      <c r="BJ15" s="17">
        <v>2</v>
      </c>
      <c r="BK15" s="32" t="e" cm="1">
        <f t="array" ref="BK15">INDEX(Table32[[#All],[Ai,t]], MATCH(1, (Table1830[[#This Row],[year t]]=Table32[[#All],[year t]])*(Table1830[[#This Row],[stratum i]]=Table32[[#All],[stratum i]]), 0))</f>
        <v>#N/A</v>
      </c>
      <c r="BL15" t="e" cm="1">
        <f t="array" ref="BL15">INDEX(#REF!, MATCH(1, (Table1830[[#This Row],[year t]]=Table32[[#All],[year t]])*(Table1830[[#This Row],[stratum i]]=Table32[[#All],[stratum i]]), 0))</f>
        <v>#REF!</v>
      </c>
      <c r="BM15" t="e" cm="1">
        <f t="array" ref="BM15">INDEX(#REF!, MATCH(1, (Table1830[[#This Row],[year t]]=Table32[[#All],[year t]])*(Table1830[[#This Row],[stratum i]]=Table32[[#All],[stratum i]]), 0))</f>
        <v>#REF!</v>
      </c>
      <c r="BN15" t="e" cm="1">
        <f t="array" ref="BN15">INDEX(#REF!, MATCH(1, (Table1830[[#This Row],[year t]]=Table32[[#All],[year t]])*(Table1830[[#This Row],[stratum i]]=Table32[[#All],[stratum i]]), 0))</f>
        <v>#REF!</v>
      </c>
      <c r="BO15" t="e">
        <f>IF(soil_CH4_approach = "Proxies", Table1830[[#This Row],[ƒ (GHG emission proxy: CH4) WPS]]*GWP_CH4, IF(soil_CH4_approach = "IPCC emission factors", Table1830[[#This Row],[IPCC Emission factor EF(CH4) WPS]]*Table1830[[#This Row],[Ai,t]]*GWP_CH4, Table1830[[#This Row],[CH4(WPS-soil,I,t)]]*GWP_CH4))</f>
        <v>#REF!</v>
      </c>
      <c r="BP15" t="e" cm="1">
        <f t="array" ref="BP15">INDEX(#REF!, MATCH(1, (Table1830[[#This Row],[year t]]=Table32[[#All],[year t]])*(Table1830[[#This Row],[stratum i]]=Table32[[#All],[stratum i]]), 0))</f>
        <v>#REF!</v>
      </c>
      <c r="BQ15" t="e" cm="1">
        <f t="array" ref="BQ15">INDEX(#REF!, MATCH(1, (Table1830[[#This Row],[year t]]=Table32[[#All],[year t]])*(Table1830[[#This Row],[stratum i]]=Table32[[#All],[stratum i]]), 0))</f>
        <v>#REF!</v>
      </c>
      <c r="BR15" t="e" cm="1">
        <f t="array" ref="BR15">INDEX(#REF!, MATCH(1, (Table1830[[#This Row],[year t]]=Table32[[#All],[year t]])*(Table1830[[#This Row],[stratum i]]=Table32[[#All],[stratum i]]), 0))</f>
        <v>#REF!</v>
      </c>
      <c r="BS15" t="e">
        <f>IF(soil_N2O_approach = "Proxies", Table1830[[#This Row],[ƒ (N2O emission proxy: N2O) WPS]]*GWP_N2O, IF(soil_N2O_approach = "IPCC emission factors", Table1830[[#This Row],[IPCC Emission factor EF(N2O) WPS]]*Table1830[[#This Row],[Ai,t]]*GWP_N2O, Table1830[[#This Row],[N2O (WPS-soil,I,t)]]*GWP_N2O))</f>
        <v>#REF!</v>
      </c>
      <c r="BW15" s="18">
        <v>4</v>
      </c>
      <c r="BX15" s="17">
        <v>2</v>
      </c>
      <c r="BY15" t="e" cm="1">
        <f t="array" ref="BY15">INDEX(Table32[[#All],[Ai,t]], MATCH(1, (Table10[[#This Row],[year t]]=Table32[[#All],[year t]])*(Table10[[#This Row],[stratum i]]=Table32[[#All],[stratum i]]), 0))</f>
        <v>#N/A</v>
      </c>
      <c r="BZ15" t="e" cm="1">
        <f t="array" ref="BZ15">INDEX(#REF!, MATCH(1, (Table10[[#This Row],[year t]]=Table32[[#All],[year t]])*(Table10[[#This Row],[stratum i]]=Table32[[#All],[stratum i]]), 0))</f>
        <v>#REF!</v>
      </c>
      <c r="CA15">
        <f t="shared" si="0"/>
        <v>0</v>
      </c>
      <c r="CB15">
        <f t="shared" si="1"/>
        <v>0</v>
      </c>
      <c r="CC15" t="e">
        <f>Table10[[#This Row],[Biomassi,t]]*Table10[[#This Row],[EF(N2O,burn)]]*GWP_N2O*10^(-6)*Table10[[#This Row],[Ai,t]]</f>
        <v>#REF!</v>
      </c>
      <c r="CD15" t="e">
        <f>Table10[[#This Row],[Biomassi,t]]*Table10[[#This Row],[EF(CH4,burn)]]*GWP_CH4*10^(-6)*Table10[[#This Row],[Ai,t]]</f>
        <v>#REF!</v>
      </c>
      <c r="CE15" t="e">
        <f>Table10[[#This Row],[CO2eN2O,i,t (Eq 82)]]+Table10[[#This Row],[CO2eCH4,i,t (Eq 83)]]</f>
        <v>#REF!</v>
      </c>
    </row>
    <row r="16" spans="2:83" x14ac:dyDescent="0.2">
      <c r="C16" s="18">
        <v>2033</v>
      </c>
      <c r="D16">
        <f>-SUMIF( Table1221[[#All],[year t]],  "&lt;="&amp;Table1120[[#This Row],[year t]], Table1221[[#All],[∆𝐶WPS−𝑏𝑖𝑜𝑚𝑎𝑠𝑠,𝑖,t (equation 74)]])*44/12</f>
        <v>-42906.435982738905</v>
      </c>
      <c r="E16">
        <f>SUMIF(Table1221[[#All],[year t]], "&lt;="&amp;Table1120[[#This Row],[year t]],  Table1221[[#All],[𝐺𝐻𝐺WPS−𝑠𝑜𝑖𝑙,𝑖,t]])</f>
        <v>-133849.37514905105</v>
      </c>
      <c r="F16">
        <f>SUMIF(Table1221[[#All],[year t]], "&lt;="&amp;Table1120[[#This Row],[year t]], Table1221[[#All],[𝐺𝐻𝐺WPS−𝑓𝑢𝑒𝑙,𝑖,t]])</f>
        <v>0</v>
      </c>
      <c r="G16">
        <f>IF(project_prescribed_burning = "Included", SUMIF(Table10[[#All],[year t]], "&lt;="&amp;Table1120[[#This Row],[year t]], Table10[[#All],[GHGWPS-burn,i,t (Eq 81)]]), 0)</f>
        <v>0</v>
      </c>
      <c r="H16">
        <f>Table1120[[#This Row],[GHG(WPS-biomass)]]+Table1120[[#This Row],[GHG(WPS-soil)]]+Table1120[[#This Row],[GHG(WPS-burn)]]+Table1120[[#This Row],[GHG(WPS-fuel)]]</f>
        <v>-176755.81113178996</v>
      </c>
      <c r="K16" s="18">
        <v>2033</v>
      </c>
      <c r="L16" s="18">
        <v>1</v>
      </c>
      <c r="M16" cm="1">
        <f t="array" ref="M16">IF(project_aboveground_tree = "Included", INDEX(Table32[[#All],[ΔCTREE_PROJ,i,t (AR Tool 14) t C/yr]], MATCH(1, (Table1221[[#This Row],[year t]]=Table32[[#All],[year t]])*(Table1221[[#This Row],[stratum i]]=Table32[[#All],[stratum i]]), 0)), 0)</f>
        <v>5262.5298055652565</v>
      </c>
      <c r="N16" s="57" cm="1">
        <f t="array" ref="N16">IF(project_aboveground_nontree = "Included", INDEX(#REF!, MATCH(1, (Table1221[[#This Row],[year t]]=Table32[[#All],[year t]])*(Table1221[[#This Row],[stratum i]]=Table32[[#All],[stratum i]]), 0)), 0)</f>
        <v>0</v>
      </c>
      <c r="O16">
        <f>12/44*(Table1221[[#This Row],[ΔCTREE_PROJ,t (AR Tool 14) t CO2e/yr]]+Table1221[[#This Row],[ΔCSHRUB_PROJ,t (AR Tool 14) t CO2e/yr]])</f>
        <v>1435.2354015177971</v>
      </c>
      <c r="P16" cm="1">
        <f t="array" ref="P16">IF(project_aboveground_nontree = "Included", IFERROR(INDEX(Table1322[[#All],[ΔCWPS-herb,i,t (Eq 78)]], MATCH(1, (Table1221[[#This Row],[stratum i]]=Table1322[[#All],[stratum i]])*(Table1221[[#This Row],[year t]]&gt;=#REF!)*(Table1221[[#This Row],[year t]]&lt;=Table1322[[#All],[year t]]), 0)), 0), 0)</f>
        <v>0</v>
      </c>
      <c r="Q16">
        <f>Table1221[[#This Row],[ΔCWPS-tree/shrub,i,t (t C/yr) (Eq 75)]]+Table1221[[#This Row],[ΔCWPS-herb,i,t (t C/yr)]]</f>
        <v>1435.2354015177971</v>
      </c>
      <c r="R16" cm="1">
        <f t="array" ref="R16">INDEX(Table1423[[#All],[GHGWPS-soil,i,t]], MATCH(1, (Table1221[[#This Row],[year t]]=Table1423[[#All],[year t]])*(Table1221[[#This Row],[stratum i]]=Table1423[[#All],[stratum i]]), 0))</f>
        <v>-7334.947224967128</v>
      </c>
      <c r="S16">
        <f>IF(project_ff_CO2 = "Included", Table1221[[#This Row],[ET(FC,I,t) AR-Tool 5 WPS]], 0)</f>
        <v>0</v>
      </c>
      <c r="T16" t="e" cm="1">
        <f t="array" ref="T16">INDEX(#REF!, MATCH(1, (Table1221[[#This Row],[year t]]=Table32[[#All],[year t]])*(Table1221[[#This Row],[stratum i]]=Table32[[#All],[stratum i]]), 0))</f>
        <v>#REF!</v>
      </c>
      <c r="AA16" s="45" t="e" cm="1">
        <f t="array" ref="AA16">INDEX(#REF!, MATCH(1, (Table1322[[#This Row],[year t]]=Table32[[#All],[year t]])*(Table1322[[#This Row],[stratum i]]=Table32[[#All],[stratum i]]), 0))</f>
        <v>#REF!</v>
      </c>
      <c r="AB16" s="45" t="e">
        <f>Table1322[[#This Row],[ΔCWPS-herb,i,t (tC/ha)]]</f>
        <v>#REF!</v>
      </c>
      <c r="AE16" s="18">
        <v>2033</v>
      </c>
      <c r="AF16" s="18">
        <v>1</v>
      </c>
      <c r="AG16" s="18" cm="1">
        <f t="array" ref="AG16">INDEX(Table32[[#All],[Ai,t]], MATCH(1, (Table1423[[#This Row],[year t]]=Table32[[#All],[year t]])*(Table1423[[#This Row],[stratum i]]=Table32[[#All],[stratum i]]), 0))</f>
        <v>1090.4420357142858</v>
      </c>
      <c r="AH16" t="str">
        <f>INDEX(Table31[[#All],[Soil type (t=0)]], MATCH(Table1423[[#This Row],[stratum i]], Table31[[#All],[Stratum i]]))</f>
        <v>Mineral soil</v>
      </c>
      <c r="AI16">
        <f>IF(Emission_reduction_from_stock_loss?, INDEX(Table2[[#All],[End_PDT]], MATCH(Table1423[[#This Row],[stratum i]], Table2[[#All],[stratum i]])), crediting_period)</f>
        <v>40</v>
      </c>
      <c r="AJ16">
        <f>IF(Emission_reduction_from_stock_loss?, INDEX(Table2[[#All],[End_SDT]], MATCH(Table1423[[#This Row],[stratum i]], Table2[[#All],[stratum i]])), crediting_period)</f>
        <v>40</v>
      </c>
      <c r="AK16" cm="1">
        <f t="array" ref="AK1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6" cm="1">
        <f t="array" ref="AL16">INDEX(Table32[[#All],[%Calloch WPS]], MATCH(1, (Table1423[[#This Row],[year t]]=Table32[[#All],[year t]])*(Table1423[[#This Row],[stratum i]]=Table32[[#All],[stratum i]]), 0))</f>
        <v>23.561573856247001</v>
      </c>
      <c r="AM1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6">
        <f>(Table1423[[#This Row],[GHGWPS-soil-CO2,i,t]]-Table1423[[#This Row],[Deductionalloch WPS (Eq 38)]])*Table1423[[#This Row],[Ai,t]]</f>
        <v>-7334.947224967128</v>
      </c>
      <c r="AO16" cm="1">
        <f t="array" ref="AO16">IF(project_soil_CH4 = "Included", INDEX(Table1830[[#All],[GHGWPS-soil-CH4,i,t (Eq 59)]], MATCH(1, (Table1423[[#This Row],[year t]]=Table1830[[#All],[year t]])*(Table1423[[#This Row],[stratum i]]=Table1830[[#All],[stratum i]]), 0)), 0)</f>
        <v>0</v>
      </c>
      <c r="AP16" cm="1">
        <f t="array" ref="AP16">IF(project_soil_N2O = "Included", INDEX(Table1830[[#All],[GHGWPS-soil-N2O,i,t (Eq 62)]], MATCH(1, (Table1423[[#This Row],[year t]]=Table1830[[#All],[year t]])*(Table1423[[#This Row],[stratum i]]=Table1830[[#All],[stratum i]]), 0)), 0)</f>
        <v>0</v>
      </c>
      <c r="AQ16">
        <f>Table1423[[#This Row],[Ai,t]]*(Table1423[[#This Row],[GHGWPS-soil-CO2,i,t]]-Table1423[[#This Row],[Deductionalloch WPS (Eq 38)]]+Table1423[[#This Row],[GHGWPS-soil-CH4,i,t]]+Table1423[[#This Row],[GHGWPS-soil-N2O,i,t]])</f>
        <v>-7334.947224967128</v>
      </c>
      <c r="AR16" t="e" cm="1">
        <f t="array" ref="AR16">INDEX(#REF!, MATCH(1, (Table1423[[#This Row],[year t]]=Table32[[#All],[year t]])*(Table1423[[#This Row],[stratum i]]=Table32[[#All],[stratum i]]), 0))</f>
        <v>#REF!</v>
      </c>
      <c r="AS16" t="e" cm="1">
        <f t="array" ref="AS16">INDEX(#REF!, MATCH(1, (Table1423[[#This Row],[year t]]=Table32[[#All],[year t]])*(Table1423[[#This Row],[stratum i]]=Table32[[#All],[stratum i]]), 0))</f>
        <v>#REF!</v>
      </c>
      <c r="AT16" t="e" cm="1">
        <f t="array" ref="AT16">INDEX(#REF!, MATCH(1, (Table1423[[#This Row],[year t]]=Table32[[#All],[year t]])*(Table1423[[#This Row],[stratum i]]=Table32[[#All],[stratum i]]), 0))</f>
        <v>#REF!</v>
      </c>
      <c r="AU16" t="e" cm="1">
        <f t="array" ref="AU16">INDEX(#REF!, MATCH(1, (Table1423[[#This Row],[year t]]=Table32[[#All],[year t]])*(Table1423[[#This Row],[stratum i]]=Table32[[#All],[stratum i]]), 0))</f>
        <v>#REF!</v>
      </c>
      <c r="BB16" s="18">
        <v>2033</v>
      </c>
      <c r="BC16" s="18">
        <v>1</v>
      </c>
      <c r="BD16" cm="1">
        <f t="array" ref="BD16">INDEX(Table32[[#All],[∆CWPS-soil,i,t (tC/ha)]], MATCH(1, (Table1329[[#This Row],[year t]]=Table32[[#All],[year t]])*(Table1329[[#This Row],[stratum i]]=Table32[[#All],[stratum i]]), 0))</f>
        <v>2.4</v>
      </c>
      <c r="BE16">
        <f>-44/12*Table1329[[#This Row],[∆CWPS-soil,i,t (tC/ha)]]</f>
        <v>-8.7999999999999989</v>
      </c>
      <c r="BI16" s="17">
        <v>5</v>
      </c>
      <c r="BJ16" s="18">
        <v>2</v>
      </c>
      <c r="BK16" t="e" cm="1">
        <f t="array" ref="BK16">INDEX(Table32[[#All],[Ai,t]], MATCH(1, (Table1830[[#This Row],[year t]]=Table32[[#All],[year t]])*(Table1830[[#This Row],[stratum i]]=Table32[[#All],[stratum i]]), 0))</f>
        <v>#N/A</v>
      </c>
      <c r="BL16" t="e" cm="1">
        <f t="array" ref="BL16">INDEX(#REF!, MATCH(1, (Table1830[[#This Row],[year t]]=Table32[[#All],[year t]])*(Table1830[[#This Row],[stratum i]]=Table32[[#All],[stratum i]]), 0))</f>
        <v>#REF!</v>
      </c>
      <c r="BM16" t="e" cm="1">
        <f t="array" ref="BM16">INDEX(#REF!, MATCH(1, (Table1830[[#This Row],[year t]]=Table32[[#All],[year t]])*(Table1830[[#This Row],[stratum i]]=Table32[[#All],[stratum i]]), 0))</f>
        <v>#REF!</v>
      </c>
      <c r="BN16" t="e" cm="1">
        <f t="array" ref="BN16">INDEX(#REF!, MATCH(1, (Table1830[[#This Row],[year t]]=Table32[[#All],[year t]])*(Table1830[[#This Row],[stratum i]]=Table32[[#All],[stratum i]]), 0))</f>
        <v>#REF!</v>
      </c>
      <c r="BO16" t="e">
        <f>IF(soil_CH4_approach = "Proxies", Table1830[[#This Row],[ƒ (GHG emission proxy: CH4) WPS]]*GWP_CH4, IF(soil_CH4_approach = "IPCC emission factors", Table1830[[#This Row],[IPCC Emission factor EF(CH4) WPS]]*Table1830[[#This Row],[Ai,t]]*GWP_CH4, Table1830[[#This Row],[CH4(WPS-soil,I,t)]]*GWP_CH4))</f>
        <v>#REF!</v>
      </c>
      <c r="BP16" t="e" cm="1">
        <f t="array" ref="BP16">INDEX(#REF!, MATCH(1, (Table1830[[#This Row],[year t]]=Table32[[#All],[year t]])*(Table1830[[#This Row],[stratum i]]=Table32[[#All],[stratum i]]), 0))</f>
        <v>#REF!</v>
      </c>
      <c r="BQ16" t="e" cm="1">
        <f t="array" ref="BQ16">INDEX(#REF!, MATCH(1, (Table1830[[#This Row],[year t]]=Table32[[#All],[year t]])*(Table1830[[#This Row],[stratum i]]=Table32[[#All],[stratum i]]), 0))</f>
        <v>#REF!</v>
      </c>
      <c r="BR16" t="e" cm="1">
        <f t="array" ref="BR16">INDEX(#REF!, MATCH(1, (Table1830[[#This Row],[year t]]=Table32[[#All],[year t]])*(Table1830[[#This Row],[stratum i]]=Table32[[#All],[stratum i]]), 0))</f>
        <v>#REF!</v>
      </c>
      <c r="BS16" t="e">
        <f>IF(soil_N2O_approach = "Proxies", Table1830[[#This Row],[ƒ (N2O emission proxy: N2O) WPS]]*GWP_N2O, IF(soil_N2O_approach = "IPCC emission factors", Table1830[[#This Row],[IPCC Emission factor EF(N2O) WPS]]*Table1830[[#This Row],[Ai,t]]*GWP_N2O, Table1830[[#This Row],[N2O (WPS-soil,I,t)]]*GWP_N2O))</f>
        <v>#REF!</v>
      </c>
      <c r="BW16" s="17">
        <v>5</v>
      </c>
      <c r="BX16" s="18">
        <v>2</v>
      </c>
      <c r="BY16" t="e" cm="1">
        <f t="array" ref="BY16">INDEX(Table32[[#All],[Ai,t]], MATCH(1, (Table10[[#This Row],[year t]]=Table32[[#All],[year t]])*(Table10[[#This Row],[stratum i]]=Table32[[#All],[stratum i]]), 0))</f>
        <v>#N/A</v>
      </c>
      <c r="BZ16" t="e" cm="1">
        <f t="array" ref="BZ16">INDEX(#REF!, MATCH(1, (Table10[[#This Row],[year t]]=Table32[[#All],[year t]])*(Table10[[#This Row],[stratum i]]=Table32[[#All],[stratum i]]), 0))</f>
        <v>#REF!</v>
      </c>
      <c r="CA16">
        <f t="shared" si="0"/>
        <v>0</v>
      </c>
      <c r="CB16">
        <f t="shared" si="1"/>
        <v>0</v>
      </c>
      <c r="CC16" t="e">
        <f>Table10[[#This Row],[Biomassi,t]]*Table10[[#This Row],[EF(N2O,burn)]]*GWP_N2O*10^(-6)*Table10[[#This Row],[Ai,t]]</f>
        <v>#REF!</v>
      </c>
      <c r="CD16" t="e">
        <f>Table10[[#This Row],[Biomassi,t]]*Table10[[#This Row],[EF(CH4,burn)]]*GWP_CH4*10^(-6)*Table10[[#This Row],[Ai,t]]</f>
        <v>#REF!</v>
      </c>
      <c r="CE16" t="e">
        <f>Table10[[#This Row],[CO2eN2O,i,t (Eq 82)]]+Table10[[#This Row],[CO2eCH4,i,t (Eq 83)]]</f>
        <v>#REF!</v>
      </c>
    </row>
    <row r="17" spans="3:83" x14ac:dyDescent="0.2">
      <c r="C17" s="18">
        <v>2034</v>
      </c>
      <c r="D17">
        <f>-SUMIF( Table1221[[#All],[year t]],  "&lt;="&amp;Table1120[[#This Row],[year t]], Table1221[[#All],[∆𝐶WPS−𝑏𝑖𝑜𝑚𝑎𝑠𝑠,𝑖,t (equation 74)]])*44/12</f>
        <v>-69728.614693039359</v>
      </c>
      <c r="E17">
        <f>SUMIF(Table1221[[#All],[year t]], "&lt;="&amp;Table1120[[#This Row],[year t]],  Table1221[[#All],[𝐺𝐻𝐺WPS−𝑠𝑜𝑖𝑙,𝑖,t]])</f>
        <v>-177733.78455725673</v>
      </c>
      <c r="F17">
        <f>SUMIF(Table1221[[#All],[year t]], "&lt;="&amp;Table1120[[#This Row],[year t]], Table1221[[#All],[𝐺𝐻𝐺WPS−𝑓𝑢𝑒𝑙,𝑖,t]])</f>
        <v>0</v>
      </c>
      <c r="G17">
        <f>IF(project_prescribed_burning = "Included", SUMIF(Table10[[#All],[year t]], "&lt;="&amp;Table1120[[#This Row],[year t]], Table10[[#All],[GHGWPS-burn,i,t (Eq 81)]]), 0)</f>
        <v>0</v>
      </c>
      <c r="H17">
        <f>Table1120[[#This Row],[GHG(WPS-biomass)]]+Table1120[[#This Row],[GHG(WPS-soil)]]+Table1120[[#This Row],[GHG(WPS-burn)]]+Table1120[[#This Row],[GHG(WPS-fuel)]]</f>
        <v>-247462.39925029609</v>
      </c>
      <c r="K17" s="18">
        <v>2034</v>
      </c>
      <c r="L17" s="18">
        <v>1</v>
      </c>
      <c r="M17" cm="1">
        <f t="array" ref="M17">IF(project_aboveground_tree = "Included", INDEX(Table32[[#All],[ΔCTREE_PROJ,i,t (AR Tool 14) t C/yr]], MATCH(1, (Table1221[[#This Row],[year t]]=Table32[[#All],[year t]])*(Table1221[[#This Row],[stratum i]]=Table32[[#All],[stratum i]]), 0)), 0)</f>
        <v>6982.4532152906104</v>
      </c>
      <c r="N17" s="57" cm="1">
        <f t="array" ref="N17">IF(project_aboveground_nontree = "Included", INDEX(#REF!, MATCH(1, (Table1221[[#This Row],[year t]]=Table32[[#All],[year t]])*(Table1221[[#This Row],[stratum i]]=Table32[[#All],[stratum i]]), 0)), 0)</f>
        <v>0</v>
      </c>
      <c r="O17">
        <f>12/44*(Table1221[[#This Row],[ΔCTREE_PROJ,t (AR Tool 14) t CO2e/yr]]+Table1221[[#This Row],[ΔCSHRUB_PROJ,t (AR Tool 14) t CO2e/yr]])</f>
        <v>1904.3054223519846</v>
      </c>
      <c r="P17" cm="1">
        <f t="array" ref="P17">IF(project_aboveground_nontree = "Included", IFERROR(INDEX(Table1322[[#All],[ΔCWPS-herb,i,t (Eq 78)]], MATCH(1, (Table1221[[#This Row],[stratum i]]=Table1322[[#All],[stratum i]])*(Table1221[[#This Row],[year t]]&gt;=#REF!)*(Table1221[[#This Row],[year t]]&lt;=Table1322[[#All],[year t]]), 0)), 0), 0)</f>
        <v>0</v>
      </c>
      <c r="Q17">
        <f>Table1221[[#This Row],[ΔCWPS-tree/shrub,i,t (t C/yr) (Eq 75)]]+Table1221[[#This Row],[ΔCWPS-herb,i,t (t C/yr)]]</f>
        <v>1904.3054223519846</v>
      </c>
      <c r="R17" cm="1">
        <f t="array" ref="R17">INDEX(Table1423[[#All],[GHGWPS-soil,i,t]], MATCH(1, (Table1221[[#This Row],[year t]]=Table1423[[#All],[year t]])*(Table1221[[#This Row],[stratum i]]=Table1423[[#All],[stratum i]]), 0))</f>
        <v>-7334.947224967128</v>
      </c>
      <c r="S17">
        <f>IF(project_ff_CO2 = "Included", Table1221[[#This Row],[ET(FC,I,t) AR-Tool 5 WPS]], 0)</f>
        <v>0</v>
      </c>
      <c r="T17" t="e" cm="1">
        <f t="array" ref="T17">INDEX(#REF!, MATCH(1, (Table1221[[#This Row],[year t]]=Table32[[#All],[year t]])*(Table1221[[#This Row],[stratum i]]=Table32[[#All],[stratum i]]), 0))</f>
        <v>#REF!</v>
      </c>
      <c r="AA17" s="45" t="e" cm="1">
        <f t="array" ref="AA17">INDEX(#REF!, MATCH(1, (Table1322[[#This Row],[year t]]=Table32[[#All],[year t]])*(Table1322[[#This Row],[stratum i]]=Table32[[#All],[stratum i]]), 0))</f>
        <v>#REF!</v>
      </c>
      <c r="AB17" s="45" t="e">
        <f>Table1322[[#This Row],[ΔCWPS-herb,i,t (tC/ha)]]</f>
        <v>#REF!</v>
      </c>
      <c r="AE17" s="18">
        <v>2034</v>
      </c>
      <c r="AF17" s="18">
        <v>1</v>
      </c>
      <c r="AG17" s="17" cm="1">
        <f t="array" ref="AG17">INDEX(Table32[[#All],[Ai,t]], MATCH(1, (Table1423[[#This Row],[year t]]=Table32[[#All],[year t]])*(Table1423[[#This Row],[stratum i]]=Table32[[#All],[stratum i]]), 0))</f>
        <v>1090.4420357142858</v>
      </c>
      <c r="AH17" t="str">
        <f>INDEX(Table31[[#All],[Soil type (t=0)]], MATCH(Table1423[[#This Row],[stratum i]], Table31[[#All],[Stratum i]]))</f>
        <v>Mineral soil</v>
      </c>
      <c r="AI17">
        <f>IF(Emission_reduction_from_stock_loss?, INDEX(Table2[[#All],[End_PDT]], MATCH(Table1423[[#This Row],[stratum i]], Table2[[#All],[stratum i]])), crediting_period)</f>
        <v>40</v>
      </c>
      <c r="AJ17">
        <f>IF(Emission_reduction_from_stock_loss?, INDEX(Table2[[#All],[End_SDT]], MATCH(Table1423[[#This Row],[stratum i]], Table2[[#All],[stratum i]])), crediting_period)</f>
        <v>40</v>
      </c>
      <c r="AK17" cm="1">
        <f t="array" ref="AK1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7" cm="1">
        <f t="array" ref="AL17">INDEX(Table32[[#All],[%Calloch WPS]], MATCH(1, (Table1423[[#This Row],[year t]]=Table32[[#All],[year t]])*(Table1423[[#This Row],[stratum i]]=Table32[[#All],[stratum i]]), 0))</f>
        <v>23.561573856247001</v>
      </c>
      <c r="AM1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7">
        <f>(Table1423[[#This Row],[GHGWPS-soil-CO2,i,t]]-Table1423[[#This Row],[Deductionalloch WPS (Eq 38)]])*Table1423[[#This Row],[Ai,t]]</f>
        <v>-7334.947224967128</v>
      </c>
      <c r="AO17" cm="1">
        <f t="array" ref="AO17">IF(project_soil_CH4 = "Included", INDEX(Table1830[[#All],[GHGWPS-soil-CH4,i,t (Eq 59)]], MATCH(1, (Table1423[[#This Row],[year t]]=Table1830[[#All],[year t]])*(Table1423[[#This Row],[stratum i]]=Table1830[[#All],[stratum i]]), 0)), 0)</f>
        <v>0</v>
      </c>
      <c r="AP17" cm="1">
        <f t="array" ref="AP17">IF(project_soil_N2O = "Included", INDEX(Table1830[[#All],[GHGWPS-soil-N2O,i,t (Eq 62)]], MATCH(1, (Table1423[[#This Row],[year t]]=Table1830[[#All],[year t]])*(Table1423[[#This Row],[stratum i]]=Table1830[[#All],[stratum i]]), 0)), 0)</f>
        <v>0</v>
      </c>
      <c r="AQ17">
        <f>Table1423[[#This Row],[Ai,t]]*(Table1423[[#This Row],[GHGWPS-soil-CO2,i,t]]-Table1423[[#This Row],[Deductionalloch WPS (Eq 38)]]+Table1423[[#This Row],[GHGWPS-soil-CH4,i,t]]+Table1423[[#This Row],[GHGWPS-soil-N2O,i,t]])</f>
        <v>-7334.947224967128</v>
      </c>
      <c r="AR17" t="e" cm="1">
        <f t="array" ref="AR17">INDEX(#REF!, MATCH(1, (Table1423[[#This Row],[year t]]=Table32[[#All],[year t]])*(Table1423[[#This Row],[stratum i]]=Table32[[#All],[stratum i]]), 0))</f>
        <v>#REF!</v>
      </c>
      <c r="AS17" t="e" cm="1">
        <f t="array" ref="AS17">INDEX(#REF!, MATCH(1, (Table1423[[#This Row],[year t]]=Table32[[#All],[year t]])*(Table1423[[#This Row],[stratum i]]=Table32[[#All],[stratum i]]), 0))</f>
        <v>#REF!</v>
      </c>
      <c r="AT17" t="e" cm="1">
        <f t="array" ref="AT17">INDEX(#REF!, MATCH(1, (Table1423[[#This Row],[year t]]=Table32[[#All],[year t]])*(Table1423[[#This Row],[stratum i]]=Table32[[#All],[stratum i]]), 0))</f>
        <v>#REF!</v>
      </c>
      <c r="AU17" t="e" cm="1">
        <f t="array" ref="AU17">INDEX(#REF!, MATCH(1, (Table1423[[#This Row],[year t]]=Table32[[#All],[year t]])*(Table1423[[#This Row],[stratum i]]=Table32[[#All],[stratum i]]), 0))</f>
        <v>#REF!</v>
      </c>
      <c r="BB17" s="18">
        <v>2034</v>
      </c>
      <c r="BC17" s="18">
        <v>1</v>
      </c>
      <c r="BD17" cm="1">
        <f t="array" ref="BD17">INDEX(Table32[[#All],[∆CWPS-soil,i,t (tC/ha)]], MATCH(1, (Table1329[[#This Row],[year t]]=Table32[[#All],[year t]])*(Table1329[[#This Row],[stratum i]]=Table32[[#All],[stratum i]]), 0))</f>
        <v>2.4</v>
      </c>
      <c r="BE17">
        <f>-44/12*Table1329[[#This Row],[∆CWPS-soil,i,t (tC/ha)]]</f>
        <v>-8.7999999999999989</v>
      </c>
      <c r="BI17" s="18">
        <v>6</v>
      </c>
      <c r="BJ17" s="17">
        <v>2</v>
      </c>
      <c r="BK17" s="32" t="e" cm="1">
        <f t="array" ref="BK17">INDEX(Table32[[#All],[Ai,t]], MATCH(1, (Table1830[[#This Row],[year t]]=Table32[[#All],[year t]])*(Table1830[[#This Row],[stratum i]]=Table32[[#All],[stratum i]]), 0))</f>
        <v>#N/A</v>
      </c>
      <c r="BL17" t="e" cm="1">
        <f t="array" ref="BL17">INDEX(#REF!, MATCH(1, (Table1830[[#This Row],[year t]]=Table32[[#All],[year t]])*(Table1830[[#This Row],[stratum i]]=Table32[[#All],[stratum i]]), 0))</f>
        <v>#REF!</v>
      </c>
      <c r="BM17" t="e" cm="1">
        <f t="array" ref="BM17">INDEX(#REF!, MATCH(1, (Table1830[[#This Row],[year t]]=Table32[[#All],[year t]])*(Table1830[[#This Row],[stratum i]]=Table32[[#All],[stratum i]]), 0))</f>
        <v>#REF!</v>
      </c>
      <c r="BN17" t="e" cm="1">
        <f t="array" ref="BN17">INDEX(#REF!, MATCH(1, (Table1830[[#This Row],[year t]]=Table32[[#All],[year t]])*(Table1830[[#This Row],[stratum i]]=Table32[[#All],[stratum i]]), 0))</f>
        <v>#REF!</v>
      </c>
      <c r="BO17" t="e">
        <f>IF(soil_CH4_approach = "Proxies", Table1830[[#This Row],[ƒ (GHG emission proxy: CH4) WPS]]*GWP_CH4, IF(soil_CH4_approach = "IPCC emission factors", Table1830[[#This Row],[IPCC Emission factor EF(CH4) WPS]]*Table1830[[#This Row],[Ai,t]]*GWP_CH4, Table1830[[#This Row],[CH4(WPS-soil,I,t)]]*GWP_CH4))</f>
        <v>#REF!</v>
      </c>
      <c r="BP17" t="e" cm="1">
        <f t="array" ref="BP17">INDEX(#REF!, MATCH(1, (Table1830[[#This Row],[year t]]=Table32[[#All],[year t]])*(Table1830[[#This Row],[stratum i]]=Table32[[#All],[stratum i]]), 0))</f>
        <v>#REF!</v>
      </c>
      <c r="BQ17" t="e" cm="1">
        <f t="array" ref="BQ17">INDEX(#REF!, MATCH(1, (Table1830[[#This Row],[year t]]=Table32[[#All],[year t]])*(Table1830[[#This Row],[stratum i]]=Table32[[#All],[stratum i]]), 0))</f>
        <v>#REF!</v>
      </c>
      <c r="BR17" t="e" cm="1">
        <f t="array" ref="BR17">INDEX(#REF!, MATCH(1, (Table1830[[#This Row],[year t]]=Table32[[#All],[year t]])*(Table1830[[#This Row],[stratum i]]=Table32[[#All],[stratum i]]), 0))</f>
        <v>#REF!</v>
      </c>
      <c r="BS17" t="e">
        <f>IF(soil_N2O_approach = "Proxies", Table1830[[#This Row],[ƒ (N2O emission proxy: N2O) WPS]]*GWP_N2O, IF(soil_N2O_approach = "IPCC emission factors", Table1830[[#This Row],[IPCC Emission factor EF(N2O) WPS]]*Table1830[[#This Row],[Ai,t]]*GWP_N2O, Table1830[[#This Row],[N2O (WPS-soil,I,t)]]*GWP_N2O))</f>
        <v>#REF!</v>
      </c>
      <c r="BW17" s="18">
        <v>6</v>
      </c>
      <c r="BX17" s="17">
        <v>2</v>
      </c>
      <c r="BY17" t="e" cm="1">
        <f t="array" ref="BY17">INDEX(Table32[[#All],[Ai,t]], MATCH(1, (Table10[[#This Row],[year t]]=Table32[[#All],[year t]])*(Table10[[#This Row],[stratum i]]=Table32[[#All],[stratum i]]), 0))</f>
        <v>#N/A</v>
      </c>
      <c r="BZ17" t="e" cm="1">
        <f t="array" ref="BZ17">INDEX(#REF!, MATCH(1, (Table10[[#This Row],[year t]]=Table32[[#All],[year t]])*(Table10[[#This Row],[stratum i]]=Table32[[#All],[stratum i]]), 0))</f>
        <v>#REF!</v>
      </c>
      <c r="CA17">
        <f t="shared" si="0"/>
        <v>0</v>
      </c>
      <c r="CB17">
        <f t="shared" si="1"/>
        <v>0</v>
      </c>
      <c r="CC17" t="e">
        <f>Table10[[#This Row],[Biomassi,t]]*Table10[[#This Row],[EF(N2O,burn)]]*GWP_N2O*10^(-6)*Table10[[#This Row],[Ai,t]]</f>
        <v>#REF!</v>
      </c>
      <c r="CD17" t="e">
        <f>Table10[[#This Row],[Biomassi,t]]*Table10[[#This Row],[EF(CH4,burn)]]*GWP_CH4*10^(-6)*Table10[[#This Row],[Ai,t]]</f>
        <v>#REF!</v>
      </c>
      <c r="CE17" t="e">
        <f>Table10[[#This Row],[CO2eN2O,i,t (Eq 82)]]+Table10[[#This Row],[CO2eCH4,i,t (Eq 83)]]</f>
        <v>#REF!</v>
      </c>
    </row>
    <row r="18" spans="3:83" x14ac:dyDescent="0.2">
      <c r="C18" s="18">
        <v>2035</v>
      </c>
      <c r="D18">
        <f>-SUMIF( Table1221[[#All],[year t]],  "&lt;="&amp;Table1120[[#This Row],[year t]], Table1221[[#All],[∆𝐶WPS−𝑏𝑖𝑜𝑚𝑎𝑠𝑠,𝑖,t (equation 74)]])*44/12</f>
        <v>-106093.73030148662</v>
      </c>
      <c r="E18">
        <f>SUMIF(Table1221[[#All],[year t]], "&lt;="&amp;Table1120[[#This Row],[year t]],  Table1221[[#All],[𝐺𝐻𝐺WPS−𝑠𝑜𝑖𝑙,𝑖,t]])</f>
        <v>-221618.19396546244</v>
      </c>
      <c r="F18">
        <f>SUMIF(Table1221[[#All],[year t]], "&lt;="&amp;Table1120[[#This Row],[year t]], Table1221[[#All],[𝐺𝐻𝐺WPS−𝑓𝑢𝑒𝑙,𝑖,t]])</f>
        <v>0</v>
      </c>
      <c r="G18">
        <f>IF(project_prescribed_burning = "Included", SUMIF(Table10[[#All],[year t]], "&lt;="&amp;Table1120[[#This Row],[year t]], Table10[[#All],[GHGWPS-burn,i,t (Eq 81)]]), 0)</f>
        <v>0</v>
      </c>
      <c r="H18">
        <f>Table1120[[#This Row],[GHG(WPS-biomass)]]+Table1120[[#This Row],[GHG(WPS-soil)]]+Table1120[[#This Row],[GHG(WPS-burn)]]+Table1120[[#This Row],[GHG(WPS-fuel)]]</f>
        <v>-327711.92426694906</v>
      </c>
      <c r="K18" s="18">
        <v>2035</v>
      </c>
      <c r="L18" s="18">
        <v>1</v>
      </c>
      <c r="M18" cm="1">
        <f t="array" ref="M18">IF(project_aboveground_tree = "Included", INDEX(Table32[[#All],[ΔCTREE_PROJ,i,t (AR Tool 14) t C/yr]], MATCH(1, (Table1221[[#This Row],[year t]]=Table32[[#All],[year t]])*(Table1221[[#This Row],[stratum i]]=Table32[[#All],[stratum i]]), 0)), 0)</f>
        <v>8764.3166966670215</v>
      </c>
      <c r="N18" s="57" cm="1">
        <f t="array" ref="N18">IF(project_aboveground_nontree = "Included", INDEX(#REF!, MATCH(1, (Table1221[[#This Row],[year t]]=Table32[[#All],[year t]])*(Table1221[[#This Row],[stratum i]]=Table32[[#All],[stratum i]]), 0)), 0)</f>
        <v>0</v>
      </c>
      <c r="O18">
        <f>12/44*(Table1221[[#This Row],[ΔCTREE_PROJ,t (AR Tool 14) t CO2e/yr]]+Table1221[[#This Row],[ΔCSHRUB_PROJ,t (AR Tool 14) t CO2e/yr]])</f>
        <v>2390.2681900000966</v>
      </c>
      <c r="P18" cm="1">
        <f t="array" ref="P18">IF(project_aboveground_nontree = "Included", IFERROR(INDEX(Table1322[[#All],[ΔCWPS-herb,i,t (Eq 78)]], MATCH(1, (Table1221[[#This Row],[stratum i]]=Table1322[[#All],[stratum i]])*(Table1221[[#This Row],[year t]]&gt;=#REF!)*(Table1221[[#This Row],[year t]]&lt;=Table1322[[#All],[year t]]), 0)), 0), 0)</f>
        <v>0</v>
      </c>
      <c r="Q18">
        <f>Table1221[[#This Row],[ΔCWPS-tree/shrub,i,t (t C/yr) (Eq 75)]]+Table1221[[#This Row],[ΔCWPS-herb,i,t (t C/yr)]]</f>
        <v>2390.2681900000966</v>
      </c>
      <c r="R18" cm="1">
        <f t="array" ref="R18">INDEX(Table1423[[#All],[GHGWPS-soil,i,t]], MATCH(1, (Table1221[[#This Row],[year t]]=Table1423[[#All],[year t]])*(Table1221[[#This Row],[stratum i]]=Table1423[[#All],[stratum i]]), 0))</f>
        <v>-7334.947224967128</v>
      </c>
      <c r="S18">
        <f>IF(project_ff_CO2 = "Included", Table1221[[#This Row],[ET(FC,I,t) AR-Tool 5 WPS]], 0)</f>
        <v>0</v>
      </c>
      <c r="T18" t="e" cm="1">
        <f t="array" ref="T18">INDEX(#REF!, MATCH(1, (Table1221[[#This Row],[year t]]=Table32[[#All],[year t]])*(Table1221[[#This Row],[stratum i]]=Table32[[#All],[stratum i]]), 0))</f>
        <v>#REF!</v>
      </c>
      <c r="AA18" s="45" t="e" cm="1">
        <f t="array" ref="AA18">INDEX(#REF!, MATCH(1, (Table1322[[#This Row],[year t]]=Table32[[#All],[year t]])*(Table1322[[#This Row],[stratum i]]=Table32[[#All],[stratum i]]), 0))</f>
        <v>#REF!</v>
      </c>
      <c r="AB18" s="45" t="e">
        <f>Table1322[[#This Row],[ΔCWPS-herb,i,t (tC/ha)]]</f>
        <v>#REF!</v>
      </c>
      <c r="AE18" s="18">
        <v>2035</v>
      </c>
      <c r="AF18" s="18">
        <v>1</v>
      </c>
      <c r="AG18" s="18" cm="1">
        <f t="array" ref="AG18">INDEX(Table32[[#All],[Ai,t]], MATCH(1, (Table1423[[#This Row],[year t]]=Table32[[#All],[year t]])*(Table1423[[#This Row],[stratum i]]=Table32[[#All],[stratum i]]), 0))</f>
        <v>1090.4420357142858</v>
      </c>
      <c r="AH18" t="str">
        <f>INDEX(Table31[[#All],[Soil type (t=0)]], MATCH(Table1423[[#This Row],[stratum i]], Table31[[#All],[Stratum i]]))</f>
        <v>Mineral soil</v>
      </c>
      <c r="AI18">
        <f>IF(Emission_reduction_from_stock_loss?, INDEX(Table2[[#All],[End_PDT]], MATCH(Table1423[[#This Row],[stratum i]], Table2[[#All],[stratum i]])), crediting_period)</f>
        <v>40</v>
      </c>
      <c r="AJ18">
        <f>IF(Emission_reduction_from_stock_loss?, INDEX(Table2[[#All],[End_SDT]], MATCH(Table1423[[#This Row],[stratum i]], Table2[[#All],[stratum i]])), crediting_period)</f>
        <v>40</v>
      </c>
      <c r="AK18" cm="1">
        <f t="array" ref="AK1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8" cm="1">
        <f t="array" ref="AL18">INDEX(Table32[[#All],[%Calloch WPS]], MATCH(1, (Table1423[[#This Row],[year t]]=Table32[[#All],[year t]])*(Table1423[[#This Row],[stratum i]]=Table32[[#All],[stratum i]]), 0))</f>
        <v>23.561573856247001</v>
      </c>
      <c r="AM1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8">
        <f>(Table1423[[#This Row],[GHGWPS-soil-CO2,i,t]]-Table1423[[#This Row],[Deductionalloch WPS (Eq 38)]])*Table1423[[#This Row],[Ai,t]]</f>
        <v>-7334.947224967128</v>
      </c>
      <c r="AO18" cm="1">
        <f t="array" ref="AO18">IF(project_soil_CH4 = "Included", INDEX(Table1830[[#All],[GHGWPS-soil-CH4,i,t (Eq 59)]], MATCH(1, (Table1423[[#This Row],[year t]]=Table1830[[#All],[year t]])*(Table1423[[#This Row],[stratum i]]=Table1830[[#All],[stratum i]]), 0)), 0)</f>
        <v>0</v>
      </c>
      <c r="AP18" cm="1">
        <f t="array" ref="AP18">IF(project_soil_N2O = "Included", INDEX(Table1830[[#All],[GHGWPS-soil-N2O,i,t (Eq 62)]], MATCH(1, (Table1423[[#This Row],[year t]]=Table1830[[#All],[year t]])*(Table1423[[#This Row],[stratum i]]=Table1830[[#All],[stratum i]]), 0)), 0)</f>
        <v>0</v>
      </c>
      <c r="AQ18">
        <f>Table1423[[#This Row],[Ai,t]]*(Table1423[[#This Row],[GHGWPS-soil-CO2,i,t]]-Table1423[[#This Row],[Deductionalloch WPS (Eq 38)]]+Table1423[[#This Row],[GHGWPS-soil-CH4,i,t]]+Table1423[[#This Row],[GHGWPS-soil-N2O,i,t]])</f>
        <v>-7334.947224967128</v>
      </c>
      <c r="AR18" t="e" cm="1">
        <f t="array" ref="AR18">INDEX(#REF!, MATCH(1, (Table1423[[#This Row],[year t]]=Table32[[#All],[year t]])*(Table1423[[#This Row],[stratum i]]=Table32[[#All],[stratum i]]), 0))</f>
        <v>#REF!</v>
      </c>
      <c r="AS18" t="e" cm="1">
        <f t="array" ref="AS18">INDEX(#REF!, MATCH(1, (Table1423[[#This Row],[year t]]=Table32[[#All],[year t]])*(Table1423[[#This Row],[stratum i]]=Table32[[#All],[stratum i]]), 0))</f>
        <v>#REF!</v>
      </c>
      <c r="AT18" t="e" cm="1">
        <f t="array" ref="AT18">INDEX(#REF!, MATCH(1, (Table1423[[#This Row],[year t]]=Table32[[#All],[year t]])*(Table1423[[#This Row],[stratum i]]=Table32[[#All],[stratum i]]), 0))</f>
        <v>#REF!</v>
      </c>
      <c r="AU18" t="e" cm="1">
        <f t="array" ref="AU18">INDEX(#REF!, MATCH(1, (Table1423[[#This Row],[year t]]=Table32[[#All],[year t]])*(Table1423[[#This Row],[stratum i]]=Table32[[#All],[stratum i]]), 0))</f>
        <v>#REF!</v>
      </c>
      <c r="BB18" s="18">
        <v>2035</v>
      </c>
      <c r="BC18" s="18">
        <v>1</v>
      </c>
      <c r="BD18" cm="1">
        <f t="array" ref="BD18">INDEX(Table32[[#All],[∆CWPS-soil,i,t (tC/ha)]], MATCH(1, (Table1329[[#This Row],[year t]]=Table32[[#All],[year t]])*(Table1329[[#This Row],[stratum i]]=Table32[[#All],[stratum i]]), 0))</f>
        <v>2.4</v>
      </c>
      <c r="BE18">
        <f>-44/12*Table1329[[#This Row],[∆CWPS-soil,i,t (tC/ha)]]</f>
        <v>-8.7999999999999989</v>
      </c>
      <c r="BI18" s="17">
        <v>7</v>
      </c>
      <c r="BJ18" s="18">
        <v>2</v>
      </c>
      <c r="BK18" t="e" cm="1">
        <f t="array" ref="BK18">INDEX(Table32[[#All],[Ai,t]], MATCH(1, (Table1830[[#This Row],[year t]]=Table32[[#All],[year t]])*(Table1830[[#This Row],[stratum i]]=Table32[[#All],[stratum i]]), 0))</f>
        <v>#N/A</v>
      </c>
      <c r="BL18" t="e" cm="1">
        <f t="array" ref="BL18">INDEX(#REF!, MATCH(1, (Table1830[[#This Row],[year t]]=Table32[[#All],[year t]])*(Table1830[[#This Row],[stratum i]]=Table32[[#All],[stratum i]]), 0))</f>
        <v>#REF!</v>
      </c>
      <c r="BM18" t="e" cm="1">
        <f t="array" ref="BM18">INDEX(#REF!, MATCH(1, (Table1830[[#This Row],[year t]]=Table32[[#All],[year t]])*(Table1830[[#This Row],[stratum i]]=Table32[[#All],[stratum i]]), 0))</f>
        <v>#REF!</v>
      </c>
      <c r="BN18" t="e" cm="1">
        <f t="array" ref="BN18">INDEX(#REF!, MATCH(1, (Table1830[[#This Row],[year t]]=Table32[[#All],[year t]])*(Table1830[[#This Row],[stratum i]]=Table32[[#All],[stratum i]]), 0))</f>
        <v>#REF!</v>
      </c>
      <c r="BO18" t="e">
        <f>IF(soil_CH4_approach = "Proxies", Table1830[[#This Row],[ƒ (GHG emission proxy: CH4) WPS]]*GWP_CH4, IF(soil_CH4_approach = "IPCC emission factors", Table1830[[#This Row],[IPCC Emission factor EF(CH4) WPS]]*Table1830[[#This Row],[Ai,t]]*GWP_CH4, Table1830[[#This Row],[CH4(WPS-soil,I,t)]]*GWP_CH4))</f>
        <v>#REF!</v>
      </c>
      <c r="BP18" t="e" cm="1">
        <f t="array" ref="BP18">INDEX(#REF!, MATCH(1, (Table1830[[#This Row],[year t]]=Table32[[#All],[year t]])*(Table1830[[#This Row],[stratum i]]=Table32[[#All],[stratum i]]), 0))</f>
        <v>#REF!</v>
      </c>
      <c r="BQ18" t="e" cm="1">
        <f t="array" ref="BQ18">INDEX(#REF!, MATCH(1, (Table1830[[#This Row],[year t]]=Table32[[#All],[year t]])*(Table1830[[#This Row],[stratum i]]=Table32[[#All],[stratum i]]), 0))</f>
        <v>#REF!</v>
      </c>
      <c r="BR18" t="e" cm="1">
        <f t="array" ref="BR18">INDEX(#REF!, MATCH(1, (Table1830[[#This Row],[year t]]=Table32[[#All],[year t]])*(Table1830[[#This Row],[stratum i]]=Table32[[#All],[stratum i]]), 0))</f>
        <v>#REF!</v>
      </c>
      <c r="BS18" t="e">
        <f>IF(soil_N2O_approach = "Proxies", Table1830[[#This Row],[ƒ (N2O emission proxy: N2O) WPS]]*GWP_N2O, IF(soil_N2O_approach = "IPCC emission factors", Table1830[[#This Row],[IPCC Emission factor EF(N2O) WPS]]*Table1830[[#This Row],[Ai,t]]*GWP_N2O, Table1830[[#This Row],[N2O (WPS-soil,I,t)]]*GWP_N2O))</f>
        <v>#REF!</v>
      </c>
      <c r="BW18" s="17">
        <v>7</v>
      </c>
      <c r="BX18" s="18">
        <v>2</v>
      </c>
      <c r="BY18" t="e" cm="1">
        <f t="array" ref="BY18">INDEX(Table32[[#All],[Ai,t]], MATCH(1, (Table10[[#This Row],[year t]]=Table32[[#All],[year t]])*(Table10[[#This Row],[stratum i]]=Table32[[#All],[stratum i]]), 0))</f>
        <v>#N/A</v>
      </c>
      <c r="BZ18" t="e" cm="1">
        <f t="array" ref="BZ18">INDEX(#REF!, MATCH(1, (Table10[[#This Row],[year t]]=Table32[[#All],[year t]])*(Table10[[#This Row],[stratum i]]=Table32[[#All],[stratum i]]), 0))</f>
        <v>#REF!</v>
      </c>
      <c r="CA18">
        <f t="shared" si="0"/>
        <v>0</v>
      </c>
      <c r="CB18">
        <f t="shared" si="1"/>
        <v>0</v>
      </c>
      <c r="CC18" t="e">
        <f>Table10[[#This Row],[Biomassi,t]]*Table10[[#This Row],[EF(N2O,burn)]]*GWP_N2O*10^(-6)*Table10[[#This Row],[Ai,t]]</f>
        <v>#REF!</v>
      </c>
      <c r="CD18" t="e">
        <f>Table10[[#This Row],[Biomassi,t]]*Table10[[#This Row],[EF(CH4,burn)]]*GWP_CH4*10^(-6)*Table10[[#This Row],[Ai,t]]</f>
        <v>#REF!</v>
      </c>
      <c r="CE18" t="e">
        <f>Table10[[#This Row],[CO2eN2O,i,t (Eq 82)]]+Table10[[#This Row],[CO2eCH4,i,t (Eq 83)]]</f>
        <v>#REF!</v>
      </c>
    </row>
    <row r="19" spans="3:83" x14ac:dyDescent="0.2">
      <c r="C19" s="18">
        <v>2036</v>
      </c>
      <c r="D19">
        <f>-SUMIF( Table1221[[#All],[year t]],  "&lt;="&amp;Table1120[[#This Row],[year t]], Table1221[[#All],[∆𝐶WPS−𝑏𝑖𝑜𝑚𝑎𝑠𝑠,𝑖,t (equation 74)]])*44/12</f>
        <v>-152693.35958807092</v>
      </c>
      <c r="E19">
        <f>SUMIF(Table1221[[#All],[year t]], "&lt;="&amp;Table1120[[#This Row],[year t]],  Table1221[[#All],[𝐺𝐻𝐺WPS−𝑠𝑜𝑖𝑙,𝑖,t]])</f>
        <v>-265502.6033736681</v>
      </c>
      <c r="F19">
        <f>SUMIF(Table1221[[#All],[year t]], "&lt;="&amp;Table1120[[#This Row],[year t]], Table1221[[#All],[𝐺𝐻𝐺WPS−𝑓𝑢𝑒𝑙,𝑖,t]])</f>
        <v>0</v>
      </c>
      <c r="G19">
        <f>IF(project_prescribed_burning = "Included", SUMIF(Table10[[#All],[year t]], "&lt;="&amp;Table1120[[#This Row],[year t]], Table10[[#All],[GHGWPS-burn,i,t (Eq 81)]]), 0)</f>
        <v>0</v>
      </c>
      <c r="H19">
        <f>Table1120[[#This Row],[GHG(WPS-biomass)]]+Table1120[[#This Row],[GHG(WPS-soil)]]+Table1120[[#This Row],[GHG(WPS-burn)]]+Table1120[[#This Row],[GHG(WPS-fuel)]]</f>
        <v>-418195.96296173905</v>
      </c>
      <c r="K19" s="18">
        <v>2036</v>
      </c>
      <c r="L19" s="18">
        <v>1</v>
      </c>
      <c r="M19" cm="1">
        <f t="array" ref="M19">IF(project_aboveground_tree = "Included", INDEX(Table32[[#All],[ΔCTREE_PROJ,i,t (AR Tool 14) t C/yr]], MATCH(1, (Table1221[[#This Row],[year t]]=Table32[[#All],[year t]])*(Table1221[[#This Row],[stratum i]]=Table32[[#All],[stratum i]]), 0)), 0)</f>
        <v>10502.798798261872</v>
      </c>
      <c r="N19" s="57" cm="1">
        <f t="array" ref="N19">IF(project_aboveground_nontree = "Included", INDEX(#REF!, MATCH(1, (Table1221[[#This Row],[year t]]=Table32[[#All],[year t]])*(Table1221[[#This Row],[stratum i]]=Table32[[#All],[stratum i]]), 0)), 0)</f>
        <v>0</v>
      </c>
      <c r="O19">
        <f>12/44*(Table1221[[#This Row],[ΔCTREE_PROJ,t (AR Tool 14) t CO2e/yr]]+Table1221[[#This Row],[ΔCSHRUB_PROJ,t (AR Tool 14) t CO2e/yr]])</f>
        <v>2864.3996722532379</v>
      </c>
      <c r="P19" cm="1">
        <f t="array" ref="P19">IF(project_aboveground_nontree = "Included", IFERROR(INDEX(Table1322[[#All],[ΔCWPS-herb,i,t (Eq 78)]], MATCH(1, (Table1221[[#This Row],[stratum i]]=Table1322[[#All],[stratum i]])*(Table1221[[#This Row],[year t]]&gt;=#REF!)*(Table1221[[#This Row],[year t]]&lt;=Table1322[[#All],[year t]]), 0)), 0), 0)</f>
        <v>0</v>
      </c>
      <c r="Q19">
        <f>Table1221[[#This Row],[ΔCWPS-tree/shrub,i,t (t C/yr) (Eq 75)]]+Table1221[[#This Row],[ΔCWPS-herb,i,t (t C/yr)]]</f>
        <v>2864.3996722532379</v>
      </c>
      <c r="R19" cm="1">
        <f t="array" ref="R19">INDEX(Table1423[[#All],[GHGWPS-soil,i,t]], MATCH(1, (Table1221[[#This Row],[year t]]=Table1423[[#All],[year t]])*(Table1221[[#This Row],[stratum i]]=Table1423[[#All],[stratum i]]), 0))</f>
        <v>-7334.947224967128</v>
      </c>
      <c r="S19">
        <f>IF(project_ff_CO2 = "Included", Table1221[[#This Row],[ET(FC,I,t) AR-Tool 5 WPS]], 0)</f>
        <v>0</v>
      </c>
      <c r="T19" t="e" cm="1">
        <f t="array" ref="T19">INDEX(#REF!, MATCH(1, (Table1221[[#This Row],[year t]]=Table32[[#All],[year t]])*(Table1221[[#This Row],[stratum i]]=Table32[[#All],[stratum i]]), 0))</f>
        <v>#REF!</v>
      </c>
      <c r="AA19" s="45" t="e" cm="1">
        <f t="array" ref="AA19">INDEX(#REF!, MATCH(1, (Table1322[[#This Row],[year t]]=Table32[[#All],[year t]])*(Table1322[[#This Row],[stratum i]]=Table32[[#All],[stratum i]]), 0))</f>
        <v>#REF!</v>
      </c>
      <c r="AB19" s="45" t="e">
        <f>Table1322[[#This Row],[ΔCWPS-herb,i,t (tC/ha)]]</f>
        <v>#REF!</v>
      </c>
      <c r="AE19" s="18">
        <v>2036</v>
      </c>
      <c r="AF19" s="18">
        <v>1</v>
      </c>
      <c r="AG19" s="17" cm="1">
        <f t="array" ref="AG19">INDEX(Table32[[#All],[Ai,t]], MATCH(1, (Table1423[[#This Row],[year t]]=Table32[[#All],[year t]])*(Table1423[[#This Row],[stratum i]]=Table32[[#All],[stratum i]]), 0))</f>
        <v>1090.4420357142858</v>
      </c>
      <c r="AH19" t="str">
        <f>INDEX(Table31[[#All],[Soil type (t=0)]], MATCH(Table1423[[#This Row],[stratum i]], Table31[[#All],[Stratum i]]))</f>
        <v>Mineral soil</v>
      </c>
      <c r="AI19">
        <f>IF(Emission_reduction_from_stock_loss?, INDEX(Table2[[#All],[End_PDT]], MATCH(Table1423[[#This Row],[stratum i]], Table2[[#All],[stratum i]])), crediting_period)</f>
        <v>40</v>
      </c>
      <c r="AJ19">
        <f>IF(Emission_reduction_from_stock_loss?, INDEX(Table2[[#All],[End_SDT]], MATCH(Table1423[[#This Row],[stratum i]], Table2[[#All],[stratum i]])), crediting_period)</f>
        <v>40</v>
      </c>
      <c r="AK19" cm="1">
        <f t="array" ref="AK1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9" cm="1">
        <f t="array" ref="AL19">INDEX(Table32[[#All],[%Calloch WPS]], MATCH(1, (Table1423[[#This Row],[year t]]=Table32[[#All],[year t]])*(Table1423[[#This Row],[stratum i]]=Table32[[#All],[stratum i]]), 0))</f>
        <v>23.561573856247001</v>
      </c>
      <c r="AM1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9">
        <f>(Table1423[[#This Row],[GHGWPS-soil-CO2,i,t]]-Table1423[[#This Row],[Deductionalloch WPS (Eq 38)]])*Table1423[[#This Row],[Ai,t]]</f>
        <v>-7334.947224967128</v>
      </c>
      <c r="AO19" cm="1">
        <f t="array" ref="AO19">IF(project_soil_CH4 = "Included", INDEX(Table1830[[#All],[GHGWPS-soil-CH4,i,t (Eq 59)]], MATCH(1, (Table1423[[#This Row],[year t]]=Table1830[[#All],[year t]])*(Table1423[[#This Row],[stratum i]]=Table1830[[#All],[stratum i]]), 0)), 0)</f>
        <v>0</v>
      </c>
      <c r="AP19" cm="1">
        <f t="array" ref="AP19">IF(project_soil_N2O = "Included", INDEX(Table1830[[#All],[GHGWPS-soil-N2O,i,t (Eq 62)]], MATCH(1, (Table1423[[#This Row],[year t]]=Table1830[[#All],[year t]])*(Table1423[[#This Row],[stratum i]]=Table1830[[#All],[stratum i]]), 0)), 0)</f>
        <v>0</v>
      </c>
      <c r="AQ19">
        <f>Table1423[[#This Row],[Ai,t]]*(Table1423[[#This Row],[GHGWPS-soil-CO2,i,t]]-Table1423[[#This Row],[Deductionalloch WPS (Eq 38)]]+Table1423[[#This Row],[GHGWPS-soil-CH4,i,t]]+Table1423[[#This Row],[GHGWPS-soil-N2O,i,t]])</f>
        <v>-7334.947224967128</v>
      </c>
      <c r="AR19" t="e" cm="1">
        <f t="array" ref="AR19">INDEX(#REF!, MATCH(1, (Table1423[[#This Row],[year t]]=Table32[[#All],[year t]])*(Table1423[[#This Row],[stratum i]]=Table32[[#All],[stratum i]]), 0))</f>
        <v>#REF!</v>
      </c>
      <c r="AS19" t="e" cm="1">
        <f t="array" ref="AS19">INDEX(#REF!, MATCH(1, (Table1423[[#This Row],[year t]]=Table32[[#All],[year t]])*(Table1423[[#This Row],[stratum i]]=Table32[[#All],[stratum i]]), 0))</f>
        <v>#REF!</v>
      </c>
      <c r="AT19" t="e" cm="1">
        <f t="array" ref="AT19">INDEX(#REF!, MATCH(1, (Table1423[[#This Row],[year t]]=Table32[[#All],[year t]])*(Table1423[[#This Row],[stratum i]]=Table32[[#All],[stratum i]]), 0))</f>
        <v>#REF!</v>
      </c>
      <c r="AU19" t="e" cm="1">
        <f t="array" ref="AU19">INDEX(#REF!, MATCH(1, (Table1423[[#This Row],[year t]]=Table32[[#All],[year t]])*(Table1423[[#This Row],[stratum i]]=Table32[[#All],[stratum i]]), 0))</f>
        <v>#REF!</v>
      </c>
      <c r="BB19" s="18">
        <v>2036</v>
      </c>
      <c r="BC19" s="18">
        <v>1</v>
      </c>
      <c r="BD19" cm="1">
        <f t="array" ref="BD19">INDEX(Table32[[#All],[∆CWPS-soil,i,t (tC/ha)]], MATCH(1, (Table1329[[#This Row],[year t]]=Table32[[#All],[year t]])*(Table1329[[#This Row],[stratum i]]=Table32[[#All],[stratum i]]), 0))</f>
        <v>2.4</v>
      </c>
      <c r="BE19">
        <f>-44/12*Table1329[[#This Row],[∆CWPS-soil,i,t (tC/ha)]]</f>
        <v>-8.7999999999999989</v>
      </c>
      <c r="BI19" s="17">
        <v>1</v>
      </c>
      <c r="BJ19" s="17">
        <v>3</v>
      </c>
      <c r="BK19" s="32" t="e" cm="1">
        <f t="array" ref="BK19">INDEX(Table32[[#All],[Ai,t]], MATCH(1, (Table1830[[#This Row],[year t]]=Table32[[#All],[year t]])*(Table1830[[#This Row],[stratum i]]=Table32[[#All],[stratum i]]), 0))</f>
        <v>#N/A</v>
      </c>
      <c r="BL19" t="e" cm="1">
        <f t="array" ref="BL19">INDEX(#REF!, MATCH(1, (Table1830[[#This Row],[year t]]=Table32[[#All],[year t]])*(Table1830[[#This Row],[stratum i]]=Table32[[#All],[stratum i]]), 0))</f>
        <v>#REF!</v>
      </c>
      <c r="BM19" t="e" cm="1">
        <f t="array" ref="BM19">INDEX(#REF!, MATCH(1, (Table1830[[#This Row],[year t]]=Table32[[#All],[year t]])*(Table1830[[#This Row],[stratum i]]=Table32[[#All],[stratum i]]), 0))</f>
        <v>#REF!</v>
      </c>
      <c r="BN19" t="e" cm="1">
        <f t="array" ref="BN19">INDEX(#REF!, MATCH(1, (Table1830[[#This Row],[year t]]=Table32[[#All],[year t]])*(Table1830[[#This Row],[stratum i]]=Table32[[#All],[stratum i]]), 0))</f>
        <v>#REF!</v>
      </c>
      <c r="BO19" t="e">
        <f>IF(soil_CH4_approach = "Proxies", Table1830[[#This Row],[ƒ (GHG emission proxy: CH4) WPS]]*GWP_CH4, IF(soil_CH4_approach = "IPCC emission factors", Table1830[[#This Row],[IPCC Emission factor EF(CH4) WPS]]*Table1830[[#This Row],[Ai,t]]*GWP_CH4, Table1830[[#This Row],[CH4(WPS-soil,I,t)]]*GWP_CH4))</f>
        <v>#REF!</v>
      </c>
      <c r="BP19" t="e" cm="1">
        <f t="array" ref="BP19">INDEX(#REF!, MATCH(1, (Table1830[[#This Row],[year t]]=Table32[[#All],[year t]])*(Table1830[[#This Row],[stratum i]]=Table32[[#All],[stratum i]]), 0))</f>
        <v>#REF!</v>
      </c>
      <c r="BQ19" t="e" cm="1">
        <f t="array" ref="BQ19">INDEX(#REF!, MATCH(1, (Table1830[[#This Row],[year t]]=Table32[[#All],[year t]])*(Table1830[[#This Row],[stratum i]]=Table32[[#All],[stratum i]]), 0))</f>
        <v>#REF!</v>
      </c>
      <c r="BR19" t="e" cm="1">
        <f t="array" ref="BR19">INDEX(#REF!, MATCH(1, (Table1830[[#This Row],[year t]]=Table32[[#All],[year t]])*(Table1830[[#This Row],[stratum i]]=Table32[[#All],[stratum i]]), 0))</f>
        <v>#REF!</v>
      </c>
      <c r="BS19" t="e">
        <f>IF(soil_N2O_approach = "Proxies", Table1830[[#This Row],[ƒ (N2O emission proxy: N2O) WPS]]*GWP_N2O, IF(soil_N2O_approach = "IPCC emission factors", Table1830[[#This Row],[IPCC Emission factor EF(N2O) WPS]]*Table1830[[#This Row],[Ai,t]]*GWP_N2O, Table1830[[#This Row],[N2O (WPS-soil,I,t)]]*GWP_N2O))</f>
        <v>#REF!</v>
      </c>
      <c r="BW19" s="17">
        <v>1</v>
      </c>
      <c r="BX19" s="17">
        <v>3</v>
      </c>
      <c r="BY19" t="e" cm="1">
        <f t="array" ref="BY19">INDEX(Table32[[#All],[Ai,t]], MATCH(1, (Table10[[#This Row],[year t]]=Table32[[#All],[year t]])*(Table10[[#This Row],[stratum i]]=Table32[[#All],[stratum i]]), 0))</f>
        <v>#N/A</v>
      </c>
      <c r="BZ19" t="e" cm="1">
        <f t="array" ref="BZ19">INDEX(#REF!, MATCH(1, (Table10[[#This Row],[year t]]=Table32[[#All],[year t]])*(Table10[[#This Row],[stratum i]]=Table32[[#All],[stratum i]]), 0))</f>
        <v>#REF!</v>
      </c>
      <c r="CA19">
        <f t="shared" si="0"/>
        <v>0</v>
      </c>
      <c r="CB19">
        <f t="shared" si="1"/>
        <v>0</v>
      </c>
      <c r="CC19" t="e">
        <f>Table10[[#This Row],[Biomassi,t]]*Table10[[#This Row],[EF(N2O,burn)]]*GWP_N2O*10^(-6)*Table10[[#This Row],[Ai,t]]</f>
        <v>#REF!</v>
      </c>
      <c r="CD19" t="e">
        <f>Table10[[#This Row],[Biomassi,t]]*Table10[[#This Row],[EF(CH4,burn)]]*GWP_CH4*10^(-6)*Table10[[#This Row],[Ai,t]]</f>
        <v>#REF!</v>
      </c>
      <c r="CE19" t="e">
        <f>Table10[[#This Row],[CO2eN2O,i,t (Eq 82)]]+Table10[[#This Row],[CO2eCH4,i,t (Eq 83)]]</f>
        <v>#REF!</v>
      </c>
    </row>
    <row r="20" spans="3:83" x14ac:dyDescent="0.2">
      <c r="C20" s="18">
        <v>2037</v>
      </c>
      <c r="D20">
        <f>-SUMIF( Table1221[[#All],[year t]],  "&lt;="&amp;Table1120[[#This Row],[year t]], Table1221[[#All],[∆𝐶WPS−𝑏𝑖𝑜𝑚𝑎𝑠𝑠,𝑖,t (equation 74)]])*44/12</f>
        <v>-209624.85440408121</v>
      </c>
      <c r="E20">
        <f>SUMIF(Table1221[[#All],[year t]], "&lt;="&amp;Table1120[[#This Row],[year t]],  Table1221[[#All],[𝐺𝐻𝐺WPS−𝑠𝑜𝑖𝑙,𝑖,t]])</f>
        <v>-309387.01278187369</v>
      </c>
      <c r="F20">
        <f>SUMIF(Table1221[[#All],[year t]], "&lt;="&amp;Table1120[[#This Row],[year t]], Table1221[[#All],[𝐺𝐻𝐺WPS−𝑓𝑢𝑒𝑙,𝑖,t]])</f>
        <v>0</v>
      </c>
      <c r="G20">
        <f>IF(project_prescribed_burning = "Included", SUMIF(Table10[[#All],[year t]], "&lt;="&amp;Table1120[[#This Row],[year t]], Table10[[#All],[GHGWPS-burn,i,t (Eq 81)]]), 0)</f>
        <v>0</v>
      </c>
      <c r="H20">
        <f>Table1120[[#This Row],[GHG(WPS-biomass)]]+Table1120[[#This Row],[GHG(WPS-soil)]]+Table1120[[#This Row],[GHG(WPS-burn)]]+Table1120[[#This Row],[GHG(WPS-fuel)]]</f>
        <v>-519011.86718595494</v>
      </c>
      <c r="K20" s="18">
        <v>2037</v>
      </c>
      <c r="L20" s="18">
        <v>1</v>
      </c>
      <c r="M20" cm="1">
        <f t="array" ref="M20">IF(project_aboveground_tree = "Included", INDEX(Table32[[#All],[ΔCTREE_PROJ,i,t (AR Tool 14) t C/yr]], MATCH(1, (Table1221[[#This Row],[year t]]=Table32[[#All],[year t]])*(Table1221[[#This Row],[stratum i]]=Table32[[#All],[stratum i]]), 0)), 0)</f>
        <v>12104.409195355751</v>
      </c>
      <c r="N20" s="57" cm="1">
        <f t="array" ref="N20">IF(project_aboveground_nontree = "Included", INDEX(#REF!, MATCH(1, (Table1221[[#This Row],[year t]]=Table32[[#All],[year t]])*(Table1221[[#This Row],[stratum i]]=Table32[[#All],[stratum i]]), 0)), 0)</f>
        <v>0</v>
      </c>
      <c r="O20">
        <f>12/44*(Table1221[[#This Row],[ΔCTREE_PROJ,t (AR Tool 14) t CO2e/yr]]+Table1221[[#This Row],[ΔCSHRUB_PROJ,t (AR Tool 14) t CO2e/yr]])</f>
        <v>3301.2025078242955</v>
      </c>
      <c r="P20" cm="1">
        <f t="array" ref="P20">IF(project_aboveground_nontree = "Included", IFERROR(INDEX(Table1322[[#All],[ΔCWPS-herb,i,t (Eq 78)]], MATCH(1, (Table1221[[#This Row],[stratum i]]=Table1322[[#All],[stratum i]])*(Table1221[[#This Row],[year t]]&gt;=#REF!)*(Table1221[[#This Row],[year t]]&lt;=Table1322[[#All],[year t]]), 0)), 0), 0)</f>
        <v>0</v>
      </c>
      <c r="Q20">
        <f>Table1221[[#This Row],[ΔCWPS-tree/shrub,i,t (t C/yr) (Eq 75)]]+Table1221[[#This Row],[ΔCWPS-herb,i,t (t C/yr)]]</f>
        <v>3301.2025078242955</v>
      </c>
      <c r="R20" cm="1">
        <f t="array" ref="R20">INDEX(Table1423[[#All],[GHGWPS-soil,i,t]], MATCH(1, (Table1221[[#This Row],[year t]]=Table1423[[#All],[year t]])*(Table1221[[#This Row],[stratum i]]=Table1423[[#All],[stratum i]]), 0))</f>
        <v>-7334.947224967128</v>
      </c>
      <c r="S20">
        <f>IF(project_ff_CO2 = "Included", Table1221[[#This Row],[ET(FC,I,t) AR-Tool 5 WPS]], 0)</f>
        <v>0</v>
      </c>
      <c r="T20" t="e" cm="1">
        <f t="array" ref="T20">INDEX(#REF!, MATCH(1, (Table1221[[#This Row],[year t]]=Table32[[#All],[year t]])*(Table1221[[#This Row],[stratum i]]=Table32[[#All],[stratum i]]), 0))</f>
        <v>#REF!</v>
      </c>
      <c r="AA20" s="45" t="e" cm="1">
        <f t="array" ref="AA20">INDEX(#REF!, MATCH(1, (Table1322[[#This Row],[year t]]=Table32[[#All],[year t]])*(Table1322[[#This Row],[stratum i]]=Table32[[#All],[stratum i]]), 0))</f>
        <v>#REF!</v>
      </c>
      <c r="AB20" s="45" t="e">
        <f>Table1322[[#This Row],[ΔCWPS-herb,i,t (tC/ha)]]</f>
        <v>#REF!</v>
      </c>
      <c r="AE20" s="18">
        <v>2037</v>
      </c>
      <c r="AF20" s="18">
        <v>1</v>
      </c>
      <c r="AG20" s="18" cm="1">
        <f t="array" ref="AG20">INDEX(Table32[[#All],[Ai,t]], MATCH(1, (Table1423[[#This Row],[year t]]=Table32[[#All],[year t]])*(Table1423[[#This Row],[stratum i]]=Table32[[#All],[stratum i]]), 0))</f>
        <v>1090.4420357142858</v>
      </c>
      <c r="AH20" t="str">
        <f>INDEX(Table31[[#All],[Soil type (t=0)]], MATCH(Table1423[[#This Row],[stratum i]], Table31[[#All],[Stratum i]]))</f>
        <v>Mineral soil</v>
      </c>
      <c r="AI20">
        <f>IF(Emission_reduction_from_stock_loss?, INDEX(Table2[[#All],[End_PDT]], MATCH(Table1423[[#This Row],[stratum i]], Table2[[#All],[stratum i]])), crediting_period)</f>
        <v>40</v>
      </c>
      <c r="AJ20">
        <f>IF(Emission_reduction_from_stock_loss?, INDEX(Table2[[#All],[End_SDT]], MATCH(Table1423[[#This Row],[stratum i]], Table2[[#All],[stratum i]])), crediting_period)</f>
        <v>40</v>
      </c>
      <c r="AK20" cm="1">
        <f t="array" ref="AK2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0" cm="1">
        <f t="array" ref="AL20">INDEX(Table32[[#All],[%Calloch WPS]], MATCH(1, (Table1423[[#This Row],[year t]]=Table32[[#All],[year t]])*(Table1423[[#This Row],[stratum i]]=Table32[[#All],[stratum i]]), 0))</f>
        <v>23.561573856247001</v>
      </c>
      <c r="AM2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0">
        <f>(Table1423[[#This Row],[GHGWPS-soil-CO2,i,t]]-Table1423[[#This Row],[Deductionalloch WPS (Eq 38)]])*Table1423[[#This Row],[Ai,t]]</f>
        <v>-7334.947224967128</v>
      </c>
      <c r="AO20" cm="1">
        <f t="array" ref="AO20">IF(project_soil_CH4 = "Included", INDEX(Table1830[[#All],[GHGWPS-soil-CH4,i,t (Eq 59)]], MATCH(1, (Table1423[[#This Row],[year t]]=Table1830[[#All],[year t]])*(Table1423[[#This Row],[stratum i]]=Table1830[[#All],[stratum i]]), 0)), 0)</f>
        <v>0</v>
      </c>
      <c r="AP20" cm="1">
        <f t="array" ref="AP20">IF(project_soil_N2O = "Included", INDEX(Table1830[[#All],[GHGWPS-soil-N2O,i,t (Eq 62)]], MATCH(1, (Table1423[[#This Row],[year t]]=Table1830[[#All],[year t]])*(Table1423[[#This Row],[stratum i]]=Table1830[[#All],[stratum i]]), 0)), 0)</f>
        <v>0</v>
      </c>
      <c r="AQ20">
        <f>Table1423[[#This Row],[Ai,t]]*(Table1423[[#This Row],[GHGWPS-soil-CO2,i,t]]-Table1423[[#This Row],[Deductionalloch WPS (Eq 38)]]+Table1423[[#This Row],[GHGWPS-soil-CH4,i,t]]+Table1423[[#This Row],[GHGWPS-soil-N2O,i,t]])</f>
        <v>-7334.947224967128</v>
      </c>
      <c r="AR20" t="e" cm="1">
        <f t="array" ref="AR20">INDEX(#REF!, MATCH(1, (Table1423[[#This Row],[year t]]=Table32[[#All],[year t]])*(Table1423[[#This Row],[stratum i]]=Table32[[#All],[stratum i]]), 0))</f>
        <v>#REF!</v>
      </c>
      <c r="AS20" t="e" cm="1">
        <f t="array" ref="AS20">INDEX(#REF!, MATCH(1, (Table1423[[#This Row],[year t]]=Table32[[#All],[year t]])*(Table1423[[#This Row],[stratum i]]=Table32[[#All],[stratum i]]), 0))</f>
        <v>#REF!</v>
      </c>
      <c r="AT20" t="e" cm="1">
        <f t="array" ref="AT20">INDEX(#REF!, MATCH(1, (Table1423[[#This Row],[year t]]=Table32[[#All],[year t]])*(Table1423[[#This Row],[stratum i]]=Table32[[#All],[stratum i]]), 0))</f>
        <v>#REF!</v>
      </c>
      <c r="AU20" t="e" cm="1">
        <f t="array" ref="AU20">INDEX(#REF!, MATCH(1, (Table1423[[#This Row],[year t]]=Table32[[#All],[year t]])*(Table1423[[#This Row],[stratum i]]=Table32[[#All],[stratum i]]), 0))</f>
        <v>#REF!</v>
      </c>
      <c r="BB20" s="18">
        <v>2037</v>
      </c>
      <c r="BC20" s="18">
        <v>1</v>
      </c>
      <c r="BD20" cm="1">
        <f t="array" ref="BD20">INDEX(Table32[[#All],[∆CWPS-soil,i,t (tC/ha)]], MATCH(1, (Table1329[[#This Row],[year t]]=Table32[[#All],[year t]])*(Table1329[[#This Row],[stratum i]]=Table32[[#All],[stratum i]]), 0))</f>
        <v>2.4</v>
      </c>
      <c r="BE20">
        <f>-44/12*Table1329[[#This Row],[∆CWPS-soil,i,t (tC/ha)]]</f>
        <v>-8.7999999999999989</v>
      </c>
      <c r="BI20" s="18">
        <v>2</v>
      </c>
      <c r="BJ20" s="18">
        <v>3</v>
      </c>
      <c r="BK20" t="e" cm="1">
        <f t="array" ref="BK20">INDEX(Table32[[#All],[Ai,t]], MATCH(1, (Table1830[[#This Row],[year t]]=Table32[[#All],[year t]])*(Table1830[[#This Row],[stratum i]]=Table32[[#All],[stratum i]]), 0))</f>
        <v>#N/A</v>
      </c>
      <c r="BL20" t="e" cm="1">
        <f t="array" ref="BL20">INDEX(#REF!, MATCH(1, (Table1830[[#This Row],[year t]]=Table32[[#All],[year t]])*(Table1830[[#This Row],[stratum i]]=Table32[[#All],[stratum i]]), 0))</f>
        <v>#REF!</v>
      </c>
      <c r="BM20" t="e" cm="1">
        <f t="array" ref="BM20">INDEX(#REF!, MATCH(1, (Table1830[[#This Row],[year t]]=Table32[[#All],[year t]])*(Table1830[[#This Row],[stratum i]]=Table32[[#All],[stratum i]]), 0))</f>
        <v>#REF!</v>
      </c>
      <c r="BN20" t="e" cm="1">
        <f t="array" ref="BN20">INDEX(#REF!, MATCH(1, (Table1830[[#This Row],[year t]]=Table32[[#All],[year t]])*(Table1830[[#This Row],[stratum i]]=Table32[[#All],[stratum i]]), 0))</f>
        <v>#REF!</v>
      </c>
      <c r="BO20" t="e">
        <f>IF(soil_CH4_approach = "Proxies", Table1830[[#This Row],[ƒ (GHG emission proxy: CH4) WPS]]*GWP_CH4, IF(soil_CH4_approach = "IPCC emission factors", Table1830[[#This Row],[IPCC Emission factor EF(CH4) WPS]]*Table1830[[#This Row],[Ai,t]]*GWP_CH4, Table1830[[#This Row],[CH4(WPS-soil,I,t)]]*GWP_CH4))</f>
        <v>#REF!</v>
      </c>
      <c r="BP20" t="e" cm="1">
        <f t="array" ref="BP20">INDEX(#REF!, MATCH(1, (Table1830[[#This Row],[year t]]=Table32[[#All],[year t]])*(Table1830[[#This Row],[stratum i]]=Table32[[#All],[stratum i]]), 0))</f>
        <v>#REF!</v>
      </c>
      <c r="BQ20" t="e" cm="1">
        <f t="array" ref="BQ20">INDEX(#REF!, MATCH(1, (Table1830[[#This Row],[year t]]=Table32[[#All],[year t]])*(Table1830[[#This Row],[stratum i]]=Table32[[#All],[stratum i]]), 0))</f>
        <v>#REF!</v>
      </c>
      <c r="BR20" t="e" cm="1">
        <f t="array" ref="BR20">INDEX(#REF!, MATCH(1, (Table1830[[#This Row],[year t]]=Table32[[#All],[year t]])*(Table1830[[#This Row],[stratum i]]=Table32[[#All],[stratum i]]), 0))</f>
        <v>#REF!</v>
      </c>
      <c r="BS20" t="e">
        <f>IF(soil_N2O_approach = "Proxies", Table1830[[#This Row],[ƒ (N2O emission proxy: N2O) WPS]]*GWP_N2O, IF(soil_N2O_approach = "IPCC emission factors", Table1830[[#This Row],[IPCC Emission factor EF(N2O) WPS]]*Table1830[[#This Row],[Ai,t]]*GWP_N2O, Table1830[[#This Row],[N2O (WPS-soil,I,t)]]*GWP_N2O))</f>
        <v>#REF!</v>
      </c>
      <c r="BW20" s="18">
        <v>2</v>
      </c>
      <c r="BX20" s="18">
        <v>3</v>
      </c>
      <c r="BY20" t="e" cm="1">
        <f t="array" ref="BY20">INDEX(Table32[[#All],[Ai,t]], MATCH(1, (Table10[[#This Row],[year t]]=Table32[[#All],[year t]])*(Table10[[#This Row],[stratum i]]=Table32[[#All],[stratum i]]), 0))</f>
        <v>#N/A</v>
      </c>
      <c r="BZ20" t="e" cm="1">
        <f t="array" ref="BZ20">INDEX(#REF!, MATCH(1, (Table10[[#This Row],[year t]]=Table32[[#All],[year t]])*(Table10[[#This Row],[stratum i]]=Table32[[#All],[stratum i]]), 0))</f>
        <v>#REF!</v>
      </c>
      <c r="CA20">
        <f t="shared" si="0"/>
        <v>0</v>
      </c>
      <c r="CB20">
        <f t="shared" si="1"/>
        <v>0</v>
      </c>
      <c r="CC20" t="e">
        <f>Table10[[#This Row],[Biomassi,t]]*Table10[[#This Row],[EF(N2O,burn)]]*GWP_N2O*10^(-6)*Table10[[#This Row],[Ai,t]]</f>
        <v>#REF!</v>
      </c>
      <c r="CD20" t="e">
        <f>Table10[[#This Row],[Biomassi,t]]*Table10[[#This Row],[EF(CH4,burn)]]*GWP_CH4*10^(-6)*Table10[[#This Row],[Ai,t]]</f>
        <v>#REF!</v>
      </c>
      <c r="CE20" t="e">
        <f>Table10[[#This Row],[CO2eN2O,i,t (Eq 82)]]+Table10[[#This Row],[CO2eCH4,i,t (Eq 83)]]</f>
        <v>#REF!</v>
      </c>
    </row>
    <row r="21" spans="3:83" x14ac:dyDescent="0.2">
      <c r="C21" s="18">
        <v>2038</v>
      </c>
      <c r="D21">
        <f>-SUMIF( Table1221[[#All],[year t]],  "&lt;="&amp;Table1120[[#This Row],[year t]], Table1221[[#All],[∆𝐶WPS−𝑏𝑖𝑜𝑚𝑎𝑠𝑠,𝑖,t (equation 74)]])*44/12</f>
        <v>-276410.47659834864</v>
      </c>
      <c r="E21">
        <f>SUMIF(Table1221[[#All],[year t]], "&lt;="&amp;Table1120[[#This Row],[year t]],  Table1221[[#All],[𝐺𝐻𝐺WPS−𝑠𝑜𝑖𝑙,𝑖,t]])</f>
        <v>-353271.42219007935</v>
      </c>
      <c r="F21">
        <f>SUMIF(Table1221[[#All],[year t]], "&lt;="&amp;Table1120[[#This Row],[year t]], Table1221[[#All],[𝐺𝐻𝐺WPS−𝑓𝑢𝑒𝑙,𝑖,t]])</f>
        <v>0</v>
      </c>
      <c r="G21">
        <f>IF(project_prescribed_burning = "Included", SUMIF(Table10[[#All],[year t]], "&lt;="&amp;Table1120[[#This Row],[year t]], Table10[[#All],[GHGWPS-burn,i,t (Eq 81)]]), 0)</f>
        <v>0</v>
      </c>
      <c r="H21">
        <f>Table1120[[#This Row],[GHG(WPS-biomass)]]+Table1120[[#This Row],[GHG(WPS-soil)]]+Table1120[[#This Row],[GHG(WPS-burn)]]+Table1120[[#This Row],[GHG(WPS-fuel)]]</f>
        <v>-629681.89878842793</v>
      </c>
      <c r="K21" s="18">
        <v>2038</v>
      </c>
      <c r="L21" s="18">
        <v>1</v>
      </c>
      <c r="M21" cm="1">
        <f t="array" ref="M21">IF(project_aboveground_tree = "Included", INDEX(Table32[[#All],[ΔCTREE_PROJ,i,t (AR Tool 14) t C/yr]], MATCH(1, (Table1221[[#This Row],[year t]]=Table32[[#All],[year t]])*(Table1221[[#This Row],[stratum i]]=Table32[[#All],[stratum i]]), 0)), 0)</f>
        <v>13495.875638670143</v>
      </c>
      <c r="N21" s="57" cm="1">
        <f t="array" ref="N21">IF(project_aboveground_nontree = "Included", INDEX(#REF!, MATCH(1, (Table1221[[#This Row],[year t]]=Table32[[#All],[year t]])*(Table1221[[#This Row],[stratum i]]=Table32[[#All],[stratum i]]), 0)), 0)</f>
        <v>0</v>
      </c>
      <c r="O21">
        <f>12/44*(Table1221[[#This Row],[ΔCTREE_PROJ,t (AR Tool 14) t CO2e/yr]]+Table1221[[#This Row],[ΔCSHRUB_PROJ,t (AR Tool 14) t CO2e/yr]])</f>
        <v>3680.6933560009475</v>
      </c>
      <c r="P21" cm="1">
        <f t="array" ref="P21">IF(project_aboveground_nontree = "Included", IFERROR(INDEX(Table1322[[#All],[ΔCWPS-herb,i,t (Eq 78)]], MATCH(1, (Table1221[[#This Row],[stratum i]]=Table1322[[#All],[stratum i]])*(Table1221[[#This Row],[year t]]&gt;=#REF!)*(Table1221[[#This Row],[year t]]&lt;=Table1322[[#All],[year t]]), 0)), 0), 0)</f>
        <v>0</v>
      </c>
      <c r="Q21">
        <f>Table1221[[#This Row],[ΔCWPS-tree/shrub,i,t (t C/yr) (Eq 75)]]+Table1221[[#This Row],[ΔCWPS-herb,i,t (t C/yr)]]</f>
        <v>3680.6933560009475</v>
      </c>
      <c r="R21" cm="1">
        <f t="array" ref="R21">INDEX(Table1423[[#All],[GHGWPS-soil,i,t]], MATCH(1, (Table1221[[#This Row],[year t]]=Table1423[[#All],[year t]])*(Table1221[[#This Row],[stratum i]]=Table1423[[#All],[stratum i]]), 0))</f>
        <v>-7334.947224967128</v>
      </c>
      <c r="S21">
        <f>IF(project_ff_CO2 = "Included", Table1221[[#This Row],[ET(FC,I,t) AR-Tool 5 WPS]], 0)</f>
        <v>0</v>
      </c>
      <c r="T21" t="e" cm="1">
        <f t="array" ref="T21">INDEX(#REF!, MATCH(1, (Table1221[[#This Row],[year t]]=Table32[[#All],[year t]])*(Table1221[[#This Row],[stratum i]]=Table32[[#All],[stratum i]]), 0))</f>
        <v>#REF!</v>
      </c>
      <c r="AA21" s="45" t="e" cm="1">
        <f t="array" ref="AA21">INDEX(#REF!, MATCH(1, (Table1322[[#This Row],[year t]]=Table32[[#All],[year t]])*(Table1322[[#This Row],[stratum i]]=Table32[[#All],[stratum i]]), 0))</f>
        <v>#REF!</v>
      </c>
      <c r="AB21" s="45" t="e">
        <f>Table1322[[#This Row],[ΔCWPS-herb,i,t (tC/ha)]]</f>
        <v>#REF!</v>
      </c>
      <c r="AE21" s="18">
        <v>2038</v>
      </c>
      <c r="AF21" s="18">
        <v>1</v>
      </c>
      <c r="AG21" s="17" cm="1">
        <f t="array" ref="AG21">INDEX(Table32[[#All],[Ai,t]], MATCH(1, (Table1423[[#This Row],[year t]]=Table32[[#All],[year t]])*(Table1423[[#This Row],[stratum i]]=Table32[[#All],[stratum i]]), 0))</f>
        <v>1090.4420357142858</v>
      </c>
      <c r="AH21" t="str">
        <f>INDEX(Table31[[#All],[Soil type (t=0)]], MATCH(Table1423[[#This Row],[stratum i]], Table31[[#All],[Stratum i]]))</f>
        <v>Mineral soil</v>
      </c>
      <c r="AI21">
        <f>IF(Emission_reduction_from_stock_loss?, INDEX(Table2[[#All],[End_PDT]], MATCH(Table1423[[#This Row],[stratum i]], Table2[[#All],[stratum i]])), crediting_period)</f>
        <v>40</v>
      </c>
      <c r="AJ21">
        <f>IF(Emission_reduction_from_stock_loss?, INDEX(Table2[[#All],[End_SDT]], MATCH(Table1423[[#This Row],[stratum i]], Table2[[#All],[stratum i]])), crediting_period)</f>
        <v>40</v>
      </c>
      <c r="AK21" cm="1">
        <f t="array" ref="AK2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1" cm="1">
        <f t="array" ref="AL21">INDEX(Table32[[#All],[%Calloch WPS]], MATCH(1, (Table1423[[#This Row],[year t]]=Table32[[#All],[year t]])*(Table1423[[#This Row],[stratum i]]=Table32[[#All],[stratum i]]), 0))</f>
        <v>23.561573856247001</v>
      </c>
      <c r="AM2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1">
        <f>(Table1423[[#This Row],[GHGWPS-soil-CO2,i,t]]-Table1423[[#This Row],[Deductionalloch WPS (Eq 38)]])*Table1423[[#This Row],[Ai,t]]</f>
        <v>-7334.947224967128</v>
      </c>
      <c r="AO21" cm="1">
        <f t="array" ref="AO21">IF(project_soil_CH4 = "Included", INDEX(Table1830[[#All],[GHGWPS-soil-CH4,i,t (Eq 59)]], MATCH(1, (Table1423[[#This Row],[year t]]=Table1830[[#All],[year t]])*(Table1423[[#This Row],[stratum i]]=Table1830[[#All],[stratum i]]), 0)), 0)</f>
        <v>0</v>
      </c>
      <c r="AP21" cm="1">
        <f t="array" ref="AP21">IF(project_soil_N2O = "Included", INDEX(Table1830[[#All],[GHGWPS-soil-N2O,i,t (Eq 62)]], MATCH(1, (Table1423[[#This Row],[year t]]=Table1830[[#All],[year t]])*(Table1423[[#This Row],[stratum i]]=Table1830[[#All],[stratum i]]), 0)), 0)</f>
        <v>0</v>
      </c>
      <c r="AQ21">
        <f>Table1423[[#This Row],[Ai,t]]*(Table1423[[#This Row],[GHGWPS-soil-CO2,i,t]]-Table1423[[#This Row],[Deductionalloch WPS (Eq 38)]]+Table1423[[#This Row],[GHGWPS-soil-CH4,i,t]]+Table1423[[#This Row],[GHGWPS-soil-N2O,i,t]])</f>
        <v>-7334.947224967128</v>
      </c>
      <c r="AR21" t="e" cm="1">
        <f t="array" ref="AR21">INDEX(#REF!, MATCH(1, (Table1423[[#This Row],[year t]]=Table32[[#All],[year t]])*(Table1423[[#This Row],[stratum i]]=Table32[[#All],[stratum i]]), 0))</f>
        <v>#REF!</v>
      </c>
      <c r="AS21" t="e" cm="1">
        <f t="array" ref="AS21">INDEX(#REF!, MATCH(1, (Table1423[[#This Row],[year t]]=Table32[[#All],[year t]])*(Table1423[[#This Row],[stratum i]]=Table32[[#All],[stratum i]]), 0))</f>
        <v>#REF!</v>
      </c>
      <c r="AT21" t="e" cm="1">
        <f t="array" ref="AT21">INDEX(#REF!, MATCH(1, (Table1423[[#This Row],[year t]]=Table32[[#All],[year t]])*(Table1423[[#This Row],[stratum i]]=Table32[[#All],[stratum i]]), 0))</f>
        <v>#REF!</v>
      </c>
      <c r="AU21" t="e" cm="1">
        <f t="array" ref="AU21">INDEX(#REF!, MATCH(1, (Table1423[[#This Row],[year t]]=Table32[[#All],[year t]])*(Table1423[[#This Row],[stratum i]]=Table32[[#All],[stratum i]]), 0))</f>
        <v>#REF!</v>
      </c>
      <c r="BB21" s="18">
        <v>2038</v>
      </c>
      <c r="BC21" s="18">
        <v>1</v>
      </c>
      <c r="BD21" cm="1">
        <f t="array" ref="BD21">INDEX(Table32[[#All],[∆CWPS-soil,i,t (tC/ha)]], MATCH(1, (Table1329[[#This Row],[year t]]=Table32[[#All],[year t]])*(Table1329[[#This Row],[stratum i]]=Table32[[#All],[stratum i]]), 0))</f>
        <v>2.4</v>
      </c>
      <c r="BE21">
        <f>-44/12*Table1329[[#This Row],[∆CWPS-soil,i,t (tC/ha)]]</f>
        <v>-8.7999999999999989</v>
      </c>
      <c r="BI21" s="17">
        <v>3</v>
      </c>
      <c r="BJ21" s="17">
        <v>3</v>
      </c>
      <c r="BK21" s="32" t="e" cm="1">
        <f t="array" ref="BK21">INDEX(Table32[[#All],[Ai,t]], MATCH(1, (Table1830[[#This Row],[year t]]=Table32[[#All],[year t]])*(Table1830[[#This Row],[stratum i]]=Table32[[#All],[stratum i]]), 0))</f>
        <v>#N/A</v>
      </c>
      <c r="BL21" t="e" cm="1">
        <f t="array" ref="BL21">INDEX(#REF!, MATCH(1, (Table1830[[#This Row],[year t]]=Table32[[#All],[year t]])*(Table1830[[#This Row],[stratum i]]=Table32[[#All],[stratum i]]), 0))</f>
        <v>#REF!</v>
      </c>
      <c r="BM21" t="e" cm="1">
        <f t="array" ref="BM21">INDEX(#REF!, MATCH(1, (Table1830[[#This Row],[year t]]=Table32[[#All],[year t]])*(Table1830[[#This Row],[stratum i]]=Table32[[#All],[stratum i]]), 0))</f>
        <v>#REF!</v>
      </c>
      <c r="BN21" t="e" cm="1">
        <f t="array" ref="BN21">INDEX(#REF!, MATCH(1, (Table1830[[#This Row],[year t]]=Table32[[#All],[year t]])*(Table1830[[#This Row],[stratum i]]=Table32[[#All],[stratum i]]), 0))</f>
        <v>#REF!</v>
      </c>
      <c r="BO21" t="e">
        <f>IF(soil_CH4_approach = "Proxies", Table1830[[#This Row],[ƒ (GHG emission proxy: CH4) WPS]]*GWP_CH4, IF(soil_CH4_approach = "IPCC emission factors", Table1830[[#This Row],[IPCC Emission factor EF(CH4) WPS]]*Table1830[[#This Row],[Ai,t]]*GWP_CH4, Table1830[[#This Row],[CH4(WPS-soil,I,t)]]*GWP_CH4))</f>
        <v>#REF!</v>
      </c>
      <c r="BP21" t="e" cm="1">
        <f t="array" ref="BP21">INDEX(#REF!, MATCH(1, (Table1830[[#This Row],[year t]]=Table32[[#All],[year t]])*(Table1830[[#This Row],[stratum i]]=Table32[[#All],[stratum i]]), 0))</f>
        <v>#REF!</v>
      </c>
      <c r="BQ21" t="e" cm="1">
        <f t="array" ref="BQ21">INDEX(#REF!, MATCH(1, (Table1830[[#This Row],[year t]]=Table32[[#All],[year t]])*(Table1830[[#This Row],[stratum i]]=Table32[[#All],[stratum i]]), 0))</f>
        <v>#REF!</v>
      </c>
      <c r="BR21" t="e" cm="1">
        <f t="array" ref="BR21">INDEX(#REF!, MATCH(1, (Table1830[[#This Row],[year t]]=Table32[[#All],[year t]])*(Table1830[[#This Row],[stratum i]]=Table32[[#All],[stratum i]]), 0))</f>
        <v>#REF!</v>
      </c>
      <c r="BS21" t="e">
        <f>IF(soil_N2O_approach = "Proxies", Table1830[[#This Row],[ƒ (N2O emission proxy: N2O) WPS]]*GWP_N2O, IF(soil_N2O_approach = "IPCC emission factors", Table1830[[#This Row],[IPCC Emission factor EF(N2O) WPS]]*Table1830[[#This Row],[Ai,t]]*GWP_N2O, Table1830[[#This Row],[N2O (WPS-soil,I,t)]]*GWP_N2O))</f>
        <v>#REF!</v>
      </c>
      <c r="BW21" s="17">
        <v>3</v>
      </c>
      <c r="BX21" s="17">
        <v>3</v>
      </c>
      <c r="BY21" t="e" cm="1">
        <f t="array" ref="BY21">INDEX(Table32[[#All],[Ai,t]], MATCH(1, (Table10[[#This Row],[year t]]=Table32[[#All],[year t]])*(Table10[[#This Row],[stratum i]]=Table32[[#All],[stratum i]]), 0))</f>
        <v>#N/A</v>
      </c>
      <c r="BZ21" t="e" cm="1">
        <f t="array" ref="BZ21">INDEX(#REF!, MATCH(1, (Table10[[#This Row],[year t]]=Table32[[#All],[year t]])*(Table10[[#This Row],[stratum i]]=Table32[[#All],[stratum i]]), 0))</f>
        <v>#REF!</v>
      </c>
      <c r="CA21">
        <f t="shared" si="0"/>
        <v>0</v>
      </c>
      <c r="CB21">
        <f t="shared" si="1"/>
        <v>0</v>
      </c>
      <c r="CC21" t="e">
        <f>Table10[[#This Row],[Biomassi,t]]*Table10[[#This Row],[EF(N2O,burn)]]*GWP_N2O*10^(-6)*Table10[[#This Row],[Ai,t]]</f>
        <v>#REF!</v>
      </c>
      <c r="CD21" t="e">
        <f>Table10[[#This Row],[Biomassi,t]]*Table10[[#This Row],[EF(CH4,burn)]]*GWP_CH4*10^(-6)*Table10[[#This Row],[Ai,t]]</f>
        <v>#REF!</v>
      </c>
      <c r="CE21" t="e">
        <f>Table10[[#This Row],[CO2eN2O,i,t (Eq 82)]]+Table10[[#This Row],[CO2eCH4,i,t (Eq 83)]]</f>
        <v>#REF!</v>
      </c>
    </row>
    <row r="22" spans="3:83" x14ac:dyDescent="0.2">
      <c r="C22" s="18">
        <v>2039</v>
      </c>
      <c r="D22">
        <f>-SUMIF( Table1221[[#All],[year t]],  "&lt;="&amp;Table1120[[#This Row],[year t]], Table1221[[#All],[∆𝐶WPS−𝑏𝑖𝑜𝑚𝑎𝑠𝑠,𝑖,t (equation 74)]])*44/12</f>
        <v>-352080.66673471965</v>
      </c>
      <c r="E22">
        <f>SUMIF(Table1221[[#All],[year t]], "&lt;="&amp;Table1120[[#This Row],[year t]],  Table1221[[#All],[𝐺𝐻𝐺WPS−𝑠𝑜𝑖𝑙,𝑖,t]])</f>
        <v>-397155.831598285</v>
      </c>
      <c r="F22">
        <f>SUMIF(Table1221[[#All],[year t]], "&lt;="&amp;Table1120[[#This Row],[year t]], Table1221[[#All],[𝐺𝐻𝐺WPS−𝑓𝑢𝑒𝑙,𝑖,t]])</f>
        <v>0</v>
      </c>
      <c r="G22">
        <f>IF(project_prescribed_burning = "Included", SUMIF(Table10[[#All],[year t]], "&lt;="&amp;Table1120[[#This Row],[year t]], Table10[[#All],[GHGWPS-burn,i,t (Eq 81)]]), 0)</f>
        <v>0</v>
      </c>
      <c r="H22">
        <f>Table1120[[#This Row],[GHG(WPS-biomass)]]+Table1120[[#This Row],[GHG(WPS-soil)]]+Table1120[[#This Row],[GHG(WPS-burn)]]+Table1120[[#This Row],[GHG(WPS-fuel)]]</f>
        <v>-749236.49833300465</v>
      </c>
      <c r="K22" s="18">
        <v>2039</v>
      </c>
      <c r="L22" s="18">
        <v>1</v>
      </c>
      <c r="M22" cm="1">
        <f t="array" ref="M22">IF(project_aboveground_tree = "Included", INDEX(Table32[[#All],[ΔCTREE_PROJ,i,t (AR Tool 14) t C/yr]], MATCH(1, (Table1221[[#This Row],[year t]]=Table32[[#All],[year t]])*(Table1221[[#This Row],[stratum i]]=Table32[[#All],[stratum i]]), 0)), 0)</f>
        <v>14627.786031784039</v>
      </c>
      <c r="N22" s="57" cm="1">
        <f t="array" ref="N22">IF(project_aboveground_nontree = "Included", INDEX(#REF!, MATCH(1, (Table1221[[#This Row],[year t]]=Table32[[#All],[year t]])*(Table1221[[#This Row],[stratum i]]=Table32[[#All],[stratum i]]), 0)), 0)</f>
        <v>0</v>
      </c>
      <c r="O22">
        <f>12/44*(Table1221[[#This Row],[ΔCTREE_PROJ,t (AR Tool 14) t CO2e/yr]]+Table1221[[#This Row],[ΔCSHRUB_PROJ,t (AR Tool 14) t CO2e/yr]])</f>
        <v>3989.3961904865555</v>
      </c>
      <c r="P22" cm="1">
        <f t="array" ref="P22">IF(project_aboveground_nontree = "Included", IFERROR(INDEX(Table1322[[#All],[ΔCWPS-herb,i,t (Eq 78)]], MATCH(1, (Table1221[[#This Row],[stratum i]]=Table1322[[#All],[stratum i]])*(Table1221[[#This Row],[year t]]&gt;=#REF!)*(Table1221[[#This Row],[year t]]&lt;=Table1322[[#All],[year t]]), 0)), 0), 0)</f>
        <v>0</v>
      </c>
      <c r="Q22">
        <f>Table1221[[#This Row],[ΔCWPS-tree/shrub,i,t (t C/yr) (Eq 75)]]+Table1221[[#This Row],[ΔCWPS-herb,i,t (t C/yr)]]</f>
        <v>3989.3961904865555</v>
      </c>
      <c r="R22" cm="1">
        <f t="array" ref="R22">INDEX(Table1423[[#All],[GHGWPS-soil,i,t]], MATCH(1, (Table1221[[#This Row],[year t]]=Table1423[[#All],[year t]])*(Table1221[[#This Row],[stratum i]]=Table1423[[#All],[stratum i]]), 0))</f>
        <v>-7334.947224967128</v>
      </c>
      <c r="S22">
        <f>IF(project_ff_CO2 = "Included", Table1221[[#This Row],[ET(FC,I,t) AR-Tool 5 WPS]], 0)</f>
        <v>0</v>
      </c>
      <c r="T22" t="e" cm="1">
        <f t="array" ref="T22">INDEX(#REF!, MATCH(1, (Table1221[[#This Row],[year t]]=Table32[[#All],[year t]])*(Table1221[[#This Row],[stratum i]]=Table32[[#All],[stratum i]]), 0))</f>
        <v>#REF!</v>
      </c>
      <c r="AA22" s="45" t="e" cm="1">
        <f t="array" ref="AA22">INDEX(#REF!, MATCH(1, (Table1322[[#This Row],[year t]]=Table32[[#All],[year t]])*(Table1322[[#This Row],[stratum i]]=Table32[[#All],[stratum i]]), 0))</f>
        <v>#REF!</v>
      </c>
      <c r="AB22" s="45" t="e">
        <f>Table1322[[#This Row],[ΔCWPS-herb,i,t (tC/ha)]]</f>
        <v>#REF!</v>
      </c>
      <c r="AE22" s="18">
        <v>2039</v>
      </c>
      <c r="AF22" s="18">
        <v>1</v>
      </c>
      <c r="AG22" s="18" cm="1">
        <f t="array" ref="AG22">INDEX(Table32[[#All],[Ai,t]], MATCH(1, (Table1423[[#This Row],[year t]]=Table32[[#All],[year t]])*(Table1423[[#This Row],[stratum i]]=Table32[[#All],[stratum i]]), 0))</f>
        <v>1090.4420357142858</v>
      </c>
      <c r="AH22" t="str">
        <f>INDEX(Table31[[#All],[Soil type (t=0)]], MATCH(Table1423[[#This Row],[stratum i]], Table31[[#All],[Stratum i]]))</f>
        <v>Mineral soil</v>
      </c>
      <c r="AI22">
        <f>IF(Emission_reduction_from_stock_loss?, INDEX(Table2[[#All],[End_PDT]], MATCH(Table1423[[#This Row],[stratum i]], Table2[[#All],[stratum i]])), crediting_period)</f>
        <v>40</v>
      </c>
      <c r="AJ22">
        <f>IF(Emission_reduction_from_stock_loss?, INDEX(Table2[[#All],[End_SDT]], MATCH(Table1423[[#This Row],[stratum i]], Table2[[#All],[stratum i]])), crediting_period)</f>
        <v>40</v>
      </c>
      <c r="AK22" cm="1">
        <f t="array" ref="AK2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2" cm="1">
        <f t="array" ref="AL22">INDEX(Table32[[#All],[%Calloch WPS]], MATCH(1, (Table1423[[#This Row],[year t]]=Table32[[#All],[year t]])*(Table1423[[#This Row],[stratum i]]=Table32[[#All],[stratum i]]), 0))</f>
        <v>23.561573856247001</v>
      </c>
      <c r="AM2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2">
        <f>(Table1423[[#This Row],[GHGWPS-soil-CO2,i,t]]-Table1423[[#This Row],[Deductionalloch WPS (Eq 38)]])*Table1423[[#This Row],[Ai,t]]</f>
        <v>-7334.947224967128</v>
      </c>
      <c r="AO22" cm="1">
        <f t="array" ref="AO22">IF(project_soil_CH4 = "Included", INDEX(Table1830[[#All],[GHGWPS-soil-CH4,i,t (Eq 59)]], MATCH(1, (Table1423[[#This Row],[year t]]=Table1830[[#All],[year t]])*(Table1423[[#This Row],[stratum i]]=Table1830[[#All],[stratum i]]), 0)), 0)</f>
        <v>0</v>
      </c>
      <c r="AP22" cm="1">
        <f t="array" ref="AP22">IF(project_soil_N2O = "Included", INDEX(Table1830[[#All],[GHGWPS-soil-N2O,i,t (Eq 62)]], MATCH(1, (Table1423[[#This Row],[year t]]=Table1830[[#All],[year t]])*(Table1423[[#This Row],[stratum i]]=Table1830[[#All],[stratum i]]), 0)), 0)</f>
        <v>0</v>
      </c>
      <c r="AQ22">
        <f>Table1423[[#This Row],[Ai,t]]*(Table1423[[#This Row],[GHGWPS-soil-CO2,i,t]]-Table1423[[#This Row],[Deductionalloch WPS (Eq 38)]]+Table1423[[#This Row],[GHGWPS-soil-CH4,i,t]]+Table1423[[#This Row],[GHGWPS-soil-N2O,i,t]])</f>
        <v>-7334.947224967128</v>
      </c>
      <c r="AR22" t="e" cm="1">
        <f t="array" ref="AR22">INDEX(#REF!, MATCH(1, (Table1423[[#This Row],[year t]]=Table32[[#All],[year t]])*(Table1423[[#This Row],[stratum i]]=Table32[[#All],[stratum i]]), 0))</f>
        <v>#REF!</v>
      </c>
      <c r="AS22" t="e" cm="1">
        <f t="array" ref="AS22">INDEX(#REF!, MATCH(1, (Table1423[[#This Row],[year t]]=Table32[[#All],[year t]])*(Table1423[[#This Row],[stratum i]]=Table32[[#All],[stratum i]]), 0))</f>
        <v>#REF!</v>
      </c>
      <c r="AT22" t="e" cm="1">
        <f t="array" ref="AT22">INDEX(#REF!, MATCH(1, (Table1423[[#This Row],[year t]]=Table32[[#All],[year t]])*(Table1423[[#This Row],[stratum i]]=Table32[[#All],[stratum i]]), 0))</f>
        <v>#REF!</v>
      </c>
      <c r="AU22" t="e" cm="1">
        <f t="array" ref="AU22">INDEX(#REF!, MATCH(1, (Table1423[[#This Row],[year t]]=Table32[[#All],[year t]])*(Table1423[[#This Row],[stratum i]]=Table32[[#All],[stratum i]]), 0))</f>
        <v>#REF!</v>
      </c>
      <c r="BB22" s="18">
        <v>2039</v>
      </c>
      <c r="BC22" s="18">
        <v>1</v>
      </c>
      <c r="BD22" cm="1">
        <f t="array" ref="BD22">INDEX(Table32[[#All],[∆CWPS-soil,i,t (tC/ha)]], MATCH(1, (Table1329[[#This Row],[year t]]=Table32[[#All],[year t]])*(Table1329[[#This Row],[stratum i]]=Table32[[#All],[stratum i]]), 0))</f>
        <v>2.4</v>
      </c>
      <c r="BE22">
        <f>-44/12*Table1329[[#This Row],[∆CWPS-soil,i,t (tC/ha)]]</f>
        <v>-8.7999999999999989</v>
      </c>
      <c r="BI22" s="18">
        <v>4</v>
      </c>
      <c r="BJ22" s="18">
        <v>3</v>
      </c>
      <c r="BK22" t="e" cm="1">
        <f t="array" ref="BK22">INDEX(Table32[[#All],[Ai,t]], MATCH(1, (Table1830[[#This Row],[year t]]=Table32[[#All],[year t]])*(Table1830[[#This Row],[stratum i]]=Table32[[#All],[stratum i]]), 0))</f>
        <v>#N/A</v>
      </c>
      <c r="BL22" t="e" cm="1">
        <f t="array" ref="BL22">INDEX(#REF!, MATCH(1, (Table1830[[#This Row],[year t]]=Table32[[#All],[year t]])*(Table1830[[#This Row],[stratum i]]=Table32[[#All],[stratum i]]), 0))</f>
        <v>#REF!</v>
      </c>
      <c r="BM22" t="e" cm="1">
        <f t="array" ref="BM22">INDEX(#REF!, MATCH(1, (Table1830[[#This Row],[year t]]=Table32[[#All],[year t]])*(Table1830[[#This Row],[stratum i]]=Table32[[#All],[stratum i]]), 0))</f>
        <v>#REF!</v>
      </c>
      <c r="BN22" t="e" cm="1">
        <f t="array" ref="BN22">INDEX(#REF!, MATCH(1, (Table1830[[#This Row],[year t]]=Table32[[#All],[year t]])*(Table1830[[#This Row],[stratum i]]=Table32[[#All],[stratum i]]), 0))</f>
        <v>#REF!</v>
      </c>
      <c r="BO22" t="e">
        <f>IF(soil_CH4_approach = "Proxies", Table1830[[#This Row],[ƒ (GHG emission proxy: CH4) WPS]]*GWP_CH4, IF(soil_CH4_approach = "IPCC emission factors", Table1830[[#This Row],[IPCC Emission factor EF(CH4) WPS]]*Table1830[[#This Row],[Ai,t]]*GWP_CH4, Table1830[[#This Row],[CH4(WPS-soil,I,t)]]*GWP_CH4))</f>
        <v>#REF!</v>
      </c>
      <c r="BP22" t="e" cm="1">
        <f t="array" ref="BP22">INDEX(#REF!, MATCH(1, (Table1830[[#This Row],[year t]]=Table32[[#All],[year t]])*(Table1830[[#This Row],[stratum i]]=Table32[[#All],[stratum i]]), 0))</f>
        <v>#REF!</v>
      </c>
      <c r="BQ22" t="e" cm="1">
        <f t="array" ref="BQ22">INDEX(#REF!, MATCH(1, (Table1830[[#This Row],[year t]]=Table32[[#All],[year t]])*(Table1830[[#This Row],[stratum i]]=Table32[[#All],[stratum i]]), 0))</f>
        <v>#REF!</v>
      </c>
      <c r="BR22" t="e" cm="1">
        <f t="array" ref="BR22">INDEX(#REF!, MATCH(1, (Table1830[[#This Row],[year t]]=Table32[[#All],[year t]])*(Table1830[[#This Row],[stratum i]]=Table32[[#All],[stratum i]]), 0))</f>
        <v>#REF!</v>
      </c>
      <c r="BS22" t="e">
        <f>IF(soil_N2O_approach = "Proxies", Table1830[[#This Row],[ƒ (N2O emission proxy: N2O) WPS]]*GWP_N2O, IF(soil_N2O_approach = "IPCC emission factors", Table1830[[#This Row],[IPCC Emission factor EF(N2O) WPS]]*Table1830[[#This Row],[Ai,t]]*GWP_N2O, Table1830[[#This Row],[N2O (WPS-soil,I,t)]]*GWP_N2O))</f>
        <v>#REF!</v>
      </c>
      <c r="BW22" s="18">
        <v>4</v>
      </c>
      <c r="BX22" s="18">
        <v>3</v>
      </c>
      <c r="BY22" t="e" cm="1">
        <f t="array" ref="BY22">INDEX(Table32[[#All],[Ai,t]], MATCH(1, (Table10[[#This Row],[year t]]=Table32[[#All],[year t]])*(Table10[[#This Row],[stratum i]]=Table32[[#All],[stratum i]]), 0))</f>
        <v>#N/A</v>
      </c>
      <c r="BZ22" t="e" cm="1">
        <f t="array" ref="BZ22">INDEX(#REF!, MATCH(1, (Table10[[#This Row],[year t]]=Table32[[#All],[year t]])*(Table10[[#This Row],[stratum i]]=Table32[[#All],[stratum i]]), 0))</f>
        <v>#REF!</v>
      </c>
      <c r="CA22">
        <f t="shared" si="0"/>
        <v>0</v>
      </c>
      <c r="CB22">
        <f t="shared" si="1"/>
        <v>0</v>
      </c>
      <c r="CC22" t="e">
        <f>Table10[[#This Row],[Biomassi,t]]*Table10[[#This Row],[EF(N2O,burn)]]*GWP_N2O*10^(-6)*Table10[[#This Row],[Ai,t]]</f>
        <v>#REF!</v>
      </c>
      <c r="CD22" t="e">
        <f>Table10[[#This Row],[Biomassi,t]]*Table10[[#This Row],[EF(CH4,burn)]]*GWP_CH4*10^(-6)*Table10[[#This Row],[Ai,t]]</f>
        <v>#REF!</v>
      </c>
      <c r="CE22" t="e">
        <f>Table10[[#This Row],[CO2eN2O,i,t (Eq 82)]]+Table10[[#This Row],[CO2eCH4,i,t (Eq 83)]]</f>
        <v>#REF!</v>
      </c>
    </row>
    <row r="23" spans="3:83" x14ac:dyDescent="0.2">
      <c r="C23" s="18">
        <v>2040</v>
      </c>
      <c r="D23">
        <f>-SUMIF( Table1221[[#All],[year t]],  "&lt;="&amp;Table1120[[#This Row],[year t]], Table1221[[#All],[∆𝐶WPS−𝑏𝑖𝑜𝑚𝑎𝑠𝑠,𝑖,t (equation 74)]])*44/12</f>
        <v>-435295.63152239495</v>
      </c>
      <c r="E23">
        <f>SUMIF(Table1221[[#All],[year t]], "&lt;="&amp;Table1120[[#This Row],[year t]],  Table1221[[#All],[𝐺𝐻𝐺WPS−𝑠𝑜𝑖𝑙,𝑖,t]])</f>
        <v>-441040.24100649066</v>
      </c>
      <c r="F23">
        <f>SUMIF(Table1221[[#All],[year t]], "&lt;="&amp;Table1120[[#This Row],[year t]], Table1221[[#All],[𝐺𝐻𝐺WPS−𝑓𝑢𝑒𝑙,𝑖,t]])</f>
        <v>0</v>
      </c>
      <c r="G23">
        <f>IF(project_prescribed_burning = "Included", SUMIF(Table10[[#All],[year t]], "&lt;="&amp;Table1120[[#This Row],[year t]], Table10[[#All],[GHGWPS-burn,i,t (Eq 81)]]), 0)</f>
        <v>0</v>
      </c>
      <c r="H23">
        <f>Table1120[[#This Row],[GHG(WPS-biomass)]]+Table1120[[#This Row],[GHG(WPS-soil)]]+Table1120[[#This Row],[GHG(WPS-burn)]]+Table1120[[#This Row],[GHG(WPS-fuel)]]</f>
        <v>-876335.87252888561</v>
      </c>
      <c r="K23" s="18">
        <v>2040</v>
      </c>
      <c r="L23" s="18">
        <v>1</v>
      </c>
      <c r="M23" cm="1">
        <f t="array" ref="M23">IF(project_aboveground_tree = "Included", INDEX(Table32[[#All],[ΔCTREE_PROJ,i,t (AR Tool 14) t C/yr]], MATCH(1, (Table1221[[#This Row],[year t]]=Table32[[#All],[year t]])*(Table1221[[#This Row],[stratum i]]=Table32[[#All],[stratum i]]), 0)), 0)</f>
        <v>15474.390619892409</v>
      </c>
      <c r="N23" s="57" cm="1">
        <f t="array" ref="N23">IF(project_aboveground_nontree = "Included", INDEX(#REF!, MATCH(1, (Table1221[[#This Row],[year t]]=Table32[[#All],[year t]])*(Table1221[[#This Row],[stratum i]]=Table32[[#All],[stratum i]]), 0)), 0)</f>
        <v>0</v>
      </c>
      <c r="O23">
        <f>12/44*(Table1221[[#This Row],[ΔCTREE_PROJ,t (AR Tool 14) t CO2e/yr]]+Table1221[[#This Row],[ΔCSHRUB_PROJ,t (AR Tool 14) t CO2e/yr]])</f>
        <v>4220.2883508797477</v>
      </c>
      <c r="P23" cm="1">
        <f t="array" ref="P23">IF(project_aboveground_nontree = "Included", IFERROR(INDEX(Table1322[[#All],[ΔCWPS-herb,i,t (Eq 78)]], MATCH(1, (Table1221[[#This Row],[stratum i]]=Table1322[[#All],[stratum i]])*(Table1221[[#This Row],[year t]]&gt;=#REF!)*(Table1221[[#This Row],[year t]]&lt;=Table1322[[#All],[year t]]), 0)), 0), 0)</f>
        <v>0</v>
      </c>
      <c r="Q23">
        <f>Table1221[[#This Row],[ΔCWPS-tree/shrub,i,t (t C/yr) (Eq 75)]]+Table1221[[#This Row],[ΔCWPS-herb,i,t (t C/yr)]]</f>
        <v>4220.2883508797477</v>
      </c>
      <c r="R23" cm="1">
        <f t="array" ref="R23">INDEX(Table1423[[#All],[GHGWPS-soil,i,t]], MATCH(1, (Table1221[[#This Row],[year t]]=Table1423[[#All],[year t]])*(Table1221[[#This Row],[stratum i]]=Table1423[[#All],[stratum i]]), 0))</f>
        <v>-7334.947224967128</v>
      </c>
      <c r="S23">
        <f>IF(project_ff_CO2 = "Included", Table1221[[#This Row],[ET(FC,I,t) AR-Tool 5 WPS]], 0)</f>
        <v>0</v>
      </c>
      <c r="T23" t="e" cm="1">
        <f t="array" ref="T23">INDEX(#REF!, MATCH(1, (Table1221[[#This Row],[year t]]=Table32[[#All],[year t]])*(Table1221[[#This Row],[stratum i]]=Table32[[#All],[stratum i]]), 0))</f>
        <v>#REF!</v>
      </c>
      <c r="AA23" s="45" t="e" cm="1">
        <f t="array" ref="AA23">INDEX(#REF!, MATCH(1, (Table1322[[#This Row],[year t]]=Table32[[#All],[year t]])*(Table1322[[#This Row],[stratum i]]=Table32[[#All],[stratum i]]), 0))</f>
        <v>#REF!</v>
      </c>
      <c r="AB23" s="45" t="e">
        <f>Table1322[[#This Row],[ΔCWPS-herb,i,t (tC/ha)]]</f>
        <v>#REF!</v>
      </c>
      <c r="AE23" s="18">
        <v>2040</v>
      </c>
      <c r="AF23" s="18">
        <v>1</v>
      </c>
      <c r="AG23" s="17" cm="1">
        <f t="array" ref="AG23">INDEX(Table32[[#All],[Ai,t]], MATCH(1, (Table1423[[#This Row],[year t]]=Table32[[#All],[year t]])*(Table1423[[#This Row],[stratum i]]=Table32[[#All],[stratum i]]), 0))</f>
        <v>1090.4420357142858</v>
      </c>
      <c r="AH23" t="str">
        <f>INDEX(Table31[[#All],[Soil type (t=0)]], MATCH(Table1423[[#This Row],[stratum i]], Table31[[#All],[Stratum i]]))</f>
        <v>Mineral soil</v>
      </c>
      <c r="AI23">
        <f>IF(Emission_reduction_from_stock_loss?, INDEX(Table2[[#All],[End_PDT]], MATCH(Table1423[[#This Row],[stratum i]], Table2[[#All],[stratum i]])), crediting_period)</f>
        <v>40</v>
      </c>
      <c r="AJ23">
        <f>IF(Emission_reduction_from_stock_loss?, INDEX(Table2[[#All],[End_SDT]], MATCH(Table1423[[#This Row],[stratum i]], Table2[[#All],[stratum i]])), crediting_period)</f>
        <v>40</v>
      </c>
      <c r="AK23" cm="1">
        <f t="array" ref="AK2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3" cm="1">
        <f t="array" ref="AL23">INDEX(Table32[[#All],[%Calloch WPS]], MATCH(1, (Table1423[[#This Row],[year t]]=Table32[[#All],[year t]])*(Table1423[[#This Row],[stratum i]]=Table32[[#All],[stratum i]]), 0))</f>
        <v>23.561573856247001</v>
      </c>
      <c r="AM2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3">
        <f>(Table1423[[#This Row],[GHGWPS-soil-CO2,i,t]]-Table1423[[#This Row],[Deductionalloch WPS (Eq 38)]])*Table1423[[#This Row],[Ai,t]]</f>
        <v>-7334.947224967128</v>
      </c>
      <c r="AO23" cm="1">
        <f t="array" ref="AO23">IF(project_soil_CH4 = "Included", INDEX(Table1830[[#All],[GHGWPS-soil-CH4,i,t (Eq 59)]], MATCH(1, (Table1423[[#This Row],[year t]]=Table1830[[#All],[year t]])*(Table1423[[#This Row],[stratum i]]=Table1830[[#All],[stratum i]]), 0)), 0)</f>
        <v>0</v>
      </c>
      <c r="AP23" cm="1">
        <f t="array" ref="AP23">IF(project_soil_N2O = "Included", INDEX(Table1830[[#All],[GHGWPS-soil-N2O,i,t (Eq 62)]], MATCH(1, (Table1423[[#This Row],[year t]]=Table1830[[#All],[year t]])*(Table1423[[#This Row],[stratum i]]=Table1830[[#All],[stratum i]]), 0)), 0)</f>
        <v>0</v>
      </c>
      <c r="AQ23">
        <f>Table1423[[#This Row],[Ai,t]]*(Table1423[[#This Row],[GHGWPS-soil-CO2,i,t]]-Table1423[[#This Row],[Deductionalloch WPS (Eq 38)]]+Table1423[[#This Row],[GHGWPS-soil-CH4,i,t]]+Table1423[[#This Row],[GHGWPS-soil-N2O,i,t]])</f>
        <v>-7334.947224967128</v>
      </c>
      <c r="AR23" t="e" cm="1">
        <f t="array" ref="AR23">INDEX(#REF!, MATCH(1, (Table1423[[#This Row],[year t]]=Table32[[#All],[year t]])*(Table1423[[#This Row],[stratum i]]=Table32[[#All],[stratum i]]), 0))</f>
        <v>#REF!</v>
      </c>
      <c r="AS23" t="e" cm="1">
        <f t="array" ref="AS23">INDEX(#REF!, MATCH(1, (Table1423[[#This Row],[year t]]=Table32[[#All],[year t]])*(Table1423[[#This Row],[stratum i]]=Table32[[#All],[stratum i]]), 0))</f>
        <v>#REF!</v>
      </c>
      <c r="AT23" t="e" cm="1">
        <f t="array" ref="AT23">INDEX(#REF!, MATCH(1, (Table1423[[#This Row],[year t]]=Table32[[#All],[year t]])*(Table1423[[#This Row],[stratum i]]=Table32[[#All],[stratum i]]), 0))</f>
        <v>#REF!</v>
      </c>
      <c r="AU23" t="e" cm="1">
        <f t="array" ref="AU23">INDEX(#REF!, MATCH(1, (Table1423[[#This Row],[year t]]=Table32[[#All],[year t]])*(Table1423[[#This Row],[stratum i]]=Table32[[#All],[stratum i]]), 0))</f>
        <v>#REF!</v>
      </c>
      <c r="BB23" s="18">
        <v>2040</v>
      </c>
      <c r="BC23" s="18">
        <v>1</v>
      </c>
      <c r="BD23" cm="1">
        <f t="array" ref="BD23">INDEX(Table32[[#All],[∆CWPS-soil,i,t (tC/ha)]], MATCH(1, (Table1329[[#This Row],[year t]]=Table32[[#All],[year t]])*(Table1329[[#This Row],[stratum i]]=Table32[[#All],[stratum i]]), 0))</f>
        <v>2.4</v>
      </c>
      <c r="BE23">
        <f>-44/12*Table1329[[#This Row],[∆CWPS-soil,i,t (tC/ha)]]</f>
        <v>-8.7999999999999989</v>
      </c>
      <c r="BI23" s="17">
        <v>5</v>
      </c>
      <c r="BJ23" s="17">
        <v>3</v>
      </c>
      <c r="BK23" s="32" t="e" cm="1">
        <f t="array" ref="BK23">INDEX(Table32[[#All],[Ai,t]], MATCH(1, (Table1830[[#This Row],[year t]]=Table32[[#All],[year t]])*(Table1830[[#This Row],[stratum i]]=Table32[[#All],[stratum i]]), 0))</f>
        <v>#N/A</v>
      </c>
      <c r="BL23" t="e" cm="1">
        <f t="array" ref="BL23">INDEX(#REF!, MATCH(1, (Table1830[[#This Row],[year t]]=Table32[[#All],[year t]])*(Table1830[[#This Row],[stratum i]]=Table32[[#All],[stratum i]]), 0))</f>
        <v>#REF!</v>
      </c>
      <c r="BM23" t="e" cm="1">
        <f t="array" ref="BM23">INDEX(#REF!, MATCH(1, (Table1830[[#This Row],[year t]]=Table32[[#All],[year t]])*(Table1830[[#This Row],[stratum i]]=Table32[[#All],[stratum i]]), 0))</f>
        <v>#REF!</v>
      </c>
      <c r="BN23" t="e" cm="1">
        <f t="array" ref="BN23">INDEX(#REF!, MATCH(1, (Table1830[[#This Row],[year t]]=Table32[[#All],[year t]])*(Table1830[[#This Row],[stratum i]]=Table32[[#All],[stratum i]]), 0))</f>
        <v>#REF!</v>
      </c>
      <c r="BO23" t="e">
        <f>IF(soil_CH4_approach = "Proxies", Table1830[[#This Row],[ƒ (GHG emission proxy: CH4) WPS]]*GWP_CH4, IF(soil_CH4_approach = "IPCC emission factors", Table1830[[#This Row],[IPCC Emission factor EF(CH4) WPS]]*Table1830[[#This Row],[Ai,t]]*GWP_CH4, Table1830[[#This Row],[CH4(WPS-soil,I,t)]]*GWP_CH4))</f>
        <v>#REF!</v>
      </c>
      <c r="BP23" t="e" cm="1">
        <f t="array" ref="BP23">INDEX(#REF!, MATCH(1, (Table1830[[#This Row],[year t]]=Table32[[#All],[year t]])*(Table1830[[#This Row],[stratum i]]=Table32[[#All],[stratum i]]), 0))</f>
        <v>#REF!</v>
      </c>
      <c r="BQ23" t="e" cm="1">
        <f t="array" ref="BQ23">INDEX(#REF!, MATCH(1, (Table1830[[#This Row],[year t]]=Table32[[#All],[year t]])*(Table1830[[#This Row],[stratum i]]=Table32[[#All],[stratum i]]), 0))</f>
        <v>#REF!</v>
      </c>
      <c r="BR23" t="e" cm="1">
        <f t="array" ref="BR23">INDEX(#REF!, MATCH(1, (Table1830[[#This Row],[year t]]=Table32[[#All],[year t]])*(Table1830[[#This Row],[stratum i]]=Table32[[#All],[stratum i]]), 0))</f>
        <v>#REF!</v>
      </c>
      <c r="BS23" t="e">
        <f>IF(soil_N2O_approach = "Proxies", Table1830[[#This Row],[ƒ (N2O emission proxy: N2O) WPS]]*GWP_N2O, IF(soil_N2O_approach = "IPCC emission factors", Table1830[[#This Row],[IPCC Emission factor EF(N2O) WPS]]*Table1830[[#This Row],[Ai,t]]*GWP_N2O, Table1830[[#This Row],[N2O (WPS-soil,I,t)]]*GWP_N2O))</f>
        <v>#REF!</v>
      </c>
      <c r="BW23" s="17">
        <v>5</v>
      </c>
      <c r="BX23" s="17">
        <v>3</v>
      </c>
      <c r="BY23" t="e" cm="1">
        <f t="array" ref="BY23">INDEX(Table32[[#All],[Ai,t]], MATCH(1, (Table10[[#This Row],[year t]]=Table32[[#All],[year t]])*(Table10[[#This Row],[stratum i]]=Table32[[#All],[stratum i]]), 0))</f>
        <v>#N/A</v>
      </c>
      <c r="BZ23" t="e" cm="1">
        <f t="array" ref="BZ23">INDEX(#REF!, MATCH(1, (Table10[[#This Row],[year t]]=Table32[[#All],[year t]])*(Table10[[#This Row],[stratum i]]=Table32[[#All],[stratum i]]), 0))</f>
        <v>#REF!</v>
      </c>
      <c r="CA23">
        <f t="shared" si="0"/>
        <v>0</v>
      </c>
      <c r="CB23">
        <f t="shared" si="1"/>
        <v>0</v>
      </c>
      <c r="CC23" t="e">
        <f>Table10[[#This Row],[Biomassi,t]]*Table10[[#This Row],[EF(N2O,burn)]]*GWP_N2O*10^(-6)*Table10[[#This Row],[Ai,t]]</f>
        <v>#REF!</v>
      </c>
      <c r="CD23" t="e">
        <f>Table10[[#This Row],[Biomassi,t]]*Table10[[#This Row],[EF(CH4,burn)]]*GWP_CH4*10^(-6)*Table10[[#This Row],[Ai,t]]</f>
        <v>#REF!</v>
      </c>
      <c r="CE23" t="e">
        <f>Table10[[#This Row],[CO2eN2O,i,t (Eq 82)]]+Table10[[#This Row],[CO2eCH4,i,t (Eq 83)]]</f>
        <v>#REF!</v>
      </c>
    </row>
    <row r="24" spans="3:83" x14ac:dyDescent="0.2">
      <c r="C24" s="18">
        <v>2041</v>
      </c>
      <c r="D24">
        <f>-SUMIF( Table1221[[#All],[year t]],  "&lt;="&amp;Table1120[[#This Row],[year t]], Table1221[[#All],[∆𝐶WPS−𝑏𝑖𝑜𝑚𝑎𝑠𝑠,𝑖,t (equation 74)]])*44/12</f>
        <v>-524480.64363163011</v>
      </c>
      <c r="E24">
        <f>SUMIF(Table1221[[#All],[year t]], "&lt;="&amp;Table1120[[#This Row],[year t]],  Table1221[[#All],[𝐺𝐻𝐺WPS−𝑠𝑜𝑖𝑙,𝑖,t]])</f>
        <v>-484924.65041469631</v>
      </c>
      <c r="F24">
        <f>SUMIF(Table1221[[#All],[year t]], "&lt;="&amp;Table1120[[#This Row],[year t]], Table1221[[#All],[𝐺𝐻𝐺WPS−𝑓𝑢𝑒𝑙,𝑖,t]])</f>
        <v>0</v>
      </c>
      <c r="G24">
        <f>IF(project_prescribed_burning = "Included", SUMIF(Table10[[#All],[year t]], "&lt;="&amp;Table1120[[#This Row],[year t]], Table10[[#All],[GHGWPS-burn,i,t (Eq 81)]]), 0)</f>
        <v>0</v>
      </c>
      <c r="H24">
        <f>Table1120[[#This Row],[GHG(WPS-biomass)]]+Table1120[[#This Row],[GHG(WPS-soil)]]+Table1120[[#This Row],[GHG(WPS-burn)]]+Table1120[[#This Row],[GHG(WPS-fuel)]]</f>
        <v>-1009405.2940463264</v>
      </c>
      <c r="K24" s="18">
        <v>2041</v>
      </c>
      <c r="L24" s="18">
        <v>1</v>
      </c>
      <c r="M24" cm="1">
        <f t="array" ref="M24">IF(project_aboveground_tree = "Included", INDEX(Table32[[#All],[ΔCTREE_PROJ,i,t (AR Tool 14) t C/yr]], MATCH(1, (Table1221[[#This Row],[year t]]=Table32[[#All],[year t]])*(Table1221[[#This Row],[stratum i]]=Table32[[#All],[stratum i]]), 0)), 0)</f>
        <v>16030.806661250026</v>
      </c>
      <c r="N24" s="57" cm="1">
        <f t="array" ref="N24">IF(project_aboveground_nontree = "Included", INDEX(#REF!, MATCH(1, (Table1221[[#This Row],[year t]]=Table32[[#All],[year t]])*(Table1221[[#This Row],[stratum i]]=Table32[[#All],[stratum i]]), 0)), 0)</f>
        <v>0</v>
      </c>
      <c r="O24">
        <f>12/44*(Table1221[[#This Row],[ΔCTREE_PROJ,t (AR Tool 14) t CO2e/yr]]+Table1221[[#This Row],[ΔCSHRUB_PROJ,t (AR Tool 14) t CO2e/yr]])</f>
        <v>4372.0381803409155</v>
      </c>
      <c r="P24" cm="1">
        <f t="array" ref="P24">IF(project_aboveground_nontree = "Included", IFERROR(INDEX(Table1322[[#All],[ΔCWPS-herb,i,t (Eq 78)]], MATCH(1, (Table1221[[#This Row],[stratum i]]=Table1322[[#All],[stratum i]])*(Table1221[[#This Row],[year t]]&gt;=#REF!)*(Table1221[[#This Row],[year t]]&lt;=Table1322[[#All],[year t]]), 0)), 0), 0)</f>
        <v>0</v>
      </c>
      <c r="Q24">
        <f>Table1221[[#This Row],[ΔCWPS-tree/shrub,i,t (t C/yr) (Eq 75)]]+Table1221[[#This Row],[ΔCWPS-herb,i,t (t C/yr)]]</f>
        <v>4372.0381803409155</v>
      </c>
      <c r="R24" cm="1">
        <f t="array" ref="R24">INDEX(Table1423[[#All],[GHGWPS-soil,i,t]], MATCH(1, (Table1221[[#This Row],[year t]]=Table1423[[#All],[year t]])*(Table1221[[#This Row],[stratum i]]=Table1423[[#All],[stratum i]]), 0))</f>
        <v>-7334.947224967128</v>
      </c>
      <c r="S24">
        <f>IF(project_ff_CO2 = "Included", Table1221[[#This Row],[ET(FC,I,t) AR-Tool 5 WPS]], 0)</f>
        <v>0</v>
      </c>
      <c r="T24" t="e" cm="1">
        <f t="array" ref="T24">INDEX(#REF!, MATCH(1, (Table1221[[#This Row],[year t]]=Table32[[#All],[year t]])*(Table1221[[#This Row],[stratum i]]=Table32[[#All],[stratum i]]), 0))</f>
        <v>#REF!</v>
      </c>
      <c r="AA24" s="45" t="e" cm="1">
        <f t="array" ref="AA24">INDEX(#REF!, MATCH(1, (Table1322[[#This Row],[year t]]=Table32[[#All],[year t]])*(Table1322[[#This Row],[stratum i]]=Table32[[#All],[stratum i]]), 0))</f>
        <v>#REF!</v>
      </c>
      <c r="AB24" s="45" t="e">
        <f>Table1322[[#This Row],[ΔCWPS-herb,i,t (tC/ha)]]</f>
        <v>#REF!</v>
      </c>
      <c r="AE24" s="18">
        <v>2041</v>
      </c>
      <c r="AF24" s="18">
        <v>1</v>
      </c>
      <c r="AG24" s="18" cm="1">
        <f t="array" ref="AG24">INDEX(Table32[[#All],[Ai,t]], MATCH(1, (Table1423[[#This Row],[year t]]=Table32[[#All],[year t]])*(Table1423[[#This Row],[stratum i]]=Table32[[#All],[stratum i]]), 0))</f>
        <v>1090.4420357142858</v>
      </c>
      <c r="AH24" t="str">
        <f>INDEX(Table31[[#All],[Soil type (t=0)]], MATCH(Table1423[[#This Row],[stratum i]], Table31[[#All],[Stratum i]]))</f>
        <v>Mineral soil</v>
      </c>
      <c r="AI24">
        <f>IF(Emission_reduction_from_stock_loss?, INDEX(Table2[[#All],[End_PDT]], MATCH(Table1423[[#This Row],[stratum i]], Table2[[#All],[stratum i]])), crediting_period)</f>
        <v>40</v>
      </c>
      <c r="AJ24">
        <f>IF(Emission_reduction_from_stock_loss?, INDEX(Table2[[#All],[End_SDT]], MATCH(Table1423[[#This Row],[stratum i]], Table2[[#All],[stratum i]])), crediting_period)</f>
        <v>40</v>
      </c>
      <c r="AK24" cm="1">
        <f t="array" ref="AK2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4" cm="1">
        <f t="array" ref="AL24">INDEX(Table32[[#All],[%Calloch WPS]], MATCH(1, (Table1423[[#This Row],[year t]]=Table32[[#All],[year t]])*(Table1423[[#This Row],[stratum i]]=Table32[[#All],[stratum i]]), 0))</f>
        <v>23.561573856247001</v>
      </c>
      <c r="AM2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4">
        <f>(Table1423[[#This Row],[GHGWPS-soil-CO2,i,t]]-Table1423[[#This Row],[Deductionalloch WPS (Eq 38)]])*Table1423[[#This Row],[Ai,t]]</f>
        <v>-7334.947224967128</v>
      </c>
      <c r="AO24" cm="1">
        <f t="array" ref="AO24">IF(project_soil_CH4 = "Included", INDEX(Table1830[[#All],[GHGWPS-soil-CH4,i,t (Eq 59)]], MATCH(1, (Table1423[[#This Row],[year t]]=Table1830[[#All],[year t]])*(Table1423[[#This Row],[stratum i]]=Table1830[[#All],[stratum i]]), 0)), 0)</f>
        <v>0</v>
      </c>
      <c r="AP24" cm="1">
        <f t="array" ref="AP24">IF(project_soil_N2O = "Included", INDEX(Table1830[[#All],[GHGWPS-soil-N2O,i,t (Eq 62)]], MATCH(1, (Table1423[[#This Row],[year t]]=Table1830[[#All],[year t]])*(Table1423[[#This Row],[stratum i]]=Table1830[[#All],[stratum i]]), 0)), 0)</f>
        <v>0</v>
      </c>
      <c r="AQ24">
        <f>Table1423[[#This Row],[Ai,t]]*(Table1423[[#This Row],[GHGWPS-soil-CO2,i,t]]-Table1423[[#This Row],[Deductionalloch WPS (Eq 38)]]+Table1423[[#This Row],[GHGWPS-soil-CH4,i,t]]+Table1423[[#This Row],[GHGWPS-soil-N2O,i,t]])</f>
        <v>-7334.947224967128</v>
      </c>
      <c r="AR24" t="e" cm="1">
        <f t="array" ref="AR24">INDEX(#REF!, MATCH(1, (Table1423[[#This Row],[year t]]=Table32[[#All],[year t]])*(Table1423[[#This Row],[stratum i]]=Table32[[#All],[stratum i]]), 0))</f>
        <v>#REF!</v>
      </c>
      <c r="AS24" t="e" cm="1">
        <f t="array" ref="AS24">INDEX(#REF!, MATCH(1, (Table1423[[#This Row],[year t]]=Table32[[#All],[year t]])*(Table1423[[#This Row],[stratum i]]=Table32[[#All],[stratum i]]), 0))</f>
        <v>#REF!</v>
      </c>
      <c r="AT24" t="e" cm="1">
        <f t="array" ref="AT24">INDEX(#REF!, MATCH(1, (Table1423[[#This Row],[year t]]=Table32[[#All],[year t]])*(Table1423[[#This Row],[stratum i]]=Table32[[#All],[stratum i]]), 0))</f>
        <v>#REF!</v>
      </c>
      <c r="AU24" t="e" cm="1">
        <f t="array" ref="AU24">INDEX(#REF!, MATCH(1, (Table1423[[#This Row],[year t]]=Table32[[#All],[year t]])*(Table1423[[#This Row],[stratum i]]=Table32[[#All],[stratum i]]), 0))</f>
        <v>#REF!</v>
      </c>
      <c r="BB24" s="18">
        <v>2041</v>
      </c>
      <c r="BC24" s="18">
        <v>1</v>
      </c>
      <c r="BD24" cm="1">
        <f t="array" ref="BD24">INDEX(Table32[[#All],[∆CWPS-soil,i,t (tC/ha)]], MATCH(1, (Table1329[[#This Row],[year t]]=Table32[[#All],[year t]])*(Table1329[[#This Row],[stratum i]]=Table32[[#All],[stratum i]]), 0))</f>
        <v>2.4</v>
      </c>
      <c r="BE24">
        <f>-44/12*Table1329[[#This Row],[∆CWPS-soil,i,t (tC/ha)]]</f>
        <v>-8.7999999999999989</v>
      </c>
      <c r="BI24" s="18">
        <v>6</v>
      </c>
      <c r="BJ24" s="18">
        <v>3</v>
      </c>
      <c r="BK24" t="e" cm="1">
        <f t="array" ref="BK24">INDEX(Table32[[#All],[Ai,t]], MATCH(1, (Table1830[[#This Row],[year t]]=Table32[[#All],[year t]])*(Table1830[[#This Row],[stratum i]]=Table32[[#All],[stratum i]]), 0))</f>
        <v>#N/A</v>
      </c>
      <c r="BL24" t="e" cm="1">
        <f t="array" ref="BL24">INDEX(#REF!, MATCH(1, (Table1830[[#This Row],[year t]]=Table32[[#All],[year t]])*(Table1830[[#This Row],[stratum i]]=Table32[[#All],[stratum i]]), 0))</f>
        <v>#REF!</v>
      </c>
      <c r="BM24" t="e" cm="1">
        <f t="array" ref="BM24">INDEX(#REF!, MATCH(1, (Table1830[[#This Row],[year t]]=Table32[[#All],[year t]])*(Table1830[[#This Row],[stratum i]]=Table32[[#All],[stratum i]]), 0))</f>
        <v>#REF!</v>
      </c>
      <c r="BN24" t="e" cm="1">
        <f t="array" ref="BN24">INDEX(#REF!, MATCH(1, (Table1830[[#This Row],[year t]]=Table32[[#All],[year t]])*(Table1830[[#This Row],[stratum i]]=Table32[[#All],[stratum i]]), 0))</f>
        <v>#REF!</v>
      </c>
      <c r="BO24" t="e">
        <f>IF(soil_CH4_approach = "Proxies", Table1830[[#This Row],[ƒ (GHG emission proxy: CH4) WPS]]*GWP_CH4, IF(soil_CH4_approach = "IPCC emission factors", Table1830[[#This Row],[IPCC Emission factor EF(CH4) WPS]]*Table1830[[#This Row],[Ai,t]]*GWP_CH4, Table1830[[#This Row],[CH4(WPS-soil,I,t)]]*GWP_CH4))</f>
        <v>#REF!</v>
      </c>
      <c r="BP24" t="e" cm="1">
        <f t="array" ref="BP24">INDEX(#REF!, MATCH(1, (Table1830[[#This Row],[year t]]=Table32[[#All],[year t]])*(Table1830[[#This Row],[stratum i]]=Table32[[#All],[stratum i]]), 0))</f>
        <v>#REF!</v>
      </c>
      <c r="BQ24" t="e" cm="1">
        <f t="array" ref="BQ24">INDEX(#REF!, MATCH(1, (Table1830[[#This Row],[year t]]=Table32[[#All],[year t]])*(Table1830[[#This Row],[stratum i]]=Table32[[#All],[stratum i]]), 0))</f>
        <v>#REF!</v>
      </c>
      <c r="BR24" t="e" cm="1">
        <f t="array" ref="BR24">INDEX(#REF!, MATCH(1, (Table1830[[#This Row],[year t]]=Table32[[#All],[year t]])*(Table1830[[#This Row],[stratum i]]=Table32[[#All],[stratum i]]), 0))</f>
        <v>#REF!</v>
      </c>
      <c r="BS24" t="e">
        <f>IF(soil_N2O_approach = "Proxies", Table1830[[#This Row],[ƒ (N2O emission proxy: N2O) WPS]]*GWP_N2O, IF(soil_N2O_approach = "IPCC emission factors", Table1830[[#This Row],[IPCC Emission factor EF(N2O) WPS]]*Table1830[[#This Row],[Ai,t]]*GWP_N2O, Table1830[[#This Row],[N2O (WPS-soil,I,t)]]*GWP_N2O))</f>
        <v>#REF!</v>
      </c>
      <c r="BW24" s="18">
        <v>6</v>
      </c>
      <c r="BX24" s="18">
        <v>3</v>
      </c>
      <c r="BY24" t="e" cm="1">
        <f t="array" ref="BY24">INDEX(Table32[[#All],[Ai,t]], MATCH(1, (Table10[[#This Row],[year t]]=Table32[[#All],[year t]])*(Table10[[#This Row],[stratum i]]=Table32[[#All],[stratum i]]), 0))</f>
        <v>#N/A</v>
      </c>
      <c r="BZ24" t="e" cm="1">
        <f t="array" ref="BZ24">INDEX(#REF!, MATCH(1, (Table10[[#This Row],[year t]]=Table32[[#All],[year t]])*(Table10[[#This Row],[stratum i]]=Table32[[#All],[stratum i]]), 0))</f>
        <v>#REF!</v>
      </c>
      <c r="CA24">
        <f t="shared" si="0"/>
        <v>0</v>
      </c>
      <c r="CB24">
        <f t="shared" si="1"/>
        <v>0</v>
      </c>
      <c r="CC24" t="e">
        <f>Table10[[#This Row],[Biomassi,t]]*Table10[[#This Row],[EF(N2O,burn)]]*GWP_N2O*10^(-6)*Table10[[#This Row],[Ai,t]]</f>
        <v>#REF!</v>
      </c>
      <c r="CD24" t="e">
        <f>Table10[[#This Row],[Biomassi,t]]*Table10[[#This Row],[EF(CH4,burn)]]*GWP_CH4*10^(-6)*Table10[[#This Row],[Ai,t]]</f>
        <v>#REF!</v>
      </c>
      <c r="CE24" t="e">
        <f>Table10[[#This Row],[CO2eN2O,i,t (Eq 82)]]+Table10[[#This Row],[CO2eCH4,i,t (Eq 83)]]</f>
        <v>#REF!</v>
      </c>
    </row>
    <row r="25" spans="3:83" x14ac:dyDescent="0.2">
      <c r="C25" s="18">
        <v>2042</v>
      </c>
      <c r="D25">
        <f>-SUMIF( Table1221[[#All],[year t]],  "&lt;="&amp;Table1120[[#This Row],[year t]], Table1221[[#All],[∆𝐶WPS−𝑏𝑖𝑜𝑚𝑎𝑠𝑠,𝑖,t (equation 74)]])*44/12</f>
        <v>-617955.76397093525</v>
      </c>
      <c r="E25">
        <f>SUMIF(Table1221[[#All],[year t]], "&lt;="&amp;Table1120[[#This Row],[year t]],  Table1221[[#All],[𝐺𝐻𝐺WPS−𝑠𝑜𝑖𝑙,𝑖,t]])</f>
        <v>-528809.05982290197</v>
      </c>
      <c r="F25">
        <f>SUMIF(Table1221[[#All],[year t]], "&lt;="&amp;Table1120[[#This Row],[year t]], Table1221[[#All],[𝐺𝐻𝐺WPS−𝑓𝑢𝑒𝑙,𝑖,t]])</f>
        <v>0</v>
      </c>
      <c r="G25">
        <f>IF(project_prescribed_burning = "Included", SUMIF(Table10[[#All],[year t]], "&lt;="&amp;Table1120[[#This Row],[year t]], Table10[[#All],[GHGWPS-burn,i,t (Eq 81)]]), 0)</f>
        <v>0</v>
      </c>
      <c r="H25">
        <f>Table1120[[#This Row],[GHG(WPS-biomass)]]+Table1120[[#This Row],[GHG(WPS-soil)]]+Table1120[[#This Row],[GHG(WPS-burn)]]+Table1120[[#This Row],[GHG(WPS-fuel)]]</f>
        <v>-1146764.8237938373</v>
      </c>
      <c r="K25" s="18">
        <v>2042</v>
      </c>
      <c r="L25" s="18">
        <v>1</v>
      </c>
      <c r="M25" cm="1">
        <f t="array" ref="M25">IF(project_aboveground_tree = "Included", INDEX(Table32[[#All],[ΔCTREE_PROJ,i,t (AR Tool 14) t C/yr]], MATCH(1, (Table1221[[#This Row],[year t]]=Table32[[#All],[year t]])*(Table1221[[#This Row],[stratum i]]=Table32[[#All],[stratum i]]), 0)), 0)</f>
        <v>16308.826721781516</v>
      </c>
      <c r="N25" s="57" cm="1">
        <f t="array" ref="N25">IF(project_aboveground_nontree = "Included", INDEX(#REF!, MATCH(1, (Table1221[[#This Row],[year t]]=Table32[[#All],[year t]])*(Table1221[[#This Row],[stratum i]]=Table32[[#All],[stratum i]]), 0)), 0)</f>
        <v>0</v>
      </c>
      <c r="O25">
        <f>12/44*(Table1221[[#This Row],[ΔCTREE_PROJ,t (AR Tool 14) t CO2e/yr]]+Table1221[[#This Row],[ΔCSHRUB_PROJ,t (AR Tool 14) t CO2e/yr]])</f>
        <v>4447.86183321314</v>
      </c>
      <c r="P25" cm="1">
        <f t="array" ref="P25">IF(project_aboveground_nontree = "Included", IFERROR(INDEX(Table1322[[#All],[ΔCWPS-herb,i,t (Eq 78)]], MATCH(1, (Table1221[[#This Row],[stratum i]]=Table1322[[#All],[stratum i]])*(Table1221[[#This Row],[year t]]&gt;=#REF!)*(Table1221[[#This Row],[year t]]&lt;=Table1322[[#All],[year t]]), 0)), 0), 0)</f>
        <v>0</v>
      </c>
      <c r="Q25">
        <f>Table1221[[#This Row],[ΔCWPS-tree/shrub,i,t (t C/yr) (Eq 75)]]+Table1221[[#This Row],[ΔCWPS-herb,i,t (t C/yr)]]</f>
        <v>4447.86183321314</v>
      </c>
      <c r="R25" cm="1">
        <f t="array" ref="R25">INDEX(Table1423[[#All],[GHGWPS-soil,i,t]], MATCH(1, (Table1221[[#This Row],[year t]]=Table1423[[#All],[year t]])*(Table1221[[#This Row],[stratum i]]=Table1423[[#All],[stratum i]]), 0))</f>
        <v>-7334.947224967128</v>
      </c>
      <c r="S25">
        <f>IF(project_ff_CO2 = "Included", Table1221[[#This Row],[ET(FC,I,t) AR-Tool 5 WPS]], 0)</f>
        <v>0</v>
      </c>
      <c r="T25" t="e" cm="1">
        <f t="array" ref="T25">INDEX(#REF!, MATCH(1, (Table1221[[#This Row],[year t]]=Table32[[#All],[year t]])*(Table1221[[#This Row],[stratum i]]=Table32[[#All],[stratum i]]), 0))</f>
        <v>#REF!</v>
      </c>
      <c r="AA25" s="45" t="e" cm="1">
        <f t="array" ref="AA25">INDEX(#REF!, MATCH(1, (Table1322[[#This Row],[year t]]=Table32[[#All],[year t]])*(Table1322[[#This Row],[stratum i]]=Table32[[#All],[stratum i]]), 0))</f>
        <v>#REF!</v>
      </c>
      <c r="AB25" s="45" t="e">
        <f>Table1322[[#This Row],[ΔCWPS-herb,i,t (tC/ha)]]</f>
        <v>#REF!</v>
      </c>
      <c r="AE25" s="18">
        <v>2042</v>
      </c>
      <c r="AF25" s="18">
        <v>1</v>
      </c>
      <c r="AG25" s="17" cm="1">
        <f t="array" ref="AG25">INDEX(Table32[[#All],[Ai,t]], MATCH(1, (Table1423[[#This Row],[year t]]=Table32[[#All],[year t]])*(Table1423[[#This Row],[stratum i]]=Table32[[#All],[stratum i]]), 0))</f>
        <v>1090.4420357142858</v>
      </c>
      <c r="AH25" t="str">
        <f>INDEX(Table31[[#All],[Soil type (t=0)]], MATCH(Table1423[[#This Row],[stratum i]], Table31[[#All],[Stratum i]]))</f>
        <v>Mineral soil</v>
      </c>
      <c r="AI25">
        <f>IF(Emission_reduction_from_stock_loss?, INDEX(Table2[[#All],[End_PDT]], MATCH(Table1423[[#This Row],[stratum i]], Table2[[#All],[stratum i]])), crediting_period)</f>
        <v>40</v>
      </c>
      <c r="AJ25">
        <f>IF(Emission_reduction_from_stock_loss?, INDEX(Table2[[#All],[End_SDT]], MATCH(Table1423[[#This Row],[stratum i]], Table2[[#All],[stratum i]])), crediting_period)</f>
        <v>40</v>
      </c>
      <c r="AK25" cm="1">
        <f t="array" ref="AK2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5" cm="1">
        <f t="array" ref="AL25">INDEX(Table32[[#All],[%Calloch WPS]], MATCH(1, (Table1423[[#This Row],[year t]]=Table32[[#All],[year t]])*(Table1423[[#This Row],[stratum i]]=Table32[[#All],[stratum i]]), 0))</f>
        <v>23.561573856247001</v>
      </c>
      <c r="AM2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5">
        <f>(Table1423[[#This Row],[GHGWPS-soil-CO2,i,t]]-Table1423[[#This Row],[Deductionalloch WPS (Eq 38)]])*Table1423[[#This Row],[Ai,t]]</f>
        <v>-7334.947224967128</v>
      </c>
      <c r="AO25" cm="1">
        <f t="array" ref="AO25">IF(project_soil_CH4 = "Included", INDEX(Table1830[[#All],[GHGWPS-soil-CH4,i,t (Eq 59)]], MATCH(1, (Table1423[[#This Row],[year t]]=Table1830[[#All],[year t]])*(Table1423[[#This Row],[stratum i]]=Table1830[[#All],[stratum i]]), 0)), 0)</f>
        <v>0</v>
      </c>
      <c r="AP25" cm="1">
        <f t="array" ref="AP25">IF(project_soil_N2O = "Included", INDEX(Table1830[[#All],[GHGWPS-soil-N2O,i,t (Eq 62)]], MATCH(1, (Table1423[[#This Row],[year t]]=Table1830[[#All],[year t]])*(Table1423[[#This Row],[stratum i]]=Table1830[[#All],[stratum i]]), 0)), 0)</f>
        <v>0</v>
      </c>
      <c r="AQ25">
        <f>Table1423[[#This Row],[Ai,t]]*(Table1423[[#This Row],[GHGWPS-soil-CO2,i,t]]-Table1423[[#This Row],[Deductionalloch WPS (Eq 38)]]+Table1423[[#This Row],[GHGWPS-soil-CH4,i,t]]+Table1423[[#This Row],[GHGWPS-soil-N2O,i,t]])</f>
        <v>-7334.947224967128</v>
      </c>
      <c r="AR25" t="e" cm="1">
        <f t="array" ref="AR25">INDEX(#REF!, MATCH(1, (Table1423[[#This Row],[year t]]=Table32[[#All],[year t]])*(Table1423[[#This Row],[stratum i]]=Table32[[#All],[stratum i]]), 0))</f>
        <v>#REF!</v>
      </c>
      <c r="AS25" t="e" cm="1">
        <f t="array" ref="AS25">INDEX(#REF!, MATCH(1, (Table1423[[#This Row],[year t]]=Table32[[#All],[year t]])*(Table1423[[#This Row],[stratum i]]=Table32[[#All],[stratum i]]), 0))</f>
        <v>#REF!</v>
      </c>
      <c r="AT25" t="e" cm="1">
        <f t="array" ref="AT25">INDEX(#REF!, MATCH(1, (Table1423[[#This Row],[year t]]=Table32[[#All],[year t]])*(Table1423[[#This Row],[stratum i]]=Table32[[#All],[stratum i]]), 0))</f>
        <v>#REF!</v>
      </c>
      <c r="AU25" t="e" cm="1">
        <f t="array" ref="AU25">INDEX(#REF!, MATCH(1, (Table1423[[#This Row],[year t]]=Table32[[#All],[year t]])*(Table1423[[#This Row],[stratum i]]=Table32[[#All],[stratum i]]), 0))</f>
        <v>#REF!</v>
      </c>
      <c r="BB25" s="18">
        <v>2042</v>
      </c>
      <c r="BC25" s="18">
        <v>1</v>
      </c>
      <c r="BD25" cm="1">
        <f t="array" ref="BD25">INDEX(Table32[[#All],[∆CWPS-soil,i,t (tC/ha)]], MATCH(1, (Table1329[[#This Row],[year t]]=Table32[[#All],[year t]])*(Table1329[[#This Row],[stratum i]]=Table32[[#All],[stratum i]]), 0))</f>
        <v>2.4</v>
      </c>
      <c r="BE25">
        <f>-44/12*Table1329[[#This Row],[∆CWPS-soil,i,t (tC/ha)]]</f>
        <v>-8.7999999999999989</v>
      </c>
      <c r="BI25" s="17">
        <v>7</v>
      </c>
      <c r="BJ25" s="17">
        <v>3</v>
      </c>
      <c r="BK25" s="32" t="e" cm="1">
        <f t="array" ref="BK25">INDEX(Table32[[#All],[Ai,t]], MATCH(1, (Table1830[[#This Row],[year t]]=Table32[[#All],[year t]])*(Table1830[[#This Row],[stratum i]]=Table32[[#All],[stratum i]]), 0))</f>
        <v>#N/A</v>
      </c>
      <c r="BL25" t="e" cm="1">
        <f t="array" ref="BL25">INDEX(#REF!, MATCH(1, (Table1830[[#This Row],[year t]]=Table32[[#All],[year t]])*(Table1830[[#This Row],[stratum i]]=Table32[[#All],[stratum i]]), 0))</f>
        <v>#REF!</v>
      </c>
      <c r="BM25" t="e" cm="1">
        <f t="array" ref="BM25">INDEX(#REF!, MATCH(1, (Table1830[[#This Row],[year t]]=Table32[[#All],[year t]])*(Table1830[[#This Row],[stratum i]]=Table32[[#All],[stratum i]]), 0))</f>
        <v>#REF!</v>
      </c>
      <c r="BN25" t="e" cm="1">
        <f t="array" ref="BN25">INDEX(#REF!, MATCH(1, (Table1830[[#This Row],[year t]]=Table32[[#All],[year t]])*(Table1830[[#This Row],[stratum i]]=Table32[[#All],[stratum i]]), 0))</f>
        <v>#REF!</v>
      </c>
      <c r="BO25" t="e">
        <f>IF(soil_CH4_approach = "Proxies", Table1830[[#This Row],[ƒ (GHG emission proxy: CH4) WPS]]*GWP_CH4, IF(soil_CH4_approach = "IPCC emission factors", Table1830[[#This Row],[IPCC Emission factor EF(CH4) WPS]]*Table1830[[#This Row],[Ai,t]]*GWP_CH4, Table1830[[#This Row],[CH4(WPS-soil,I,t)]]*GWP_CH4))</f>
        <v>#REF!</v>
      </c>
      <c r="BP25" t="e" cm="1">
        <f t="array" ref="BP25">INDEX(#REF!, MATCH(1, (Table1830[[#This Row],[year t]]=Table32[[#All],[year t]])*(Table1830[[#This Row],[stratum i]]=Table32[[#All],[stratum i]]), 0))</f>
        <v>#REF!</v>
      </c>
      <c r="BQ25" t="e" cm="1">
        <f t="array" ref="BQ25">INDEX(#REF!, MATCH(1, (Table1830[[#This Row],[year t]]=Table32[[#All],[year t]])*(Table1830[[#This Row],[stratum i]]=Table32[[#All],[stratum i]]), 0))</f>
        <v>#REF!</v>
      </c>
      <c r="BR25" t="e" cm="1">
        <f t="array" ref="BR25">INDEX(#REF!, MATCH(1, (Table1830[[#This Row],[year t]]=Table32[[#All],[year t]])*(Table1830[[#This Row],[stratum i]]=Table32[[#All],[stratum i]]), 0))</f>
        <v>#REF!</v>
      </c>
      <c r="BS25" t="e">
        <f>IF(soil_N2O_approach = "Proxies", Table1830[[#This Row],[ƒ (N2O emission proxy: N2O) WPS]]*GWP_N2O, IF(soil_N2O_approach = "IPCC emission factors", Table1830[[#This Row],[IPCC Emission factor EF(N2O) WPS]]*Table1830[[#This Row],[Ai,t]]*GWP_N2O, Table1830[[#This Row],[N2O (WPS-soil,I,t)]]*GWP_N2O))</f>
        <v>#REF!</v>
      </c>
      <c r="BW25" s="17">
        <v>7</v>
      </c>
      <c r="BX25" s="17">
        <v>3</v>
      </c>
      <c r="BY25" t="e" cm="1">
        <f t="array" ref="BY25">INDEX(Table32[[#All],[Ai,t]], MATCH(1, (Table10[[#This Row],[year t]]=Table32[[#All],[year t]])*(Table10[[#This Row],[stratum i]]=Table32[[#All],[stratum i]]), 0))</f>
        <v>#N/A</v>
      </c>
      <c r="BZ25" t="e" cm="1">
        <f t="array" ref="BZ25">INDEX(#REF!, MATCH(1, (Table10[[#This Row],[year t]]=Table32[[#All],[year t]])*(Table10[[#This Row],[stratum i]]=Table32[[#All],[stratum i]]), 0))</f>
        <v>#REF!</v>
      </c>
      <c r="CA25">
        <f t="shared" si="0"/>
        <v>0</v>
      </c>
      <c r="CB25">
        <f t="shared" si="1"/>
        <v>0</v>
      </c>
      <c r="CC25" t="e">
        <f>Table10[[#This Row],[Biomassi,t]]*Table10[[#This Row],[EF(N2O,burn)]]*GWP_N2O*10^(-6)*Table10[[#This Row],[Ai,t]]</f>
        <v>#REF!</v>
      </c>
      <c r="CD25" t="e">
        <f>Table10[[#This Row],[Biomassi,t]]*Table10[[#This Row],[EF(CH4,burn)]]*GWP_CH4*10^(-6)*Table10[[#This Row],[Ai,t]]</f>
        <v>#REF!</v>
      </c>
      <c r="CE25" t="e">
        <f>Table10[[#This Row],[CO2eN2O,i,t (Eq 82)]]+Table10[[#This Row],[CO2eCH4,i,t (Eq 83)]]</f>
        <v>#REF!</v>
      </c>
    </row>
    <row r="26" spans="3:83" x14ac:dyDescent="0.2">
      <c r="C26" s="18">
        <v>2043</v>
      </c>
      <c r="D26">
        <f>-SUMIF( Table1221[[#All],[year t]],  "&lt;="&amp;Table1120[[#This Row],[year t]], Table1221[[#All],[∆𝐶WPS−𝑏𝑖𝑜𝑚𝑎𝑠𝑠,𝑖,t (equation 74)]])*44/12</f>
        <v>-714047.39523608622</v>
      </c>
      <c r="E26">
        <f>SUMIF(Table1221[[#All],[year t]], "&lt;="&amp;Table1120[[#This Row],[year t]],  Table1221[[#All],[𝐺𝐻𝐺WPS−𝑠𝑜𝑖𝑙,𝑖,t]])</f>
        <v>-572693.46923110797</v>
      </c>
      <c r="F26">
        <f>SUMIF(Table1221[[#All],[year t]], "&lt;="&amp;Table1120[[#This Row],[year t]], Table1221[[#All],[𝐺𝐻𝐺WPS−𝑓𝑢𝑒𝑙,𝑖,t]])</f>
        <v>0</v>
      </c>
      <c r="G26">
        <f>IF(project_prescribed_burning = "Included", SUMIF(Table10[[#All],[year t]], "&lt;="&amp;Table1120[[#This Row],[year t]], Table10[[#All],[GHGWPS-burn,i,t (Eq 81)]]), 0)</f>
        <v>0</v>
      </c>
      <c r="H26">
        <f>Table1120[[#This Row],[GHG(WPS-biomass)]]+Table1120[[#This Row],[GHG(WPS-soil)]]+Table1120[[#This Row],[GHG(WPS-burn)]]+Table1120[[#This Row],[GHG(WPS-fuel)]]</f>
        <v>-1286740.8644671943</v>
      </c>
      <c r="K26" s="18">
        <v>2043</v>
      </c>
      <c r="L26" s="18">
        <v>1</v>
      </c>
      <c r="M26" cm="1">
        <f t="array" ref="M26">IF(project_aboveground_tree = "Included", INDEX(Table32[[#All],[ΔCTREE_PROJ,i,t (AR Tool 14) t C/yr]], MATCH(1, (Table1221[[#This Row],[year t]]=Table32[[#All],[year t]])*(Table1221[[#This Row],[stratum i]]=Table32[[#All],[stratum i]]), 0)), 0)</f>
        <v>16332.293544237211</v>
      </c>
      <c r="N26" s="57" cm="1">
        <f t="array" ref="N26">IF(project_aboveground_nontree = "Included", INDEX(#REF!, MATCH(1, (Table1221[[#This Row],[year t]]=Table32[[#All],[year t]])*(Table1221[[#This Row],[stratum i]]=Table32[[#All],[stratum i]]), 0)), 0)</f>
        <v>0</v>
      </c>
      <c r="O26">
        <f>12/44*(Table1221[[#This Row],[ΔCTREE_PROJ,t (AR Tool 14) t CO2e/yr]]+Table1221[[#This Row],[ΔCSHRUB_PROJ,t (AR Tool 14) t CO2e/yr]])</f>
        <v>4454.2618757010569</v>
      </c>
      <c r="P26" cm="1">
        <f t="array" ref="P26">IF(project_aboveground_nontree = "Included", IFERROR(INDEX(Table1322[[#All],[ΔCWPS-herb,i,t (Eq 78)]], MATCH(1, (Table1221[[#This Row],[stratum i]]=Table1322[[#All],[stratum i]])*(Table1221[[#This Row],[year t]]&gt;=#REF!)*(Table1221[[#This Row],[year t]]&lt;=Table1322[[#All],[year t]]), 0)), 0), 0)</f>
        <v>0</v>
      </c>
      <c r="Q26">
        <f>Table1221[[#This Row],[ΔCWPS-tree/shrub,i,t (t C/yr) (Eq 75)]]+Table1221[[#This Row],[ΔCWPS-herb,i,t (t C/yr)]]</f>
        <v>4454.2618757010569</v>
      </c>
      <c r="R26" cm="1">
        <f t="array" ref="R26">INDEX(Table1423[[#All],[GHGWPS-soil,i,t]], MATCH(1, (Table1221[[#This Row],[year t]]=Table1423[[#All],[year t]])*(Table1221[[#This Row],[stratum i]]=Table1423[[#All],[stratum i]]), 0))</f>
        <v>-7334.947224967128</v>
      </c>
      <c r="S26">
        <f>IF(project_ff_CO2 = "Included", Table1221[[#This Row],[ET(FC,I,t) AR-Tool 5 WPS]], 0)</f>
        <v>0</v>
      </c>
      <c r="T26" t="e" cm="1">
        <f t="array" ref="T26">INDEX(#REF!, MATCH(1, (Table1221[[#This Row],[year t]]=Table32[[#All],[year t]])*(Table1221[[#This Row],[stratum i]]=Table32[[#All],[stratum i]]), 0))</f>
        <v>#REF!</v>
      </c>
      <c r="AE26" s="18">
        <v>2043</v>
      </c>
      <c r="AF26" s="18">
        <v>1</v>
      </c>
      <c r="AG26" s="18" cm="1">
        <f t="array" ref="AG26">INDEX(Table32[[#All],[Ai,t]], MATCH(1, (Table1423[[#This Row],[year t]]=Table32[[#All],[year t]])*(Table1423[[#This Row],[stratum i]]=Table32[[#All],[stratum i]]), 0))</f>
        <v>1090.4420357142858</v>
      </c>
      <c r="AH26" t="str">
        <f>INDEX(Table31[[#All],[Soil type (t=0)]], MATCH(Table1423[[#This Row],[stratum i]], Table31[[#All],[Stratum i]]))</f>
        <v>Mineral soil</v>
      </c>
      <c r="AI26">
        <f>IF(Emission_reduction_from_stock_loss?, INDEX(Table2[[#All],[End_PDT]], MATCH(Table1423[[#This Row],[stratum i]], Table2[[#All],[stratum i]])), crediting_period)</f>
        <v>40</v>
      </c>
      <c r="AJ26">
        <f>IF(Emission_reduction_from_stock_loss?, INDEX(Table2[[#All],[End_SDT]], MATCH(Table1423[[#This Row],[stratum i]], Table2[[#All],[stratum i]])), crediting_period)</f>
        <v>40</v>
      </c>
      <c r="AK26" cm="1">
        <f t="array" ref="AK2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6" cm="1">
        <f t="array" ref="AL26">INDEX(Table32[[#All],[%Calloch WPS]], MATCH(1, (Table1423[[#This Row],[year t]]=Table32[[#All],[year t]])*(Table1423[[#This Row],[stratum i]]=Table32[[#All],[stratum i]]), 0))</f>
        <v>23.561573856247001</v>
      </c>
      <c r="AM2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6">
        <f>(Table1423[[#This Row],[GHGWPS-soil-CO2,i,t]]-Table1423[[#This Row],[Deductionalloch WPS (Eq 38)]])*Table1423[[#This Row],[Ai,t]]</f>
        <v>-7334.947224967128</v>
      </c>
      <c r="AO26" cm="1">
        <f t="array" ref="AO26">IF(project_soil_CH4 = "Included", INDEX(Table1830[[#All],[GHGWPS-soil-CH4,i,t (Eq 59)]], MATCH(1, (Table1423[[#This Row],[year t]]=Table1830[[#All],[year t]])*(Table1423[[#This Row],[stratum i]]=Table1830[[#All],[stratum i]]), 0)), 0)</f>
        <v>0</v>
      </c>
      <c r="AP26" cm="1">
        <f t="array" ref="AP26">IF(project_soil_N2O = "Included", INDEX(Table1830[[#All],[GHGWPS-soil-N2O,i,t (Eq 62)]], MATCH(1, (Table1423[[#This Row],[year t]]=Table1830[[#All],[year t]])*(Table1423[[#This Row],[stratum i]]=Table1830[[#All],[stratum i]]), 0)), 0)</f>
        <v>0</v>
      </c>
      <c r="AQ26">
        <f>Table1423[[#This Row],[Ai,t]]*(Table1423[[#This Row],[GHGWPS-soil-CO2,i,t]]-Table1423[[#This Row],[Deductionalloch WPS (Eq 38)]]+Table1423[[#This Row],[GHGWPS-soil-CH4,i,t]]+Table1423[[#This Row],[GHGWPS-soil-N2O,i,t]])</f>
        <v>-7334.947224967128</v>
      </c>
      <c r="AR26" t="e" cm="1">
        <f t="array" ref="AR26">INDEX(#REF!, MATCH(1, (Table1423[[#This Row],[year t]]=Table32[[#All],[year t]])*(Table1423[[#This Row],[stratum i]]=Table32[[#All],[stratum i]]), 0))</f>
        <v>#REF!</v>
      </c>
      <c r="AS26" t="e" cm="1">
        <f t="array" ref="AS26">INDEX(#REF!, MATCH(1, (Table1423[[#This Row],[year t]]=Table32[[#All],[year t]])*(Table1423[[#This Row],[stratum i]]=Table32[[#All],[stratum i]]), 0))</f>
        <v>#REF!</v>
      </c>
      <c r="AT26" t="e" cm="1">
        <f t="array" ref="AT26">INDEX(#REF!, MATCH(1, (Table1423[[#This Row],[year t]]=Table32[[#All],[year t]])*(Table1423[[#This Row],[stratum i]]=Table32[[#All],[stratum i]]), 0))</f>
        <v>#REF!</v>
      </c>
      <c r="AU26" t="e" cm="1">
        <f t="array" ref="AU26">INDEX(#REF!, MATCH(1, (Table1423[[#This Row],[year t]]=Table32[[#All],[year t]])*(Table1423[[#This Row],[stratum i]]=Table32[[#All],[stratum i]]), 0))</f>
        <v>#REF!</v>
      </c>
      <c r="BB26" s="18">
        <v>2043</v>
      </c>
      <c r="BC26" s="18">
        <v>1</v>
      </c>
      <c r="BD26" cm="1">
        <f t="array" ref="BD26">INDEX(Table32[[#All],[∆CWPS-soil,i,t (tC/ha)]], MATCH(1, (Table1329[[#This Row],[year t]]=Table32[[#All],[year t]])*(Table1329[[#This Row],[stratum i]]=Table32[[#All],[stratum i]]), 0))</f>
        <v>2.4</v>
      </c>
      <c r="BE26">
        <f>-44/12*Table1329[[#This Row],[∆CWPS-soil,i,t (tC/ha)]]</f>
        <v>-8.7999999999999989</v>
      </c>
      <c r="BI26" s="17">
        <v>1</v>
      </c>
      <c r="BJ26" s="18">
        <v>4</v>
      </c>
      <c r="BK26" t="e" cm="1">
        <f t="array" ref="BK26">INDEX(Table32[[#All],[Ai,t]], MATCH(1, (Table1830[[#This Row],[year t]]=Table32[[#All],[year t]])*(Table1830[[#This Row],[stratum i]]=Table32[[#All],[stratum i]]), 0))</f>
        <v>#N/A</v>
      </c>
      <c r="BL26" t="e" cm="1">
        <f t="array" ref="BL26">INDEX(#REF!, MATCH(1, (Table1830[[#This Row],[year t]]=Table32[[#All],[year t]])*(Table1830[[#This Row],[stratum i]]=Table32[[#All],[stratum i]]), 0))</f>
        <v>#REF!</v>
      </c>
      <c r="BM26" t="e" cm="1">
        <f t="array" ref="BM26">INDEX(#REF!, MATCH(1, (Table1830[[#This Row],[year t]]=Table32[[#All],[year t]])*(Table1830[[#This Row],[stratum i]]=Table32[[#All],[stratum i]]), 0))</f>
        <v>#REF!</v>
      </c>
      <c r="BN26" t="e" cm="1">
        <f t="array" ref="BN26">INDEX(#REF!, MATCH(1, (Table1830[[#This Row],[year t]]=Table32[[#All],[year t]])*(Table1830[[#This Row],[stratum i]]=Table32[[#All],[stratum i]]), 0))</f>
        <v>#REF!</v>
      </c>
      <c r="BO26" t="e">
        <f>IF(soil_CH4_approach = "Proxies", Table1830[[#This Row],[ƒ (GHG emission proxy: CH4) WPS]]*GWP_CH4, IF(soil_CH4_approach = "IPCC emission factors", Table1830[[#This Row],[IPCC Emission factor EF(CH4) WPS]]*Table1830[[#This Row],[Ai,t]]*GWP_CH4, Table1830[[#This Row],[CH4(WPS-soil,I,t)]]*GWP_CH4))</f>
        <v>#REF!</v>
      </c>
      <c r="BP26" t="e" cm="1">
        <f t="array" ref="BP26">INDEX(#REF!, MATCH(1, (Table1830[[#This Row],[year t]]=Table32[[#All],[year t]])*(Table1830[[#This Row],[stratum i]]=Table32[[#All],[stratum i]]), 0))</f>
        <v>#REF!</v>
      </c>
      <c r="BQ26" t="e" cm="1">
        <f t="array" ref="BQ26">INDEX(#REF!, MATCH(1, (Table1830[[#This Row],[year t]]=Table32[[#All],[year t]])*(Table1830[[#This Row],[stratum i]]=Table32[[#All],[stratum i]]), 0))</f>
        <v>#REF!</v>
      </c>
      <c r="BR26" t="e" cm="1">
        <f t="array" ref="BR26">INDEX(#REF!, MATCH(1, (Table1830[[#This Row],[year t]]=Table32[[#All],[year t]])*(Table1830[[#This Row],[stratum i]]=Table32[[#All],[stratum i]]), 0))</f>
        <v>#REF!</v>
      </c>
      <c r="BS26" t="e">
        <f>IF(soil_N2O_approach = "Proxies", Table1830[[#This Row],[ƒ (N2O emission proxy: N2O) WPS]]*GWP_N2O, IF(soil_N2O_approach = "IPCC emission factors", Table1830[[#This Row],[IPCC Emission factor EF(N2O) WPS]]*Table1830[[#This Row],[Ai,t]]*GWP_N2O, Table1830[[#This Row],[N2O (WPS-soil,I,t)]]*GWP_N2O))</f>
        <v>#REF!</v>
      </c>
      <c r="BW26" s="17">
        <v>1</v>
      </c>
      <c r="BX26" s="18">
        <v>4</v>
      </c>
      <c r="BY26" t="e" cm="1">
        <f t="array" ref="BY26">INDEX(Table32[[#All],[Ai,t]], MATCH(1, (Table10[[#This Row],[year t]]=Table32[[#All],[year t]])*(Table10[[#This Row],[stratum i]]=Table32[[#All],[stratum i]]), 0))</f>
        <v>#N/A</v>
      </c>
      <c r="BZ26" t="e" cm="1">
        <f t="array" ref="BZ26">INDEX(#REF!, MATCH(1, (Table10[[#This Row],[year t]]=Table32[[#All],[year t]])*(Table10[[#This Row],[stratum i]]=Table32[[#All],[stratum i]]), 0))</f>
        <v>#REF!</v>
      </c>
      <c r="CA26">
        <f t="shared" si="0"/>
        <v>0</v>
      </c>
      <c r="CB26">
        <f t="shared" si="1"/>
        <v>0</v>
      </c>
      <c r="CC26" t="e">
        <f>Table10[[#This Row],[Biomassi,t]]*Table10[[#This Row],[EF(N2O,burn)]]*GWP_N2O*10^(-6)*Table10[[#This Row],[Ai,t]]</f>
        <v>#REF!</v>
      </c>
      <c r="CD26" t="e">
        <f>Table10[[#This Row],[Biomassi,t]]*Table10[[#This Row],[EF(CH4,burn)]]*GWP_CH4*10^(-6)*Table10[[#This Row],[Ai,t]]</f>
        <v>#REF!</v>
      </c>
      <c r="CE26" t="e">
        <f>Table10[[#This Row],[CO2eN2O,i,t (Eq 82)]]+Table10[[#This Row],[CO2eCH4,i,t (Eq 83)]]</f>
        <v>#REF!</v>
      </c>
    </row>
    <row r="27" spans="3:83" x14ac:dyDescent="0.2">
      <c r="C27" s="18">
        <v>2044</v>
      </c>
      <c r="D27">
        <f>-SUMIF( Table1221[[#All],[year t]],  "&lt;="&amp;Table1120[[#This Row],[year t]], Table1221[[#All],[∆𝐶WPS−𝑏𝑖𝑜𝑚𝑎𝑠𝑠,𝑖,t (equation 74)]])*44/12</f>
        <v>-811175.33798136655</v>
      </c>
      <c r="E27">
        <f>SUMIF(Table1221[[#All],[year t]], "&lt;="&amp;Table1120[[#This Row],[year t]],  Table1221[[#All],[𝐺𝐻𝐺WPS−𝑠𝑜𝑖𝑙,𝑖,t]])</f>
        <v>-616577.87863931386</v>
      </c>
      <c r="F27">
        <f>SUMIF(Table1221[[#All],[year t]], "&lt;="&amp;Table1120[[#This Row],[year t]], Table1221[[#All],[𝐺𝐻𝐺WPS−𝑓𝑢𝑒𝑙,𝑖,t]])</f>
        <v>0</v>
      </c>
      <c r="G27">
        <f>IF(project_prescribed_burning = "Included", SUMIF(Table10[[#All],[year t]], "&lt;="&amp;Table1120[[#This Row],[year t]], Table10[[#All],[GHGWPS-burn,i,t (Eq 81)]]), 0)</f>
        <v>0</v>
      </c>
      <c r="H27">
        <f>Table1120[[#This Row],[GHG(WPS-biomass)]]+Table1120[[#This Row],[GHG(WPS-soil)]]+Table1120[[#This Row],[GHG(WPS-burn)]]+Table1120[[#This Row],[GHG(WPS-fuel)]]</f>
        <v>-1427753.2166206804</v>
      </c>
      <c r="K27" s="18">
        <v>2044</v>
      </c>
      <c r="L27" s="18">
        <v>1</v>
      </c>
      <c r="M27" cm="1">
        <f t="array" ref="M27">IF(project_aboveground_tree = "Included", INDEX(Table32[[#All],[ΔCTREE_PROJ,i,t (AR Tool 14) t C/yr]], MATCH(1, (Table1221[[#This Row],[year t]]=Table32[[#All],[year t]])*(Table1221[[#This Row],[stratum i]]=Table32[[#All],[stratum i]]), 0)), 0)</f>
        <v>16132.705469822249</v>
      </c>
      <c r="N27" s="57" cm="1">
        <f t="array" ref="N27">IF(project_aboveground_nontree = "Included", INDEX(#REF!, MATCH(1, (Table1221[[#This Row],[year t]]=Table32[[#All],[year t]])*(Table1221[[#This Row],[stratum i]]=Table32[[#All],[stratum i]]), 0)), 0)</f>
        <v>0</v>
      </c>
      <c r="O27">
        <f>12/44*(Table1221[[#This Row],[ΔCTREE_PROJ,t (AR Tool 14) t CO2e/yr]]+Table1221[[#This Row],[ΔCSHRUB_PROJ,t (AR Tool 14) t CO2e/yr]])</f>
        <v>4399.8287644969769</v>
      </c>
      <c r="P27" cm="1">
        <f t="array" ref="P27">IF(project_aboveground_nontree = "Included", IFERROR(INDEX(Table1322[[#All],[ΔCWPS-herb,i,t (Eq 78)]], MATCH(1, (Table1221[[#This Row],[stratum i]]=Table1322[[#All],[stratum i]])*(Table1221[[#This Row],[year t]]&gt;=#REF!)*(Table1221[[#This Row],[year t]]&lt;=Table1322[[#All],[year t]]), 0)), 0), 0)</f>
        <v>0</v>
      </c>
      <c r="Q27">
        <f>Table1221[[#This Row],[ΔCWPS-tree/shrub,i,t (t C/yr) (Eq 75)]]+Table1221[[#This Row],[ΔCWPS-herb,i,t (t C/yr)]]</f>
        <v>4399.8287644969769</v>
      </c>
      <c r="R27" cm="1">
        <f t="array" ref="R27">INDEX(Table1423[[#All],[GHGWPS-soil,i,t]], MATCH(1, (Table1221[[#This Row],[year t]]=Table1423[[#All],[year t]])*(Table1221[[#This Row],[stratum i]]=Table1423[[#All],[stratum i]]), 0))</f>
        <v>-7334.947224967128</v>
      </c>
      <c r="S27">
        <f>IF(project_ff_CO2 = "Included", Table1221[[#This Row],[ET(FC,I,t) AR-Tool 5 WPS]], 0)</f>
        <v>0</v>
      </c>
      <c r="T27" t="e" cm="1">
        <f t="array" ref="T27">INDEX(#REF!, MATCH(1, (Table1221[[#This Row],[year t]]=Table32[[#All],[year t]])*(Table1221[[#This Row],[stratum i]]=Table32[[#All],[stratum i]]), 0))</f>
        <v>#REF!</v>
      </c>
      <c r="AE27" s="18">
        <v>2044</v>
      </c>
      <c r="AF27" s="18">
        <v>1</v>
      </c>
      <c r="AG27" s="17" cm="1">
        <f t="array" ref="AG27">INDEX(Table32[[#All],[Ai,t]], MATCH(1, (Table1423[[#This Row],[year t]]=Table32[[#All],[year t]])*(Table1423[[#This Row],[stratum i]]=Table32[[#All],[stratum i]]), 0))</f>
        <v>1090.4420357142858</v>
      </c>
      <c r="AH27" t="str">
        <f>INDEX(Table31[[#All],[Soil type (t=0)]], MATCH(Table1423[[#This Row],[stratum i]], Table31[[#All],[Stratum i]]))</f>
        <v>Mineral soil</v>
      </c>
      <c r="AI27">
        <f>IF(Emission_reduction_from_stock_loss?, INDEX(Table2[[#All],[End_PDT]], MATCH(Table1423[[#This Row],[stratum i]], Table2[[#All],[stratum i]])), crediting_period)</f>
        <v>40</v>
      </c>
      <c r="AJ27">
        <f>IF(Emission_reduction_from_stock_loss?, INDEX(Table2[[#All],[End_SDT]], MATCH(Table1423[[#This Row],[stratum i]], Table2[[#All],[stratum i]])), crediting_period)</f>
        <v>40</v>
      </c>
      <c r="AK27" cm="1">
        <f t="array" ref="AK2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7" cm="1">
        <f t="array" ref="AL27">INDEX(Table32[[#All],[%Calloch WPS]], MATCH(1, (Table1423[[#This Row],[year t]]=Table32[[#All],[year t]])*(Table1423[[#This Row],[stratum i]]=Table32[[#All],[stratum i]]), 0))</f>
        <v>23.561573856247001</v>
      </c>
      <c r="AM2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7">
        <f>(Table1423[[#This Row],[GHGWPS-soil-CO2,i,t]]-Table1423[[#This Row],[Deductionalloch WPS (Eq 38)]])*Table1423[[#This Row],[Ai,t]]</f>
        <v>-7334.947224967128</v>
      </c>
      <c r="AO27" cm="1">
        <f t="array" ref="AO27">IF(project_soil_CH4 = "Included", INDEX(Table1830[[#All],[GHGWPS-soil-CH4,i,t (Eq 59)]], MATCH(1, (Table1423[[#This Row],[year t]]=Table1830[[#All],[year t]])*(Table1423[[#This Row],[stratum i]]=Table1830[[#All],[stratum i]]), 0)), 0)</f>
        <v>0</v>
      </c>
      <c r="AP27" cm="1">
        <f t="array" ref="AP27">IF(project_soil_N2O = "Included", INDEX(Table1830[[#All],[GHGWPS-soil-N2O,i,t (Eq 62)]], MATCH(1, (Table1423[[#This Row],[year t]]=Table1830[[#All],[year t]])*(Table1423[[#This Row],[stratum i]]=Table1830[[#All],[stratum i]]), 0)), 0)</f>
        <v>0</v>
      </c>
      <c r="AQ27">
        <f>Table1423[[#This Row],[Ai,t]]*(Table1423[[#This Row],[GHGWPS-soil-CO2,i,t]]-Table1423[[#This Row],[Deductionalloch WPS (Eq 38)]]+Table1423[[#This Row],[GHGWPS-soil-CH4,i,t]]+Table1423[[#This Row],[GHGWPS-soil-N2O,i,t]])</f>
        <v>-7334.947224967128</v>
      </c>
      <c r="AR27" t="e" cm="1">
        <f t="array" ref="AR27">INDEX(#REF!, MATCH(1, (Table1423[[#This Row],[year t]]=Table32[[#All],[year t]])*(Table1423[[#This Row],[stratum i]]=Table32[[#All],[stratum i]]), 0))</f>
        <v>#REF!</v>
      </c>
      <c r="AS27" t="e" cm="1">
        <f t="array" ref="AS27">INDEX(#REF!, MATCH(1, (Table1423[[#This Row],[year t]]=Table32[[#All],[year t]])*(Table1423[[#This Row],[stratum i]]=Table32[[#All],[stratum i]]), 0))</f>
        <v>#REF!</v>
      </c>
      <c r="AT27" t="e" cm="1">
        <f t="array" ref="AT27">INDEX(#REF!, MATCH(1, (Table1423[[#This Row],[year t]]=Table32[[#All],[year t]])*(Table1423[[#This Row],[stratum i]]=Table32[[#All],[stratum i]]), 0))</f>
        <v>#REF!</v>
      </c>
      <c r="AU27" t="e" cm="1">
        <f t="array" ref="AU27">INDEX(#REF!, MATCH(1, (Table1423[[#This Row],[year t]]=Table32[[#All],[year t]])*(Table1423[[#This Row],[stratum i]]=Table32[[#All],[stratum i]]), 0))</f>
        <v>#REF!</v>
      </c>
      <c r="BB27" s="18">
        <v>2044</v>
      </c>
      <c r="BC27" s="18">
        <v>1</v>
      </c>
      <c r="BD27" cm="1">
        <f t="array" ref="BD27">INDEX(Table32[[#All],[∆CWPS-soil,i,t (tC/ha)]], MATCH(1, (Table1329[[#This Row],[year t]]=Table32[[#All],[year t]])*(Table1329[[#This Row],[stratum i]]=Table32[[#All],[stratum i]]), 0))</f>
        <v>2.4</v>
      </c>
      <c r="BE27">
        <f>-44/12*Table1329[[#This Row],[∆CWPS-soil,i,t (tC/ha)]]</f>
        <v>-8.7999999999999989</v>
      </c>
      <c r="BI27" s="18">
        <v>2</v>
      </c>
      <c r="BJ27" s="17">
        <v>4</v>
      </c>
      <c r="BK27" s="32" t="e" cm="1">
        <f t="array" ref="BK27">INDEX(Table32[[#All],[Ai,t]], MATCH(1, (Table1830[[#This Row],[year t]]=Table32[[#All],[year t]])*(Table1830[[#This Row],[stratum i]]=Table32[[#All],[stratum i]]), 0))</f>
        <v>#N/A</v>
      </c>
      <c r="BL27" t="e" cm="1">
        <f t="array" ref="BL27">INDEX(#REF!, MATCH(1, (Table1830[[#This Row],[year t]]=Table32[[#All],[year t]])*(Table1830[[#This Row],[stratum i]]=Table32[[#All],[stratum i]]), 0))</f>
        <v>#REF!</v>
      </c>
      <c r="BM27" t="e" cm="1">
        <f t="array" ref="BM27">INDEX(#REF!, MATCH(1, (Table1830[[#This Row],[year t]]=Table32[[#All],[year t]])*(Table1830[[#This Row],[stratum i]]=Table32[[#All],[stratum i]]), 0))</f>
        <v>#REF!</v>
      </c>
      <c r="BN27" t="e" cm="1">
        <f t="array" ref="BN27">INDEX(#REF!, MATCH(1, (Table1830[[#This Row],[year t]]=Table32[[#All],[year t]])*(Table1830[[#This Row],[stratum i]]=Table32[[#All],[stratum i]]), 0))</f>
        <v>#REF!</v>
      </c>
      <c r="BO27" t="e">
        <f>IF(soil_CH4_approach = "Proxies", Table1830[[#This Row],[ƒ (GHG emission proxy: CH4) WPS]]*GWP_CH4, IF(soil_CH4_approach = "IPCC emission factors", Table1830[[#This Row],[IPCC Emission factor EF(CH4) WPS]]*Table1830[[#This Row],[Ai,t]]*GWP_CH4, Table1830[[#This Row],[CH4(WPS-soil,I,t)]]*GWP_CH4))</f>
        <v>#REF!</v>
      </c>
      <c r="BP27" t="e" cm="1">
        <f t="array" ref="BP27">INDEX(#REF!, MATCH(1, (Table1830[[#This Row],[year t]]=Table32[[#All],[year t]])*(Table1830[[#This Row],[stratum i]]=Table32[[#All],[stratum i]]), 0))</f>
        <v>#REF!</v>
      </c>
      <c r="BQ27" t="e" cm="1">
        <f t="array" ref="BQ27">INDEX(#REF!, MATCH(1, (Table1830[[#This Row],[year t]]=Table32[[#All],[year t]])*(Table1830[[#This Row],[stratum i]]=Table32[[#All],[stratum i]]), 0))</f>
        <v>#REF!</v>
      </c>
      <c r="BR27" t="e" cm="1">
        <f t="array" ref="BR27">INDEX(#REF!, MATCH(1, (Table1830[[#This Row],[year t]]=Table32[[#All],[year t]])*(Table1830[[#This Row],[stratum i]]=Table32[[#All],[stratum i]]), 0))</f>
        <v>#REF!</v>
      </c>
      <c r="BS27" t="e">
        <f>IF(soil_N2O_approach = "Proxies", Table1830[[#This Row],[ƒ (N2O emission proxy: N2O) WPS]]*GWP_N2O, IF(soil_N2O_approach = "IPCC emission factors", Table1830[[#This Row],[IPCC Emission factor EF(N2O) WPS]]*Table1830[[#This Row],[Ai,t]]*GWP_N2O, Table1830[[#This Row],[N2O (WPS-soil,I,t)]]*GWP_N2O))</f>
        <v>#REF!</v>
      </c>
      <c r="BW27" s="18">
        <v>2</v>
      </c>
      <c r="BX27" s="17">
        <v>4</v>
      </c>
      <c r="BY27" t="e" cm="1">
        <f t="array" ref="BY27">INDEX(Table32[[#All],[Ai,t]], MATCH(1, (Table10[[#This Row],[year t]]=Table32[[#All],[year t]])*(Table10[[#This Row],[stratum i]]=Table32[[#All],[stratum i]]), 0))</f>
        <v>#N/A</v>
      </c>
      <c r="BZ27" t="e" cm="1">
        <f t="array" ref="BZ27">INDEX(#REF!, MATCH(1, (Table10[[#This Row],[year t]]=Table32[[#All],[year t]])*(Table10[[#This Row],[stratum i]]=Table32[[#All],[stratum i]]), 0))</f>
        <v>#REF!</v>
      </c>
      <c r="CA27">
        <f t="shared" si="0"/>
        <v>0</v>
      </c>
      <c r="CB27">
        <f t="shared" si="1"/>
        <v>0</v>
      </c>
      <c r="CC27" t="e">
        <f>Table10[[#This Row],[Biomassi,t]]*Table10[[#This Row],[EF(N2O,burn)]]*GWP_N2O*10^(-6)*Table10[[#This Row],[Ai,t]]</f>
        <v>#REF!</v>
      </c>
      <c r="CD27" t="e">
        <f>Table10[[#This Row],[Biomassi,t]]*Table10[[#This Row],[EF(CH4,burn)]]*GWP_CH4*10^(-6)*Table10[[#This Row],[Ai,t]]</f>
        <v>#REF!</v>
      </c>
      <c r="CE27" t="e">
        <f>Table10[[#This Row],[CO2eN2O,i,t (Eq 82)]]+Table10[[#This Row],[CO2eCH4,i,t (Eq 83)]]</f>
        <v>#REF!</v>
      </c>
    </row>
    <row r="28" spans="3:83" x14ac:dyDescent="0.2">
      <c r="C28" s="18">
        <v>2045</v>
      </c>
      <c r="D28">
        <f>-SUMIF( Table1221[[#All],[year t]],  "&lt;="&amp;Table1120[[#This Row],[year t]], Table1221[[#All],[∆𝐶WPS−𝑏𝑖𝑜𝑚𝑎𝑠𝑠,𝑖,t (equation 74)]])*44/12</f>
        <v>-907913.9294796678</v>
      </c>
      <c r="E28">
        <f>SUMIF(Table1221[[#All],[year t]], "&lt;="&amp;Table1120[[#This Row],[year t]],  Table1221[[#All],[𝐺𝐻𝐺WPS−𝑠𝑜𝑖𝑙,𝑖,t]])</f>
        <v>-660462.28804751951</v>
      </c>
      <c r="F28">
        <f>SUMIF(Table1221[[#All],[year t]], "&lt;="&amp;Table1120[[#This Row],[year t]], Table1221[[#All],[𝐺𝐻𝐺WPS−𝑓𝑢𝑒𝑙,𝑖,t]])</f>
        <v>0</v>
      </c>
      <c r="G28">
        <f>IF(project_prescribed_burning = "Included", SUMIF(Table10[[#All],[year t]], "&lt;="&amp;Table1120[[#This Row],[year t]], Table10[[#All],[GHGWPS-burn,i,t (Eq 81)]]), 0)</f>
        <v>0</v>
      </c>
      <c r="H28">
        <f>Table1120[[#This Row],[GHG(WPS-biomass)]]+Table1120[[#This Row],[GHG(WPS-soil)]]+Table1120[[#This Row],[GHG(WPS-burn)]]+Table1120[[#This Row],[GHG(WPS-fuel)]]</f>
        <v>-1568376.2175271874</v>
      </c>
      <c r="K28" s="18">
        <v>2045</v>
      </c>
      <c r="L28" s="18">
        <v>1</v>
      </c>
      <c r="M28" cm="1">
        <f t="array" ref="M28">IF(project_aboveground_tree = "Included", INDEX(Table32[[#All],[ΔCTREE_PROJ,i,t (AR Tool 14) t C/yr]], MATCH(1, (Table1221[[#This Row],[year t]]=Table32[[#All],[year t]])*(Table1221[[#This Row],[stratum i]]=Table32[[#All],[stratum i]]), 0)), 0)</f>
        <v>15745.438619108958</v>
      </c>
      <c r="N28" s="57" cm="1">
        <f t="array" ref="N28">IF(project_aboveground_nontree = "Included", INDEX(#REF!, MATCH(1, (Table1221[[#This Row],[year t]]=Table32[[#All],[year t]])*(Table1221[[#This Row],[stratum i]]=Table32[[#All],[stratum i]]), 0)), 0)</f>
        <v>0</v>
      </c>
      <c r="O28">
        <f>12/44*(Table1221[[#This Row],[ΔCTREE_PROJ,t (AR Tool 14) t CO2e/yr]]+Table1221[[#This Row],[ΔCSHRUB_PROJ,t (AR Tool 14) t CO2e/yr]])</f>
        <v>4294.2105324842605</v>
      </c>
      <c r="P28" cm="1">
        <f t="array" ref="P28">IF(project_aboveground_nontree = "Included", IFERROR(INDEX(Table1322[[#All],[ΔCWPS-herb,i,t (Eq 78)]], MATCH(1, (Table1221[[#This Row],[stratum i]]=Table1322[[#All],[stratum i]])*(Table1221[[#This Row],[year t]]&gt;=#REF!)*(Table1221[[#This Row],[year t]]&lt;=Table1322[[#All],[year t]]), 0)), 0), 0)</f>
        <v>0</v>
      </c>
      <c r="Q28">
        <f>Table1221[[#This Row],[ΔCWPS-tree/shrub,i,t (t C/yr) (Eq 75)]]+Table1221[[#This Row],[ΔCWPS-herb,i,t (t C/yr)]]</f>
        <v>4294.2105324842605</v>
      </c>
      <c r="R28" cm="1">
        <f t="array" ref="R28">INDEX(Table1423[[#All],[GHGWPS-soil,i,t]], MATCH(1, (Table1221[[#This Row],[year t]]=Table1423[[#All],[year t]])*(Table1221[[#This Row],[stratum i]]=Table1423[[#All],[stratum i]]), 0))</f>
        <v>-7334.947224967128</v>
      </c>
      <c r="S28">
        <f>IF(project_ff_CO2 = "Included", Table1221[[#This Row],[ET(FC,I,t) AR-Tool 5 WPS]], 0)</f>
        <v>0</v>
      </c>
      <c r="T28" t="e" cm="1">
        <f t="array" ref="T28">INDEX(#REF!, MATCH(1, (Table1221[[#This Row],[year t]]=Table32[[#All],[year t]])*(Table1221[[#This Row],[stratum i]]=Table32[[#All],[stratum i]]), 0))</f>
        <v>#REF!</v>
      </c>
      <c r="AE28" s="18">
        <v>2045</v>
      </c>
      <c r="AF28" s="18">
        <v>1</v>
      </c>
      <c r="AG28" s="18" cm="1">
        <f t="array" ref="AG28">INDEX(Table32[[#All],[Ai,t]], MATCH(1, (Table1423[[#This Row],[year t]]=Table32[[#All],[year t]])*(Table1423[[#This Row],[stratum i]]=Table32[[#All],[stratum i]]), 0))</f>
        <v>1090.4420357142858</v>
      </c>
      <c r="AH28" t="str">
        <f>INDEX(Table31[[#All],[Soil type (t=0)]], MATCH(Table1423[[#This Row],[stratum i]], Table31[[#All],[Stratum i]]))</f>
        <v>Mineral soil</v>
      </c>
      <c r="AI28">
        <f>IF(Emission_reduction_from_stock_loss?, INDEX(Table2[[#All],[End_PDT]], MATCH(Table1423[[#This Row],[stratum i]], Table2[[#All],[stratum i]])), crediting_period)</f>
        <v>40</v>
      </c>
      <c r="AJ28">
        <f>IF(Emission_reduction_from_stock_loss?, INDEX(Table2[[#All],[End_SDT]], MATCH(Table1423[[#This Row],[stratum i]], Table2[[#All],[stratum i]])), crediting_period)</f>
        <v>40</v>
      </c>
      <c r="AK28" cm="1">
        <f t="array" ref="AK2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8" cm="1">
        <f t="array" ref="AL28">INDEX(Table32[[#All],[%Calloch WPS]], MATCH(1, (Table1423[[#This Row],[year t]]=Table32[[#All],[year t]])*(Table1423[[#This Row],[stratum i]]=Table32[[#All],[stratum i]]), 0))</f>
        <v>23.561573856247001</v>
      </c>
      <c r="AM2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8">
        <f>(Table1423[[#This Row],[GHGWPS-soil-CO2,i,t]]-Table1423[[#This Row],[Deductionalloch WPS (Eq 38)]])*Table1423[[#This Row],[Ai,t]]</f>
        <v>-7334.947224967128</v>
      </c>
      <c r="AO28" cm="1">
        <f t="array" ref="AO28">IF(project_soil_CH4 = "Included", INDEX(Table1830[[#All],[GHGWPS-soil-CH4,i,t (Eq 59)]], MATCH(1, (Table1423[[#This Row],[year t]]=Table1830[[#All],[year t]])*(Table1423[[#This Row],[stratum i]]=Table1830[[#All],[stratum i]]), 0)), 0)</f>
        <v>0</v>
      </c>
      <c r="AP28" cm="1">
        <f t="array" ref="AP28">IF(project_soil_N2O = "Included", INDEX(Table1830[[#All],[GHGWPS-soil-N2O,i,t (Eq 62)]], MATCH(1, (Table1423[[#This Row],[year t]]=Table1830[[#All],[year t]])*(Table1423[[#This Row],[stratum i]]=Table1830[[#All],[stratum i]]), 0)), 0)</f>
        <v>0</v>
      </c>
      <c r="AQ28">
        <f>Table1423[[#This Row],[Ai,t]]*(Table1423[[#This Row],[GHGWPS-soil-CO2,i,t]]-Table1423[[#This Row],[Deductionalloch WPS (Eq 38)]]+Table1423[[#This Row],[GHGWPS-soil-CH4,i,t]]+Table1423[[#This Row],[GHGWPS-soil-N2O,i,t]])</f>
        <v>-7334.947224967128</v>
      </c>
      <c r="AR28" t="e" cm="1">
        <f t="array" ref="AR28">INDEX(#REF!, MATCH(1, (Table1423[[#This Row],[year t]]=Table32[[#All],[year t]])*(Table1423[[#This Row],[stratum i]]=Table32[[#All],[stratum i]]), 0))</f>
        <v>#REF!</v>
      </c>
      <c r="AS28" t="e" cm="1">
        <f t="array" ref="AS28">INDEX(#REF!, MATCH(1, (Table1423[[#This Row],[year t]]=Table32[[#All],[year t]])*(Table1423[[#This Row],[stratum i]]=Table32[[#All],[stratum i]]), 0))</f>
        <v>#REF!</v>
      </c>
      <c r="AT28" t="e" cm="1">
        <f t="array" ref="AT28">INDEX(#REF!, MATCH(1, (Table1423[[#This Row],[year t]]=Table32[[#All],[year t]])*(Table1423[[#This Row],[stratum i]]=Table32[[#All],[stratum i]]), 0))</f>
        <v>#REF!</v>
      </c>
      <c r="AU28" t="e" cm="1">
        <f t="array" ref="AU28">INDEX(#REF!, MATCH(1, (Table1423[[#This Row],[year t]]=Table32[[#All],[year t]])*(Table1423[[#This Row],[stratum i]]=Table32[[#All],[stratum i]]), 0))</f>
        <v>#REF!</v>
      </c>
      <c r="BB28" s="18">
        <v>2045</v>
      </c>
      <c r="BC28" s="18">
        <v>1</v>
      </c>
      <c r="BD28" cm="1">
        <f t="array" ref="BD28">INDEX(Table32[[#All],[∆CWPS-soil,i,t (tC/ha)]], MATCH(1, (Table1329[[#This Row],[year t]]=Table32[[#All],[year t]])*(Table1329[[#This Row],[stratum i]]=Table32[[#All],[stratum i]]), 0))</f>
        <v>2.4</v>
      </c>
      <c r="BE28">
        <f>-44/12*Table1329[[#This Row],[∆CWPS-soil,i,t (tC/ha)]]</f>
        <v>-8.7999999999999989</v>
      </c>
      <c r="BI28" s="17">
        <v>3</v>
      </c>
      <c r="BJ28" s="18">
        <v>4</v>
      </c>
      <c r="BK28" t="e" cm="1">
        <f t="array" ref="BK28">INDEX(Table32[[#All],[Ai,t]], MATCH(1, (Table1830[[#This Row],[year t]]=Table32[[#All],[year t]])*(Table1830[[#This Row],[stratum i]]=Table32[[#All],[stratum i]]), 0))</f>
        <v>#N/A</v>
      </c>
      <c r="BL28" t="e" cm="1">
        <f t="array" ref="BL28">INDEX(#REF!, MATCH(1, (Table1830[[#This Row],[year t]]=Table32[[#All],[year t]])*(Table1830[[#This Row],[stratum i]]=Table32[[#All],[stratum i]]), 0))</f>
        <v>#REF!</v>
      </c>
      <c r="BM28" t="e" cm="1">
        <f t="array" ref="BM28">INDEX(#REF!, MATCH(1, (Table1830[[#This Row],[year t]]=Table32[[#All],[year t]])*(Table1830[[#This Row],[stratum i]]=Table32[[#All],[stratum i]]), 0))</f>
        <v>#REF!</v>
      </c>
      <c r="BN28" t="e" cm="1">
        <f t="array" ref="BN28">INDEX(#REF!, MATCH(1, (Table1830[[#This Row],[year t]]=Table32[[#All],[year t]])*(Table1830[[#This Row],[stratum i]]=Table32[[#All],[stratum i]]), 0))</f>
        <v>#REF!</v>
      </c>
      <c r="BO28" t="e">
        <f>IF(soil_CH4_approach = "Proxies", Table1830[[#This Row],[ƒ (GHG emission proxy: CH4) WPS]]*GWP_CH4, IF(soil_CH4_approach = "IPCC emission factors", Table1830[[#This Row],[IPCC Emission factor EF(CH4) WPS]]*Table1830[[#This Row],[Ai,t]]*GWP_CH4, Table1830[[#This Row],[CH4(WPS-soil,I,t)]]*GWP_CH4))</f>
        <v>#REF!</v>
      </c>
      <c r="BP28" t="e" cm="1">
        <f t="array" ref="BP28">INDEX(#REF!, MATCH(1, (Table1830[[#This Row],[year t]]=Table32[[#All],[year t]])*(Table1830[[#This Row],[stratum i]]=Table32[[#All],[stratum i]]), 0))</f>
        <v>#REF!</v>
      </c>
      <c r="BQ28" t="e" cm="1">
        <f t="array" ref="BQ28">INDEX(#REF!, MATCH(1, (Table1830[[#This Row],[year t]]=Table32[[#All],[year t]])*(Table1830[[#This Row],[stratum i]]=Table32[[#All],[stratum i]]), 0))</f>
        <v>#REF!</v>
      </c>
      <c r="BR28" t="e" cm="1">
        <f t="array" ref="BR28">INDEX(#REF!, MATCH(1, (Table1830[[#This Row],[year t]]=Table32[[#All],[year t]])*(Table1830[[#This Row],[stratum i]]=Table32[[#All],[stratum i]]), 0))</f>
        <v>#REF!</v>
      </c>
      <c r="BS28" t="e">
        <f>IF(soil_N2O_approach = "Proxies", Table1830[[#This Row],[ƒ (N2O emission proxy: N2O) WPS]]*GWP_N2O, IF(soil_N2O_approach = "IPCC emission factors", Table1830[[#This Row],[IPCC Emission factor EF(N2O) WPS]]*Table1830[[#This Row],[Ai,t]]*GWP_N2O, Table1830[[#This Row],[N2O (WPS-soil,I,t)]]*GWP_N2O))</f>
        <v>#REF!</v>
      </c>
      <c r="BW28" s="17">
        <v>3</v>
      </c>
      <c r="BX28" s="18">
        <v>4</v>
      </c>
      <c r="BY28" t="e" cm="1">
        <f t="array" ref="BY28">INDEX(Table32[[#All],[Ai,t]], MATCH(1, (Table10[[#This Row],[year t]]=Table32[[#All],[year t]])*(Table10[[#This Row],[stratum i]]=Table32[[#All],[stratum i]]), 0))</f>
        <v>#N/A</v>
      </c>
      <c r="BZ28" t="e" cm="1">
        <f t="array" ref="BZ28">INDEX(#REF!, MATCH(1, (Table10[[#This Row],[year t]]=Table32[[#All],[year t]])*(Table10[[#This Row],[stratum i]]=Table32[[#All],[stratum i]]), 0))</f>
        <v>#REF!</v>
      </c>
      <c r="CA28">
        <f t="shared" si="0"/>
        <v>0</v>
      </c>
      <c r="CB28">
        <f t="shared" si="1"/>
        <v>0</v>
      </c>
      <c r="CC28" t="e">
        <f>Table10[[#This Row],[Biomassi,t]]*Table10[[#This Row],[EF(N2O,burn)]]*GWP_N2O*10^(-6)*Table10[[#This Row],[Ai,t]]</f>
        <v>#REF!</v>
      </c>
      <c r="CD28" t="e">
        <f>Table10[[#This Row],[Biomassi,t]]*Table10[[#This Row],[EF(CH4,burn)]]*GWP_CH4*10^(-6)*Table10[[#This Row],[Ai,t]]</f>
        <v>#REF!</v>
      </c>
      <c r="CE28" t="e">
        <f>Table10[[#This Row],[CO2eN2O,i,t (Eq 82)]]+Table10[[#This Row],[CO2eCH4,i,t (Eq 83)]]</f>
        <v>#REF!</v>
      </c>
    </row>
    <row r="29" spans="3:83" x14ac:dyDescent="0.2">
      <c r="C29" s="18">
        <v>2046</v>
      </c>
      <c r="D29">
        <f>-SUMIF( Table1221[[#All],[year t]],  "&lt;="&amp;Table1120[[#This Row],[year t]], Table1221[[#All],[∆𝐶WPS−𝑏𝑖𝑜𝑚𝑎𝑠𝑠,𝑖,t (equation 74)]])*44/12</f>
        <v>-1003029.1530545425</v>
      </c>
      <c r="E29">
        <f>SUMIF(Table1221[[#All],[year t]], "&lt;="&amp;Table1120[[#This Row],[year t]],  Table1221[[#All],[𝐺𝐻𝐺WPS−𝑠𝑜𝑖𝑙,𝑖,t]])</f>
        <v>-704346.69745572517</v>
      </c>
      <c r="F29">
        <f>SUMIF(Table1221[[#All],[year t]], "&lt;="&amp;Table1120[[#This Row],[year t]], Table1221[[#All],[𝐺𝐻𝐺WPS−𝑓𝑢𝑒𝑙,𝑖,t]])</f>
        <v>0</v>
      </c>
      <c r="G29">
        <f>IF(project_prescribed_burning = "Included", SUMIF(Table10[[#All],[year t]], "&lt;="&amp;Table1120[[#This Row],[year t]], Table10[[#All],[GHGWPS-burn,i,t (Eq 81)]]), 0)</f>
        <v>0</v>
      </c>
      <c r="H29">
        <f>Table1120[[#This Row],[GHG(WPS-biomass)]]+Table1120[[#This Row],[GHG(WPS-soil)]]+Table1120[[#This Row],[GHG(WPS-burn)]]+Table1120[[#This Row],[GHG(WPS-fuel)]]</f>
        <v>-1707375.8505102675</v>
      </c>
      <c r="K29" s="18">
        <v>2046</v>
      </c>
      <c r="L29" s="18">
        <v>1</v>
      </c>
      <c r="M29" cm="1">
        <f t="array" ref="M29">IF(project_aboveground_tree = "Included", INDEX(Table32[[#All],[ΔCTREE_PROJ,i,t (AR Tool 14) t C/yr]], MATCH(1, (Table1221[[#This Row],[year t]]=Table32[[#All],[year t]])*(Table1221[[#This Row],[stratum i]]=Table32[[#All],[stratum i]]), 0)), 0)</f>
        <v>15206.753204688372</v>
      </c>
      <c r="N29" s="57" cm="1">
        <f t="array" ref="N29">IF(project_aboveground_nontree = "Included", INDEX(#REF!, MATCH(1, (Table1221[[#This Row],[year t]]=Table32[[#All],[year t]])*(Table1221[[#This Row],[stratum i]]=Table32[[#All],[stratum i]]), 0)), 0)</f>
        <v>0</v>
      </c>
      <c r="O29">
        <f>12/44*(Table1221[[#This Row],[ΔCTREE_PROJ,t (AR Tool 14) t CO2e/yr]]+Table1221[[#This Row],[ΔCSHRUB_PROJ,t (AR Tool 14) t CO2e/yr]])</f>
        <v>4147.2963285513733</v>
      </c>
      <c r="P29" cm="1">
        <f t="array" ref="P29">IF(project_aboveground_nontree = "Included", IFERROR(INDEX(Table1322[[#All],[ΔCWPS-herb,i,t (Eq 78)]], MATCH(1, (Table1221[[#This Row],[stratum i]]=Table1322[[#All],[stratum i]])*(Table1221[[#This Row],[year t]]&gt;=#REF!)*(Table1221[[#This Row],[year t]]&lt;=Table1322[[#All],[year t]]), 0)), 0), 0)</f>
        <v>0</v>
      </c>
      <c r="Q29">
        <f>Table1221[[#This Row],[ΔCWPS-tree/shrub,i,t (t C/yr) (Eq 75)]]+Table1221[[#This Row],[ΔCWPS-herb,i,t (t C/yr)]]</f>
        <v>4147.2963285513733</v>
      </c>
      <c r="R29" cm="1">
        <f t="array" ref="R29">INDEX(Table1423[[#All],[GHGWPS-soil,i,t]], MATCH(1, (Table1221[[#This Row],[year t]]=Table1423[[#All],[year t]])*(Table1221[[#This Row],[stratum i]]=Table1423[[#All],[stratum i]]), 0))</f>
        <v>-7334.947224967128</v>
      </c>
      <c r="S29">
        <f>IF(project_ff_CO2 = "Included", Table1221[[#This Row],[ET(FC,I,t) AR-Tool 5 WPS]], 0)</f>
        <v>0</v>
      </c>
      <c r="T29" t="e" cm="1">
        <f t="array" ref="T29">INDEX(#REF!, MATCH(1, (Table1221[[#This Row],[year t]]=Table32[[#All],[year t]])*(Table1221[[#This Row],[stratum i]]=Table32[[#All],[stratum i]]), 0))</f>
        <v>#REF!</v>
      </c>
      <c r="AE29" s="18">
        <v>2046</v>
      </c>
      <c r="AF29" s="18">
        <v>1</v>
      </c>
      <c r="AG29" s="17" cm="1">
        <f t="array" ref="AG29">INDEX(Table32[[#All],[Ai,t]], MATCH(1, (Table1423[[#This Row],[year t]]=Table32[[#All],[year t]])*(Table1423[[#This Row],[stratum i]]=Table32[[#All],[stratum i]]), 0))</f>
        <v>1090.4420357142858</v>
      </c>
      <c r="AH29" t="str">
        <f>INDEX(Table31[[#All],[Soil type (t=0)]], MATCH(Table1423[[#This Row],[stratum i]], Table31[[#All],[Stratum i]]))</f>
        <v>Mineral soil</v>
      </c>
      <c r="AI29">
        <f>IF(Emission_reduction_from_stock_loss?, INDEX(Table2[[#All],[End_PDT]], MATCH(Table1423[[#This Row],[stratum i]], Table2[[#All],[stratum i]])), crediting_period)</f>
        <v>40</v>
      </c>
      <c r="AJ29">
        <f>IF(Emission_reduction_from_stock_loss?, INDEX(Table2[[#All],[End_SDT]], MATCH(Table1423[[#This Row],[stratum i]], Table2[[#All],[stratum i]])), crediting_period)</f>
        <v>40</v>
      </c>
      <c r="AK29" cm="1">
        <f t="array" ref="AK2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29" cm="1">
        <f t="array" ref="AL29">INDEX(Table32[[#All],[%Calloch WPS]], MATCH(1, (Table1423[[#This Row],[year t]]=Table32[[#All],[year t]])*(Table1423[[#This Row],[stratum i]]=Table32[[#All],[stratum i]]), 0))</f>
        <v>23.561573856247001</v>
      </c>
      <c r="AM2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29">
        <f>(Table1423[[#This Row],[GHGWPS-soil-CO2,i,t]]-Table1423[[#This Row],[Deductionalloch WPS (Eq 38)]])*Table1423[[#This Row],[Ai,t]]</f>
        <v>-7334.947224967128</v>
      </c>
      <c r="AO29" cm="1">
        <f t="array" ref="AO29">IF(project_soil_CH4 = "Included", INDEX(Table1830[[#All],[GHGWPS-soil-CH4,i,t (Eq 59)]], MATCH(1, (Table1423[[#This Row],[year t]]=Table1830[[#All],[year t]])*(Table1423[[#This Row],[stratum i]]=Table1830[[#All],[stratum i]]), 0)), 0)</f>
        <v>0</v>
      </c>
      <c r="AP29" cm="1">
        <f t="array" ref="AP29">IF(project_soil_N2O = "Included", INDEX(Table1830[[#All],[GHGWPS-soil-N2O,i,t (Eq 62)]], MATCH(1, (Table1423[[#This Row],[year t]]=Table1830[[#All],[year t]])*(Table1423[[#This Row],[stratum i]]=Table1830[[#All],[stratum i]]), 0)), 0)</f>
        <v>0</v>
      </c>
      <c r="AQ29">
        <f>Table1423[[#This Row],[Ai,t]]*(Table1423[[#This Row],[GHGWPS-soil-CO2,i,t]]-Table1423[[#This Row],[Deductionalloch WPS (Eq 38)]]+Table1423[[#This Row],[GHGWPS-soil-CH4,i,t]]+Table1423[[#This Row],[GHGWPS-soil-N2O,i,t]])</f>
        <v>-7334.947224967128</v>
      </c>
      <c r="AR29" t="e" cm="1">
        <f t="array" ref="AR29">INDEX(#REF!, MATCH(1, (Table1423[[#This Row],[year t]]=Table32[[#All],[year t]])*(Table1423[[#This Row],[stratum i]]=Table32[[#All],[stratum i]]), 0))</f>
        <v>#REF!</v>
      </c>
      <c r="AS29" t="e" cm="1">
        <f t="array" ref="AS29">INDEX(#REF!, MATCH(1, (Table1423[[#This Row],[year t]]=Table32[[#All],[year t]])*(Table1423[[#This Row],[stratum i]]=Table32[[#All],[stratum i]]), 0))</f>
        <v>#REF!</v>
      </c>
      <c r="AT29" t="e" cm="1">
        <f t="array" ref="AT29">INDEX(#REF!, MATCH(1, (Table1423[[#This Row],[year t]]=Table32[[#All],[year t]])*(Table1423[[#This Row],[stratum i]]=Table32[[#All],[stratum i]]), 0))</f>
        <v>#REF!</v>
      </c>
      <c r="AU29" t="e" cm="1">
        <f t="array" ref="AU29">INDEX(#REF!, MATCH(1, (Table1423[[#This Row],[year t]]=Table32[[#All],[year t]])*(Table1423[[#This Row],[stratum i]]=Table32[[#All],[stratum i]]), 0))</f>
        <v>#REF!</v>
      </c>
      <c r="BB29" s="18">
        <v>2046</v>
      </c>
      <c r="BC29" s="18">
        <v>1</v>
      </c>
      <c r="BD29" cm="1">
        <f t="array" ref="BD29">INDEX(Table32[[#All],[∆CWPS-soil,i,t (tC/ha)]], MATCH(1, (Table1329[[#This Row],[year t]]=Table32[[#All],[year t]])*(Table1329[[#This Row],[stratum i]]=Table32[[#All],[stratum i]]), 0))</f>
        <v>2.4</v>
      </c>
      <c r="BE29">
        <f>-44/12*Table1329[[#This Row],[∆CWPS-soil,i,t (tC/ha)]]</f>
        <v>-8.7999999999999989</v>
      </c>
      <c r="BI29" s="18">
        <v>4</v>
      </c>
      <c r="BJ29" s="17">
        <v>4</v>
      </c>
      <c r="BK29" s="32" t="e" cm="1">
        <f t="array" ref="BK29">INDEX(Table32[[#All],[Ai,t]], MATCH(1, (Table1830[[#This Row],[year t]]=Table32[[#All],[year t]])*(Table1830[[#This Row],[stratum i]]=Table32[[#All],[stratum i]]), 0))</f>
        <v>#N/A</v>
      </c>
      <c r="BL29" t="e" cm="1">
        <f t="array" ref="BL29">INDEX(#REF!, MATCH(1, (Table1830[[#This Row],[year t]]=Table32[[#All],[year t]])*(Table1830[[#This Row],[stratum i]]=Table32[[#All],[stratum i]]), 0))</f>
        <v>#REF!</v>
      </c>
      <c r="BM29" t="e" cm="1">
        <f t="array" ref="BM29">INDEX(#REF!, MATCH(1, (Table1830[[#This Row],[year t]]=Table32[[#All],[year t]])*(Table1830[[#This Row],[stratum i]]=Table32[[#All],[stratum i]]), 0))</f>
        <v>#REF!</v>
      </c>
      <c r="BN29" t="e" cm="1">
        <f t="array" ref="BN29">INDEX(#REF!, MATCH(1, (Table1830[[#This Row],[year t]]=Table32[[#All],[year t]])*(Table1830[[#This Row],[stratum i]]=Table32[[#All],[stratum i]]), 0))</f>
        <v>#REF!</v>
      </c>
      <c r="BO29" t="e">
        <f>IF(soil_CH4_approach = "Proxies", Table1830[[#This Row],[ƒ (GHG emission proxy: CH4) WPS]]*GWP_CH4, IF(soil_CH4_approach = "IPCC emission factors", Table1830[[#This Row],[IPCC Emission factor EF(CH4) WPS]]*Table1830[[#This Row],[Ai,t]]*GWP_CH4, Table1830[[#This Row],[CH4(WPS-soil,I,t)]]*GWP_CH4))</f>
        <v>#REF!</v>
      </c>
      <c r="BP29" t="e" cm="1">
        <f t="array" ref="BP29">INDEX(#REF!, MATCH(1, (Table1830[[#This Row],[year t]]=Table32[[#All],[year t]])*(Table1830[[#This Row],[stratum i]]=Table32[[#All],[stratum i]]), 0))</f>
        <v>#REF!</v>
      </c>
      <c r="BQ29" t="e" cm="1">
        <f t="array" ref="BQ29">INDEX(#REF!, MATCH(1, (Table1830[[#This Row],[year t]]=Table32[[#All],[year t]])*(Table1830[[#This Row],[stratum i]]=Table32[[#All],[stratum i]]), 0))</f>
        <v>#REF!</v>
      </c>
      <c r="BR29" t="e" cm="1">
        <f t="array" ref="BR29">INDEX(#REF!, MATCH(1, (Table1830[[#This Row],[year t]]=Table32[[#All],[year t]])*(Table1830[[#This Row],[stratum i]]=Table32[[#All],[stratum i]]), 0))</f>
        <v>#REF!</v>
      </c>
      <c r="BS29" t="e">
        <f>IF(soil_N2O_approach = "Proxies", Table1830[[#This Row],[ƒ (N2O emission proxy: N2O) WPS]]*GWP_N2O, IF(soil_N2O_approach = "IPCC emission factors", Table1830[[#This Row],[IPCC Emission factor EF(N2O) WPS]]*Table1830[[#This Row],[Ai,t]]*GWP_N2O, Table1830[[#This Row],[N2O (WPS-soil,I,t)]]*GWP_N2O))</f>
        <v>#REF!</v>
      </c>
      <c r="BW29" s="18">
        <v>4</v>
      </c>
      <c r="BX29" s="17">
        <v>4</v>
      </c>
      <c r="BY29" t="e" cm="1">
        <f t="array" ref="BY29">INDEX(Table32[[#All],[Ai,t]], MATCH(1, (Table10[[#This Row],[year t]]=Table32[[#All],[year t]])*(Table10[[#This Row],[stratum i]]=Table32[[#All],[stratum i]]), 0))</f>
        <v>#N/A</v>
      </c>
      <c r="BZ29" t="e" cm="1">
        <f t="array" ref="BZ29">INDEX(#REF!, MATCH(1, (Table10[[#This Row],[year t]]=Table32[[#All],[year t]])*(Table10[[#This Row],[stratum i]]=Table32[[#All],[stratum i]]), 0))</f>
        <v>#REF!</v>
      </c>
      <c r="CA29">
        <f t="shared" si="0"/>
        <v>0</v>
      </c>
      <c r="CB29">
        <f t="shared" si="1"/>
        <v>0</v>
      </c>
      <c r="CC29" t="e">
        <f>Table10[[#This Row],[Biomassi,t]]*Table10[[#This Row],[EF(N2O,burn)]]*GWP_N2O*10^(-6)*Table10[[#This Row],[Ai,t]]</f>
        <v>#REF!</v>
      </c>
      <c r="CD29" t="e">
        <f>Table10[[#This Row],[Biomassi,t]]*Table10[[#This Row],[EF(CH4,burn)]]*GWP_CH4*10^(-6)*Table10[[#This Row],[Ai,t]]</f>
        <v>#REF!</v>
      </c>
      <c r="CE29" t="e">
        <f>Table10[[#This Row],[CO2eN2O,i,t (Eq 82)]]+Table10[[#This Row],[CO2eCH4,i,t (Eq 83)]]</f>
        <v>#REF!</v>
      </c>
    </row>
    <row r="30" spans="3:83" x14ac:dyDescent="0.2">
      <c r="C30" s="18">
        <v>2047</v>
      </c>
      <c r="D30">
        <f>-SUMIF( Table1221[[#All],[year t]],  "&lt;="&amp;Table1120[[#This Row],[year t]], Table1221[[#All],[∆𝐶WPS−𝑏𝑖𝑜𝑚𝑎𝑠𝑠,𝑖,t (equation 74)]])*44/12</f>
        <v>-1095495.4607829368</v>
      </c>
      <c r="E30">
        <f>SUMIF(Table1221[[#All],[year t]], "&lt;="&amp;Table1120[[#This Row],[year t]],  Table1221[[#All],[𝐺𝐻𝐺WPS−𝑠𝑜𝑖𝑙,𝑖,t]])</f>
        <v>-748231.10686393094</v>
      </c>
      <c r="F30">
        <f>SUMIF(Table1221[[#All],[year t]], "&lt;="&amp;Table1120[[#This Row],[year t]], Table1221[[#All],[𝐺𝐻𝐺WPS−𝑓𝑢𝑒𝑙,𝑖,t]])</f>
        <v>0</v>
      </c>
      <c r="G30">
        <f>IF(project_prescribed_burning = "Included", SUMIF(Table10[[#All],[year t]], "&lt;="&amp;Table1120[[#This Row],[year t]], Table10[[#All],[GHGWPS-burn,i,t (Eq 81)]]), 0)</f>
        <v>0</v>
      </c>
      <c r="H30">
        <f>Table1120[[#This Row],[GHG(WPS-biomass)]]+Table1120[[#This Row],[GHG(WPS-soil)]]+Table1120[[#This Row],[GHG(WPS-burn)]]+Table1120[[#This Row],[GHG(WPS-fuel)]]</f>
        <v>-1843726.5676468676</v>
      </c>
      <c r="K30" s="18">
        <v>2047</v>
      </c>
      <c r="L30" s="18">
        <v>1</v>
      </c>
      <c r="M30" cm="1">
        <f t="array" ref="M30">IF(project_aboveground_tree = "Included", INDEX(Table32[[#All],[ΔCTREE_PROJ,i,t (AR Tool 14) t C/yr]], MATCH(1, (Table1221[[#This Row],[year t]]=Table32[[#All],[year t]])*(Table1221[[#This Row],[stratum i]]=Table32[[#All],[stratum i]]), 0)), 0)</f>
        <v>14551.599954065983</v>
      </c>
      <c r="N30" s="57" cm="1">
        <f t="array" ref="N30">IF(project_aboveground_nontree = "Included", INDEX(#REF!, MATCH(1, (Table1221[[#This Row],[year t]]=Table32[[#All],[year t]])*(Table1221[[#This Row],[stratum i]]=Table32[[#All],[stratum i]]), 0)), 0)</f>
        <v>0</v>
      </c>
      <c r="O30">
        <f>12/44*(Table1221[[#This Row],[ΔCTREE_PROJ,t (AR Tool 14) t CO2e/yr]]+Table1221[[#This Row],[ΔCSHRUB_PROJ,t (AR Tool 14) t CO2e/yr]])</f>
        <v>3968.6181692907226</v>
      </c>
      <c r="P30" cm="1">
        <f t="array" ref="P30">IF(project_aboveground_nontree = "Included", IFERROR(INDEX(Table1322[[#All],[ΔCWPS-herb,i,t (Eq 78)]], MATCH(1, (Table1221[[#This Row],[stratum i]]=Table1322[[#All],[stratum i]])*(Table1221[[#This Row],[year t]]&gt;=#REF!)*(Table1221[[#This Row],[year t]]&lt;=Table1322[[#All],[year t]]), 0)), 0), 0)</f>
        <v>0</v>
      </c>
      <c r="Q30">
        <f>Table1221[[#This Row],[ΔCWPS-tree/shrub,i,t (t C/yr) (Eq 75)]]+Table1221[[#This Row],[ΔCWPS-herb,i,t (t C/yr)]]</f>
        <v>3968.6181692907226</v>
      </c>
      <c r="R30" cm="1">
        <f t="array" ref="R30">INDEX(Table1423[[#All],[GHGWPS-soil,i,t]], MATCH(1, (Table1221[[#This Row],[year t]]=Table1423[[#All],[year t]])*(Table1221[[#This Row],[stratum i]]=Table1423[[#All],[stratum i]]), 0))</f>
        <v>-7334.947224967128</v>
      </c>
      <c r="S30">
        <f>IF(project_ff_CO2 = "Included", Table1221[[#This Row],[ET(FC,I,t) AR-Tool 5 WPS]], 0)</f>
        <v>0</v>
      </c>
      <c r="T30" t="e" cm="1">
        <f t="array" ref="T30">INDEX(#REF!, MATCH(1, (Table1221[[#This Row],[year t]]=Table32[[#All],[year t]])*(Table1221[[#This Row],[stratum i]]=Table32[[#All],[stratum i]]), 0))</f>
        <v>#REF!</v>
      </c>
      <c r="AE30" s="18">
        <v>2047</v>
      </c>
      <c r="AF30" s="18">
        <v>1</v>
      </c>
      <c r="AG30" s="18" cm="1">
        <f t="array" ref="AG30">INDEX(Table32[[#All],[Ai,t]], MATCH(1, (Table1423[[#This Row],[year t]]=Table32[[#All],[year t]])*(Table1423[[#This Row],[stratum i]]=Table32[[#All],[stratum i]]), 0))</f>
        <v>1090.4420357142858</v>
      </c>
      <c r="AH30" t="str">
        <f>INDEX(Table31[[#All],[Soil type (t=0)]], MATCH(Table1423[[#This Row],[stratum i]], Table31[[#All],[Stratum i]]))</f>
        <v>Mineral soil</v>
      </c>
      <c r="AI30">
        <f>IF(Emission_reduction_from_stock_loss?, INDEX(Table2[[#All],[End_PDT]], MATCH(Table1423[[#This Row],[stratum i]], Table2[[#All],[stratum i]])), crediting_period)</f>
        <v>40</v>
      </c>
      <c r="AJ30">
        <f>IF(Emission_reduction_from_stock_loss?, INDEX(Table2[[#All],[End_SDT]], MATCH(Table1423[[#This Row],[stratum i]], Table2[[#All],[stratum i]])), crediting_period)</f>
        <v>40</v>
      </c>
      <c r="AK30" cm="1">
        <f t="array" ref="AK3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0" cm="1">
        <f t="array" ref="AL30">INDEX(Table32[[#All],[%Calloch WPS]], MATCH(1, (Table1423[[#This Row],[year t]]=Table32[[#All],[year t]])*(Table1423[[#This Row],[stratum i]]=Table32[[#All],[stratum i]]), 0))</f>
        <v>23.561573856247001</v>
      </c>
      <c r="AM3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0">
        <f>(Table1423[[#This Row],[GHGWPS-soil-CO2,i,t]]-Table1423[[#This Row],[Deductionalloch WPS (Eq 38)]])*Table1423[[#This Row],[Ai,t]]</f>
        <v>-7334.947224967128</v>
      </c>
      <c r="AO30" cm="1">
        <f t="array" ref="AO30">IF(project_soil_CH4 = "Included", INDEX(Table1830[[#All],[GHGWPS-soil-CH4,i,t (Eq 59)]], MATCH(1, (Table1423[[#This Row],[year t]]=Table1830[[#All],[year t]])*(Table1423[[#This Row],[stratum i]]=Table1830[[#All],[stratum i]]), 0)), 0)</f>
        <v>0</v>
      </c>
      <c r="AP30" cm="1">
        <f t="array" ref="AP30">IF(project_soil_N2O = "Included", INDEX(Table1830[[#All],[GHGWPS-soil-N2O,i,t (Eq 62)]], MATCH(1, (Table1423[[#This Row],[year t]]=Table1830[[#All],[year t]])*(Table1423[[#This Row],[stratum i]]=Table1830[[#All],[stratum i]]), 0)), 0)</f>
        <v>0</v>
      </c>
      <c r="AQ30">
        <f>Table1423[[#This Row],[Ai,t]]*(Table1423[[#This Row],[GHGWPS-soil-CO2,i,t]]-Table1423[[#This Row],[Deductionalloch WPS (Eq 38)]]+Table1423[[#This Row],[GHGWPS-soil-CH4,i,t]]+Table1423[[#This Row],[GHGWPS-soil-N2O,i,t]])</f>
        <v>-7334.947224967128</v>
      </c>
      <c r="AR30" t="e" cm="1">
        <f t="array" ref="AR30">INDEX(#REF!, MATCH(1, (Table1423[[#This Row],[year t]]=Table32[[#All],[year t]])*(Table1423[[#This Row],[stratum i]]=Table32[[#All],[stratum i]]), 0))</f>
        <v>#REF!</v>
      </c>
      <c r="AS30" t="e" cm="1">
        <f t="array" ref="AS30">INDEX(#REF!, MATCH(1, (Table1423[[#This Row],[year t]]=Table32[[#All],[year t]])*(Table1423[[#This Row],[stratum i]]=Table32[[#All],[stratum i]]), 0))</f>
        <v>#REF!</v>
      </c>
      <c r="AT30" t="e" cm="1">
        <f t="array" ref="AT30">INDEX(#REF!, MATCH(1, (Table1423[[#This Row],[year t]]=Table32[[#All],[year t]])*(Table1423[[#This Row],[stratum i]]=Table32[[#All],[stratum i]]), 0))</f>
        <v>#REF!</v>
      </c>
      <c r="AU30" t="e" cm="1">
        <f t="array" ref="AU30">INDEX(#REF!, MATCH(1, (Table1423[[#This Row],[year t]]=Table32[[#All],[year t]])*(Table1423[[#This Row],[stratum i]]=Table32[[#All],[stratum i]]), 0))</f>
        <v>#REF!</v>
      </c>
      <c r="BB30" s="18">
        <v>2047</v>
      </c>
      <c r="BC30" s="18">
        <v>1</v>
      </c>
      <c r="BD30" cm="1">
        <f t="array" ref="BD30">INDEX(Table32[[#All],[∆CWPS-soil,i,t (tC/ha)]], MATCH(1, (Table1329[[#This Row],[year t]]=Table32[[#All],[year t]])*(Table1329[[#This Row],[stratum i]]=Table32[[#All],[stratum i]]), 0))</f>
        <v>2.4</v>
      </c>
      <c r="BE30">
        <f>-44/12*Table1329[[#This Row],[∆CWPS-soil,i,t (tC/ha)]]</f>
        <v>-8.7999999999999989</v>
      </c>
      <c r="BI30" s="17">
        <v>5</v>
      </c>
      <c r="BJ30" s="18">
        <v>4</v>
      </c>
      <c r="BK30" t="e" cm="1">
        <f t="array" ref="BK30">INDEX(Table32[[#All],[Ai,t]], MATCH(1, (Table1830[[#This Row],[year t]]=Table32[[#All],[year t]])*(Table1830[[#This Row],[stratum i]]=Table32[[#All],[stratum i]]), 0))</f>
        <v>#N/A</v>
      </c>
      <c r="BL30" t="e" cm="1">
        <f t="array" ref="BL30">INDEX(#REF!, MATCH(1, (Table1830[[#This Row],[year t]]=Table32[[#All],[year t]])*(Table1830[[#This Row],[stratum i]]=Table32[[#All],[stratum i]]), 0))</f>
        <v>#REF!</v>
      </c>
      <c r="BM30" t="e" cm="1">
        <f t="array" ref="BM30">INDEX(#REF!, MATCH(1, (Table1830[[#This Row],[year t]]=Table32[[#All],[year t]])*(Table1830[[#This Row],[stratum i]]=Table32[[#All],[stratum i]]), 0))</f>
        <v>#REF!</v>
      </c>
      <c r="BN30" t="e" cm="1">
        <f t="array" ref="BN30">INDEX(#REF!, MATCH(1, (Table1830[[#This Row],[year t]]=Table32[[#All],[year t]])*(Table1830[[#This Row],[stratum i]]=Table32[[#All],[stratum i]]), 0))</f>
        <v>#REF!</v>
      </c>
      <c r="BO30" t="e">
        <f>IF(soil_CH4_approach = "Proxies", Table1830[[#This Row],[ƒ (GHG emission proxy: CH4) WPS]]*GWP_CH4, IF(soil_CH4_approach = "IPCC emission factors", Table1830[[#This Row],[IPCC Emission factor EF(CH4) WPS]]*Table1830[[#This Row],[Ai,t]]*GWP_CH4, Table1830[[#This Row],[CH4(WPS-soil,I,t)]]*GWP_CH4))</f>
        <v>#REF!</v>
      </c>
      <c r="BP30" t="e" cm="1">
        <f t="array" ref="BP30">INDEX(#REF!, MATCH(1, (Table1830[[#This Row],[year t]]=Table32[[#All],[year t]])*(Table1830[[#This Row],[stratum i]]=Table32[[#All],[stratum i]]), 0))</f>
        <v>#REF!</v>
      </c>
      <c r="BQ30" t="e" cm="1">
        <f t="array" ref="BQ30">INDEX(#REF!, MATCH(1, (Table1830[[#This Row],[year t]]=Table32[[#All],[year t]])*(Table1830[[#This Row],[stratum i]]=Table32[[#All],[stratum i]]), 0))</f>
        <v>#REF!</v>
      </c>
      <c r="BR30" t="e" cm="1">
        <f t="array" ref="BR30">INDEX(#REF!, MATCH(1, (Table1830[[#This Row],[year t]]=Table32[[#All],[year t]])*(Table1830[[#This Row],[stratum i]]=Table32[[#All],[stratum i]]), 0))</f>
        <v>#REF!</v>
      </c>
      <c r="BS30" t="e">
        <f>IF(soil_N2O_approach = "Proxies", Table1830[[#This Row],[ƒ (N2O emission proxy: N2O) WPS]]*GWP_N2O, IF(soil_N2O_approach = "IPCC emission factors", Table1830[[#This Row],[IPCC Emission factor EF(N2O) WPS]]*Table1830[[#This Row],[Ai,t]]*GWP_N2O, Table1830[[#This Row],[N2O (WPS-soil,I,t)]]*GWP_N2O))</f>
        <v>#REF!</v>
      </c>
      <c r="BW30" s="17">
        <v>5</v>
      </c>
      <c r="BX30" s="18">
        <v>4</v>
      </c>
      <c r="BY30" t="e" cm="1">
        <f t="array" ref="BY30">INDEX(Table32[[#All],[Ai,t]], MATCH(1, (Table10[[#This Row],[year t]]=Table32[[#All],[year t]])*(Table10[[#This Row],[stratum i]]=Table32[[#All],[stratum i]]), 0))</f>
        <v>#N/A</v>
      </c>
      <c r="BZ30" t="e" cm="1">
        <f t="array" ref="BZ30">INDEX(#REF!, MATCH(1, (Table10[[#This Row],[year t]]=Table32[[#All],[year t]])*(Table10[[#This Row],[stratum i]]=Table32[[#All],[stratum i]]), 0))</f>
        <v>#REF!</v>
      </c>
      <c r="CA30">
        <f t="shared" si="0"/>
        <v>0</v>
      </c>
      <c r="CB30">
        <f t="shared" si="1"/>
        <v>0</v>
      </c>
      <c r="CC30" t="e">
        <f>Table10[[#This Row],[Biomassi,t]]*Table10[[#This Row],[EF(N2O,burn)]]*GWP_N2O*10^(-6)*Table10[[#This Row],[Ai,t]]</f>
        <v>#REF!</v>
      </c>
      <c r="CD30" t="e">
        <f>Table10[[#This Row],[Biomassi,t]]*Table10[[#This Row],[EF(CH4,burn)]]*GWP_CH4*10^(-6)*Table10[[#This Row],[Ai,t]]</f>
        <v>#REF!</v>
      </c>
      <c r="CE30" t="e">
        <f>Table10[[#This Row],[CO2eN2O,i,t (Eq 82)]]+Table10[[#This Row],[CO2eCH4,i,t (Eq 83)]]</f>
        <v>#REF!</v>
      </c>
    </row>
    <row r="31" spans="3:83" x14ac:dyDescent="0.2">
      <c r="C31" s="18">
        <v>2048</v>
      </c>
      <c r="D31">
        <f>-SUMIF( Table1221[[#All],[year t]],  "&lt;="&amp;Table1120[[#This Row],[year t]], Table1221[[#All],[∆𝐶WPS−𝑏𝑖𝑜𝑚𝑎𝑠𝑠,𝑖,t (equation 74)]])*44/12</f>
        <v>-1184496.7822255385</v>
      </c>
      <c r="E31">
        <f>SUMIF(Table1221[[#All],[year t]], "&lt;="&amp;Table1120[[#This Row],[year t]],  Table1221[[#All],[𝐺𝐻𝐺WPS−𝑠𝑜𝑖𝑙,𝑖,t]])</f>
        <v>-792115.51627213659</v>
      </c>
      <c r="F31">
        <f>SUMIF(Table1221[[#All],[year t]], "&lt;="&amp;Table1120[[#This Row],[year t]], Table1221[[#All],[𝐺𝐻𝐺WPS−𝑓𝑢𝑒𝑙,𝑖,t]])</f>
        <v>0</v>
      </c>
      <c r="G31">
        <f>IF(project_prescribed_burning = "Included", SUMIF(Table10[[#All],[year t]], "&lt;="&amp;Table1120[[#This Row],[year t]], Table10[[#All],[GHGWPS-burn,i,t (Eq 81)]]), 0)</f>
        <v>0</v>
      </c>
      <c r="H31">
        <f>Table1120[[#This Row],[GHG(WPS-biomass)]]+Table1120[[#This Row],[GHG(WPS-soil)]]+Table1120[[#This Row],[GHG(WPS-burn)]]+Table1120[[#This Row],[GHG(WPS-fuel)]]</f>
        <v>-1976612.298497675</v>
      </c>
      <c r="K31" s="18">
        <v>2048</v>
      </c>
      <c r="L31" s="18">
        <v>1</v>
      </c>
      <c r="M31" cm="1">
        <f t="array" ref="M31">IF(project_aboveground_tree = "Included", INDEX(Table32[[#All],[ΔCTREE_PROJ,i,t (AR Tool 14) t C/yr]], MATCH(1, (Table1221[[#This Row],[year t]]=Table32[[#All],[year t]])*(Table1221[[#This Row],[stratum i]]=Table32[[#All],[stratum i]]), 0)), 0)</f>
        <v>13812.151315961848</v>
      </c>
      <c r="N31" s="57" cm="1">
        <f t="array" ref="N31">IF(project_aboveground_nontree = "Included", INDEX(#REF!, MATCH(1, (Table1221[[#This Row],[year t]]=Table32[[#All],[year t]])*(Table1221[[#This Row],[stratum i]]=Table32[[#All],[stratum i]]), 0)), 0)</f>
        <v>0</v>
      </c>
      <c r="O31">
        <f>12/44*(Table1221[[#This Row],[ΔCTREE_PROJ,t (AR Tool 14) t CO2e/yr]]+Table1221[[#This Row],[ΔCSHRUB_PROJ,t (AR Tool 14) t CO2e/yr]])</f>
        <v>3766.9503588986854</v>
      </c>
      <c r="P31" cm="1">
        <f t="array" ref="P31">IF(project_aboveground_nontree = "Included", IFERROR(INDEX(Table1322[[#All],[ΔCWPS-herb,i,t (Eq 78)]], MATCH(1, (Table1221[[#This Row],[stratum i]]=Table1322[[#All],[stratum i]])*(Table1221[[#This Row],[year t]]&gt;=#REF!)*(Table1221[[#This Row],[year t]]&lt;=Table1322[[#All],[year t]]), 0)), 0), 0)</f>
        <v>0</v>
      </c>
      <c r="Q31">
        <f>Table1221[[#This Row],[ΔCWPS-tree/shrub,i,t (t C/yr) (Eq 75)]]+Table1221[[#This Row],[ΔCWPS-herb,i,t (t C/yr)]]</f>
        <v>3766.9503588986854</v>
      </c>
      <c r="R31" cm="1">
        <f t="array" ref="R31">INDEX(Table1423[[#All],[GHGWPS-soil,i,t]], MATCH(1, (Table1221[[#This Row],[year t]]=Table1423[[#All],[year t]])*(Table1221[[#This Row],[stratum i]]=Table1423[[#All],[stratum i]]), 0))</f>
        <v>-7334.947224967128</v>
      </c>
      <c r="S31">
        <f>IF(project_ff_CO2 = "Included", Table1221[[#This Row],[ET(FC,I,t) AR-Tool 5 WPS]], 0)</f>
        <v>0</v>
      </c>
      <c r="T31" t="e" cm="1">
        <f t="array" ref="T31">INDEX(#REF!, MATCH(1, (Table1221[[#This Row],[year t]]=Table32[[#All],[year t]])*(Table1221[[#This Row],[stratum i]]=Table32[[#All],[stratum i]]), 0))</f>
        <v>#REF!</v>
      </c>
      <c r="AE31" s="18">
        <v>2048</v>
      </c>
      <c r="AF31" s="18">
        <v>1</v>
      </c>
      <c r="AG31" s="17" cm="1">
        <f t="array" ref="AG31">INDEX(Table32[[#All],[Ai,t]], MATCH(1, (Table1423[[#This Row],[year t]]=Table32[[#All],[year t]])*(Table1423[[#This Row],[stratum i]]=Table32[[#All],[stratum i]]), 0))</f>
        <v>1090.4420357142858</v>
      </c>
      <c r="AH31" t="str">
        <f>INDEX(Table31[[#All],[Soil type (t=0)]], MATCH(Table1423[[#This Row],[stratum i]], Table31[[#All],[Stratum i]]))</f>
        <v>Mineral soil</v>
      </c>
      <c r="AI31">
        <f>IF(Emission_reduction_from_stock_loss?, INDEX(Table2[[#All],[End_PDT]], MATCH(Table1423[[#This Row],[stratum i]], Table2[[#All],[stratum i]])), crediting_period)</f>
        <v>40</v>
      </c>
      <c r="AJ31">
        <f>IF(Emission_reduction_from_stock_loss?, INDEX(Table2[[#All],[End_SDT]], MATCH(Table1423[[#This Row],[stratum i]], Table2[[#All],[stratum i]])), crediting_period)</f>
        <v>40</v>
      </c>
      <c r="AK31" cm="1">
        <f t="array" ref="AK3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1" cm="1">
        <f t="array" ref="AL31">INDEX(Table32[[#All],[%Calloch WPS]], MATCH(1, (Table1423[[#This Row],[year t]]=Table32[[#All],[year t]])*(Table1423[[#This Row],[stratum i]]=Table32[[#All],[stratum i]]), 0))</f>
        <v>23.561573856247001</v>
      </c>
      <c r="AM3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1">
        <f>(Table1423[[#This Row],[GHGWPS-soil-CO2,i,t]]-Table1423[[#This Row],[Deductionalloch WPS (Eq 38)]])*Table1423[[#This Row],[Ai,t]]</f>
        <v>-7334.947224967128</v>
      </c>
      <c r="AO31" cm="1">
        <f t="array" ref="AO31">IF(project_soil_CH4 = "Included", INDEX(Table1830[[#All],[GHGWPS-soil-CH4,i,t (Eq 59)]], MATCH(1, (Table1423[[#This Row],[year t]]=Table1830[[#All],[year t]])*(Table1423[[#This Row],[stratum i]]=Table1830[[#All],[stratum i]]), 0)), 0)</f>
        <v>0</v>
      </c>
      <c r="AP31" cm="1">
        <f t="array" ref="AP31">IF(project_soil_N2O = "Included", INDEX(Table1830[[#All],[GHGWPS-soil-N2O,i,t (Eq 62)]], MATCH(1, (Table1423[[#This Row],[year t]]=Table1830[[#All],[year t]])*(Table1423[[#This Row],[stratum i]]=Table1830[[#All],[stratum i]]), 0)), 0)</f>
        <v>0</v>
      </c>
      <c r="AQ31">
        <f>Table1423[[#This Row],[Ai,t]]*(Table1423[[#This Row],[GHGWPS-soil-CO2,i,t]]-Table1423[[#This Row],[Deductionalloch WPS (Eq 38)]]+Table1423[[#This Row],[GHGWPS-soil-CH4,i,t]]+Table1423[[#This Row],[GHGWPS-soil-N2O,i,t]])</f>
        <v>-7334.947224967128</v>
      </c>
      <c r="AR31" t="e" cm="1">
        <f t="array" ref="AR31">INDEX(#REF!, MATCH(1, (Table1423[[#This Row],[year t]]=Table32[[#All],[year t]])*(Table1423[[#This Row],[stratum i]]=Table32[[#All],[stratum i]]), 0))</f>
        <v>#REF!</v>
      </c>
      <c r="AS31" t="e" cm="1">
        <f t="array" ref="AS31">INDEX(#REF!, MATCH(1, (Table1423[[#This Row],[year t]]=Table32[[#All],[year t]])*(Table1423[[#This Row],[stratum i]]=Table32[[#All],[stratum i]]), 0))</f>
        <v>#REF!</v>
      </c>
      <c r="AT31" t="e" cm="1">
        <f t="array" ref="AT31">INDEX(#REF!, MATCH(1, (Table1423[[#This Row],[year t]]=Table32[[#All],[year t]])*(Table1423[[#This Row],[stratum i]]=Table32[[#All],[stratum i]]), 0))</f>
        <v>#REF!</v>
      </c>
      <c r="AU31" t="e" cm="1">
        <f t="array" ref="AU31">INDEX(#REF!, MATCH(1, (Table1423[[#This Row],[year t]]=Table32[[#All],[year t]])*(Table1423[[#This Row],[stratum i]]=Table32[[#All],[stratum i]]), 0))</f>
        <v>#REF!</v>
      </c>
      <c r="BB31" s="18">
        <v>2048</v>
      </c>
      <c r="BC31" s="18">
        <v>1</v>
      </c>
      <c r="BD31" cm="1">
        <f t="array" ref="BD31">INDEX(Table32[[#All],[∆CWPS-soil,i,t (tC/ha)]], MATCH(1, (Table1329[[#This Row],[year t]]=Table32[[#All],[year t]])*(Table1329[[#This Row],[stratum i]]=Table32[[#All],[stratum i]]), 0))</f>
        <v>2.4</v>
      </c>
      <c r="BE31">
        <f>-44/12*Table1329[[#This Row],[∆CWPS-soil,i,t (tC/ha)]]</f>
        <v>-8.7999999999999989</v>
      </c>
      <c r="BI31" s="18">
        <v>6</v>
      </c>
      <c r="BJ31" s="17">
        <v>4</v>
      </c>
      <c r="BK31" s="32" t="e" cm="1">
        <f t="array" ref="BK31">INDEX(Table32[[#All],[Ai,t]], MATCH(1, (Table1830[[#This Row],[year t]]=Table32[[#All],[year t]])*(Table1830[[#This Row],[stratum i]]=Table32[[#All],[stratum i]]), 0))</f>
        <v>#N/A</v>
      </c>
      <c r="BL31" t="e" cm="1">
        <f t="array" ref="BL31">INDEX(#REF!, MATCH(1, (Table1830[[#This Row],[year t]]=Table32[[#All],[year t]])*(Table1830[[#This Row],[stratum i]]=Table32[[#All],[stratum i]]), 0))</f>
        <v>#REF!</v>
      </c>
      <c r="BM31" t="e" cm="1">
        <f t="array" ref="BM31">INDEX(#REF!, MATCH(1, (Table1830[[#This Row],[year t]]=Table32[[#All],[year t]])*(Table1830[[#This Row],[stratum i]]=Table32[[#All],[stratum i]]), 0))</f>
        <v>#REF!</v>
      </c>
      <c r="BN31" t="e" cm="1">
        <f t="array" ref="BN31">INDEX(#REF!, MATCH(1, (Table1830[[#This Row],[year t]]=Table32[[#All],[year t]])*(Table1830[[#This Row],[stratum i]]=Table32[[#All],[stratum i]]), 0))</f>
        <v>#REF!</v>
      </c>
      <c r="BO31" t="e">
        <f>IF(soil_CH4_approach = "Proxies", Table1830[[#This Row],[ƒ (GHG emission proxy: CH4) WPS]]*GWP_CH4, IF(soil_CH4_approach = "IPCC emission factors", Table1830[[#This Row],[IPCC Emission factor EF(CH4) WPS]]*Table1830[[#This Row],[Ai,t]]*GWP_CH4, Table1830[[#This Row],[CH4(WPS-soil,I,t)]]*GWP_CH4))</f>
        <v>#REF!</v>
      </c>
      <c r="BP31" t="e" cm="1">
        <f t="array" ref="BP31">INDEX(#REF!, MATCH(1, (Table1830[[#This Row],[year t]]=Table32[[#All],[year t]])*(Table1830[[#This Row],[stratum i]]=Table32[[#All],[stratum i]]), 0))</f>
        <v>#REF!</v>
      </c>
      <c r="BQ31" t="e" cm="1">
        <f t="array" ref="BQ31">INDEX(#REF!, MATCH(1, (Table1830[[#This Row],[year t]]=Table32[[#All],[year t]])*(Table1830[[#This Row],[stratum i]]=Table32[[#All],[stratum i]]), 0))</f>
        <v>#REF!</v>
      </c>
      <c r="BR31" t="e" cm="1">
        <f t="array" ref="BR31">INDEX(#REF!, MATCH(1, (Table1830[[#This Row],[year t]]=Table32[[#All],[year t]])*(Table1830[[#This Row],[stratum i]]=Table32[[#All],[stratum i]]), 0))</f>
        <v>#REF!</v>
      </c>
      <c r="BS31" t="e">
        <f>IF(soil_N2O_approach = "Proxies", Table1830[[#This Row],[ƒ (N2O emission proxy: N2O) WPS]]*GWP_N2O, IF(soil_N2O_approach = "IPCC emission factors", Table1830[[#This Row],[IPCC Emission factor EF(N2O) WPS]]*Table1830[[#This Row],[Ai,t]]*GWP_N2O, Table1830[[#This Row],[N2O (WPS-soil,I,t)]]*GWP_N2O))</f>
        <v>#REF!</v>
      </c>
      <c r="BW31" s="18">
        <v>6</v>
      </c>
      <c r="BX31" s="17">
        <v>4</v>
      </c>
      <c r="BY31" t="e" cm="1">
        <f t="array" ref="BY31">INDEX(Table32[[#All],[Ai,t]], MATCH(1, (Table10[[#This Row],[year t]]=Table32[[#All],[year t]])*(Table10[[#This Row],[stratum i]]=Table32[[#All],[stratum i]]), 0))</f>
        <v>#N/A</v>
      </c>
      <c r="BZ31" t="e" cm="1">
        <f t="array" ref="BZ31">INDEX(#REF!, MATCH(1, (Table10[[#This Row],[year t]]=Table32[[#All],[year t]])*(Table10[[#This Row],[stratum i]]=Table32[[#All],[stratum i]]), 0))</f>
        <v>#REF!</v>
      </c>
      <c r="CA31">
        <f t="shared" si="0"/>
        <v>0</v>
      </c>
      <c r="CB31">
        <f t="shared" si="1"/>
        <v>0</v>
      </c>
      <c r="CC31" t="e">
        <f>Table10[[#This Row],[Biomassi,t]]*Table10[[#This Row],[EF(N2O,burn)]]*GWP_N2O*10^(-6)*Table10[[#This Row],[Ai,t]]</f>
        <v>#REF!</v>
      </c>
      <c r="CD31" t="e">
        <f>Table10[[#This Row],[Biomassi,t]]*Table10[[#This Row],[EF(CH4,burn)]]*GWP_CH4*10^(-6)*Table10[[#This Row],[Ai,t]]</f>
        <v>#REF!</v>
      </c>
      <c r="CE31" t="e">
        <f>Table10[[#This Row],[CO2eN2O,i,t (Eq 82)]]+Table10[[#This Row],[CO2eCH4,i,t (Eq 83)]]</f>
        <v>#REF!</v>
      </c>
    </row>
    <row r="32" spans="3:83" x14ac:dyDescent="0.2">
      <c r="C32" s="18">
        <v>2049</v>
      </c>
      <c r="D32">
        <f>-SUMIF( Table1221[[#All],[year t]],  "&lt;="&amp;Table1120[[#This Row],[year t]], Table1221[[#All],[∆𝐶WPS−𝑏𝑖𝑜𝑚𝑎𝑠𝑠,𝑖,t (equation 74)]])*44/12</f>
        <v>-1269416.1556184355</v>
      </c>
      <c r="E32">
        <f>SUMIF(Table1221[[#All],[year t]], "&lt;="&amp;Table1120[[#This Row],[year t]],  Table1221[[#All],[𝐺𝐻𝐺WPS−𝑠𝑜𝑖𝑙,𝑖,t]])</f>
        <v>-835999.92568034236</v>
      </c>
      <c r="F32">
        <f>SUMIF(Table1221[[#All],[year t]], "&lt;="&amp;Table1120[[#This Row],[year t]], Table1221[[#All],[𝐺𝐻𝐺WPS−𝑓𝑢𝑒𝑙,𝑖,t]])</f>
        <v>0</v>
      </c>
      <c r="G32">
        <f>IF(project_prescribed_burning = "Included", SUMIF(Table10[[#All],[year t]], "&lt;="&amp;Table1120[[#This Row],[year t]], Table10[[#All],[GHGWPS-burn,i,t (Eq 81)]]), 0)</f>
        <v>0</v>
      </c>
      <c r="H32">
        <f>Table1120[[#This Row],[GHG(WPS-biomass)]]+Table1120[[#This Row],[GHG(WPS-soil)]]+Table1120[[#This Row],[GHG(WPS-burn)]]+Table1120[[#This Row],[GHG(WPS-fuel)]]</f>
        <v>-2105416.0812987778</v>
      </c>
      <c r="K32" s="18">
        <v>2049</v>
      </c>
      <c r="L32" s="18">
        <v>1</v>
      </c>
      <c r="M32" cm="1">
        <f t="array" ref="M32">IF(project_aboveground_tree = "Included", INDEX(Table32[[#All],[ΔCTREE_PROJ,i,t (AR Tool 14) t C/yr]], MATCH(1, (Table1221[[#This Row],[year t]]=Table32[[#All],[year t]])*(Table1221[[#This Row],[stratum i]]=Table32[[#All],[stratum i]]), 0)), 0)</f>
        <v>13016.937187456206</v>
      </c>
      <c r="N32" s="57" cm="1">
        <f t="array" ref="N32">IF(project_aboveground_nontree = "Included", INDEX(#REF!, MATCH(1, (Table1221[[#This Row],[year t]]=Table32[[#All],[year t]])*(Table1221[[#This Row],[stratum i]]=Table32[[#All],[stratum i]]), 0)), 0)</f>
        <v>0</v>
      </c>
      <c r="O32">
        <f>12/44*(Table1221[[#This Row],[ΔCTREE_PROJ,t (AR Tool 14) t CO2e/yr]]+Table1221[[#This Row],[ΔCSHRUB_PROJ,t (AR Tool 14) t CO2e/yr]])</f>
        <v>3550.0737783971467</v>
      </c>
      <c r="P32" cm="1">
        <f t="array" ref="P32">IF(project_aboveground_nontree = "Included", IFERROR(INDEX(Table1322[[#All],[ΔCWPS-herb,i,t (Eq 78)]], MATCH(1, (Table1221[[#This Row],[stratum i]]=Table1322[[#All],[stratum i]])*(Table1221[[#This Row],[year t]]&gt;=#REF!)*(Table1221[[#This Row],[year t]]&lt;=Table1322[[#All],[year t]]), 0)), 0), 0)</f>
        <v>0</v>
      </c>
      <c r="Q32">
        <f>Table1221[[#This Row],[ΔCWPS-tree/shrub,i,t (t C/yr) (Eq 75)]]+Table1221[[#This Row],[ΔCWPS-herb,i,t (t C/yr)]]</f>
        <v>3550.0737783971467</v>
      </c>
      <c r="R32" cm="1">
        <f t="array" ref="R32">INDEX(Table1423[[#All],[GHGWPS-soil,i,t]], MATCH(1, (Table1221[[#This Row],[year t]]=Table1423[[#All],[year t]])*(Table1221[[#This Row],[stratum i]]=Table1423[[#All],[stratum i]]), 0))</f>
        <v>-7334.947224967128</v>
      </c>
      <c r="S32">
        <f>IF(project_ff_CO2 = "Included", Table1221[[#This Row],[ET(FC,I,t) AR-Tool 5 WPS]], 0)</f>
        <v>0</v>
      </c>
      <c r="T32" t="e" cm="1">
        <f t="array" ref="T32">INDEX(#REF!, MATCH(1, (Table1221[[#This Row],[year t]]=Table32[[#All],[year t]])*(Table1221[[#This Row],[stratum i]]=Table32[[#All],[stratum i]]), 0))</f>
        <v>#REF!</v>
      </c>
      <c r="AE32" s="18">
        <v>2049</v>
      </c>
      <c r="AF32" s="18">
        <v>1</v>
      </c>
      <c r="AG32" s="18" cm="1">
        <f t="array" ref="AG32">INDEX(Table32[[#All],[Ai,t]], MATCH(1, (Table1423[[#This Row],[year t]]=Table32[[#All],[year t]])*(Table1423[[#This Row],[stratum i]]=Table32[[#All],[stratum i]]), 0))</f>
        <v>1090.4420357142858</v>
      </c>
      <c r="AH32" t="str">
        <f>INDEX(Table31[[#All],[Soil type (t=0)]], MATCH(Table1423[[#This Row],[stratum i]], Table31[[#All],[Stratum i]]))</f>
        <v>Mineral soil</v>
      </c>
      <c r="AI32">
        <f>IF(Emission_reduction_from_stock_loss?, INDEX(Table2[[#All],[End_PDT]], MATCH(Table1423[[#This Row],[stratum i]], Table2[[#All],[stratum i]])), crediting_period)</f>
        <v>40</v>
      </c>
      <c r="AJ32">
        <f>IF(Emission_reduction_from_stock_loss?, INDEX(Table2[[#All],[End_SDT]], MATCH(Table1423[[#This Row],[stratum i]], Table2[[#All],[stratum i]])), crediting_period)</f>
        <v>40</v>
      </c>
      <c r="AK32" cm="1">
        <f t="array" ref="AK3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2" cm="1">
        <f t="array" ref="AL32">INDEX(Table32[[#All],[%Calloch WPS]], MATCH(1, (Table1423[[#This Row],[year t]]=Table32[[#All],[year t]])*(Table1423[[#This Row],[stratum i]]=Table32[[#All],[stratum i]]), 0))</f>
        <v>23.561573856247001</v>
      </c>
      <c r="AM3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2">
        <f>(Table1423[[#This Row],[GHGWPS-soil-CO2,i,t]]-Table1423[[#This Row],[Deductionalloch WPS (Eq 38)]])*Table1423[[#This Row],[Ai,t]]</f>
        <v>-7334.947224967128</v>
      </c>
      <c r="AO32" cm="1">
        <f t="array" ref="AO32">IF(project_soil_CH4 = "Included", INDEX(Table1830[[#All],[GHGWPS-soil-CH4,i,t (Eq 59)]], MATCH(1, (Table1423[[#This Row],[year t]]=Table1830[[#All],[year t]])*(Table1423[[#This Row],[stratum i]]=Table1830[[#All],[stratum i]]), 0)), 0)</f>
        <v>0</v>
      </c>
      <c r="AP32" cm="1">
        <f t="array" ref="AP32">IF(project_soil_N2O = "Included", INDEX(Table1830[[#All],[GHGWPS-soil-N2O,i,t (Eq 62)]], MATCH(1, (Table1423[[#This Row],[year t]]=Table1830[[#All],[year t]])*(Table1423[[#This Row],[stratum i]]=Table1830[[#All],[stratum i]]), 0)), 0)</f>
        <v>0</v>
      </c>
      <c r="AQ32">
        <f>Table1423[[#This Row],[Ai,t]]*(Table1423[[#This Row],[GHGWPS-soil-CO2,i,t]]-Table1423[[#This Row],[Deductionalloch WPS (Eq 38)]]+Table1423[[#This Row],[GHGWPS-soil-CH4,i,t]]+Table1423[[#This Row],[GHGWPS-soil-N2O,i,t]])</f>
        <v>-7334.947224967128</v>
      </c>
      <c r="AR32" t="e" cm="1">
        <f t="array" ref="AR32">INDEX(#REF!, MATCH(1, (Table1423[[#This Row],[year t]]=Table32[[#All],[year t]])*(Table1423[[#This Row],[stratum i]]=Table32[[#All],[stratum i]]), 0))</f>
        <v>#REF!</v>
      </c>
      <c r="AS32" t="e" cm="1">
        <f t="array" ref="AS32">INDEX(#REF!, MATCH(1, (Table1423[[#This Row],[year t]]=Table32[[#All],[year t]])*(Table1423[[#This Row],[stratum i]]=Table32[[#All],[stratum i]]), 0))</f>
        <v>#REF!</v>
      </c>
      <c r="AT32" t="e" cm="1">
        <f t="array" ref="AT32">INDEX(#REF!, MATCH(1, (Table1423[[#This Row],[year t]]=Table32[[#All],[year t]])*(Table1423[[#This Row],[stratum i]]=Table32[[#All],[stratum i]]), 0))</f>
        <v>#REF!</v>
      </c>
      <c r="AU32" t="e" cm="1">
        <f t="array" ref="AU32">INDEX(#REF!, MATCH(1, (Table1423[[#This Row],[year t]]=Table32[[#All],[year t]])*(Table1423[[#This Row],[stratum i]]=Table32[[#All],[stratum i]]), 0))</f>
        <v>#REF!</v>
      </c>
      <c r="BB32" s="18">
        <v>2049</v>
      </c>
      <c r="BC32" s="18">
        <v>1</v>
      </c>
      <c r="BD32" cm="1">
        <f t="array" ref="BD32">INDEX(Table32[[#All],[∆CWPS-soil,i,t (tC/ha)]], MATCH(1, (Table1329[[#This Row],[year t]]=Table32[[#All],[year t]])*(Table1329[[#This Row],[stratum i]]=Table32[[#All],[stratum i]]), 0))</f>
        <v>2.4</v>
      </c>
      <c r="BE32">
        <f>-44/12*Table1329[[#This Row],[∆CWPS-soil,i,t (tC/ha)]]</f>
        <v>-8.7999999999999989</v>
      </c>
      <c r="BI32" s="17">
        <v>7</v>
      </c>
      <c r="BJ32" s="18">
        <v>4</v>
      </c>
      <c r="BK32" t="e" cm="1">
        <f t="array" ref="BK32">INDEX(Table32[[#All],[Ai,t]], MATCH(1, (Table1830[[#This Row],[year t]]=Table32[[#All],[year t]])*(Table1830[[#This Row],[stratum i]]=Table32[[#All],[stratum i]]), 0))</f>
        <v>#N/A</v>
      </c>
      <c r="BL32" t="e" cm="1">
        <f t="array" ref="BL32">INDEX(#REF!, MATCH(1, (Table1830[[#This Row],[year t]]=Table32[[#All],[year t]])*(Table1830[[#This Row],[stratum i]]=Table32[[#All],[stratum i]]), 0))</f>
        <v>#REF!</v>
      </c>
      <c r="BM32" t="e" cm="1">
        <f t="array" ref="BM32">INDEX(#REF!, MATCH(1, (Table1830[[#This Row],[year t]]=Table32[[#All],[year t]])*(Table1830[[#This Row],[stratum i]]=Table32[[#All],[stratum i]]), 0))</f>
        <v>#REF!</v>
      </c>
      <c r="BN32" t="e" cm="1">
        <f t="array" ref="BN32">INDEX(#REF!, MATCH(1, (Table1830[[#This Row],[year t]]=Table32[[#All],[year t]])*(Table1830[[#This Row],[stratum i]]=Table32[[#All],[stratum i]]), 0))</f>
        <v>#REF!</v>
      </c>
      <c r="BO32" t="e">
        <f>IF(soil_CH4_approach = "Proxies", Table1830[[#This Row],[ƒ (GHG emission proxy: CH4) WPS]]*GWP_CH4, IF(soil_CH4_approach = "IPCC emission factors", Table1830[[#This Row],[IPCC Emission factor EF(CH4) WPS]]*Table1830[[#This Row],[Ai,t]]*GWP_CH4, Table1830[[#This Row],[CH4(WPS-soil,I,t)]]*GWP_CH4))</f>
        <v>#REF!</v>
      </c>
      <c r="BP32" t="e" cm="1">
        <f t="array" ref="BP32">INDEX(#REF!, MATCH(1, (Table1830[[#This Row],[year t]]=Table32[[#All],[year t]])*(Table1830[[#This Row],[stratum i]]=Table32[[#All],[stratum i]]), 0))</f>
        <v>#REF!</v>
      </c>
      <c r="BQ32" t="e" cm="1">
        <f t="array" ref="BQ32">INDEX(#REF!, MATCH(1, (Table1830[[#This Row],[year t]]=Table32[[#All],[year t]])*(Table1830[[#This Row],[stratum i]]=Table32[[#All],[stratum i]]), 0))</f>
        <v>#REF!</v>
      </c>
      <c r="BR32" t="e" cm="1">
        <f t="array" ref="BR32">INDEX(#REF!, MATCH(1, (Table1830[[#This Row],[year t]]=Table32[[#All],[year t]])*(Table1830[[#This Row],[stratum i]]=Table32[[#All],[stratum i]]), 0))</f>
        <v>#REF!</v>
      </c>
      <c r="BS32" t="e">
        <f>IF(soil_N2O_approach = "Proxies", Table1830[[#This Row],[ƒ (N2O emission proxy: N2O) WPS]]*GWP_N2O, IF(soil_N2O_approach = "IPCC emission factors", Table1830[[#This Row],[IPCC Emission factor EF(N2O) WPS]]*Table1830[[#This Row],[Ai,t]]*GWP_N2O, Table1830[[#This Row],[N2O (WPS-soil,I,t)]]*GWP_N2O))</f>
        <v>#REF!</v>
      </c>
      <c r="BW32" s="17">
        <v>7</v>
      </c>
      <c r="BX32" s="18">
        <v>4</v>
      </c>
      <c r="BY32" t="e" cm="1">
        <f t="array" ref="BY32">INDEX(Table32[[#All],[Ai,t]], MATCH(1, (Table10[[#This Row],[year t]]=Table32[[#All],[year t]])*(Table10[[#This Row],[stratum i]]=Table32[[#All],[stratum i]]), 0))</f>
        <v>#N/A</v>
      </c>
      <c r="BZ32" t="e" cm="1">
        <f t="array" ref="BZ32">INDEX(#REF!, MATCH(1, (Table10[[#This Row],[year t]]=Table32[[#All],[year t]])*(Table10[[#This Row],[stratum i]]=Table32[[#All],[stratum i]]), 0))</f>
        <v>#REF!</v>
      </c>
      <c r="CA32">
        <f t="shared" si="0"/>
        <v>0</v>
      </c>
      <c r="CB32">
        <f t="shared" si="1"/>
        <v>0</v>
      </c>
      <c r="CC32" t="e">
        <f>Table10[[#This Row],[Biomassi,t]]*Table10[[#This Row],[EF(N2O,burn)]]*GWP_N2O*10^(-6)*Table10[[#This Row],[Ai,t]]</f>
        <v>#REF!</v>
      </c>
      <c r="CD32" t="e">
        <f>Table10[[#This Row],[Biomassi,t]]*Table10[[#This Row],[EF(CH4,burn)]]*GWP_CH4*10^(-6)*Table10[[#This Row],[Ai,t]]</f>
        <v>#REF!</v>
      </c>
      <c r="CE32" t="e">
        <f>Table10[[#This Row],[CO2eN2O,i,t (Eq 82)]]+Table10[[#This Row],[CO2eCH4,i,t (Eq 83)]]</f>
        <v>#REF!</v>
      </c>
    </row>
    <row r="33" spans="3:83" x14ac:dyDescent="0.2">
      <c r="C33" s="18">
        <v>2050</v>
      </c>
      <c r="D33">
        <f>-SUMIF( Table1221[[#All],[year t]],  "&lt;="&amp;Table1120[[#This Row],[year t]], Table1221[[#All],[∆𝐶WPS−𝑏𝑖𝑜𝑚𝑎𝑠𝑠,𝑖,t (equation 74)]])*44/12</f>
        <v>-1349817.9304514728</v>
      </c>
      <c r="E33">
        <f>SUMIF(Table1221[[#All],[year t]], "&lt;="&amp;Table1120[[#This Row],[year t]],  Table1221[[#All],[𝐺𝐻𝐺WPS−𝑠𝑜𝑖𝑙,𝑖,t]])</f>
        <v>-879884.33508854802</v>
      </c>
      <c r="F33">
        <f>SUMIF(Table1221[[#All],[year t]], "&lt;="&amp;Table1120[[#This Row],[year t]], Table1221[[#All],[𝐺𝐻𝐺WPS−𝑓𝑢𝑒𝑙,𝑖,t]])</f>
        <v>0</v>
      </c>
      <c r="G33">
        <f>IF(project_prescribed_burning = "Included", SUMIF(Table10[[#All],[year t]], "&lt;="&amp;Table1120[[#This Row],[year t]], Table10[[#All],[GHGWPS-burn,i,t (Eq 81)]]), 0)</f>
        <v>0</v>
      </c>
      <c r="H33">
        <f>Table1120[[#This Row],[GHG(WPS-biomass)]]+Table1120[[#This Row],[GHG(WPS-soil)]]+Table1120[[#This Row],[GHG(WPS-burn)]]+Table1120[[#This Row],[GHG(WPS-fuel)]]</f>
        <v>-2229702.2655400205</v>
      </c>
      <c r="K33" s="18">
        <v>2050</v>
      </c>
      <c r="L33" s="18">
        <v>1</v>
      </c>
      <c r="M33" cm="1">
        <f t="array" ref="M33">IF(project_aboveground_tree = "Included", INDEX(Table32[[#All],[ΔCTREE_PROJ,i,t (AR Tool 14) t C/yr]], MATCH(1, (Table1221[[#This Row],[year t]]=Table32[[#All],[year t]])*(Table1221[[#This Row],[stratum i]]=Table32[[#All],[stratum i]]), 0)), 0)</f>
        <v>12190.451913771802</v>
      </c>
      <c r="N33" s="57" cm="1">
        <f t="array" ref="N33">IF(project_aboveground_nontree = "Included", INDEX(#REF!, MATCH(1, (Table1221[[#This Row],[year t]]=Table32[[#All],[year t]])*(Table1221[[#This Row],[stratum i]]=Table32[[#All],[stratum i]]), 0)), 0)</f>
        <v>0</v>
      </c>
      <c r="O33">
        <f>12/44*(Table1221[[#This Row],[ΔCTREE_PROJ,t (AR Tool 14) t CO2e/yr]]+Table1221[[#This Row],[ΔCSHRUB_PROJ,t (AR Tool 14) t CO2e/yr]])</f>
        <v>3324.6687037559454</v>
      </c>
      <c r="P33" cm="1">
        <f t="array" ref="P33">IF(project_aboveground_nontree = "Included", IFERROR(INDEX(Table1322[[#All],[ΔCWPS-herb,i,t (Eq 78)]], MATCH(1, (Table1221[[#This Row],[stratum i]]=Table1322[[#All],[stratum i]])*(Table1221[[#This Row],[year t]]&gt;=#REF!)*(Table1221[[#This Row],[year t]]&lt;=Table1322[[#All],[year t]]), 0)), 0), 0)</f>
        <v>0</v>
      </c>
      <c r="Q33">
        <f>Table1221[[#This Row],[ΔCWPS-tree/shrub,i,t (t C/yr) (Eq 75)]]+Table1221[[#This Row],[ΔCWPS-herb,i,t (t C/yr)]]</f>
        <v>3324.6687037559454</v>
      </c>
      <c r="R33" cm="1">
        <f t="array" ref="R33">INDEX(Table1423[[#All],[GHGWPS-soil,i,t]], MATCH(1, (Table1221[[#This Row],[year t]]=Table1423[[#All],[year t]])*(Table1221[[#This Row],[stratum i]]=Table1423[[#All],[stratum i]]), 0))</f>
        <v>-7334.947224967128</v>
      </c>
      <c r="S33">
        <f>IF(project_ff_CO2 = "Included", Table1221[[#This Row],[ET(FC,I,t) AR-Tool 5 WPS]], 0)</f>
        <v>0</v>
      </c>
      <c r="T33" t="e" cm="1">
        <f t="array" ref="T33">INDEX(#REF!, MATCH(1, (Table1221[[#This Row],[year t]]=Table32[[#All],[year t]])*(Table1221[[#This Row],[stratum i]]=Table32[[#All],[stratum i]]), 0))</f>
        <v>#REF!</v>
      </c>
      <c r="AE33" s="18">
        <v>2050</v>
      </c>
      <c r="AF33" s="18">
        <v>1</v>
      </c>
      <c r="AG33" s="17" cm="1">
        <f t="array" ref="AG33">INDEX(Table32[[#All],[Ai,t]], MATCH(1, (Table1423[[#This Row],[year t]]=Table32[[#All],[year t]])*(Table1423[[#This Row],[stratum i]]=Table32[[#All],[stratum i]]), 0))</f>
        <v>1090.4420357142858</v>
      </c>
      <c r="AH33" t="str">
        <f>INDEX(Table31[[#All],[Soil type (t=0)]], MATCH(Table1423[[#This Row],[stratum i]], Table31[[#All],[Stratum i]]))</f>
        <v>Mineral soil</v>
      </c>
      <c r="AI33">
        <f>IF(Emission_reduction_from_stock_loss?, INDEX(Table2[[#All],[End_PDT]], MATCH(Table1423[[#This Row],[stratum i]], Table2[[#All],[stratum i]])), crediting_period)</f>
        <v>40</v>
      </c>
      <c r="AJ33">
        <f>IF(Emission_reduction_from_stock_loss?, INDEX(Table2[[#All],[End_SDT]], MATCH(Table1423[[#This Row],[stratum i]], Table2[[#All],[stratum i]])), crediting_period)</f>
        <v>40</v>
      </c>
      <c r="AK33" cm="1">
        <f t="array" ref="AK3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3" cm="1">
        <f t="array" ref="AL33">INDEX(Table32[[#All],[%Calloch WPS]], MATCH(1, (Table1423[[#This Row],[year t]]=Table32[[#All],[year t]])*(Table1423[[#This Row],[stratum i]]=Table32[[#All],[stratum i]]), 0))</f>
        <v>23.561573856247001</v>
      </c>
      <c r="AM3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3">
        <f>(Table1423[[#This Row],[GHGWPS-soil-CO2,i,t]]-Table1423[[#This Row],[Deductionalloch WPS (Eq 38)]])*Table1423[[#This Row],[Ai,t]]</f>
        <v>-7334.947224967128</v>
      </c>
      <c r="AO33" cm="1">
        <f t="array" ref="AO33">IF(project_soil_CH4 = "Included", INDEX(Table1830[[#All],[GHGWPS-soil-CH4,i,t (Eq 59)]], MATCH(1, (Table1423[[#This Row],[year t]]=Table1830[[#All],[year t]])*(Table1423[[#This Row],[stratum i]]=Table1830[[#All],[stratum i]]), 0)), 0)</f>
        <v>0</v>
      </c>
      <c r="AP33" cm="1">
        <f t="array" ref="AP33">IF(project_soil_N2O = "Included", INDEX(Table1830[[#All],[GHGWPS-soil-N2O,i,t (Eq 62)]], MATCH(1, (Table1423[[#This Row],[year t]]=Table1830[[#All],[year t]])*(Table1423[[#This Row],[stratum i]]=Table1830[[#All],[stratum i]]), 0)), 0)</f>
        <v>0</v>
      </c>
      <c r="AQ33">
        <f>Table1423[[#This Row],[Ai,t]]*(Table1423[[#This Row],[GHGWPS-soil-CO2,i,t]]-Table1423[[#This Row],[Deductionalloch WPS (Eq 38)]]+Table1423[[#This Row],[GHGWPS-soil-CH4,i,t]]+Table1423[[#This Row],[GHGWPS-soil-N2O,i,t]])</f>
        <v>-7334.947224967128</v>
      </c>
      <c r="AR33" t="e" cm="1">
        <f t="array" ref="AR33">INDEX(#REF!, MATCH(1, (Table1423[[#This Row],[year t]]=Table32[[#All],[year t]])*(Table1423[[#This Row],[stratum i]]=Table32[[#All],[stratum i]]), 0))</f>
        <v>#REF!</v>
      </c>
      <c r="AS33" t="e" cm="1">
        <f t="array" ref="AS33">INDEX(#REF!, MATCH(1, (Table1423[[#This Row],[year t]]=Table32[[#All],[year t]])*(Table1423[[#This Row],[stratum i]]=Table32[[#All],[stratum i]]), 0))</f>
        <v>#REF!</v>
      </c>
      <c r="AT33" t="e" cm="1">
        <f t="array" ref="AT33">INDEX(#REF!, MATCH(1, (Table1423[[#This Row],[year t]]=Table32[[#All],[year t]])*(Table1423[[#This Row],[stratum i]]=Table32[[#All],[stratum i]]), 0))</f>
        <v>#REF!</v>
      </c>
      <c r="AU33" t="e" cm="1">
        <f t="array" ref="AU33">INDEX(#REF!, MATCH(1, (Table1423[[#This Row],[year t]]=Table32[[#All],[year t]])*(Table1423[[#This Row],[stratum i]]=Table32[[#All],[stratum i]]), 0))</f>
        <v>#REF!</v>
      </c>
      <c r="BB33" s="18">
        <v>2050</v>
      </c>
      <c r="BC33" s="18">
        <v>1</v>
      </c>
      <c r="BD33" cm="1">
        <f t="array" ref="BD33">INDEX(Table32[[#All],[∆CWPS-soil,i,t (tC/ha)]], MATCH(1, (Table1329[[#This Row],[year t]]=Table32[[#All],[year t]])*(Table1329[[#This Row],[stratum i]]=Table32[[#All],[stratum i]]), 0))</f>
        <v>2.4</v>
      </c>
      <c r="BE33">
        <f>-44/12*Table1329[[#This Row],[∆CWPS-soil,i,t (tC/ha)]]</f>
        <v>-8.7999999999999989</v>
      </c>
      <c r="BI33" s="17">
        <v>1</v>
      </c>
      <c r="BJ33" s="17">
        <v>5</v>
      </c>
      <c r="BK33" s="32" t="e" cm="1">
        <f t="array" ref="BK33">INDEX(Table32[[#All],[Ai,t]], MATCH(1, (Table1830[[#This Row],[year t]]=Table32[[#All],[year t]])*(Table1830[[#This Row],[stratum i]]=Table32[[#All],[stratum i]]), 0))</f>
        <v>#N/A</v>
      </c>
      <c r="BL33" t="e" cm="1">
        <f t="array" ref="BL33">INDEX(#REF!, MATCH(1, (Table1830[[#This Row],[year t]]=Table32[[#All],[year t]])*(Table1830[[#This Row],[stratum i]]=Table32[[#All],[stratum i]]), 0))</f>
        <v>#REF!</v>
      </c>
      <c r="BM33" t="e" cm="1">
        <f t="array" ref="BM33">INDEX(#REF!, MATCH(1, (Table1830[[#This Row],[year t]]=Table32[[#All],[year t]])*(Table1830[[#This Row],[stratum i]]=Table32[[#All],[stratum i]]), 0))</f>
        <v>#REF!</v>
      </c>
      <c r="BN33" t="e" cm="1">
        <f t="array" ref="BN33">INDEX(#REF!, MATCH(1, (Table1830[[#This Row],[year t]]=Table32[[#All],[year t]])*(Table1830[[#This Row],[stratum i]]=Table32[[#All],[stratum i]]), 0))</f>
        <v>#REF!</v>
      </c>
      <c r="BO33" t="e">
        <f>IF(soil_CH4_approach = "Proxies", Table1830[[#This Row],[ƒ (GHG emission proxy: CH4) WPS]]*GWP_CH4, IF(soil_CH4_approach = "IPCC emission factors", Table1830[[#This Row],[IPCC Emission factor EF(CH4) WPS]]*Table1830[[#This Row],[Ai,t]]*GWP_CH4, Table1830[[#This Row],[CH4(WPS-soil,I,t)]]*GWP_CH4))</f>
        <v>#REF!</v>
      </c>
      <c r="BP33" t="e" cm="1">
        <f t="array" ref="BP33">INDEX(#REF!, MATCH(1, (Table1830[[#This Row],[year t]]=Table32[[#All],[year t]])*(Table1830[[#This Row],[stratum i]]=Table32[[#All],[stratum i]]), 0))</f>
        <v>#REF!</v>
      </c>
      <c r="BQ33" t="e" cm="1">
        <f t="array" ref="BQ33">INDEX(#REF!, MATCH(1, (Table1830[[#This Row],[year t]]=Table32[[#All],[year t]])*(Table1830[[#This Row],[stratum i]]=Table32[[#All],[stratum i]]), 0))</f>
        <v>#REF!</v>
      </c>
      <c r="BR33" t="e" cm="1">
        <f t="array" ref="BR33">INDEX(#REF!, MATCH(1, (Table1830[[#This Row],[year t]]=Table32[[#All],[year t]])*(Table1830[[#This Row],[stratum i]]=Table32[[#All],[stratum i]]), 0))</f>
        <v>#REF!</v>
      </c>
      <c r="BS33" t="e">
        <f>IF(soil_N2O_approach = "Proxies", Table1830[[#This Row],[ƒ (N2O emission proxy: N2O) WPS]]*GWP_N2O, IF(soil_N2O_approach = "IPCC emission factors", Table1830[[#This Row],[IPCC Emission factor EF(N2O) WPS]]*Table1830[[#This Row],[Ai,t]]*GWP_N2O, Table1830[[#This Row],[N2O (WPS-soil,I,t)]]*GWP_N2O))</f>
        <v>#REF!</v>
      </c>
      <c r="BW33" s="17">
        <v>1</v>
      </c>
      <c r="BX33" s="17">
        <v>5</v>
      </c>
      <c r="BY33" t="e" cm="1">
        <f t="array" ref="BY33">INDEX(Table32[[#All],[Ai,t]], MATCH(1, (Table10[[#This Row],[year t]]=Table32[[#All],[year t]])*(Table10[[#This Row],[stratum i]]=Table32[[#All],[stratum i]]), 0))</f>
        <v>#N/A</v>
      </c>
      <c r="BZ33" t="e" cm="1">
        <f t="array" ref="BZ33">INDEX(#REF!, MATCH(1, (Table10[[#This Row],[year t]]=Table32[[#All],[year t]])*(Table10[[#This Row],[stratum i]]=Table32[[#All],[stratum i]]), 0))</f>
        <v>#REF!</v>
      </c>
      <c r="CA33">
        <f t="shared" si="0"/>
        <v>0</v>
      </c>
      <c r="CB33">
        <f t="shared" si="1"/>
        <v>0</v>
      </c>
      <c r="CC33" t="e">
        <f>Table10[[#This Row],[Biomassi,t]]*Table10[[#This Row],[EF(N2O,burn)]]*GWP_N2O*10^(-6)*Table10[[#This Row],[Ai,t]]</f>
        <v>#REF!</v>
      </c>
      <c r="CD33" t="e">
        <f>Table10[[#This Row],[Biomassi,t]]*Table10[[#This Row],[EF(CH4,burn)]]*GWP_CH4*10^(-6)*Table10[[#This Row],[Ai,t]]</f>
        <v>#REF!</v>
      </c>
      <c r="CE33" t="e">
        <f>Table10[[#This Row],[CO2eN2O,i,t (Eq 82)]]+Table10[[#This Row],[CO2eCH4,i,t (Eq 83)]]</f>
        <v>#REF!</v>
      </c>
    </row>
    <row r="34" spans="3:83" x14ac:dyDescent="0.2">
      <c r="C34" s="18">
        <v>2051</v>
      </c>
      <c r="D34">
        <f>-SUMIF( Table1221[[#All],[year t]],  "&lt;="&amp;Table1120[[#This Row],[year t]], Table1221[[#All],[∆𝐶WPS−𝑏𝑖𝑜𝑚𝑎𝑠𝑠,𝑖,t (equation 74)]])*44/12</f>
        <v>-1425425.7914584177</v>
      </c>
      <c r="E34">
        <f>SUMIF(Table1221[[#All],[year t]], "&lt;="&amp;Table1120[[#This Row],[year t]],  Table1221[[#All],[𝐺𝐻𝐺WPS−𝑠𝑜𝑖𝑙,𝑖,t]])</f>
        <v>-923768.74449675379</v>
      </c>
      <c r="F34">
        <f>SUMIF(Table1221[[#All],[year t]], "&lt;="&amp;Table1120[[#This Row],[year t]], Table1221[[#All],[𝐺𝐻𝐺WPS−𝑓𝑢𝑒𝑙,𝑖,t]])</f>
        <v>0</v>
      </c>
      <c r="G34">
        <f>IF(project_prescribed_burning = "Included", SUMIF(Table10[[#All],[year t]], "&lt;="&amp;Table1120[[#This Row],[year t]], Table10[[#All],[GHGWPS-burn,i,t (Eq 81)]]), 0)</f>
        <v>0</v>
      </c>
      <c r="H34">
        <f>Table1120[[#This Row],[GHG(WPS-biomass)]]+Table1120[[#This Row],[GHG(WPS-soil)]]+Table1120[[#This Row],[GHG(WPS-burn)]]+Table1120[[#This Row],[GHG(WPS-fuel)]]</f>
        <v>-2349194.5359551716</v>
      </c>
      <c r="K34" s="18">
        <v>2051</v>
      </c>
      <c r="L34" s="18">
        <v>1</v>
      </c>
      <c r="M34" cm="1">
        <f t="array" ref="M34">IF(project_aboveground_tree = "Included", INDEX(Table32[[#All],[ΔCTREE_PROJ,i,t (AR Tool 14) t C/yr]], MATCH(1, (Table1221[[#This Row],[year t]]=Table32[[#All],[year t]])*(Table1221[[#This Row],[stratum i]]=Table32[[#All],[stratum i]]), 0)), 0)</f>
        <v>11353.105939185538</v>
      </c>
      <c r="N34" s="57" cm="1">
        <f t="array" ref="N34">IF(project_aboveground_nontree = "Included", INDEX(#REF!, MATCH(1, (Table1221[[#This Row],[year t]]=Table32[[#All],[year t]])*(Table1221[[#This Row],[stratum i]]=Table32[[#All],[stratum i]]), 0)), 0)</f>
        <v>0</v>
      </c>
      <c r="O34">
        <f>12/44*(Table1221[[#This Row],[ΔCTREE_PROJ,t (AR Tool 14) t CO2e/yr]]+Table1221[[#This Row],[ΔCSHRUB_PROJ,t (AR Tool 14) t CO2e/yr]])</f>
        <v>3096.3016197778738</v>
      </c>
      <c r="P34" cm="1">
        <f t="array" ref="P34">IF(project_aboveground_nontree = "Included", IFERROR(INDEX(Table1322[[#All],[ΔCWPS-herb,i,t (Eq 78)]], MATCH(1, (Table1221[[#This Row],[stratum i]]=Table1322[[#All],[stratum i]])*(Table1221[[#This Row],[year t]]&gt;=#REF!)*(Table1221[[#This Row],[year t]]&lt;=Table1322[[#All],[year t]]), 0)), 0), 0)</f>
        <v>0</v>
      </c>
      <c r="Q34">
        <f>Table1221[[#This Row],[ΔCWPS-tree/shrub,i,t (t C/yr) (Eq 75)]]+Table1221[[#This Row],[ΔCWPS-herb,i,t (t C/yr)]]</f>
        <v>3096.3016197778738</v>
      </c>
      <c r="R34" cm="1">
        <f t="array" ref="R34">INDEX(Table1423[[#All],[GHGWPS-soil,i,t]], MATCH(1, (Table1221[[#This Row],[year t]]=Table1423[[#All],[year t]])*(Table1221[[#This Row],[stratum i]]=Table1423[[#All],[stratum i]]), 0))</f>
        <v>-7334.947224967128</v>
      </c>
      <c r="S34">
        <f>IF(project_ff_CO2 = "Included", Table1221[[#This Row],[ET(FC,I,t) AR-Tool 5 WPS]], 0)</f>
        <v>0</v>
      </c>
      <c r="T34" t="e" cm="1">
        <f t="array" ref="T34">INDEX(#REF!, MATCH(1, (Table1221[[#This Row],[year t]]=Table32[[#All],[year t]])*(Table1221[[#This Row],[stratum i]]=Table32[[#All],[stratum i]]), 0))</f>
        <v>#REF!</v>
      </c>
      <c r="AE34" s="18">
        <v>2051</v>
      </c>
      <c r="AF34" s="18">
        <v>1</v>
      </c>
      <c r="AG34" s="18" cm="1">
        <f t="array" ref="AG34">INDEX(Table32[[#All],[Ai,t]], MATCH(1, (Table1423[[#This Row],[year t]]=Table32[[#All],[year t]])*(Table1423[[#This Row],[stratum i]]=Table32[[#All],[stratum i]]), 0))</f>
        <v>1090.4420357142858</v>
      </c>
      <c r="AH34" t="str">
        <f>INDEX(Table31[[#All],[Soil type (t=0)]], MATCH(Table1423[[#This Row],[stratum i]], Table31[[#All],[Stratum i]]))</f>
        <v>Mineral soil</v>
      </c>
      <c r="AI34">
        <f>IF(Emission_reduction_from_stock_loss?, INDEX(Table2[[#All],[End_PDT]], MATCH(Table1423[[#This Row],[stratum i]], Table2[[#All],[stratum i]])), crediting_period)</f>
        <v>40</v>
      </c>
      <c r="AJ34">
        <f>IF(Emission_reduction_from_stock_loss?, INDEX(Table2[[#All],[End_SDT]], MATCH(Table1423[[#This Row],[stratum i]], Table2[[#All],[stratum i]])), crediting_period)</f>
        <v>40</v>
      </c>
      <c r="AK34" cm="1">
        <f t="array" ref="AK3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4" cm="1">
        <f t="array" ref="AL34">INDEX(Table32[[#All],[%Calloch WPS]], MATCH(1, (Table1423[[#This Row],[year t]]=Table32[[#All],[year t]])*(Table1423[[#This Row],[stratum i]]=Table32[[#All],[stratum i]]), 0))</f>
        <v>23.561573856247001</v>
      </c>
      <c r="AM3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4">
        <f>(Table1423[[#This Row],[GHGWPS-soil-CO2,i,t]]-Table1423[[#This Row],[Deductionalloch WPS (Eq 38)]])*Table1423[[#This Row],[Ai,t]]</f>
        <v>-7334.947224967128</v>
      </c>
      <c r="AO34" cm="1">
        <f t="array" ref="AO34">IF(project_soil_CH4 = "Included", INDEX(Table1830[[#All],[GHGWPS-soil-CH4,i,t (Eq 59)]], MATCH(1, (Table1423[[#This Row],[year t]]=Table1830[[#All],[year t]])*(Table1423[[#This Row],[stratum i]]=Table1830[[#All],[stratum i]]), 0)), 0)</f>
        <v>0</v>
      </c>
      <c r="AP34" cm="1">
        <f t="array" ref="AP34">IF(project_soil_N2O = "Included", INDEX(Table1830[[#All],[GHGWPS-soil-N2O,i,t (Eq 62)]], MATCH(1, (Table1423[[#This Row],[year t]]=Table1830[[#All],[year t]])*(Table1423[[#This Row],[stratum i]]=Table1830[[#All],[stratum i]]), 0)), 0)</f>
        <v>0</v>
      </c>
      <c r="AQ34">
        <f>Table1423[[#This Row],[Ai,t]]*(Table1423[[#This Row],[GHGWPS-soil-CO2,i,t]]-Table1423[[#This Row],[Deductionalloch WPS (Eq 38)]]+Table1423[[#This Row],[GHGWPS-soil-CH4,i,t]]+Table1423[[#This Row],[GHGWPS-soil-N2O,i,t]])</f>
        <v>-7334.947224967128</v>
      </c>
      <c r="AR34" t="e" cm="1">
        <f t="array" ref="AR34">INDEX(#REF!, MATCH(1, (Table1423[[#This Row],[year t]]=Table32[[#All],[year t]])*(Table1423[[#This Row],[stratum i]]=Table32[[#All],[stratum i]]), 0))</f>
        <v>#REF!</v>
      </c>
      <c r="AS34" t="e" cm="1">
        <f t="array" ref="AS34">INDEX(#REF!, MATCH(1, (Table1423[[#This Row],[year t]]=Table32[[#All],[year t]])*(Table1423[[#This Row],[stratum i]]=Table32[[#All],[stratum i]]), 0))</f>
        <v>#REF!</v>
      </c>
      <c r="AT34" t="e" cm="1">
        <f t="array" ref="AT34">INDEX(#REF!, MATCH(1, (Table1423[[#This Row],[year t]]=Table32[[#All],[year t]])*(Table1423[[#This Row],[stratum i]]=Table32[[#All],[stratum i]]), 0))</f>
        <v>#REF!</v>
      </c>
      <c r="AU34" t="e" cm="1">
        <f t="array" ref="AU34">INDEX(#REF!, MATCH(1, (Table1423[[#This Row],[year t]]=Table32[[#All],[year t]])*(Table1423[[#This Row],[stratum i]]=Table32[[#All],[stratum i]]), 0))</f>
        <v>#REF!</v>
      </c>
      <c r="BB34" s="18">
        <v>2051</v>
      </c>
      <c r="BC34" s="18">
        <v>1</v>
      </c>
      <c r="BD34" cm="1">
        <f t="array" ref="BD34">INDEX(Table32[[#All],[∆CWPS-soil,i,t (tC/ha)]], MATCH(1, (Table1329[[#This Row],[year t]]=Table32[[#All],[year t]])*(Table1329[[#This Row],[stratum i]]=Table32[[#All],[stratum i]]), 0))</f>
        <v>2.4</v>
      </c>
      <c r="BE34">
        <f>-44/12*Table1329[[#This Row],[∆CWPS-soil,i,t (tC/ha)]]</f>
        <v>-8.7999999999999989</v>
      </c>
      <c r="BI34" s="18">
        <v>2</v>
      </c>
      <c r="BJ34" s="18">
        <v>5</v>
      </c>
      <c r="BK34" t="e" cm="1">
        <f t="array" ref="BK34">INDEX(Table32[[#All],[Ai,t]], MATCH(1, (Table1830[[#This Row],[year t]]=Table32[[#All],[year t]])*(Table1830[[#This Row],[stratum i]]=Table32[[#All],[stratum i]]), 0))</f>
        <v>#N/A</v>
      </c>
      <c r="BL34" t="e" cm="1">
        <f t="array" ref="BL34">INDEX(#REF!, MATCH(1, (Table1830[[#This Row],[year t]]=Table32[[#All],[year t]])*(Table1830[[#This Row],[stratum i]]=Table32[[#All],[stratum i]]), 0))</f>
        <v>#REF!</v>
      </c>
      <c r="BM34" t="e" cm="1">
        <f t="array" ref="BM34">INDEX(#REF!, MATCH(1, (Table1830[[#This Row],[year t]]=Table32[[#All],[year t]])*(Table1830[[#This Row],[stratum i]]=Table32[[#All],[stratum i]]), 0))</f>
        <v>#REF!</v>
      </c>
      <c r="BN34" t="e" cm="1">
        <f t="array" ref="BN34">INDEX(#REF!, MATCH(1, (Table1830[[#This Row],[year t]]=Table32[[#All],[year t]])*(Table1830[[#This Row],[stratum i]]=Table32[[#All],[stratum i]]), 0))</f>
        <v>#REF!</v>
      </c>
      <c r="BO34" t="e">
        <f>IF(soil_CH4_approach = "Proxies", Table1830[[#This Row],[ƒ (GHG emission proxy: CH4) WPS]]*GWP_CH4, IF(soil_CH4_approach = "IPCC emission factors", Table1830[[#This Row],[IPCC Emission factor EF(CH4) WPS]]*Table1830[[#This Row],[Ai,t]]*GWP_CH4, Table1830[[#This Row],[CH4(WPS-soil,I,t)]]*GWP_CH4))</f>
        <v>#REF!</v>
      </c>
      <c r="BP34" t="e" cm="1">
        <f t="array" ref="BP34">INDEX(#REF!, MATCH(1, (Table1830[[#This Row],[year t]]=Table32[[#All],[year t]])*(Table1830[[#This Row],[stratum i]]=Table32[[#All],[stratum i]]), 0))</f>
        <v>#REF!</v>
      </c>
      <c r="BQ34" t="e" cm="1">
        <f t="array" ref="BQ34">INDEX(#REF!, MATCH(1, (Table1830[[#This Row],[year t]]=Table32[[#All],[year t]])*(Table1830[[#This Row],[stratum i]]=Table32[[#All],[stratum i]]), 0))</f>
        <v>#REF!</v>
      </c>
      <c r="BR34" t="e" cm="1">
        <f t="array" ref="BR34">INDEX(#REF!, MATCH(1, (Table1830[[#This Row],[year t]]=Table32[[#All],[year t]])*(Table1830[[#This Row],[stratum i]]=Table32[[#All],[stratum i]]), 0))</f>
        <v>#REF!</v>
      </c>
      <c r="BS34" t="e">
        <f>IF(soil_N2O_approach = "Proxies", Table1830[[#This Row],[ƒ (N2O emission proxy: N2O) WPS]]*GWP_N2O, IF(soil_N2O_approach = "IPCC emission factors", Table1830[[#This Row],[IPCC Emission factor EF(N2O) WPS]]*Table1830[[#This Row],[Ai,t]]*GWP_N2O, Table1830[[#This Row],[N2O (WPS-soil,I,t)]]*GWP_N2O))</f>
        <v>#REF!</v>
      </c>
      <c r="BW34" s="18">
        <v>2</v>
      </c>
      <c r="BX34" s="18">
        <v>5</v>
      </c>
      <c r="BY34" t="e" cm="1">
        <f t="array" ref="BY34">INDEX(Table32[[#All],[Ai,t]], MATCH(1, (Table10[[#This Row],[year t]]=Table32[[#All],[year t]])*(Table10[[#This Row],[stratum i]]=Table32[[#All],[stratum i]]), 0))</f>
        <v>#N/A</v>
      </c>
      <c r="BZ34" t="e" cm="1">
        <f t="array" ref="BZ34">INDEX(#REF!, MATCH(1, (Table10[[#This Row],[year t]]=Table32[[#All],[year t]])*(Table10[[#This Row],[stratum i]]=Table32[[#All],[stratum i]]), 0))</f>
        <v>#REF!</v>
      </c>
      <c r="CA34">
        <f t="shared" si="0"/>
        <v>0</v>
      </c>
      <c r="CB34">
        <f t="shared" si="1"/>
        <v>0</v>
      </c>
      <c r="CC34" t="e">
        <f>Table10[[#This Row],[Biomassi,t]]*Table10[[#This Row],[EF(N2O,burn)]]*GWP_N2O*10^(-6)*Table10[[#This Row],[Ai,t]]</f>
        <v>#REF!</v>
      </c>
      <c r="CD34" t="e">
        <f>Table10[[#This Row],[Biomassi,t]]*Table10[[#This Row],[EF(CH4,burn)]]*GWP_CH4*10^(-6)*Table10[[#This Row],[Ai,t]]</f>
        <v>#REF!</v>
      </c>
      <c r="CE34" t="e">
        <f>Table10[[#This Row],[CO2eN2O,i,t (Eq 82)]]+Table10[[#This Row],[CO2eCH4,i,t (Eq 83)]]</f>
        <v>#REF!</v>
      </c>
    </row>
    <row r="35" spans="3:83" x14ac:dyDescent="0.2">
      <c r="C35" s="18">
        <v>2052</v>
      </c>
      <c r="D35">
        <f>-SUMIF( Table1221[[#All],[year t]],  "&lt;="&amp;Table1120[[#This Row],[year t]], Table1221[[#All],[∆𝐶WPS−𝑏𝑖𝑜𝑚𝑎𝑠𝑠,𝑖,t (equation 74)]])*44/12</f>
        <v>-1496099.1070488726</v>
      </c>
      <c r="E35">
        <f>SUMIF(Table1221[[#All],[year t]], "&lt;="&amp;Table1120[[#This Row],[year t]],  Table1221[[#All],[𝐺𝐻𝐺WPS−𝑠𝑜𝑖𝑙,𝑖,t]])</f>
        <v>-967653.15390495944</v>
      </c>
      <c r="F35">
        <f>SUMIF(Table1221[[#All],[year t]], "&lt;="&amp;Table1120[[#This Row],[year t]], Table1221[[#All],[𝐺𝐻𝐺WPS−𝑓𝑢𝑒𝑙,𝑖,t]])</f>
        <v>0</v>
      </c>
      <c r="G35">
        <f>IF(project_prescribed_burning = "Included", SUMIF(Table10[[#All],[year t]], "&lt;="&amp;Table1120[[#This Row],[year t]], Table10[[#All],[GHGWPS-burn,i,t (Eq 81)]]), 0)</f>
        <v>0</v>
      </c>
      <c r="H35">
        <f>Table1120[[#This Row],[GHG(WPS-biomass)]]+Table1120[[#This Row],[GHG(WPS-soil)]]+Table1120[[#This Row],[GHG(WPS-burn)]]+Table1120[[#This Row],[GHG(WPS-fuel)]]</f>
        <v>-2463752.260953832</v>
      </c>
      <c r="K35" s="18">
        <v>2052</v>
      </c>
      <c r="L35" s="18">
        <v>1</v>
      </c>
      <c r="M35" cm="1">
        <f t="array" ref="M35">IF(project_aboveground_tree = "Included", INDEX(Table32[[#All],[ΔCTREE_PROJ,i,t (AR Tool 14) t C/yr]], MATCH(1, (Table1221[[#This Row],[year t]]=Table32[[#All],[year t]])*(Table1221[[#This Row],[stratum i]]=Table32[[#All],[stratum i]]), 0)), 0)</f>
        <v>10521.412407525699</v>
      </c>
      <c r="N35" s="57" cm="1">
        <f t="array" ref="N35">IF(project_aboveground_nontree = "Included", INDEX(#REF!, MATCH(1, (Table1221[[#This Row],[year t]]=Table32[[#All],[year t]])*(Table1221[[#This Row],[stratum i]]=Table32[[#All],[stratum i]]), 0)), 0)</f>
        <v>0</v>
      </c>
      <c r="O35">
        <f>12/44*(Table1221[[#This Row],[ΔCTREE_PROJ,t (AR Tool 14) t CO2e/yr]]+Table1221[[#This Row],[ΔCSHRUB_PROJ,t (AR Tool 14) t CO2e/yr]])</f>
        <v>2869.4761111433722</v>
      </c>
      <c r="P35" cm="1">
        <f t="array" ref="P35">IF(project_aboveground_nontree = "Included", IFERROR(INDEX(Table1322[[#All],[ΔCWPS-herb,i,t (Eq 78)]], MATCH(1, (Table1221[[#This Row],[stratum i]]=Table1322[[#All],[stratum i]])*(Table1221[[#This Row],[year t]]&gt;=#REF!)*(Table1221[[#This Row],[year t]]&lt;=Table1322[[#All],[year t]]), 0)), 0), 0)</f>
        <v>0</v>
      </c>
      <c r="Q35">
        <f>Table1221[[#This Row],[ΔCWPS-tree/shrub,i,t (t C/yr) (Eq 75)]]+Table1221[[#This Row],[ΔCWPS-herb,i,t (t C/yr)]]</f>
        <v>2869.4761111433722</v>
      </c>
      <c r="R35" cm="1">
        <f t="array" ref="R35">INDEX(Table1423[[#All],[GHGWPS-soil,i,t]], MATCH(1, (Table1221[[#This Row],[year t]]=Table1423[[#All],[year t]])*(Table1221[[#This Row],[stratum i]]=Table1423[[#All],[stratum i]]), 0))</f>
        <v>-7334.947224967128</v>
      </c>
      <c r="S35">
        <f>IF(project_ff_CO2 = "Included", Table1221[[#This Row],[ET(FC,I,t) AR-Tool 5 WPS]], 0)</f>
        <v>0</v>
      </c>
      <c r="T35" t="e" cm="1">
        <f t="array" ref="T35">INDEX(#REF!, MATCH(1, (Table1221[[#This Row],[year t]]=Table32[[#All],[year t]])*(Table1221[[#This Row],[stratum i]]=Table32[[#All],[stratum i]]), 0))</f>
        <v>#REF!</v>
      </c>
      <c r="AE35" s="18">
        <v>2052</v>
      </c>
      <c r="AF35" s="18">
        <v>1</v>
      </c>
      <c r="AG35" s="17" cm="1">
        <f t="array" ref="AG35">INDEX(Table32[[#All],[Ai,t]], MATCH(1, (Table1423[[#This Row],[year t]]=Table32[[#All],[year t]])*(Table1423[[#This Row],[stratum i]]=Table32[[#All],[stratum i]]), 0))</f>
        <v>1090.4420357142858</v>
      </c>
      <c r="AH35" t="str">
        <f>INDEX(Table31[[#All],[Soil type (t=0)]], MATCH(Table1423[[#This Row],[stratum i]], Table31[[#All],[Stratum i]]))</f>
        <v>Mineral soil</v>
      </c>
      <c r="AI35">
        <f>IF(Emission_reduction_from_stock_loss?, INDEX(Table2[[#All],[End_PDT]], MATCH(Table1423[[#This Row],[stratum i]], Table2[[#All],[stratum i]])), crediting_period)</f>
        <v>40</v>
      </c>
      <c r="AJ35">
        <f>IF(Emission_reduction_from_stock_loss?, INDEX(Table2[[#All],[End_SDT]], MATCH(Table1423[[#This Row],[stratum i]], Table2[[#All],[stratum i]])), crediting_period)</f>
        <v>40</v>
      </c>
      <c r="AK35" cm="1">
        <f t="array" ref="AK3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5" cm="1">
        <f t="array" ref="AL35">INDEX(Table32[[#All],[%Calloch WPS]], MATCH(1, (Table1423[[#This Row],[year t]]=Table32[[#All],[year t]])*(Table1423[[#This Row],[stratum i]]=Table32[[#All],[stratum i]]), 0))</f>
        <v>23.561573856247001</v>
      </c>
      <c r="AM3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5">
        <f>(Table1423[[#This Row],[GHGWPS-soil-CO2,i,t]]-Table1423[[#This Row],[Deductionalloch WPS (Eq 38)]])*Table1423[[#This Row],[Ai,t]]</f>
        <v>-7334.947224967128</v>
      </c>
      <c r="AO35" cm="1">
        <f t="array" ref="AO35">IF(project_soil_CH4 = "Included", INDEX(Table1830[[#All],[GHGWPS-soil-CH4,i,t (Eq 59)]], MATCH(1, (Table1423[[#This Row],[year t]]=Table1830[[#All],[year t]])*(Table1423[[#This Row],[stratum i]]=Table1830[[#All],[stratum i]]), 0)), 0)</f>
        <v>0</v>
      </c>
      <c r="AP35" cm="1">
        <f t="array" ref="AP35">IF(project_soil_N2O = "Included", INDEX(Table1830[[#All],[GHGWPS-soil-N2O,i,t (Eq 62)]], MATCH(1, (Table1423[[#This Row],[year t]]=Table1830[[#All],[year t]])*(Table1423[[#This Row],[stratum i]]=Table1830[[#All],[stratum i]]), 0)), 0)</f>
        <v>0</v>
      </c>
      <c r="AQ35">
        <f>Table1423[[#This Row],[Ai,t]]*(Table1423[[#This Row],[GHGWPS-soil-CO2,i,t]]-Table1423[[#This Row],[Deductionalloch WPS (Eq 38)]]+Table1423[[#This Row],[GHGWPS-soil-CH4,i,t]]+Table1423[[#This Row],[GHGWPS-soil-N2O,i,t]])</f>
        <v>-7334.947224967128</v>
      </c>
      <c r="AR35" t="e" cm="1">
        <f t="array" ref="AR35">INDEX(#REF!, MATCH(1, (Table1423[[#This Row],[year t]]=Table32[[#All],[year t]])*(Table1423[[#This Row],[stratum i]]=Table32[[#All],[stratum i]]), 0))</f>
        <v>#REF!</v>
      </c>
      <c r="AS35" t="e" cm="1">
        <f t="array" ref="AS35">INDEX(#REF!, MATCH(1, (Table1423[[#This Row],[year t]]=Table32[[#All],[year t]])*(Table1423[[#This Row],[stratum i]]=Table32[[#All],[stratum i]]), 0))</f>
        <v>#REF!</v>
      </c>
      <c r="AT35" t="e" cm="1">
        <f t="array" ref="AT35">INDEX(#REF!, MATCH(1, (Table1423[[#This Row],[year t]]=Table32[[#All],[year t]])*(Table1423[[#This Row],[stratum i]]=Table32[[#All],[stratum i]]), 0))</f>
        <v>#REF!</v>
      </c>
      <c r="AU35" t="e" cm="1">
        <f t="array" ref="AU35">INDEX(#REF!, MATCH(1, (Table1423[[#This Row],[year t]]=Table32[[#All],[year t]])*(Table1423[[#This Row],[stratum i]]=Table32[[#All],[stratum i]]), 0))</f>
        <v>#REF!</v>
      </c>
      <c r="BB35" s="18">
        <v>2052</v>
      </c>
      <c r="BC35" s="18">
        <v>1</v>
      </c>
      <c r="BD35" cm="1">
        <f t="array" ref="BD35">INDEX(Table32[[#All],[∆CWPS-soil,i,t (tC/ha)]], MATCH(1, (Table1329[[#This Row],[year t]]=Table32[[#All],[year t]])*(Table1329[[#This Row],[stratum i]]=Table32[[#All],[stratum i]]), 0))</f>
        <v>2.4</v>
      </c>
      <c r="BE35">
        <f>-44/12*Table1329[[#This Row],[∆CWPS-soil,i,t (tC/ha)]]</f>
        <v>-8.7999999999999989</v>
      </c>
      <c r="BI35" s="17">
        <v>3</v>
      </c>
      <c r="BJ35" s="17">
        <v>5</v>
      </c>
      <c r="BK35" s="32" t="e" cm="1">
        <f t="array" ref="BK35">INDEX(Table32[[#All],[Ai,t]], MATCH(1, (Table1830[[#This Row],[year t]]=Table32[[#All],[year t]])*(Table1830[[#This Row],[stratum i]]=Table32[[#All],[stratum i]]), 0))</f>
        <v>#N/A</v>
      </c>
      <c r="BL35" t="e" cm="1">
        <f t="array" ref="BL35">INDEX(#REF!, MATCH(1, (Table1830[[#This Row],[year t]]=Table32[[#All],[year t]])*(Table1830[[#This Row],[stratum i]]=Table32[[#All],[stratum i]]), 0))</f>
        <v>#REF!</v>
      </c>
      <c r="BM35" t="e" cm="1">
        <f t="array" ref="BM35">INDEX(#REF!, MATCH(1, (Table1830[[#This Row],[year t]]=Table32[[#All],[year t]])*(Table1830[[#This Row],[stratum i]]=Table32[[#All],[stratum i]]), 0))</f>
        <v>#REF!</v>
      </c>
      <c r="BN35" t="e" cm="1">
        <f t="array" ref="BN35">INDEX(#REF!, MATCH(1, (Table1830[[#This Row],[year t]]=Table32[[#All],[year t]])*(Table1830[[#This Row],[stratum i]]=Table32[[#All],[stratum i]]), 0))</f>
        <v>#REF!</v>
      </c>
      <c r="BO35" t="e">
        <f>IF(soil_CH4_approach = "Proxies", Table1830[[#This Row],[ƒ (GHG emission proxy: CH4) WPS]]*GWP_CH4, IF(soil_CH4_approach = "IPCC emission factors", Table1830[[#This Row],[IPCC Emission factor EF(CH4) WPS]]*Table1830[[#This Row],[Ai,t]]*GWP_CH4, Table1830[[#This Row],[CH4(WPS-soil,I,t)]]*GWP_CH4))</f>
        <v>#REF!</v>
      </c>
      <c r="BP35" t="e" cm="1">
        <f t="array" ref="BP35">INDEX(#REF!, MATCH(1, (Table1830[[#This Row],[year t]]=Table32[[#All],[year t]])*(Table1830[[#This Row],[stratum i]]=Table32[[#All],[stratum i]]), 0))</f>
        <v>#REF!</v>
      </c>
      <c r="BQ35" t="e" cm="1">
        <f t="array" ref="BQ35">INDEX(#REF!, MATCH(1, (Table1830[[#This Row],[year t]]=Table32[[#All],[year t]])*(Table1830[[#This Row],[stratum i]]=Table32[[#All],[stratum i]]), 0))</f>
        <v>#REF!</v>
      </c>
      <c r="BR35" t="e" cm="1">
        <f t="array" ref="BR35">INDEX(#REF!, MATCH(1, (Table1830[[#This Row],[year t]]=Table32[[#All],[year t]])*(Table1830[[#This Row],[stratum i]]=Table32[[#All],[stratum i]]), 0))</f>
        <v>#REF!</v>
      </c>
      <c r="BS35" t="e">
        <f>IF(soil_N2O_approach = "Proxies", Table1830[[#This Row],[ƒ (N2O emission proxy: N2O) WPS]]*GWP_N2O, IF(soil_N2O_approach = "IPCC emission factors", Table1830[[#This Row],[IPCC Emission factor EF(N2O) WPS]]*Table1830[[#This Row],[Ai,t]]*GWP_N2O, Table1830[[#This Row],[N2O (WPS-soil,I,t)]]*GWP_N2O))</f>
        <v>#REF!</v>
      </c>
      <c r="BW35" s="17">
        <v>3</v>
      </c>
      <c r="BX35" s="17">
        <v>5</v>
      </c>
      <c r="BY35" t="e" cm="1">
        <f t="array" ref="BY35">INDEX(Table32[[#All],[Ai,t]], MATCH(1, (Table10[[#This Row],[year t]]=Table32[[#All],[year t]])*(Table10[[#This Row],[stratum i]]=Table32[[#All],[stratum i]]), 0))</f>
        <v>#N/A</v>
      </c>
      <c r="BZ35" t="e" cm="1">
        <f t="array" ref="BZ35">INDEX(#REF!, MATCH(1, (Table10[[#This Row],[year t]]=Table32[[#All],[year t]])*(Table10[[#This Row],[stratum i]]=Table32[[#All],[stratum i]]), 0))</f>
        <v>#REF!</v>
      </c>
      <c r="CA35">
        <f t="shared" si="0"/>
        <v>0</v>
      </c>
      <c r="CB35">
        <f t="shared" si="1"/>
        <v>0</v>
      </c>
      <c r="CC35" t="e">
        <f>Table10[[#This Row],[Biomassi,t]]*Table10[[#This Row],[EF(N2O,burn)]]*GWP_N2O*10^(-6)*Table10[[#This Row],[Ai,t]]</f>
        <v>#REF!</v>
      </c>
      <c r="CD35" t="e">
        <f>Table10[[#This Row],[Biomassi,t]]*Table10[[#This Row],[EF(CH4,burn)]]*GWP_CH4*10^(-6)*Table10[[#This Row],[Ai,t]]</f>
        <v>#REF!</v>
      </c>
      <c r="CE35" t="e">
        <f>Table10[[#This Row],[CO2eN2O,i,t (Eq 82)]]+Table10[[#This Row],[CO2eCH4,i,t (Eq 83)]]</f>
        <v>#REF!</v>
      </c>
    </row>
    <row r="36" spans="3:83" x14ac:dyDescent="0.2">
      <c r="C36" s="18">
        <v>2053</v>
      </c>
      <c r="D36">
        <f>-SUMIF( Table1221[[#All],[year t]],  "&lt;="&amp;Table1120[[#This Row],[year t]], Table1221[[#All],[∆𝐶WPS−𝑏𝑖𝑜𝑚𝑎𝑠𝑠,𝑖,t (equation 74)]])*44/12</f>
        <v>-1561809.4087135594</v>
      </c>
      <c r="E36">
        <f>SUMIF(Table1221[[#All],[year t]], "&lt;="&amp;Table1120[[#This Row],[year t]],  Table1221[[#All],[𝐺𝐻𝐺WPS−𝑠𝑜𝑖𝑙,𝑖,t]])</f>
        <v>-1011537.5633131652</v>
      </c>
      <c r="F36">
        <f>SUMIF(Table1221[[#All],[year t]], "&lt;="&amp;Table1120[[#This Row],[year t]], Table1221[[#All],[𝐺𝐻𝐺WPS−𝑓𝑢𝑒𝑙,𝑖,t]])</f>
        <v>0</v>
      </c>
      <c r="G36">
        <f>IF(project_prescribed_burning = "Included", SUMIF(Table10[[#All],[year t]], "&lt;="&amp;Table1120[[#This Row],[year t]], Table10[[#All],[GHGWPS-burn,i,t (Eq 81)]]), 0)</f>
        <v>0</v>
      </c>
      <c r="H36">
        <f>Table1120[[#This Row],[GHG(WPS-biomass)]]+Table1120[[#This Row],[GHG(WPS-soil)]]+Table1120[[#This Row],[GHG(WPS-burn)]]+Table1120[[#This Row],[GHG(WPS-fuel)]]</f>
        <v>-2573346.9720267244</v>
      </c>
      <c r="K36" s="18">
        <v>2053</v>
      </c>
      <c r="L36" s="18">
        <v>1</v>
      </c>
      <c r="M36" cm="1">
        <f t="array" ref="M36">IF(project_aboveground_tree = "Included", INDEX(Table32[[#All],[ΔCTREE_PROJ,i,t (AR Tool 14) t C/yr]], MATCH(1, (Table1221[[#This Row],[year t]]=Table32[[#All],[year t]])*(Table1221[[#This Row],[stratum i]]=Table32[[#All],[stratum i]]), 0)), 0)</f>
        <v>9708.3198510103975</v>
      </c>
      <c r="N36" s="57" cm="1">
        <f t="array" ref="N36">IF(project_aboveground_nontree = "Included", INDEX(#REF!, MATCH(1, (Table1221[[#This Row],[year t]]=Table32[[#All],[year t]])*(Table1221[[#This Row],[stratum i]]=Table32[[#All],[stratum i]]), 0)), 0)</f>
        <v>0</v>
      </c>
      <c r="O36">
        <f>12/44*(Table1221[[#This Row],[ΔCTREE_PROJ,t (AR Tool 14) t CO2e/yr]]+Table1221[[#This Row],[ΔCSHRUB_PROJ,t (AR Tool 14) t CO2e/yr]])</f>
        <v>2647.7235957301082</v>
      </c>
      <c r="P36" cm="1">
        <f t="array" ref="P36">IF(project_aboveground_nontree = "Included", IFERROR(INDEX(Table1322[[#All],[ΔCWPS-herb,i,t (Eq 78)]], MATCH(1, (Table1221[[#This Row],[stratum i]]=Table1322[[#All],[stratum i]])*(Table1221[[#This Row],[year t]]&gt;=#REF!)*(Table1221[[#This Row],[year t]]&lt;=Table1322[[#All],[year t]]), 0)), 0), 0)</f>
        <v>0</v>
      </c>
      <c r="Q36">
        <f>Table1221[[#This Row],[ΔCWPS-tree/shrub,i,t (t C/yr) (Eq 75)]]+Table1221[[#This Row],[ΔCWPS-herb,i,t (t C/yr)]]</f>
        <v>2647.7235957301082</v>
      </c>
      <c r="R36" cm="1">
        <f t="array" ref="R36">INDEX(Table1423[[#All],[GHGWPS-soil,i,t]], MATCH(1, (Table1221[[#This Row],[year t]]=Table1423[[#All],[year t]])*(Table1221[[#This Row],[stratum i]]=Table1423[[#All],[stratum i]]), 0))</f>
        <v>-7334.947224967128</v>
      </c>
      <c r="S36">
        <f>IF(project_ff_CO2 = "Included", Table1221[[#This Row],[ET(FC,I,t) AR-Tool 5 WPS]], 0)</f>
        <v>0</v>
      </c>
      <c r="T36" t="e" cm="1">
        <f t="array" ref="T36">INDEX(#REF!, MATCH(1, (Table1221[[#This Row],[year t]]=Table32[[#All],[year t]])*(Table1221[[#This Row],[stratum i]]=Table32[[#All],[stratum i]]), 0))</f>
        <v>#REF!</v>
      </c>
      <c r="AE36" s="18">
        <v>2053</v>
      </c>
      <c r="AF36" s="18">
        <v>1</v>
      </c>
      <c r="AG36" s="18" cm="1">
        <f t="array" ref="AG36">INDEX(Table32[[#All],[Ai,t]], MATCH(1, (Table1423[[#This Row],[year t]]=Table32[[#All],[year t]])*(Table1423[[#This Row],[stratum i]]=Table32[[#All],[stratum i]]), 0))</f>
        <v>1090.4420357142858</v>
      </c>
      <c r="AH36" t="str">
        <f>INDEX(Table31[[#All],[Soil type (t=0)]], MATCH(Table1423[[#This Row],[stratum i]], Table31[[#All],[Stratum i]]))</f>
        <v>Mineral soil</v>
      </c>
      <c r="AI36">
        <f>IF(Emission_reduction_from_stock_loss?, INDEX(Table2[[#All],[End_PDT]], MATCH(Table1423[[#This Row],[stratum i]], Table2[[#All],[stratum i]])), crediting_period)</f>
        <v>40</v>
      </c>
      <c r="AJ36">
        <f>IF(Emission_reduction_from_stock_loss?, INDEX(Table2[[#All],[End_SDT]], MATCH(Table1423[[#This Row],[stratum i]], Table2[[#All],[stratum i]])), crediting_period)</f>
        <v>40</v>
      </c>
      <c r="AK36" cm="1">
        <f t="array" ref="AK3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6" cm="1">
        <f t="array" ref="AL36">INDEX(Table32[[#All],[%Calloch WPS]], MATCH(1, (Table1423[[#This Row],[year t]]=Table32[[#All],[year t]])*(Table1423[[#This Row],[stratum i]]=Table32[[#All],[stratum i]]), 0))</f>
        <v>23.561573856247001</v>
      </c>
      <c r="AM3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6">
        <f>(Table1423[[#This Row],[GHGWPS-soil-CO2,i,t]]-Table1423[[#This Row],[Deductionalloch WPS (Eq 38)]])*Table1423[[#This Row],[Ai,t]]</f>
        <v>-7334.947224967128</v>
      </c>
      <c r="AO36" cm="1">
        <f t="array" ref="AO36">IF(project_soil_CH4 = "Included", INDEX(Table1830[[#All],[GHGWPS-soil-CH4,i,t (Eq 59)]], MATCH(1, (Table1423[[#This Row],[year t]]=Table1830[[#All],[year t]])*(Table1423[[#This Row],[stratum i]]=Table1830[[#All],[stratum i]]), 0)), 0)</f>
        <v>0</v>
      </c>
      <c r="AP36" cm="1">
        <f t="array" ref="AP36">IF(project_soil_N2O = "Included", INDEX(Table1830[[#All],[GHGWPS-soil-N2O,i,t (Eq 62)]], MATCH(1, (Table1423[[#This Row],[year t]]=Table1830[[#All],[year t]])*(Table1423[[#This Row],[stratum i]]=Table1830[[#All],[stratum i]]), 0)), 0)</f>
        <v>0</v>
      </c>
      <c r="AQ36">
        <f>Table1423[[#This Row],[Ai,t]]*(Table1423[[#This Row],[GHGWPS-soil-CO2,i,t]]-Table1423[[#This Row],[Deductionalloch WPS (Eq 38)]]+Table1423[[#This Row],[GHGWPS-soil-CH4,i,t]]+Table1423[[#This Row],[GHGWPS-soil-N2O,i,t]])</f>
        <v>-7334.947224967128</v>
      </c>
      <c r="AR36" t="e" cm="1">
        <f t="array" ref="AR36">INDEX(#REF!, MATCH(1, (Table1423[[#This Row],[year t]]=Table32[[#All],[year t]])*(Table1423[[#This Row],[stratum i]]=Table32[[#All],[stratum i]]), 0))</f>
        <v>#REF!</v>
      </c>
      <c r="AS36" t="e" cm="1">
        <f t="array" ref="AS36">INDEX(#REF!, MATCH(1, (Table1423[[#This Row],[year t]]=Table32[[#All],[year t]])*(Table1423[[#This Row],[stratum i]]=Table32[[#All],[stratum i]]), 0))</f>
        <v>#REF!</v>
      </c>
      <c r="AT36" t="e" cm="1">
        <f t="array" ref="AT36">INDEX(#REF!, MATCH(1, (Table1423[[#This Row],[year t]]=Table32[[#All],[year t]])*(Table1423[[#This Row],[stratum i]]=Table32[[#All],[stratum i]]), 0))</f>
        <v>#REF!</v>
      </c>
      <c r="AU36" t="e" cm="1">
        <f t="array" ref="AU36">INDEX(#REF!, MATCH(1, (Table1423[[#This Row],[year t]]=Table32[[#All],[year t]])*(Table1423[[#This Row],[stratum i]]=Table32[[#All],[stratum i]]), 0))</f>
        <v>#REF!</v>
      </c>
      <c r="BB36" s="18">
        <v>2053</v>
      </c>
      <c r="BC36" s="18">
        <v>1</v>
      </c>
      <c r="BD36" cm="1">
        <f t="array" ref="BD36">INDEX(Table32[[#All],[∆CWPS-soil,i,t (tC/ha)]], MATCH(1, (Table1329[[#This Row],[year t]]=Table32[[#All],[year t]])*(Table1329[[#This Row],[stratum i]]=Table32[[#All],[stratum i]]), 0))</f>
        <v>2.4</v>
      </c>
      <c r="BE36">
        <f>-44/12*Table1329[[#This Row],[∆CWPS-soil,i,t (tC/ha)]]</f>
        <v>-8.7999999999999989</v>
      </c>
      <c r="BI36" s="18">
        <v>4</v>
      </c>
      <c r="BJ36" s="18">
        <v>5</v>
      </c>
      <c r="BK36" t="e" cm="1">
        <f t="array" ref="BK36">INDEX(Table32[[#All],[Ai,t]], MATCH(1, (Table1830[[#This Row],[year t]]=Table32[[#All],[year t]])*(Table1830[[#This Row],[stratum i]]=Table32[[#All],[stratum i]]), 0))</f>
        <v>#N/A</v>
      </c>
      <c r="BL36" t="e" cm="1">
        <f t="array" ref="BL36">INDEX(#REF!, MATCH(1, (Table1830[[#This Row],[year t]]=Table32[[#All],[year t]])*(Table1830[[#This Row],[stratum i]]=Table32[[#All],[stratum i]]), 0))</f>
        <v>#REF!</v>
      </c>
      <c r="BM36" t="e" cm="1">
        <f t="array" ref="BM36">INDEX(#REF!, MATCH(1, (Table1830[[#This Row],[year t]]=Table32[[#All],[year t]])*(Table1830[[#This Row],[stratum i]]=Table32[[#All],[stratum i]]), 0))</f>
        <v>#REF!</v>
      </c>
      <c r="BN36" t="e" cm="1">
        <f t="array" ref="BN36">INDEX(#REF!, MATCH(1, (Table1830[[#This Row],[year t]]=Table32[[#All],[year t]])*(Table1830[[#This Row],[stratum i]]=Table32[[#All],[stratum i]]), 0))</f>
        <v>#REF!</v>
      </c>
      <c r="BO36" t="e">
        <f>IF(soil_CH4_approach = "Proxies", Table1830[[#This Row],[ƒ (GHG emission proxy: CH4) WPS]]*GWP_CH4, IF(soil_CH4_approach = "IPCC emission factors", Table1830[[#This Row],[IPCC Emission factor EF(CH4) WPS]]*Table1830[[#This Row],[Ai,t]]*GWP_CH4, Table1830[[#This Row],[CH4(WPS-soil,I,t)]]*GWP_CH4))</f>
        <v>#REF!</v>
      </c>
      <c r="BP36" t="e" cm="1">
        <f t="array" ref="BP36">INDEX(#REF!, MATCH(1, (Table1830[[#This Row],[year t]]=Table32[[#All],[year t]])*(Table1830[[#This Row],[stratum i]]=Table32[[#All],[stratum i]]), 0))</f>
        <v>#REF!</v>
      </c>
      <c r="BQ36" t="e" cm="1">
        <f t="array" ref="BQ36">INDEX(#REF!, MATCH(1, (Table1830[[#This Row],[year t]]=Table32[[#All],[year t]])*(Table1830[[#This Row],[stratum i]]=Table32[[#All],[stratum i]]), 0))</f>
        <v>#REF!</v>
      </c>
      <c r="BR36" t="e" cm="1">
        <f t="array" ref="BR36">INDEX(#REF!, MATCH(1, (Table1830[[#This Row],[year t]]=Table32[[#All],[year t]])*(Table1830[[#This Row],[stratum i]]=Table32[[#All],[stratum i]]), 0))</f>
        <v>#REF!</v>
      </c>
      <c r="BS36" t="e">
        <f>IF(soil_N2O_approach = "Proxies", Table1830[[#This Row],[ƒ (N2O emission proxy: N2O) WPS]]*GWP_N2O, IF(soil_N2O_approach = "IPCC emission factors", Table1830[[#This Row],[IPCC Emission factor EF(N2O) WPS]]*Table1830[[#This Row],[Ai,t]]*GWP_N2O, Table1830[[#This Row],[N2O (WPS-soil,I,t)]]*GWP_N2O))</f>
        <v>#REF!</v>
      </c>
      <c r="BW36" s="18">
        <v>4</v>
      </c>
      <c r="BX36" s="18">
        <v>5</v>
      </c>
      <c r="BY36" t="e" cm="1">
        <f t="array" ref="BY36">INDEX(Table32[[#All],[Ai,t]], MATCH(1, (Table10[[#This Row],[year t]]=Table32[[#All],[year t]])*(Table10[[#This Row],[stratum i]]=Table32[[#All],[stratum i]]), 0))</f>
        <v>#N/A</v>
      </c>
      <c r="BZ36" t="e" cm="1">
        <f t="array" ref="BZ36">INDEX(#REF!, MATCH(1, (Table10[[#This Row],[year t]]=Table32[[#All],[year t]])*(Table10[[#This Row],[stratum i]]=Table32[[#All],[stratum i]]), 0))</f>
        <v>#REF!</v>
      </c>
      <c r="CA36">
        <f t="shared" si="0"/>
        <v>0</v>
      </c>
      <c r="CB36">
        <f t="shared" si="1"/>
        <v>0</v>
      </c>
      <c r="CC36" t="e">
        <f>Table10[[#This Row],[Biomassi,t]]*Table10[[#This Row],[EF(N2O,burn)]]*GWP_N2O*10^(-6)*Table10[[#This Row],[Ai,t]]</f>
        <v>#REF!</v>
      </c>
      <c r="CD36" t="e">
        <f>Table10[[#This Row],[Biomassi,t]]*Table10[[#This Row],[EF(CH4,burn)]]*GWP_CH4*10^(-6)*Table10[[#This Row],[Ai,t]]</f>
        <v>#REF!</v>
      </c>
      <c r="CE36" t="e">
        <f>Table10[[#This Row],[CO2eN2O,i,t (Eq 82)]]+Table10[[#This Row],[CO2eCH4,i,t (Eq 83)]]</f>
        <v>#REF!</v>
      </c>
    </row>
    <row r="37" spans="3:83" x14ac:dyDescent="0.2">
      <c r="C37" s="18">
        <v>2054</v>
      </c>
      <c r="D37">
        <f>-SUMIF( Table1221[[#All],[year t]],  "&lt;="&amp;Table1120[[#This Row],[year t]], Table1221[[#All],[∆𝐶WPS−𝑏𝑖𝑜𝑚𝑎𝑠𝑠,𝑖,t (equation 74)]])*44/12</f>
        <v>-1622618.2121032563</v>
      </c>
      <c r="E37">
        <f>SUMIF(Table1221[[#All],[year t]], "&lt;="&amp;Table1120[[#This Row],[year t]],  Table1221[[#All],[𝐺𝐻𝐺WPS−𝑠𝑜𝑖𝑙,𝑖,t]])</f>
        <v>-1055421.9727213709</v>
      </c>
      <c r="F37">
        <f>SUMIF(Table1221[[#All],[year t]], "&lt;="&amp;Table1120[[#This Row],[year t]], Table1221[[#All],[𝐺𝐻𝐺WPS−𝑓𝑢𝑒𝑙,𝑖,t]])</f>
        <v>0</v>
      </c>
      <c r="G37">
        <f>IF(project_prescribed_burning = "Included", SUMIF(Table10[[#All],[year t]], "&lt;="&amp;Table1120[[#This Row],[year t]], Table10[[#All],[GHGWPS-burn,i,t (Eq 81)]]), 0)</f>
        <v>0</v>
      </c>
      <c r="H37">
        <f>Table1120[[#This Row],[GHG(WPS-biomass)]]+Table1120[[#This Row],[GHG(WPS-soil)]]+Table1120[[#This Row],[GHG(WPS-burn)]]+Table1120[[#This Row],[GHG(WPS-fuel)]]</f>
        <v>-2678040.1848246269</v>
      </c>
      <c r="K37" s="18">
        <v>2054</v>
      </c>
      <c r="L37" s="18">
        <v>1</v>
      </c>
      <c r="M37" cm="1">
        <f t="array" ref="M37">IF(project_aboveground_tree = "Included", INDEX(Table32[[#All],[ΔCTREE_PROJ,i,t (AR Tool 14) t C/yr]], MATCH(1, (Table1221[[#This Row],[year t]]=Table32[[#All],[year t]])*(Table1221[[#This Row],[stratum i]]=Table32[[#All],[stratum i]]), 0)), 0)</f>
        <v>8923.6229226490832</v>
      </c>
      <c r="N37" s="57" cm="1">
        <f t="array" ref="N37">IF(project_aboveground_nontree = "Included", INDEX(#REF!, MATCH(1, (Table1221[[#This Row],[year t]]=Table32[[#All],[year t]])*(Table1221[[#This Row],[stratum i]]=Table32[[#All],[stratum i]]), 0)), 0)</f>
        <v>0</v>
      </c>
      <c r="O37">
        <f>12/44*(Table1221[[#This Row],[ΔCTREE_PROJ,t (AR Tool 14) t CO2e/yr]]+Table1221[[#This Row],[ΔCSHRUB_PROJ,t (AR Tool 14) t CO2e/yr]])</f>
        <v>2433.7153425406591</v>
      </c>
      <c r="P37" cm="1">
        <f t="array" ref="P37">IF(project_aboveground_nontree = "Included", IFERROR(INDEX(Table1322[[#All],[ΔCWPS-herb,i,t (Eq 78)]], MATCH(1, (Table1221[[#This Row],[stratum i]]=Table1322[[#All],[stratum i]])*(Table1221[[#This Row],[year t]]&gt;=#REF!)*(Table1221[[#This Row],[year t]]&lt;=Table1322[[#All],[year t]]), 0)), 0), 0)</f>
        <v>0</v>
      </c>
      <c r="Q37">
        <f>Table1221[[#This Row],[ΔCWPS-tree/shrub,i,t (t C/yr) (Eq 75)]]+Table1221[[#This Row],[ΔCWPS-herb,i,t (t C/yr)]]</f>
        <v>2433.7153425406591</v>
      </c>
      <c r="R37" cm="1">
        <f t="array" ref="R37">INDEX(Table1423[[#All],[GHGWPS-soil,i,t]], MATCH(1, (Table1221[[#This Row],[year t]]=Table1423[[#All],[year t]])*(Table1221[[#This Row],[stratum i]]=Table1423[[#All],[stratum i]]), 0))</f>
        <v>-7334.947224967128</v>
      </c>
      <c r="S37">
        <f>IF(project_ff_CO2 = "Included", Table1221[[#This Row],[ET(FC,I,t) AR-Tool 5 WPS]], 0)</f>
        <v>0</v>
      </c>
      <c r="T37" t="e" cm="1">
        <f t="array" ref="T37">INDEX(#REF!, MATCH(1, (Table1221[[#This Row],[year t]]=Table32[[#All],[year t]])*(Table1221[[#This Row],[stratum i]]=Table32[[#All],[stratum i]]), 0))</f>
        <v>#REF!</v>
      </c>
      <c r="AE37" s="18">
        <v>2054</v>
      </c>
      <c r="AF37" s="18">
        <v>1</v>
      </c>
      <c r="AG37" s="18" cm="1">
        <f t="array" ref="AG37">INDEX(Table32[[#All],[Ai,t]], MATCH(1, (Table1423[[#This Row],[year t]]=Table32[[#All],[year t]])*(Table1423[[#This Row],[stratum i]]=Table32[[#All],[stratum i]]), 0))</f>
        <v>1090.4420357142858</v>
      </c>
      <c r="AH37" t="str">
        <f>INDEX(Table31[[#All],[Soil type (t=0)]], MATCH(Table1423[[#This Row],[stratum i]], Table31[[#All],[Stratum i]]))</f>
        <v>Mineral soil</v>
      </c>
      <c r="AI37">
        <f>IF(Emission_reduction_from_stock_loss?, INDEX(Table2[[#All],[End_PDT]], MATCH(Table1423[[#This Row],[stratum i]], Table2[[#All],[stratum i]])), crediting_period)</f>
        <v>40</v>
      </c>
      <c r="AJ37">
        <f>IF(Emission_reduction_from_stock_loss?, INDEX(Table2[[#All],[End_SDT]], MATCH(Table1423[[#This Row],[stratum i]], Table2[[#All],[stratum i]])), crediting_period)</f>
        <v>40</v>
      </c>
      <c r="AK37" cm="1">
        <f t="array" ref="AK3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7" cm="1">
        <f t="array" ref="AL37">INDEX(Table32[[#All],[%Calloch WPS]], MATCH(1, (Table1423[[#This Row],[year t]]=Table32[[#All],[year t]])*(Table1423[[#This Row],[stratum i]]=Table32[[#All],[stratum i]]), 0))</f>
        <v>23.561573856247001</v>
      </c>
      <c r="AM3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7">
        <f>(Table1423[[#This Row],[GHGWPS-soil-CO2,i,t]]-Table1423[[#This Row],[Deductionalloch WPS (Eq 38)]])*Table1423[[#This Row],[Ai,t]]</f>
        <v>-7334.947224967128</v>
      </c>
      <c r="AO37" cm="1">
        <f t="array" ref="AO37">IF(project_soil_CH4 = "Included", INDEX(Table1830[[#All],[GHGWPS-soil-CH4,i,t (Eq 59)]], MATCH(1, (Table1423[[#This Row],[year t]]=Table1830[[#All],[year t]])*(Table1423[[#This Row],[stratum i]]=Table1830[[#All],[stratum i]]), 0)), 0)</f>
        <v>0</v>
      </c>
      <c r="AP37" cm="1">
        <f t="array" ref="AP37">IF(project_soil_N2O = "Included", INDEX(Table1830[[#All],[GHGWPS-soil-N2O,i,t (Eq 62)]], MATCH(1, (Table1423[[#This Row],[year t]]=Table1830[[#All],[year t]])*(Table1423[[#This Row],[stratum i]]=Table1830[[#All],[stratum i]]), 0)), 0)</f>
        <v>0</v>
      </c>
      <c r="AQ37">
        <f>Table1423[[#This Row],[Ai,t]]*(Table1423[[#This Row],[GHGWPS-soil-CO2,i,t]]-Table1423[[#This Row],[Deductionalloch WPS (Eq 38)]]+Table1423[[#This Row],[GHGWPS-soil-CH4,i,t]]+Table1423[[#This Row],[GHGWPS-soil-N2O,i,t]])</f>
        <v>-7334.947224967128</v>
      </c>
      <c r="AR37" t="e" cm="1">
        <f t="array" ref="AR37">INDEX(#REF!, MATCH(1, (Table1423[[#This Row],[year t]]=Table32[[#All],[year t]])*(Table1423[[#This Row],[stratum i]]=Table32[[#All],[stratum i]]), 0))</f>
        <v>#REF!</v>
      </c>
      <c r="AS37" t="e" cm="1">
        <f t="array" ref="AS37">INDEX(#REF!, MATCH(1, (Table1423[[#This Row],[year t]]=Table32[[#All],[year t]])*(Table1423[[#This Row],[stratum i]]=Table32[[#All],[stratum i]]), 0))</f>
        <v>#REF!</v>
      </c>
      <c r="AT37" t="e" cm="1">
        <f t="array" ref="AT37">INDEX(#REF!, MATCH(1, (Table1423[[#This Row],[year t]]=Table32[[#All],[year t]])*(Table1423[[#This Row],[stratum i]]=Table32[[#All],[stratum i]]), 0))</f>
        <v>#REF!</v>
      </c>
      <c r="AU37" t="e" cm="1">
        <f t="array" ref="AU37">INDEX(#REF!, MATCH(1, (Table1423[[#This Row],[year t]]=Table32[[#All],[year t]])*(Table1423[[#This Row],[stratum i]]=Table32[[#All],[stratum i]]), 0))</f>
        <v>#REF!</v>
      </c>
      <c r="BB37" s="18">
        <v>2054</v>
      </c>
      <c r="BC37" s="18">
        <v>1</v>
      </c>
      <c r="BD37" cm="1">
        <f t="array" ref="BD37">INDEX(Table32[[#All],[∆CWPS-soil,i,t (tC/ha)]], MATCH(1, (Table1329[[#This Row],[year t]]=Table32[[#All],[year t]])*(Table1329[[#This Row],[stratum i]]=Table32[[#All],[stratum i]]), 0))</f>
        <v>2.4</v>
      </c>
      <c r="BE37">
        <f>-44/12*Table1329[[#This Row],[∆CWPS-soil,i,t (tC/ha)]]</f>
        <v>-8.7999999999999989</v>
      </c>
      <c r="BI37" s="17">
        <v>5</v>
      </c>
      <c r="BJ37" s="18">
        <v>5</v>
      </c>
      <c r="BK37" t="e" cm="1">
        <f t="array" ref="BK37">INDEX(Table32[[#All],[Ai,t]], MATCH(1, (Table1830[[#This Row],[year t]]=Table32[[#All],[year t]])*(Table1830[[#This Row],[stratum i]]=Table32[[#All],[stratum i]]), 0))</f>
        <v>#N/A</v>
      </c>
      <c r="BL37" t="e" cm="1">
        <f t="array" ref="BL37">INDEX(#REF!, MATCH(1, (Table1830[[#This Row],[year t]]=Table32[[#All],[year t]])*(Table1830[[#This Row],[stratum i]]=Table32[[#All],[stratum i]]), 0))</f>
        <v>#REF!</v>
      </c>
      <c r="BM37" t="e" cm="1">
        <f t="array" ref="BM37">INDEX(#REF!, MATCH(1, (Table1830[[#This Row],[year t]]=Table32[[#All],[year t]])*(Table1830[[#This Row],[stratum i]]=Table32[[#All],[stratum i]]), 0))</f>
        <v>#REF!</v>
      </c>
      <c r="BN37" t="e" cm="1">
        <f t="array" ref="BN37">INDEX(#REF!, MATCH(1, (Table1830[[#This Row],[year t]]=Table32[[#All],[year t]])*(Table1830[[#This Row],[stratum i]]=Table32[[#All],[stratum i]]), 0))</f>
        <v>#REF!</v>
      </c>
      <c r="BO37" t="e">
        <f>IF(soil_CH4_approach = "Proxies", Table1830[[#This Row],[ƒ (GHG emission proxy: CH4) WPS]]*GWP_CH4, IF(soil_CH4_approach = "IPCC emission factors", Table1830[[#This Row],[IPCC Emission factor EF(CH4) WPS]]*Table1830[[#This Row],[Ai,t]]*GWP_CH4, Table1830[[#This Row],[CH4(WPS-soil,I,t)]]*GWP_CH4))</f>
        <v>#REF!</v>
      </c>
      <c r="BP37" t="e" cm="1">
        <f t="array" ref="BP37">INDEX(#REF!, MATCH(1, (Table1830[[#This Row],[year t]]=Table32[[#All],[year t]])*(Table1830[[#This Row],[stratum i]]=Table32[[#All],[stratum i]]), 0))</f>
        <v>#REF!</v>
      </c>
      <c r="BQ37" t="e" cm="1">
        <f t="array" ref="BQ37">INDEX(#REF!, MATCH(1, (Table1830[[#This Row],[year t]]=Table32[[#All],[year t]])*(Table1830[[#This Row],[stratum i]]=Table32[[#All],[stratum i]]), 0))</f>
        <v>#REF!</v>
      </c>
      <c r="BR37" t="e" cm="1">
        <f t="array" ref="BR37">INDEX(#REF!, MATCH(1, (Table1830[[#This Row],[year t]]=Table32[[#All],[year t]])*(Table1830[[#This Row],[stratum i]]=Table32[[#All],[stratum i]]), 0))</f>
        <v>#REF!</v>
      </c>
      <c r="BS37" t="e">
        <f>IF(soil_N2O_approach = "Proxies", Table1830[[#This Row],[ƒ (N2O emission proxy: N2O) WPS]]*GWP_N2O, IF(soil_N2O_approach = "IPCC emission factors", Table1830[[#This Row],[IPCC Emission factor EF(N2O) WPS]]*Table1830[[#This Row],[Ai,t]]*GWP_N2O, Table1830[[#This Row],[N2O (WPS-soil,I,t)]]*GWP_N2O))</f>
        <v>#REF!</v>
      </c>
      <c r="BW37" s="17">
        <v>5</v>
      </c>
      <c r="BX37" s="18">
        <v>5</v>
      </c>
      <c r="BY37" t="e" cm="1">
        <f t="array" ref="BY37">INDEX(Table32[[#All],[Ai,t]], MATCH(1, (Table10[[#This Row],[year t]]=Table32[[#All],[year t]])*(Table10[[#This Row],[stratum i]]=Table32[[#All],[stratum i]]), 0))</f>
        <v>#N/A</v>
      </c>
      <c r="BZ37" t="e" cm="1">
        <f t="array" ref="BZ37">INDEX(#REF!, MATCH(1, (Table10[[#This Row],[year t]]=Table32[[#All],[year t]])*(Table10[[#This Row],[stratum i]]=Table32[[#All],[stratum i]]), 0))</f>
        <v>#REF!</v>
      </c>
      <c r="CA37">
        <f>EF_N2O_burn</f>
        <v>0</v>
      </c>
      <c r="CB37">
        <f>EF_CH4_burn</f>
        <v>0</v>
      </c>
      <c r="CC37" t="e">
        <f>Table10[[#This Row],[Biomassi,t]]*Table10[[#This Row],[EF(N2O,burn)]]*GWP_N2O*10^(-6)*Table10[[#This Row],[Ai,t]]</f>
        <v>#REF!</v>
      </c>
      <c r="CD37" t="e">
        <f>Table10[[#This Row],[Biomassi,t]]*Table10[[#This Row],[EF(CH4,burn)]]*GWP_CH4*10^(-6)*Table10[[#This Row],[Ai,t]]</f>
        <v>#REF!</v>
      </c>
      <c r="CE37" t="e">
        <f>Table10[[#This Row],[CO2eN2O,i,t (Eq 82)]]+Table10[[#This Row],[CO2eCH4,i,t (Eq 83)]]</f>
        <v>#REF!</v>
      </c>
    </row>
    <row r="38" spans="3:83" x14ac:dyDescent="0.2">
      <c r="C38" s="18">
        <v>2055</v>
      </c>
      <c r="D38">
        <f>-SUMIF( Table1221[[#All],[year t]],  "&lt;="&amp;Table1120[[#This Row],[year t]], Table1221[[#All],[∆𝐶WPS−𝑏𝑖𝑜𝑚𝑎𝑠𝑠,𝑖,t (equation 74)]])*44/12</f>
        <v>-1678656.9126827975</v>
      </c>
      <c r="E38">
        <f>SUMIF(Table1221[[#All],[year t]], "&lt;="&amp;Table1120[[#This Row],[year t]],  Table1221[[#All],[𝐺𝐻𝐺WPS−𝑠𝑜𝑖𝑙,𝑖,t]])</f>
        <v>-1099306.3821295758</v>
      </c>
      <c r="F38">
        <f>SUMIF(Table1221[[#All],[year t]], "&lt;="&amp;Table1120[[#This Row],[year t]], Table1221[[#All],[𝐺𝐻𝐺WPS−𝑓𝑢𝑒𝑙,𝑖,t]])</f>
        <v>0</v>
      </c>
      <c r="G38">
        <f>IF(project_prescribed_burning = "Included", SUMIF(Table10[[#All],[year t]], "&lt;="&amp;Table1120[[#This Row],[year t]], Table10[[#All],[GHGWPS-burn,i,t (Eq 81)]]), 0)</f>
        <v>0</v>
      </c>
      <c r="H38">
        <f>Table1120[[#This Row],[GHG(WPS-biomass)]]+Table1120[[#This Row],[GHG(WPS-soil)]]+Table1120[[#This Row],[GHG(WPS-burn)]]+Table1120[[#This Row],[GHG(WPS-fuel)]]</f>
        <v>-2777963.2948123734</v>
      </c>
      <c r="K38" s="18">
        <v>2055</v>
      </c>
      <c r="L38" s="18">
        <v>1</v>
      </c>
      <c r="M38" cm="1">
        <f t="array" ref="M38">IF(project_aboveground_tree = "Included", INDEX(Table32[[#All],[ΔCTREE_PROJ,i,t (AR Tool 14) t C/yr]], MATCH(1, (Table1221[[#This Row],[year t]]=Table32[[#All],[year t]])*(Table1221[[#This Row],[stratum i]]=Table32[[#All],[stratum i]]), 0)), 0)</f>
        <v>8174.4017717342358</v>
      </c>
      <c r="N38" s="57" cm="1">
        <f t="array" ref="N38">IF(project_aboveground_nontree = "Included", INDEX(#REF!, MATCH(1, (Table1221[[#This Row],[year t]]=Table32[[#All],[year t]])*(Table1221[[#This Row],[stratum i]]=Table32[[#All],[stratum i]]), 0)), 0)</f>
        <v>0</v>
      </c>
      <c r="O38">
        <f>12/44*(Table1221[[#This Row],[ΔCTREE_PROJ,t (AR Tool 14) t CO2e/yr]]+Table1221[[#This Row],[ΔCSHRUB_PROJ,t (AR Tool 14) t CO2e/yr]])</f>
        <v>2229.3823013820643</v>
      </c>
      <c r="P38" cm="1">
        <f t="array" ref="P38">IF(project_aboveground_nontree = "Included", IFERROR(INDEX(Table1322[[#All],[ΔCWPS-herb,i,t (Eq 78)]], MATCH(1, (Table1221[[#This Row],[stratum i]]=Table1322[[#All],[stratum i]])*(Table1221[[#This Row],[year t]]&gt;=#REF!)*(Table1221[[#This Row],[year t]]&lt;=Table1322[[#All],[year t]]), 0)), 0), 0)</f>
        <v>0</v>
      </c>
      <c r="Q38">
        <f>Table1221[[#This Row],[ΔCWPS-tree/shrub,i,t (t C/yr) (Eq 75)]]+Table1221[[#This Row],[ΔCWPS-herb,i,t (t C/yr)]]</f>
        <v>2229.3823013820643</v>
      </c>
      <c r="R38" cm="1">
        <f t="array" ref="R38">INDEX(Table1423[[#All],[GHGWPS-soil,i,t]], MATCH(1, (Table1221[[#This Row],[year t]]=Table1423[[#All],[year t]])*(Table1221[[#This Row],[stratum i]]=Table1423[[#All],[stratum i]]), 0))</f>
        <v>-7334.947224967128</v>
      </c>
      <c r="S38">
        <f>IF(project_ff_CO2 = "Included", Table1221[[#This Row],[ET(FC,I,t) AR-Tool 5 WPS]], 0)</f>
        <v>0</v>
      </c>
      <c r="T38" t="e" cm="1">
        <f t="array" ref="T38">INDEX(#REF!, MATCH(1, (Table1221[[#This Row],[year t]]=Table32[[#All],[year t]])*(Table1221[[#This Row],[stratum i]]=Table32[[#All],[stratum i]]), 0))</f>
        <v>#REF!</v>
      </c>
      <c r="AE38" s="18">
        <v>2055</v>
      </c>
      <c r="AF38" s="18">
        <v>1</v>
      </c>
      <c r="AG38" s="18" cm="1">
        <f t="array" ref="AG38">INDEX(Table32[[#All],[Ai,t]], MATCH(1, (Table1423[[#This Row],[year t]]=Table32[[#All],[year t]])*(Table1423[[#This Row],[stratum i]]=Table32[[#All],[stratum i]]), 0))</f>
        <v>1090.4420357142858</v>
      </c>
      <c r="AH38" t="str">
        <f>INDEX(Table31[[#All],[Soil type (t=0)]], MATCH(Table1423[[#This Row],[stratum i]], Table31[[#All],[Stratum i]]))</f>
        <v>Mineral soil</v>
      </c>
      <c r="AI38">
        <f>IF(Emission_reduction_from_stock_loss?, INDEX(Table2[[#All],[End_PDT]], MATCH(Table1423[[#This Row],[stratum i]], Table2[[#All],[stratum i]])), crediting_period)</f>
        <v>40</v>
      </c>
      <c r="AJ38">
        <f>IF(Emission_reduction_from_stock_loss?, INDEX(Table2[[#All],[End_SDT]], MATCH(Table1423[[#This Row],[stratum i]], Table2[[#All],[stratum i]])), crediting_period)</f>
        <v>40</v>
      </c>
      <c r="AK38" cm="1">
        <f t="array" ref="AK3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8" cm="1">
        <f t="array" ref="AL38">INDEX(Table32[[#All],[%Calloch WPS]], MATCH(1, (Table1423[[#This Row],[year t]]=Table32[[#All],[year t]])*(Table1423[[#This Row],[stratum i]]=Table32[[#All],[stratum i]]), 0))</f>
        <v>23.561573856247001</v>
      </c>
      <c r="AM3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8">
        <f>(Table1423[[#This Row],[GHGWPS-soil-CO2,i,t]]-Table1423[[#This Row],[Deductionalloch WPS (Eq 38)]])*Table1423[[#This Row],[Ai,t]]</f>
        <v>-7334.947224967128</v>
      </c>
      <c r="AO38" cm="1">
        <f t="array" ref="AO38">IF(project_soil_CH4 = "Included", INDEX(Table1830[[#All],[GHGWPS-soil-CH4,i,t (Eq 59)]], MATCH(1, (Table1423[[#This Row],[year t]]=Table1830[[#All],[year t]])*(Table1423[[#This Row],[stratum i]]=Table1830[[#All],[stratum i]]), 0)), 0)</f>
        <v>0</v>
      </c>
      <c r="AP38" cm="1">
        <f t="array" ref="AP38">IF(project_soil_N2O = "Included", INDEX(Table1830[[#All],[GHGWPS-soil-N2O,i,t (Eq 62)]], MATCH(1, (Table1423[[#This Row],[year t]]=Table1830[[#All],[year t]])*(Table1423[[#This Row],[stratum i]]=Table1830[[#All],[stratum i]]), 0)), 0)</f>
        <v>0</v>
      </c>
      <c r="AQ38">
        <f>Table1423[[#This Row],[Ai,t]]*(Table1423[[#This Row],[GHGWPS-soil-CO2,i,t]]-Table1423[[#This Row],[Deductionalloch WPS (Eq 38)]]+Table1423[[#This Row],[GHGWPS-soil-CH4,i,t]]+Table1423[[#This Row],[GHGWPS-soil-N2O,i,t]])</f>
        <v>-7334.947224967128</v>
      </c>
      <c r="AR38" t="e" cm="1">
        <f t="array" ref="AR38">INDEX(#REF!, MATCH(1, (Table1423[[#This Row],[year t]]=Table32[[#All],[year t]])*(Table1423[[#This Row],[stratum i]]=Table32[[#All],[stratum i]]), 0))</f>
        <v>#REF!</v>
      </c>
      <c r="AS38" t="e" cm="1">
        <f t="array" ref="AS38">INDEX(#REF!, MATCH(1, (Table1423[[#This Row],[year t]]=Table32[[#All],[year t]])*(Table1423[[#This Row],[stratum i]]=Table32[[#All],[stratum i]]), 0))</f>
        <v>#REF!</v>
      </c>
      <c r="AT38" t="e" cm="1">
        <f t="array" ref="AT38">INDEX(#REF!, MATCH(1, (Table1423[[#This Row],[year t]]=Table32[[#All],[year t]])*(Table1423[[#This Row],[stratum i]]=Table32[[#All],[stratum i]]), 0))</f>
        <v>#REF!</v>
      </c>
      <c r="AU38" t="e" cm="1">
        <f t="array" ref="AU38">INDEX(#REF!, MATCH(1, (Table1423[[#This Row],[year t]]=Table32[[#All],[year t]])*(Table1423[[#This Row],[stratum i]]=Table32[[#All],[stratum i]]), 0))</f>
        <v>#REF!</v>
      </c>
      <c r="BB38" s="18">
        <v>2055</v>
      </c>
      <c r="BC38" s="18">
        <v>1</v>
      </c>
      <c r="BD38" cm="1">
        <f t="array" ref="BD38">INDEX(Table32[[#All],[∆CWPS-soil,i,t (tC/ha)]], MATCH(1, (Table1329[[#This Row],[year t]]=Table32[[#All],[year t]])*(Table1329[[#This Row],[stratum i]]=Table32[[#All],[stratum i]]), 0))</f>
        <v>2.4</v>
      </c>
      <c r="BE38">
        <f>-44/12*Table1329[[#This Row],[∆CWPS-soil,i,t (tC/ha)]]</f>
        <v>-8.7999999999999989</v>
      </c>
      <c r="BI38" s="18">
        <v>6</v>
      </c>
      <c r="BJ38" s="18">
        <v>5</v>
      </c>
      <c r="BK38" t="e" cm="1">
        <f t="array" ref="BK38">INDEX(Table32[[#All],[Ai,t]], MATCH(1, (Table1830[[#This Row],[year t]]=Table32[[#All],[year t]])*(Table1830[[#This Row],[stratum i]]=Table32[[#All],[stratum i]]), 0))</f>
        <v>#N/A</v>
      </c>
      <c r="BL38" t="e" cm="1">
        <f t="array" ref="BL38">INDEX(#REF!, MATCH(1, (Table1830[[#This Row],[year t]]=Table32[[#All],[year t]])*(Table1830[[#This Row],[stratum i]]=Table32[[#All],[stratum i]]), 0))</f>
        <v>#REF!</v>
      </c>
      <c r="BM38" t="e" cm="1">
        <f t="array" ref="BM38">INDEX(#REF!, MATCH(1, (Table1830[[#This Row],[year t]]=Table32[[#All],[year t]])*(Table1830[[#This Row],[stratum i]]=Table32[[#All],[stratum i]]), 0))</f>
        <v>#REF!</v>
      </c>
      <c r="BN38" t="e" cm="1">
        <f t="array" ref="BN38">INDEX(#REF!, MATCH(1, (Table1830[[#This Row],[year t]]=Table32[[#All],[year t]])*(Table1830[[#This Row],[stratum i]]=Table32[[#All],[stratum i]]), 0))</f>
        <v>#REF!</v>
      </c>
      <c r="BO38" t="e">
        <f>IF(soil_CH4_approach = "Proxies", Table1830[[#This Row],[ƒ (GHG emission proxy: CH4) WPS]]*GWP_CH4, IF(soil_CH4_approach = "IPCC emission factors", Table1830[[#This Row],[IPCC Emission factor EF(CH4) WPS]]*Table1830[[#This Row],[Ai,t]]*GWP_CH4, Table1830[[#This Row],[CH4(WPS-soil,I,t)]]*GWP_CH4))</f>
        <v>#REF!</v>
      </c>
      <c r="BP38" t="e" cm="1">
        <f t="array" ref="BP38">INDEX(#REF!, MATCH(1, (Table1830[[#This Row],[year t]]=Table32[[#All],[year t]])*(Table1830[[#This Row],[stratum i]]=Table32[[#All],[stratum i]]), 0))</f>
        <v>#REF!</v>
      </c>
      <c r="BQ38" t="e" cm="1">
        <f t="array" ref="BQ38">INDEX(#REF!, MATCH(1, (Table1830[[#This Row],[year t]]=Table32[[#All],[year t]])*(Table1830[[#This Row],[stratum i]]=Table32[[#All],[stratum i]]), 0))</f>
        <v>#REF!</v>
      </c>
      <c r="BR38" t="e" cm="1">
        <f t="array" ref="BR38">INDEX(#REF!, MATCH(1, (Table1830[[#This Row],[year t]]=Table32[[#All],[year t]])*(Table1830[[#This Row],[stratum i]]=Table32[[#All],[stratum i]]), 0))</f>
        <v>#REF!</v>
      </c>
      <c r="BS38" t="e">
        <f>IF(soil_N2O_approach = "Proxies", Table1830[[#This Row],[ƒ (N2O emission proxy: N2O) WPS]]*GWP_N2O, IF(soil_N2O_approach = "IPCC emission factors", Table1830[[#This Row],[IPCC Emission factor EF(N2O) WPS]]*Table1830[[#This Row],[Ai,t]]*GWP_N2O, Table1830[[#This Row],[N2O (WPS-soil,I,t)]]*GWP_N2O))</f>
        <v>#REF!</v>
      </c>
      <c r="BW38" s="18">
        <v>6</v>
      </c>
      <c r="BX38" s="18">
        <v>5</v>
      </c>
      <c r="BY38" t="e" cm="1">
        <f t="array" ref="BY38">INDEX(Table32[[#All],[Ai,t]], MATCH(1, (Table10[[#This Row],[year t]]=Table32[[#All],[year t]])*(Table10[[#This Row],[stratum i]]=Table32[[#All],[stratum i]]), 0))</f>
        <v>#N/A</v>
      </c>
      <c r="BZ38" t="e" cm="1">
        <f t="array" ref="BZ38">INDEX(#REF!, MATCH(1, (Table10[[#This Row],[year t]]=Table32[[#All],[year t]])*(Table10[[#This Row],[stratum i]]=Table32[[#All],[stratum i]]), 0))</f>
        <v>#REF!</v>
      </c>
      <c r="CA38">
        <f>EF_N2O_burn</f>
        <v>0</v>
      </c>
      <c r="CB38">
        <f>EF_CH4_burn</f>
        <v>0</v>
      </c>
      <c r="CC38" t="e">
        <f>Table10[[#This Row],[Biomassi,t]]*Table10[[#This Row],[EF(N2O,burn)]]*GWP_N2O*10^(-6)*Table10[[#This Row],[Ai,t]]</f>
        <v>#REF!</v>
      </c>
      <c r="CD38" t="e">
        <f>Table10[[#This Row],[Biomassi,t]]*Table10[[#This Row],[EF(CH4,burn)]]*GWP_CH4*10^(-6)*Table10[[#This Row],[Ai,t]]</f>
        <v>#REF!</v>
      </c>
      <c r="CE38" t="e">
        <f>Table10[[#This Row],[CO2eN2O,i,t (Eq 82)]]+Table10[[#This Row],[CO2eCH4,i,t (Eq 83)]]</f>
        <v>#REF!</v>
      </c>
    </row>
    <row r="39" spans="3:83" x14ac:dyDescent="0.2">
      <c r="C39" s="18">
        <v>2056</v>
      </c>
      <c r="D39">
        <f>-SUMIF( Table1221[[#All],[year t]],  "&lt;="&amp;Table1120[[#This Row],[year t]], Table1221[[#All],[∆𝐶WPS−𝑏𝑖𝑜𝑚𝑎𝑠𝑠,𝑖,t (equation 74)]])*44/12</f>
        <v>-1730109.1264079621</v>
      </c>
      <c r="E39">
        <f>SUMIF(Table1221[[#All],[year t]], "&lt;="&amp;Table1120[[#This Row],[year t]],  Table1221[[#All],[𝐺𝐻𝐺WPS−𝑠𝑜𝑖𝑙,𝑖,t]])</f>
        <v>-1143190.791537781</v>
      </c>
      <c r="F39">
        <f>SUMIF(Table1221[[#All],[year t]], "&lt;="&amp;Table1120[[#This Row],[year t]], Table1221[[#All],[𝐺𝐻𝐺WPS−𝑓𝑢𝑒𝑙,𝑖,t]])</f>
        <v>0</v>
      </c>
      <c r="G39">
        <f>IF(project_prescribed_burning = "Included", SUMIF(Table10[[#All],[year t]], "&lt;="&amp;Table1120[[#This Row],[year t]], Table10[[#All],[GHGWPS-burn,i,t (Eq 81)]]), 0)</f>
        <v>0</v>
      </c>
      <c r="H39">
        <f>Table1120[[#This Row],[GHG(WPS-biomass)]]+Table1120[[#This Row],[GHG(WPS-soil)]]+Table1120[[#This Row],[GHG(WPS-burn)]]+Table1120[[#This Row],[GHG(WPS-fuel)]]</f>
        <v>-2873299.9179457431</v>
      </c>
      <c r="K39" s="18">
        <v>2056</v>
      </c>
      <c r="L39" s="18">
        <v>1</v>
      </c>
      <c r="M39" cm="1">
        <f t="array" ref="M39">IF(project_aboveground_tree = "Included", INDEX(Table32[[#All],[ΔCTREE_PROJ,i,t (AR Tool 14) t C/yr]], MATCH(1, (Table1221[[#This Row],[year t]]=Table32[[#All],[year t]])*(Table1221[[#This Row],[stratum i]]=Table32[[#All],[stratum i]]), 0)), 0)</f>
        <v>7465.4562036647694</v>
      </c>
      <c r="N39" s="57" cm="1">
        <f t="array" ref="N39">IF(project_aboveground_nontree = "Included", INDEX(#REF!, MATCH(1, (Table1221[[#This Row],[year t]]=Table32[[#All],[year t]])*(Table1221[[#This Row],[stratum i]]=Table32[[#All],[stratum i]]), 0)), 0)</f>
        <v>0</v>
      </c>
      <c r="O39">
        <f>12/44*(Table1221[[#This Row],[ΔCTREE_PROJ,t (AR Tool 14) t CO2e/yr]]+Table1221[[#This Row],[ΔCSHRUB_PROJ,t (AR Tool 14) t CO2e/yr]])</f>
        <v>2036.0335100903915</v>
      </c>
      <c r="P39" cm="1">
        <f t="array" ref="P39">IF(project_aboveground_nontree = "Included", IFERROR(INDEX(Table1322[[#All],[ΔCWPS-herb,i,t (Eq 78)]], MATCH(1, (Table1221[[#This Row],[stratum i]]=Table1322[[#All],[stratum i]])*(Table1221[[#This Row],[year t]]&gt;=#REF!)*(Table1221[[#This Row],[year t]]&lt;=Table1322[[#All],[year t]]), 0)), 0), 0)</f>
        <v>0</v>
      </c>
      <c r="Q39">
        <f>Table1221[[#This Row],[ΔCWPS-tree/shrub,i,t (t C/yr) (Eq 75)]]+Table1221[[#This Row],[ΔCWPS-herb,i,t (t C/yr)]]</f>
        <v>2036.0335100903915</v>
      </c>
      <c r="R39" cm="1">
        <f t="array" ref="R39">INDEX(Table1423[[#All],[GHGWPS-soil,i,t]], MATCH(1, (Table1221[[#This Row],[year t]]=Table1423[[#All],[year t]])*(Table1221[[#This Row],[stratum i]]=Table1423[[#All],[stratum i]]), 0))</f>
        <v>-7334.947224967128</v>
      </c>
      <c r="S39">
        <f>IF(project_ff_CO2 = "Included", Table1221[[#This Row],[ET(FC,I,t) AR-Tool 5 WPS]], 0)</f>
        <v>0</v>
      </c>
      <c r="T39" t="e" cm="1">
        <f t="array" ref="T39">INDEX(#REF!, MATCH(1, (Table1221[[#This Row],[year t]]=Table32[[#All],[year t]])*(Table1221[[#This Row],[stratum i]]=Table32[[#All],[stratum i]]), 0))</f>
        <v>#REF!</v>
      </c>
      <c r="AE39" s="18">
        <v>2056</v>
      </c>
      <c r="AF39" s="18">
        <v>1</v>
      </c>
      <c r="AG39" s="18" cm="1">
        <f t="array" ref="AG39">INDEX(Table32[[#All],[Ai,t]], MATCH(1, (Table1423[[#This Row],[year t]]=Table32[[#All],[year t]])*(Table1423[[#This Row],[stratum i]]=Table32[[#All],[stratum i]]), 0))</f>
        <v>1090.4420357142858</v>
      </c>
      <c r="AH39" t="str">
        <f>INDEX(Table31[[#All],[Soil type (t=0)]], MATCH(Table1423[[#This Row],[stratum i]], Table31[[#All],[Stratum i]]))</f>
        <v>Mineral soil</v>
      </c>
      <c r="AI39">
        <f>IF(Emission_reduction_from_stock_loss?, INDEX(Table2[[#All],[End_PDT]], MATCH(Table1423[[#This Row],[stratum i]], Table2[[#All],[stratum i]])), crediting_period)</f>
        <v>40</v>
      </c>
      <c r="AJ39">
        <f>IF(Emission_reduction_from_stock_loss?, INDEX(Table2[[#All],[End_SDT]], MATCH(Table1423[[#This Row],[stratum i]], Table2[[#All],[stratum i]])), crediting_period)</f>
        <v>40</v>
      </c>
      <c r="AK39" cm="1">
        <f t="array" ref="AK3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39" cm="1">
        <f t="array" ref="AL39">INDEX(Table32[[#All],[%Calloch WPS]], MATCH(1, (Table1423[[#This Row],[year t]]=Table32[[#All],[year t]])*(Table1423[[#This Row],[stratum i]]=Table32[[#All],[stratum i]]), 0))</f>
        <v>23.561573856247001</v>
      </c>
      <c r="AM3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39">
        <f>(Table1423[[#This Row],[GHGWPS-soil-CO2,i,t]]-Table1423[[#This Row],[Deductionalloch WPS (Eq 38)]])*Table1423[[#This Row],[Ai,t]]</f>
        <v>-7334.947224967128</v>
      </c>
      <c r="AO39" cm="1">
        <f t="array" ref="AO39">IF(project_soil_CH4 = "Included", INDEX(Table1830[[#All],[GHGWPS-soil-CH4,i,t (Eq 59)]], MATCH(1, (Table1423[[#This Row],[year t]]=Table1830[[#All],[year t]])*(Table1423[[#This Row],[stratum i]]=Table1830[[#All],[stratum i]]), 0)), 0)</f>
        <v>0</v>
      </c>
      <c r="AP39" cm="1">
        <f t="array" ref="AP39">IF(project_soil_N2O = "Included", INDEX(Table1830[[#All],[GHGWPS-soil-N2O,i,t (Eq 62)]], MATCH(1, (Table1423[[#This Row],[year t]]=Table1830[[#All],[year t]])*(Table1423[[#This Row],[stratum i]]=Table1830[[#All],[stratum i]]), 0)), 0)</f>
        <v>0</v>
      </c>
      <c r="AQ39">
        <f>Table1423[[#This Row],[Ai,t]]*(Table1423[[#This Row],[GHGWPS-soil-CO2,i,t]]-Table1423[[#This Row],[Deductionalloch WPS (Eq 38)]]+Table1423[[#This Row],[GHGWPS-soil-CH4,i,t]]+Table1423[[#This Row],[GHGWPS-soil-N2O,i,t]])</f>
        <v>-7334.947224967128</v>
      </c>
      <c r="AR39" t="e" cm="1">
        <f t="array" ref="AR39">INDEX(#REF!, MATCH(1, (Table1423[[#This Row],[year t]]=Table32[[#All],[year t]])*(Table1423[[#This Row],[stratum i]]=Table32[[#All],[stratum i]]), 0))</f>
        <v>#REF!</v>
      </c>
      <c r="AS39" t="e" cm="1">
        <f t="array" ref="AS39">INDEX(#REF!, MATCH(1, (Table1423[[#This Row],[year t]]=Table32[[#All],[year t]])*(Table1423[[#This Row],[stratum i]]=Table32[[#All],[stratum i]]), 0))</f>
        <v>#REF!</v>
      </c>
      <c r="AT39" t="e" cm="1">
        <f t="array" ref="AT39">INDEX(#REF!, MATCH(1, (Table1423[[#This Row],[year t]]=Table32[[#All],[year t]])*(Table1423[[#This Row],[stratum i]]=Table32[[#All],[stratum i]]), 0))</f>
        <v>#REF!</v>
      </c>
      <c r="AU39" t="e" cm="1">
        <f t="array" ref="AU39">INDEX(#REF!, MATCH(1, (Table1423[[#This Row],[year t]]=Table32[[#All],[year t]])*(Table1423[[#This Row],[stratum i]]=Table32[[#All],[stratum i]]), 0))</f>
        <v>#REF!</v>
      </c>
      <c r="BB39" s="18">
        <v>2056</v>
      </c>
      <c r="BC39" s="18">
        <v>1</v>
      </c>
      <c r="BD39" cm="1">
        <f t="array" ref="BD39">INDEX(Table32[[#All],[∆CWPS-soil,i,t (tC/ha)]], MATCH(1, (Table1329[[#This Row],[year t]]=Table32[[#All],[year t]])*(Table1329[[#This Row],[stratum i]]=Table32[[#All],[stratum i]]), 0))</f>
        <v>2.4</v>
      </c>
      <c r="BE39">
        <f>-44/12*Table1329[[#This Row],[∆CWPS-soil,i,t (tC/ha)]]</f>
        <v>-8.7999999999999989</v>
      </c>
      <c r="BI39" s="17">
        <v>7</v>
      </c>
      <c r="BJ39" s="18">
        <v>5</v>
      </c>
      <c r="BK39" t="e" cm="1">
        <f t="array" ref="BK39">INDEX(Table32[[#All],[Ai,t]], MATCH(1, (Table1830[[#This Row],[year t]]=Table32[[#All],[year t]])*(Table1830[[#This Row],[stratum i]]=Table32[[#All],[stratum i]]), 0))</f>
        <v>#N/A</v>
      </c>
      <c r="BL39" t="e" cm="1">
        <f t="array" ref="BL39">INDEX(#REF!, MATCH(1, (Table1830[[#This Row],[year t]]=Table32[[#All],[year t]])*(Table1830[[#This Row],[stratum i]]=Table32[[#All],[stratum i]]), 0))</f>
        <v>#REF!</v>
      </c>
      <c r="BM39" t="e" cm="1">
        <f t="array" ref="BM39">INDEX(#REF!, MATCH(1, (Table1830[[#This Row],[year t]]=Table32[[#All],[year t]])*(Table1830[[#This Row],[stratum i]]=Table32[[#All],[stratum i]]), 0))</f>
        <v>#REF!</v>
      </c>
      <c r="BN39" t="e" cm="1">
        <f t="array" ref="BN39">INDEX(#REF!, MATCH(1, (Table1830[[#This Row],[year t]]=Table32[[#All],[year t]])*(Table1830[[#This Row],[stratum i]]=Table32[[#All],[stratum i]]), 0))</f>
        <v>#REF!</v>
      </c>
      <c r="BO39" t="e">
        <f>IF(soil_CH4_approach = "Proxies", Table1830[[#This Row],[ƒ (GHG emission proxy: CH4) WPS]]*GWP_CH4, IF(soil_CH4_approach = "IPCC emission factors", Table1830[[#This Row],[IPCC Emission factor EF(CH4) WPS]]*Table1830[[#This Row],[Ai,t]]*GWP_CH4, Table1830[[#This Row],[CH4(WPS-soil,I,t)]]*GWP_CH4))</f>
        <v>#REF!</v>
      </c>
      <c r="BP39" t="e" cm="1">
        <f t="array" ref="BP39">INDEX(#REF!, MATCH(1, (Table1830[[#This Row],[year t]]=Table32[[#All],[year t]])*(Table1830[[#This Row],[stratum i]]=Table32[[#All],[stratum i]]), 0))</f>
        <v>#REF!</v>
      </c>
      <c r="BQ39" t="e" cm="1">
        <f t="array" ref="BQ39">INDEX(#REF!, MATCH(1, (Table1830[[#This Row],[year t]]=Table32[[#All],[year t]])*(Table1830[[#This Row],[stratum i]]=Table32[[#All],[stratum i]]), 0))</f>
        <v>#REF!</v>
      </c>
      <c r="BR39" t="e" cm="1">
        <f t="array" ref="BR39">INDEX(#REF!, MATCH(1, (Table1830[[#This Row],[year t]]=Table32[[#All],[year t]])*(Table1830[[#This Row],[stratum i]]=Table32[[#All],[stratum i]]), 0))</f>
        <v>#REF!</v>
      </c>
      <c r="BS39" t="e">
        <f>IF(soil_N2O_approach = "Proxies", Table1830[[#This Row],[ƒ (N2O emission proxy: N2O) WPS]]*GWP_N2O, IF(soil_N2O_approach = "IPCC emission factors", Table1830[[#This Row],[IPCC Emission factor EF(N2O) WPS]]*Table1830[[#This Row],[Ai,t]]*GWP_N2O, Table1830[[#This Row],[N2O (WPS-soil,I,t)]]*GWP_N2O))</f>
        <v>#REF!</v>
      </c>
      <c r="BW39" s="17">
        <v>7</v>
      </c>
      <c r="BX39" s="18">
        <v>5</v>
      </c>
      <c r="BY39" t="e" cm="1">
        <f t="array" ref="BY39">INDEX(Table32[[#All],[Ai,t]], MATCH(1, (Table10[[#This Row],[year t]]=Table32[[#All],[year t]])*(Table10[[#This Row],[stratum i]]=Table32[[#All],[stratum i]]), 0))</f>
        <v>#N/A</v>
      </c>
      <c r="BZ39" t="e" cm="1">
        <f t="array" ref="BZ39">INDEX(#REF!, MATCH(1, (Table10[[#This Row],[year t]]=Table32[[#All],[year t]])*(Table10[[#This Row],[stratum i]]=Table32[[#All],[stratum i]]), 0))</f>
        <v>#REF!</v>
      </c>
      <c r="CA39">
        <f>EF_N2O_burn</f>
        <v>0</v>
      </c>
      <c r="CB39">
        <f>EF_CH4_burn</f>
        <v>0</v>
      </c>
      <c r="CC39" t="e">
        <f>Table10[[#This Row],[Biomassi,t]]*Table10[[#This Row],[EF(N2O,burn)]]*GWP_N2O*10^(-6)*Table10[[#This Row],[Ai,t]]</f>
        <v>#REF!</v>
      </c>
      <c r="CD39" t="e">
        <f>Table10[[#This Row],[Biomassi,t]]*Table10[[#This Row],[EF(CH4,burn)]]*GWP_CH4*10^(-6)*Table10[[#This Row],[Ai,t]]</f>
        <v>#REF!</v>
      </c>
      <c r="CE39" t="e">
        <f>Table10[[#This Row],[CO2eN2O,i,t (Eq 82)]]+Table10[[#This Row],[CO2eCH4,i,t (Eq 83)]]</f>
        <v>#REF!</v>
      </c>
    </row>
    <row r="40" spans="3:83" x14ac:dyDescent="0.2">
      <c r="C40" s="18">
        <v>2057</v>
      </c>
      <c r="D40">
        <f>-SUMIF( Table1221[[#All],[year t]],  "&lt;="&amp;Table1120[[#This Row],[year t]], Table1221[[#All],[∆𝐶WPS−𝑏𝑖𝑜𝑚𝑎𝑠𝑠,𝑖,t (equation 74)]])*44/12</f>
        <v>-1777195.5853902556</v>
      </c>
      <c r="E40">
        <f>SUMIF(Table1221[[#All],[year t]], "&lt;="&amp;Table1120[[#This Row],[year t]],  Table1221[[#All],[𝐺𝐻𝐺WPS−𝑠𝑜𝑖𝑙,𝑖,t]])</f>
        <v>-1187075.2009459862</v>
      </c>
      <c r="F40">
        <f>SUMIF(Table1221[[#All],[year t]], "&lt;="&amp;Table1120[[#This Row],[year t]], Table1221[[#All],[𝐺𝐻𝐺WPS−𝑓𝑢𝑒𝑙,𝑖,t]])</f>
        <v>0</v>
      </c>
      <c r="G40">
        <f>IF(project_prescribed_burning = "Included", SUMIF(Table10[[#All],[year t]], "&lt;="&amp;Table1120[[#This Row],[year t]], Table10[[#All],[GHGWPS-burn,i,t (Eq 81)]]), 0)</f>
        <v>0</v>
      </c>
      <c r="H40">
        <f>Table1120[[#This Row],[GHG(WPS-biomass)]]+Table1120[[#This Row],[GHG(WPS-soil)]]+Table1120[[#This Row],[GHG(WPS-burn)]]+Table1120[[#This Row],[GHG(WPS-fuel)]]</f>
        <v>-2964270.7863362418</v>
      </c>
      <c r="K40" s="18">
        <v>2057</v>
      </c>
      <c r="L40" s="18">
        <v>1</v>
      </c>
      <c r="M40" cm="1">
        <f t="array" ref="M40">IF(project_aboveground_tree = "Included", INDEX(Table32[[#All],[ΔCTREE_PROJ,i,t (AR Tool 14) t C/yr]], MATCH(1, (Table1221[[#This Row],[year t]]=Table32[[#All],[year t]])*(Table1221[[#This Row],[stratum i]]=Table32[[#All],[stratum i]]), 0)), 0)</f>
        <v>6799.7130294071394</v>
      </c>
      <c r="N40" s="57" cm="1">
        <f t="array" ref="N40">IF(project_aboveground_nontree = "Included", INDEX(#REF!, MATCH(1, (Table1221[[#This Row],[year t]]=Table32[[#All],[year t]])*(Table1221[[#This Row],[stratum i]]=Table32[[#All],[stratum i]]), 0)), 0)</f>
        <v>0</v>
      </c>
      <c r="O40">
        <f>12/44*(Table1221[[#This Row],[ΔCTREE_PROJ,t (AR Tool 14) t CO2e/yr]]+Table1221[[#This Row],[ΔCSHRUB_PROJ,t (AR Tool 14) t CO2e/yr]])</f>
        <v>1854.4671898383106</v>
      </c>
      <c r="P40" cm="1">
        <f t="array" ref="P40">IF(project_aboveground_nontree = "Included", IFERROR(INDEX(Table1322[[#All],[ΔCWPS-herb,i,t (Eq 78)]], MATCH(1, (Table1221[[#This Row],[stratum i]]=Table1322[[#All],[stratum i]])*(Table1221[[#This Row],[year t]]&gt;=#REF!)*(Table1221[[#This Row],[year t]]&lt;=Table1322[[#All],[year t]]), 0)), 0), 0)</f>
        <v>0</v>
      </c>
      <c r="Q40">
        <f>Table1221[[#This Row],[ΔCWPS-tree/shrub,i,t (t C/yr) (Eq 75)]]+Table1221[[#This Row],[ΔCWPS-herb,i,t (t C/yr)]]</f>
        <v>1854.4671898383106</v>
      </c>
      <c r="R40" cm="1">
        <f t="array" ref="R40">INDEX(Table1423[[#All],[GHGWPS-soil,i,t]], MATCH(1, (Table1221[[#This Row],[year t]]=Table1423[[#All],[year t]])*(Table1221[[#This Row],[stratum i]]=Table1423[[#All],[stratum i]]), 0))</f>
        <v>-7334.947224967128</v>
      </c>
      <c r="S40">
        <f>IF(project_ff_CO2 = "Included", Table1221[[#This Row],[ET(FC,I,t) AR-Tool 5 WPS]], 0)</f>
        <v>0</v>
      </c>
      <c r="T40" t="e" cm="1">
        <f t="array" ref="T40">INDEX(#REF!, MATCH(1, (Table1221[[#This Row],[year t]]=Table32[[#All],[year t]])*(Table1221[[#This Row],[stratum i]]=Table32[[#All],[stratum i]]), 0))</f>
        <v>#REF!</v>
      </c>
      <c r="AE40" s="18">
        <v>2057</v>
      </c>
      <c r="AF40" s="18">
        <v>1</v>
      </c>
      <c r="AG40" s="18" cm="1">
        <f t="array" ref="AG40">INDEX(Table32[[#All],[Ai,t]], MATCH(1, (Table1423[[#This Row],[year t]]=Table32[[#All],[year t]])*(Table1423[[#This Row],[stratum i]]=Table32[[#All],[stratum i]]), 0))</f>
        <v>1090.4420357142858</v>
      </c>
      <c r="AH40" t="str">
        <f>INDEX(Table31[[#All],[Soil type (t=0)]], MATCH(Table1423[[#This Row],[stratum i]], Table31[[#All],[Stratum i]]))</f>
        <v>Mineral soil</v>
      </c>
      <c r="AI40">
        <f>IF(Emission_reduction_from_stock_loss?, INDEX(Table2[[#All],[End_PDT]], MATCH(Table1423[[#This Row],[stratum i]], Table2[[#All],[stratum i]])), crediting_period)</f>
        <v>40</v>
      </c>
      <c r="AJ40">
        <f>IF(Emission_reduction_from_stock_loss?, INDEX(Table2[[#All],[End_SDT]], MATCH(Table1423[[#This Row],[stratum i]], Table2[[#All],[stratum i]])), crediting_period)</f>
        <v>40</v>
      </c>
      <c r="AK40" cm="1">
        <f t="array" ref="AK4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40" s="30" cm="1">
        <f t="array" ref="AL40">INDEX(Table32[[#All],[%Calloch WPS]], MATCH(1, (Table1423[[#This Row],[year t]]=Table32[[#All],[year t]])*(Table1423[[#This Row],[stratum i]]=Table32[[#All],[stratum i]]), 0))</f>
        <v>23.561573856247001</v>
      </c>
      <c r="AM4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40">
        <f>(Table1423[[#This Row],[GHGWPS-soil-CO2,i,t]]-Table1423[[#This Row],[Deductionalloch WPS (Eq 38)]])*Table1423[[#This Row],[Ai,t]]</f>
        <v>-7334.947224967128</v>
      </c>
      <c r="AO40" cm="1">
        <f t="array" ref="AO40">IF(project_soil_CH4 = "Included", INDEX(Table1830[[#All],[GHGWPS-soil-CH4,i,t (Eq 59)]], MATCH(1, (Table1423[[#This Row],[year t]]=Table1830[[#All],[year t]])*(Table1423[[#This Row],[stratum i]]=Table1830[[#All],[stratum i]]), 0)), 0)</f>
        <v>0</v>
      </c>
      <c r="AP40" cm="1">
        <f t="array" ref="AP40">IF(project_soil_N2O = "Included", INDEX(Table1830[[#All],[GHGWPS-soil-N2O,i,t (Eq 62)]], MATCH(1, (Table1423[[#This Row],[year t]]=Table1830[[#All],[year t]])*(Table1423[[#This Row],[stratum i]]=Table1830[[#All],[stratum i]]), 0)), 0)</f>
        <v>0</v>
      </c>
      <c r="AQ40">
        <f>Table1423[[#This Row],[Ai,t]]*(Table1423[[#This Row],[GHGWPS-soil-CO2,i,t]]-Table1423[[#This Row],[Deductionalloch WPS (Eq 38)]]+Table1423[[#This Row],[GHGWPS-soil-CH4,i,t]]+Table1423[[#This Row],[GHGWPS-soil-N2O,i,t]])</f>
        <v>-7334.947224967128</v>
      </c>
      <c r="AR40" t="e" cm="1">
        <f t="array" ref="AR40">INDEX(#REF!, MATCH(1, (Table1423[[#This Row],[year t]]=Table32[[#All],[year t]])*(Table1423[[#This Row],[stratum i]]=Table32[[#All],[stratum i]]), 0))</f>
        <v>#REF!</v>
      </c>
      <c r="AS40" t="e" cm="1">
        <f t="array" ref="AS40">INDEX(#REF!, MATCH(1, (Table1423[[#This Row],[year t]]=Table32[[#All],[year t]])*(Table1423[[#This Row],[stratum i]]=Table32[[#All],[stratum i]]), 0))</f>
        <v>#REF!</v>
      </c>
      <c r="AT40" t="e" cm="1">
        <f t="array" ref="AT40">INDEX(#REF!, MATCH(1, (Table1423[[#This Row],[year t]]=Table32[[#All],[year t]])*(Table1423[[#This Row],[stratum i]]=Table32[[#All],[stratum i]]), 0))</f>
        <v>#REF!</v>
      </c>
      <c r="AU40" t="e" cm="1">
        <f t="array" ref="AU40">INDEX(#REF!, MATCH(1, (Table1423[[#This Row],[year t]]=Table32[[#All],[year t]])*(Table1423[[#This Row],[stratum i]]=Table32[[#All],[stratum i]]), 0))</f>
        <v>#REF!</v>
      </c>
      <c r="AV40" s="30"/>
      <c r="BB40" s="18">
        <v>2057</v>
      </c>
      <c r="BC40" s="18">
        <v>1</v>
      </c>
      <c r="BD40" cm="1">
        <f t="array" ref="BD40">INDEX(Table32[[#All],[∆CWPS-soil,i,t (tC/ha)]], MATCH(1, (Table1329[[#This Row],[year t]]=Table32[[#All],[year t]])*(Table1329[[#This Row],[stratum i]]=Table32[[#All],[stratum i]]), 0))</f>
        <v>2.4</v>
      </c>
      <c r="BE40">
        <f>-44/12*Table1329[[#This Row],[∆CWPS-soil,i,t (tC/ha)]]</f>
        <v>-8.7999999999999989</v>
      </c>
    </row>
    <row r="41" spans="3:83" x14ac:dyDescent="0.2">
      <c r="C41" s="18">
        <v>2058</v>
      </c>
      <c r="D41">
        <f>-SUMIF( Table1221[[#All],[year t]],  "&lt;="&amp;Table1120[[#This Row],[year t]], Table1221[[#All],[∆𝐶WPS−𝑏𝑖𝑜𝑚𝑎𝑠𝑠,𝑖,t (equation 74)]])*44/12</f>
        <v>-1820161.5222404234</v>
      </c>
      <c r="E41">
        <f>SUMIF(Table1221[[#All],[year t]], "&lt;="&amp;Table1120[[#This Row],[year t]],  Table1221[[#All],[𝐺𝐻𝐺WPS−𝑠𝑜𝑖𝑙,𝑖,t]])</f>
        <v>-1230959.6103541912</v>
      </c>
      <c r="F41">
        <f>SUMIF(Table1221[[#All],[year t]], "&lt;="&amp;Table1120[[#This Row],[year t]], Table1221[[#All],[𝐺𝐻𝐺WPS−𝑓𝑢𝑒𝑙,𝑖,t]])</f>
        <v>0</v>
      </c>
      <c r="G41">
        <f>IF(project_prescribed_burning = "Included", SUMIF(Table10[[#All],[year t]], "&lt;="&amp;Table1120[[#This Row],[year t]], Table10[[#All],[GHGWPS-burn,i,t (Eq 81)]]), 0)</f>
        <v>0</v>
      </c>
      <c r="H41">
        <f>Table1120[[#This Row],[GHG(WPS-biomass)]]+Table1120[[#This Row],[GHG(WPS-soil)]]+Table1120[[#This Row],[GHG(WPS-burn)]]+Table1120[[#This Row],[GHG(WPS-fuel)]]</f>
        <v>-3051121.1325946143</v>
      </c>
      <c r="K41" s="18">
        <v>2058</v>
      </c>
      <c r="L41" s="18">
        <v>1</v>
      </c>
      <c r="M41" cm="1">
        <f t="array" ref="M41">IF(project_aboveground_tree = "Included", INDEX(Table32[[#All],[ΔCTREE_PROJ,i,t (AR Tool 14) t C/yr]], MATCH(1, (Table1221[[#This Row],[year t]]=Table32[[#All],[year t]])*(Table1221[[#This Row],[stratum i]]=Table32[[#All],[stratum i]]), 0)), 0)</f>
        <v>6178.5942425476969</v>
      </c>
      <c r="N41" s="57" cm="1">
        <f t="array" ref="N41">IF(project_aboveground_nontree = "Included", INDEX(#REF!, MATCH(1, (Table1221[[#This Row],[year t]]=Table32[[#All],[year t]])*(Table1221[[#This Row],[stratum i]]=Table32[[#All],[stratum i]]), 0)), 0)</f>
        <v>0</v>
      </c>
      <c r="O41">
        <f>12/44*(Table1221[[#This Row],[ΔCTREE_PROJ,t (AR Tool 14) t CO2e/yr]]+Table1221[[#This Row],[ΔCSHRUB_PROJ,t (AR Tool 14) t CO2e/yr]])</f>
        <v>1685.0711570584626</v>
      </c>
      <c r="P41" cm="1">
        <f t="array" ref="P41">IF(project_aboveground_nontree = "Included", IFERROR(INDEX(Table1322[[#All],[ΔCWPS-herb,i,t (Eq 78)]], MATCH(1, (Table1221[[#This Row],[stratum i]]=Table1322[[#All],[stratum i]])*(Table1221[[#This Row],[year t]]&gt;=#REF!)*(Table1221[[#This Row],[year t]]&lt;=Table1322[[#All],[year t]]), 0)), 0), 0)</f>
        <v>0</v>
      </c>
      <c r="Q41">
        <f>Table1221[[#This Row],[ΔCWPS-tree/shrub,i,t (t C/yr) (Eq 75)]]+Table1221[[#This Row],[ΔCWPS-herb,i,t (t C/yr)]]</f>
        <v>1685.0711570584626</v>
      </c>
      <c r="R41" cm="1">
        <f t="array" ref="R41">INDEX(Table1423[[#All],[GHGWPS-soil,i,t]], MATCH(1, (Table1221[[#This Row],[year t]]=Table1423[[#All],[year t]])*(Table1221[[#This Row],[stratum i]]=Table1423[[#All],[stratum i]]), 0))</f>
        <v>-7334.947224967128</v>
      </c>
      <c r="S41">
        <f>IF(project_ff_CO2 = "Included", Table1221[[#This Row],[ET(FC,I,t) AR-Tool 5 WPS]], 0)</f>
        <v>0</v>
      </c>
      <c r="T41" t="e" cm="1">
        <f t="array" ref="T41">INDEX(#REF!, MATCH(1, (Table1221[[#This Row],[year t]]=Table32[[#All],[year t]])*(Table1221[[#This Row],[stratum i]]=Table32[[#All],[stratum i]]), 0))</f>
        <v>#REF!</v>
      </c>
      <c r="AE41" s="18">
        <v>2058</v>
      </c>
      <c r="AF41" s="18">
        <v>1</v>
      </c>
      <c r="AG41" s="18" cm="1">
        <f t="array" ref="AG41">INDEX(Table32[[#All],[Ai,t]], MATCH(1, (Table1423[[#This Row],[year t]]=Table32[[#All],[year t]])*(Table1423[[#This Row],[stratum i]]=Table32[[#All],[stratum i]]), 0))</f>
        <v>1090.4420357142858</v>
      </c>
      <c r="AH41" t="str">
        <f>INDEX(Table31[[#All],[Soil type (t=0)]], MATCH(Table1423[[#This Row],[stratum i]], Table31[[#All],[Stratum i]]))</f>
        <v>Mineral soil</v>
      </c>
      <c r="AI41">
        <f>IF(Emission_reduction_from_stock_loss?, INDEX(Table2[[#All],[End_PDT]], MATCH(Table1423[[#This Row],[stratum i]], Table2[[#All],[stratum i]])), crediting_period)</f>
        <v>40</v>
      </c>
      <c r="AJ41">
        <f>IF(Emission_reduction_from_stock_loss?, INDEX(Table2[[#All],[End_SDT]], MATCH(Table1423[[#This Row],[stratum i]], Table2[[#All],[stratum i]])), crediting_period)</f>
        <v>40</v>
      </c>
      <c r="AK41" cm="1">
        <f t="array" ref="AK4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41" s="30" cm="1">
        <f t="array" ref="AL41">INDEX(Table32[[#All],[%Calloch WPS]], MATCH(1, (Table1423[[#This Row],[year t]]=Table32[[#All],[year t]])*(Table1423[[#This Row],[stratum i]]=Table32[[#All],[stratum i]]), 0))</f>
        <v>23.561573856247001</v>
      </c>
      <c r="AM4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41">
        <f>(Table1423[[#This Row],[GHGWPS-soil-CO2,i,t]]-Table1423[[#This Row],[Deductionalloch WPS (Eq 38)]])*Table1423[[#This Row],[Ai,t]]</f>
        <v>-7334.947224967128</v>
      </c>
      <c r="AO41" cm="1">
        <f t="array" ref="AO41">IF(project_soil_CH4 = "Included", INDEX(Table1830[[#All],[GHGWPS-soil-CH4,i,t (Eq 59)]], MATCH(1, (Table1423[[#This Row],[year t]]=Table1830[[#All],[year t]])*(Table1423[[#This Row],[stratum i]]=Table1830[[#All],[stratum i]]), 0)), 0)</f>
        <v>0</v>
      </c>
      <c r="AP41" cm="1">
        <f t="array" ref="AP41">IF(project_soil_N2O = "Included", INDEX(Table1830[[#All],[GHGWPS-soil-N2O,i,t (Eq 62)]], MATCH(1, (Table1423[[#This Row],[year t]]=Table1830[[#All],[year t]])*(Table1423[[#This Row],[stratum i]]=Table1830[[#All],[stratum i]]), 0)), 0)</f>
        <v>0</v>
      </c>
      <c r="AQ41">
        <f>Table1423[[#This Row],[Ai,t]]*(Table1423[[#This Row],[GHGWPS-soil-CO2,i,t]]-Table1423[[#This Row],[Deductionalloch WPS (Eq 38)]]+Table1423[[#This Row],[GHGWPS-soil-CH4,i,t]]+Table1423[[#This Row],[GHGWPS-soil-N2O,i,t]])</f>
        <v>-7334.947224967128</v>
      </c>
      <c r="AR41" t="e" cm="1">
        <f t="array" ref="AR41">INDEX(#REF!, MATCH(1, (Table1423[[#This Row],[year t]]=Table32[[#All],[year t]])*(Table1423[[#This Row],[stratum i]]=Table32[[#All],[stratum i]]), 0))</f>
        <v>#REF!</v>
      </c>
      <c r="AS41" t="e" cm="1">
        <f t="array" ref="AS41">INDEX(#REF!, MATCH(1, (Table1423[[#This Row],[year t]]=Table32[[#All],[year t]])*(Table1423[[#This Row],[stratum i]]=Table32[[#All],[stratum i]]), 0))</f>
        <v>#REF!</v>
      </c>
      <c r="AT41" t="e" cm="1">
        <f t="array" ref="AT41">INDEX(#REF!, MATCH(1, (Table1423[[#This Row],[year t]]=Table32[[#All],[year t]])*(Table1423[[#This Row],[stratum i]]=Table32[[#All],[stratum i]]), 0))</f>
        <v>#REF!</v>
      </c>
      <c r="AU41" t="e" cm="1">
        <f t="array" ref="AU41">INDEX(#REF!, MATCH(1, (Table1423[[#This Row],[year t]]=Table32[[#All],[year t]])*(Table1423[[#This Row],[stratum i]]=Table32[[#All],[stratum i]]), 0))</f>
        <v>#REF!</v>
      </c>
      <c r="AV41" s="30"/>
      <c r="BB41" s="18">
        <v>2058</v>
      </c>
      <c r="BC41" s="18">
        <v>1</v>
      </c>
      <c r="BD41" cm="1">
        <f t="array" ref="BD41">INDEX(Table32[[#All],[∆CWPS-soil,i,t (tC/ha)]], MATCH(1, (Table1329[[#This Row],[year t]]=Table32[[#All],[year t]])*(Table1329[[#This Row],[stratum i]]=Table32[[#All],[stratum i]]), 0))</f>
        <v>2.4</v>
      </c>
      <c r="BE41">
        <f>-44/12*Table1329[[#This Row],[∆CWPS-soil,i,t (tC/ha)]]</f>
        <v>-8.7999999999999989</v>
      </c>
    </row>
    <row r="42" spans="3:83" x14ac:dyDescent="0.2">
      <c r="C42" s="18">
        <v>2059</v>
      </c>
      <c r="D42">
        <f>-SUMIF( Table1221[[#All],[year t]],  "&lt;="&amp;Table1120[[#This Row],[year t]], Table1221[[#All],[∆𝐶WPS−𝑏𝑖𝑜𝑚𝑎𝑠𝑠,𝑖,t (equation 74)]])*44/12</f>
        <v>-1859266.3664398056</v>
      </c>
      <c r="E42">
        <f>SUMIF(Table1221[[#All],[year t]], "&lt;="&amp;Table1120[[#This Row],[year t]],  Table1221[[#All],[𝐺𝐻𝐺WPS−𝑠𝑜𝑖𝑙,𝑖,t]])</f>
        <v>-1274844.0197623966</v>
      </c>
      <c r="F42">
        <f>SUMIF(Table1221[[#All],[year t]], "&lt;="&amp;Table1120[[#This Row],[year t]], Table1221[[#All],[𝐺𝐻𝐺WPS−𝑓𝑢𝑒𝑙,𝑖,t]])</f>
        <v>0</v>
      </c>
      <c r="G42">
        <f>IF(project_prescribed_burning = "Included", SUMIF(Table10[[#All],[year t]], "&lt;="&amp;Table1120[[#This Row],[year t]], Table10[[#All],[GHGWPS-burn,i,t (Eq 81)]]), 0)</f>
        <v>0</v>
      </c>
      <c r="H42">
        <f>Table1120[[#This Row],[GHG(WPS-biomass)]]+Table1120[[#This Row],[GHG(WPS-soil)]]+Table1120[[#This Row],[GHG(WPS-burn)]]+Table1120[[#This Row],[GHG(WPS-fuel)]]</f>
        <v>-3134110.3862022022</v>
      </c>
      <c r="K42" s="18">
        <v>2059</v>
      </c>
      <c r="L42" s="18">
        <v>1</v>
      </c>
      <c r="M42" cm="1">
        <f t="array" ref="M42">IF(project_aboveground_tree = "Included", INDEX(Table32[[#All],[ΔCTREE_PROJ,i,t (AR Tool 14) t C/yr]], MATCH(1, (Table1221[[#This Row],[year t]]=Table32[[#All],[year t]])*(Table1221[[#This Row],[stratum i]]=Table32[[#All],[stratum i]]), 0)), 0)</f>
        <v>5602.3403057036339</v>
      </c>
      <c r="N42" s="57" cm="1">
        <f t="array" ref="N42">IF(project_aboveground_nontree = "Included", INDEX(#REF!, MATCH(1, (Table1221[[#This Row],[year t]]=Table32[[#All],[year t]])*(Table1221[[#This Row],[stratum i]]=Table32[[#All],[stratum i]]), 0)), 0)</f>
        <v>0</v>
      </c>
      <c r="O42">
        <f>12/44*(Table1221[[#This Row],[ΔCTREE_PROJ,t (AR Tool 14) t CO2e/yr]]+Table1221[[#This Row],[ΔCSHRUB_PROJ,t (AR Tool 14) t CO2e/yr]])</f>
        <v>1527.9109924646273</v>
      </c>
      <c r="P42" cm="1">
        <f t="array" ref="P42">IF(project_aboveground_nontree = "Included", IFERROR(INDEX(Table1322[[#All],[ΔCWPS-herb,i,t (Eq 78)]], MATCH(1, (Table1221[[#This Row],[stratum i]]=Table1322[[#All],[stratum i]])*(Table1221[[#This Row],[year t]]&gt;=#REF!)*(Table1221[[#This Row],[year t]]&lt;=Table1322[[#All],[year t]]), 0)), 0), 0)</f>
        <v>0</v>
      </c>
      <c r="Q42">
        <f>Table1221[[#This Row],[ΔCWPS-tree/shrub,i,t (t C/yr) (Eq 75)]]+Table1221[[#This Row],[ΔCWPS-herb,i,t (t C/yr)]]</f>
        <v>1527.9109924646273</v>
      </c>
      <c r="R42" cm="1">
        <f t="array" ref="R42">INDEX(Table1423[[#All],[GHGWPS-soil,i,t]], MATCH(1, (Table1221[[#This Row],[year t]]=Table1423[[#All],[year t]])*(Table1221[[#This Row],[stratum i]]=Table1423[[#All],[stratum i]]), 0))</f>
        <v>-7334.947224967128</v>
      </c>
      <c r="S42">
        <f>IF(project_ff_CO2 = "Included", Table1221[[#This Row],[ET(FC,I,t) AR-Tool 5 WPS]], 0)</f>
        <v>0</v>
      </c>
      <c r="T42" t="e" cm="1">
        <f t="array" ref="T42">INDEX(#REF!, MATCH(1, (Table1221[[#This Row],[year t]]=Table32[[#All],[year t]])*(Table1221[[#This Row],[stratum i]]=Table32[[#All],[stratum i]]), 0))</f>
        <v>#REF!</v>
      </c>
      <c r="AE42" s="18">
        <v>2059</v>
      </c>
      <c r="AF42" s="18">
        <v>1</v>
      </c>
      <c r="AG42" s="18" cm="1">
        <f t="array" ref="AG42">INDEX(Table32[[#All],[Ai,t]], MATCH(1, (Table1423[[#This Row],[year t]]=Table32[[#All],[year t]])*(Table1423[[#This Row],[stratum i]]=Table32[[#All],[stratum i]]), 0))</f>
        <v>1090.4420357142858</v>
      </c>
      <c r="AH42" t="str">
        <f>INDEX(Table31[[#All],[Soil type (t=0)]], MATCH(Table1423[[#This Row],[stratum i]], Table31[[#All],[Stratum i]]))</f>
        <v>Mineral soil</v>
      </c>
      <c r="AI42">
        <f>IF(Emission_reduction_from_stock_loss?, INDEX(Table2[[#All],[End_PDT]], MATCH(Table1423[[#This Row],[stratum i]], Table2[[#All],[stratum i]])), crediting_period)</f>
        <v>40</v>
      </c>
      <c r="AJ42">
        <f>IF(Emission_reduction_from_stock_loss?, INDEX(Table2[[#All],[End_SDT]], MATCH(Table1423[[#This Row],[stratum i]], Table2[[#All],[stratum i]])), crediting_period)</f>
        <v>40</v>
      </c>
      <c r="AK42" cm="1">
        <f t="array" ref="AK4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42" s="30" cm="1">
        <f t="array" ref="AL42">INDEX(Table32[[#All],[%Calloch WPS]], MATCH(1, (Table1423[[#This Row],[year t]]=Table32[[#All],[year t]])*(Table1423[[#This Row],[stratum i]]=Table32[[#All],[stratum i]]), 0))</f>
        <v>23.561573856247001</v>
      </c>
      <c r="AM4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42">
        <f>(Table1423[[#This Row],[GHGWPS-soil-CO2,i,t]]-Table1423[[#This Row],[Deductionalloch WPS (Eq 38)]])*Table1423[[#This Row],[Ai,t]]</f>
        <v>-7334.947224967128</v>
      </c>
      <c r="AO42" cm="1">
        <f t="array" ref="AO42">IF(project_soil_CH4 = "Included", INDEX(Table1830[[#All],[GHGWPS-soil-CH4,i,t (Eq 59)]], MATCH(1, (Table1423[[#This Row],[year t]]=Table1830[[#All],[year t]])*(Table1423[[#This Row],[stratum i]]=Table1830[[#All],[stratum i]]), 0)), 0)</f>
        <v>0</v>
      </c>
      <c r="AP42" cm="1">
        <f t="array" ref="AP42">IF(project_soil_N2O = "Included", INDEX(Table1830[[#All],[GHGWPS-soil-N2O,i,t (Eq 62)]], MATCH(1, (Table1423[[#This Row],[year t]]=Table1830[[#All],[year t]])*(Table1423[[#This Row],[stratum i]]=Table1830[[#All],[stratum i]]), 0)), 0)</f>
        <v>0</v>
      </c>
      <c r="AQ42">
        <f>Table1423[[#This Row],[Ai,t]]*(Table1423[[#This Row],[GHGWPS-soil-CO2,i,t]]-Table1423[[#This Row],[Deductionalloch WPS (Eq 38)]]+Table1423[[#This Row],[GHGWPS-soil-CH4,i,t]]+Table1423[[#This Row],[GHGWPS-soil-N2O,i,t]])</f>
        <v>-7334.947224967128</v>
      </c>
      <c r="AR42" t="e" cm="1">
        <f t="array" ref="AR42">INDEX(#REF!, MATCH(1, (Table1423[[#This Row],[year t]]=Table32[[#All],[year t]])*(Table1423[[#This Row],[stratum i]]=Table32[[#All],[stratum i]]), 0))</f>
        <v>#REF!</v>
      </c>
      <c r="AS42" t="e" cm="1">
        <f t="array" ref="AS42">INDEX(#REF!, MATCH(1, (Table1423[[#This Row],[year t]]=Table32[[#All],[year t]])*(Table1423[[#This Row],[stratum i]]=Table32[[#All],[stratum i]]), 0))</f>
        <v>#REF!</v>
      </c>
      <c r="AT42" t="e" cm="1">
        <f t="array" ref="AT42">INDEX(#REF!, MATCH(1, (Table1423[[#This Row],[year t]]=Table32[[#All],[year t]])*(Table1423[[#This Row],[stratum i]]=Table32[[#All],[stratum i]]), 0))</f>
        <v>#REF!</v>
      </c>
      <c r="AU42" t="e" cm="1">
        <f t="array" ref="AU42">INDEX(#REF!, MATCH(1, (Table1423[[#This Row],[year t]]=Table32[[#All],[year t]])*(Table1423[[#This Row],[stratum i]]=Table32[[#All],[stratum i]]), 0))</f>
        <v>#REF!</v>
      </c>
      <c r="AV42" s="30"/>
      <c r="BB42" s="18">
        <v>2059</v>
      </c>
      <c r="BC42" s="18">
        <v>1</v>
      </c>
      <c r="BD42" cm="1">
        <f t="array" ref="BD42">INDEX(Table32[[#All],[∆CWPS-soil,i,t (tC/ha)]], MATCH(1, (Table1329[[#This Row],[year t]]=Table32[[#All],[year t]])*(Table1329[[#This Row],[stratum i]]=Table32[[#All],[stratum i]]), 0))</f>
        <v>2.4</v>
      </c>
      <c r="BE42">
        <f>-44/12*Table1329[[#This Row],[∆CWPS-soil,i,t (tC/ha)]]</f>
        <v>-8.7999999999999989</v>
      </c>
    </row>
    <row r="43" spans="3:83" x14ac:dyDescent="0.2">
      <c r="C43" s="18">
        <v>2060</v>
      </c>
      <c r="D43">
        <f>-SUMIF( Table1221[[#All],[year t]],  "&lt;="&amp;Table1120[[#This Row],[year t]], Table1221[[#All],[∆𝐶WPS−𝑏𝑖𝑜𝑚𝑎𝑠𝑠,𝑖,t (equation 74)]])*44/12</f>
        <v>-1894775.5150121872</v>
      </c>
      <c r="E43">
        <f>SUMIF(Table1221[[#All],[year t]], "&lt;="&amp;Table1120[[#This Row],[year t]],  Table1221[[#All],[𝐺𝐻𝐺WPS−𝑠𝑜𝑖𝑙,𝑖,t]])</f>
        <v>-1318728.429170602</v>
      </c>
      <c r="F43">
        <f>SUMIF(Table1221[[#All],[year t]], "&lt;="&amp;Table1120[[#This Row],[year t]], Table1221[[#All],[𝐺𝐻𝐺WPS−𝑓𝑢𝑒𝑙,𝑖,t]])</f>
        <v>0</v>
      </c>
      <c r="G43">
        <f>IF(project_prescribed_burning = "Included", SUMIF(Table10[[#All],[year t]], "&lt;="&amp;Table1120[[#This Row],[year t]], Table10[[#All],[GHGWPS-burn,i,t (Eq 81)]]), 0)</f>
        <v>0</v>
      </c>
      <c r="H43">
        <f>Table1120[[#This Row],[GHG(WPS-biomass)]]+Table1120[[#This Row],[GHG(WPS-soil)]]+Table1120[[#This Row],[GHG(WPS-burn)]]+Table1120[[#This Row],[GHG(WPS-fuel)]]</f>
        <v>-3213503.944182789</v>
      </c>
      <c r="K43" s="18">
        <v>2060</v>
      </c>
      <c r="L43" s="18">
        <v>1</v>
      </c>
      <c r="M43" cm="1">
        <f t="array" ref="M43">IF(project_aboveground_tree = "Included", INDEX(Table32[[#All],[ΔCTREE_PROJ,i,t (AR Tool 14) t C/yr]], MATCH(1, (Table1221[[#This Row],[year t]]=Table32[[#All],[year t]])*(Table1221[[#This Row],[stratum i]]=Table32[[#All],[stratum i]]), 0)), 0)</f>
        <v>5070.2873824436683</v>
      </c>
      <c r="N43" s="57" cm="1">
        <f t="array" ref="N43">IF(project_aboveground_nontree = "Included", INDEX(#REF!, MATCH(1, (Table1221[[#This Row],[year t]]=Table32[[#All],[year t]])*(Table1221[[#This Row],[stratum i]]=Table32[[#All],[stratum i]]), 0)), 0)</f>
        <v>0</v>
      </c>
      <c r="O43">
        <f>12/44*(Table1221[[#This Row],[ΔCTREE_PROJ,t (AR Tool 14) t CO2e/yr]]+Table1221[[#This Row],[ΔCSHRUB_PROJ,t (AR Tool 14) t CO2e/yr]])</f>
        <v>1382.8056497573639</v>
      </c>
      <c r="P43" cm="1">
        <f t="array" ref="P43">IF(project_aboveground_nontree = "Included", IFERROR(INDEX(Table1322[[#All],[ΔCWPS-herb,i,t (Eq 78)]], MATCH(1, (Table1221[[#This Row],[stratum i]]=Table1322[[#All],[stratum i]])*(Table1221[[#This Row],[year t]]&gt;=#REF!)*(Table1221[[#This Row],[year t]]&lt;=Table1322[[#All],[year t]]), 0)), 0), 0)</f>
        <v>0</v>
      </c>
      <c r="Q43">
        <f>Table1221[[#This Row],[ΔCWPS-tree/shrub,i,t (t C/yr) (Eq 75)]]+Table1221[[#This Row],[ΔCWPS-herb,i,t (t C/yr)]]</f>
        <v>1382.8056497573639</v>
      </c>
      <c r="R43" cm="1">
        <f t="array" ref="R43">INDEX(Table1423[[#All],[GHGWPS-soil,i,t]], MATCH(1, (Table1221[[#This Row],[year t]]=Table1423[[#All],[year t]])*(Table1221[[#This Row],[stratum i]]=Table1423[[#All],[stratum i]]), 0))</f>
        <v>-7334.947224967128</v>
      </c>
      <c r="S43">
        <f>IF(project_ff_CO2 = "Included", Table1221[[#This Row],[ET(FC,I,t) AR-Tool 5 WPS]], 0)</f>
        <v>0</v>
      </c>
      <c r="T43" t="e" cm="1">
        <f t="array" ref="T43">INDEX(#REF!, MATCH(1, (Table1221[[#This Row],[year t]]=Table32[[#All],[year t]])*(Table1221[[#This Row],[stratum i]]=Table32[[#All],[stratum i]]), 0))</f>
        <v>#REF!</v>
      </c>
      <c r="AE43" s="18">
        <v>2060</v>
      </c>
      <c r="AF43" s="18">
        <v>1</v>
      </c>
      <c r="AG43" s="18" cm="1">
        <f t="array" ref="AG43">INDEX(Table32[[#All],[Ai,t]], MATCH(1, (Table1423[[#This Row],[year t]]=Table32[[#All],[year t]])*(Table1423[[#This Row],[stratum i]]=Table32[[#All],[stratum i]]), 0))</f>
        <v>1090.4420357142858</v>
      </c>
      <c r="AH43" t="str">
        <f>INDEX(Table31[[#All],[Soil type (t=0)]], MATCH(Table1423[[#This Row],[stratum i]], Table31[[#All],[Stratum i]]))</f>
        <v>Mineral soil</v>
      </c>
      <c r="AI43">
        <f>IF(Emission_reduction_from_stock_loss?, INDEX(Table2[[#All],[End_PDT]], MATCH(Table1423[[#This Row],[stratum i]], Table2[[#All],[stratum i]])), crediting_period)</f>
        <v>40</v>
      </c>
      <c r="AJ43">
        <f>IF(Emission_reduction_from_stock_loss?, INDEX(Table2[[#All],[End_SDT]], MATCH(Table1423[[#This Row],[stratum i]], Table2[[#All],[stratum i]])), crediting_period)</f>
        <v>40</v>
      </c>
      <c r="AK43" cm="1">
        <f t="array" ref="AK4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43" s="30" cm="1">
        <f t="array" ref="AL43">INDEX(Table32[[#All],[%Calloch WPS]], MATCH(1, (Table1423[[#This Row],[year t]]=Table32[[#All],[year t]])*(Table1423[[#This Row],[stratum i]]=Table32[[#All],[stratum i]]), 0))</f>
        <v>23.561573856247001</v>
      </c>
      <c r="AM4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43">
        <f>(Table1423[[#This Row],[GHGWPS-soil-CO2,i,t]]-Table1423[[#This Row],[Deductionalloch WPS (Eq 38)]])*Table1423[[#This Row],[Ai,t]]</f>
        <v>-7334.947224967128</v>
      </c>
      <c r="AO43" cm="1">
        <f t="array" ref="AO43">IF(project_soil_CH4 = "Included", INDEX(Table1830[[#All],[GHGWPS-soil-CH4,i,t (Eq 59)]], MATCH(1, (Table1423[[#This Row],[year t]]=Table1830[[#All],[year t]])*(Table1423[[#This Row],[stratum i]]=Table1830[[#All],[stratum i]]), 0)), 0)</f>
        <v>0</v>
      </c>
      <c r="AP43" cm="1">
        <f t="array" ref="AP43">IF(project_soil_N2O = "Included", INDEX(Table1830[[#All],[GHGWPS-soil-N2O,i,t (Eq 62)]], MATCH(1, (Table1423[[#This Row],[year t]]=Table1830[[#All],[year t]])*(Table1423[[#This Row],[stratum i]]=Table1830[[#All],[stratum i]]), 0)), 0)</f>
        <v>0</v>
      </c>
      <c r="AQ43">
        <f>Table1423[[#This Row],[Ai,t]]*(Table1423[[#This Row],[GHGWPS-soil-CO2,i,t]]-Table1423[[#This Row],[Deductionalloch WPS (Eq 38)]]+Table1423[[#This Row],[GHGWPS-soil-CH4,i,t]]+Table1423[[#This Row],[GHGWPS-soil-N2O,i,t]])</f>
        <v>-7334.947224967128</v>
      </c>
      <c r="AR43" t="e" cm="1">
        <f t="array" ref="AR43">INDEX(#REF!, MATCH(1, (Table1423[[#This Row],[year t]]=Table32[[#All],[year t]])*(Table1423[[#This Row],[stratum i]]=Table32[[#All],[stratum i]]), 0))</f>
        <v>#REF!</v>
      </c>
      <c r="AS43" t="e" cm="1">
        <f t="array" ref="AS43">INDEX(#REF!, MATCH(1, (Table1423[[#This Row],[year t]]=Table32[[#All],[year t]])*(Table1423[[#This Row],[stratum i]]=Table32[[#All],[stratum i]]), 0))</f>
        <v>#REF!</v>
      </c>
      <c r="AT43" t="e" cm="1">
        <f t="array" ref="AT43">INDEX(#REF!, MATCH(1, (Table1423[[#This Row],[year t]]=Table32[[#All],[year t]])*(Table1423[[#This Row],[stratum i]]=Table32[[#All],[stratum i]]), 0))</f>
        <v>#REF!</v>
      </c>
      <c r="AU43" t="e" cm="1">
        <f t="array" ref="AU43">INDEX(#REF!, MATCH(1, (Table1423[[#This Row],[year t]]=Table32[[#All],[year t]])*(Table1423[[#This Row],[stratum i]]=Table32[[#All],[stratum i]]), 0))</f>
        <v>#REF!</v>
      </c>
      <c r="AV43" s="30"/>
      <c r="BB43" s="18">
        <v>2060</v>
      </c>
      <c r="BC43" s="18">
        <v>1</v>
      </c>
      <c r="BD43" cm="1">
        <f t="array" ref="BD43">INDEX(Table32[[#All],[∆CWPS-soil,i,t (tC/ha)]], MATCH(1, (Table1329[[#This Row],[year t]]=Table32[[#All],[year t]])*(Table1329[[#This Row],[stratum i]]=Table32[[#All],[stratum i]]), 0))</f>
        <v>2.4</v>
      </c>
      <c r="BE43">
        <f>-44/12*Table1329[[#This Row],[∆CWPS-soil,i,t (tC/ha)]]</f>
        <v>-8.7999999999999989</v>
      </c>
    </row>
    <row r="44" spans="3:83" x14ac:dyDescent="0.2">
      <c r="C44" s="18">
        <v>2061</v>
      </c>
      <c r="D44">
        <f>-SUMIF( Table1221[[#All],[year t]],  "&lt;="&amp;Table1120[[#This Row],[year t]], Table1221[[#All],[∆𝐶WPS−𝑏𝑖𝑜𝑚𝑎𝑠𝑠,𝑖,t (equation 74)]])*44/12</f>
        <v>-1926953.9138555515</v>
      </c>
      <c r="E44">
        <f>SUMIF(Table1221[[#All],[year t]], "&lt;="&amp;Table1120[[#This Row],[year t]],  Table1221[[#All],[𝐺𝐻𝐺WPS−𝑠𝑜𝑖𝑙,𝑖,t]])</f>
        <v>-1362612.8385788077</v>
      </c>
      <c r="F44">
        <f>SUMIF(Table1221[[#All],[year t]], "&lt;="&amp;Table1120[[#This Row],[year t]], Table1221[[#All],[𝐺𝐻𝐺WPS−𝑓𝑢𝑒𝑙,𝑖,t]])</f>
        <v>0</v>
      </c>
      <c r="G44">
        <f>IF(project_prescribed_burning = "Included", SUMIF(Table10[[#All],[year t]], "&lt;="&amp;Table1120[[#This Row],[year t]], Table10[[#All],[GHGWPS-burn,i,t (Eq 81)]]), 0)</f>
        <v>0</v>
      </c>
      <c r="H44">
        <f>Table1120[[#This Row],[GHG(WPS-biomass)]]+Table1120[[#This Row],[GHG(WPS-soil)]]+Table1120[[#This Row],[GHG(WPS-burn)]]+Table1120[[#This Row],[GHG(WPS-fuel)]]</f>
        <v>-3289566.7524343589</v>
      </c>
      <c r="K44" s="18">
        <v>2061</v>
      </c>
      <c r="L44" s="18">
        <v>1</v>
      </c>
      <c r="M44" cm="1">
        <f t="array" ref="M44">IF(project_aboveground_tree = "Included", INDEX(Table32[[#All],[ΔCTREE_PROJ,i,t (AR Tool 14) t C/yr]], MATCH(1, (Table1221[[#This Row],[year t]]=Table32[[#All],[year t]])*(Table1221[[#This Row],[stratum i]]=Table32[[#All],[stratum i]]), 0)), 0)</f>
        <v>4581.1002932571573</v>
      </c>
      <c r="N44" s="57" cm="1">
        <f t="array" ref="N44">IF(project_aboveground_nontree = "Included", INDEX(#REF!, MATCH(1, (Table1221[[#This Row],[year t]]=Table32[[#All],[year t]])*(Table1221[[#This Row],[stratum i]]=Table32[[#All],[stratum i]]), 0)), 0)</f>
        <v>0</v>
      </c>
      <c r="O44">
        <f>12/44*(Table1221[[#This Row],[ΔCTREE_PROJ,t (AR Tool 14) t CO2e/yr]]+Table1221[[#This Row],[ΔCSHRUB_PROJ,t (AR Tool 14) t CO2e/yr]])</f>
        <v>1249.3909890701336</v>
      </c>
      <c r="P44" cm="1">
        <f t="array" ref="P44">IF(project_aboveground_nontree = "Included", IFERROR(INDEX(Table1322[[#All],[ΔCWPS-herb,i,t (Eq 78)]], MATCH(1, (Table1221[[#This Row],[stratum i]]=Table1322[[#All],[stratum i]])*(Table1221[[#This Row],[year t]]&gt;=#REF!)*(Table1221[[#This Row],[year t]]&lt;=Table1322[[#All],[year t]]), 0)), 0), 0)</f>
        <v>0</v>
      </c>
      <c r="Q44">
        <f>Table1221[[#This Row],[ΔCWPS-tree/shrub,i,t (t C/yr) (Eq 75)]]+Table1221[[#This Row],[ΔCWPS-herb,i,t (t C/yr)]]</f>
        <v>1249.3909890701336</v>
      </c>
      <c r="R44" cm="1">
        <f t="array" ref="R44">INDEX(Table1423[[#All],[GHGWPS-soil,i,t]], MATCH(1, (Table1221[[#This Row],[year t]]=Table1423[[#All],[year t]])*(Table1221[[#This Row],[stratum i]]=Table1423[[#All],[stratum i]]), 0))</f>
        <v>-7334.947224967128</v>
      </c>
      <c r="S44">
        <f>IF(project_ff_CO2 = "Included", Table1221[[#This Row],[ET(FC,I,t) AR-Tool 5 WPS]], 0)</f>
        <v>0</v>
      </c>
      <c r="T44" t="e" cm="1">
        <f t="array" ref="T44">INDEX(#REF!, MATCH(1, (Table1221[[#This Row],[year t]]=Table32[[#All],[year t]])*(Table1221[[#This Row],[stratum i]]=Table32[[#All],[stratum i]]), 0))</f>
        <v>#REF!</v>
      </c>
      <c r="AE44" s="18">
        <v>2061</v>
      </c>
      <c r="AF44" s="18">
        <v>1</v>
      </c>
      <c r="AG44" s="18" cm="1">
        <f t="array" ref="AG44">INDEX(Table32[[#All],[Ai,t]], MATCH(1, (Table1423[[#This Row],[year t]]=Table32[[#All],[year t]])*(Table1423[[#This Row],[stratum i]]=Table32[[#All],[stratum i]]), 0))</f>
        <v>1090.4420357142858</v>
      </c>
      <c r="AH44" t="str">
        <f>INDEX(Table31[[#All],[Soil type (t=0)]], MATCH(Table1423[[#This Row],[stratum i]], Table31[[#All],[Stratum i]]))</f>
        <v>Mineral soil</v>
      </c>
      <c r="AI44">
        <f>IF(Emission_reduction_from_stock_loss?, INDEX(Table2[[#All],[End_PDT]], MATCH(Table1423[[#This Row],[stratum i]], Table2[[#All],[stratum i]])), crediting_period)</f>
        <v>40</v>
      </c>
      <c r="AJ44">
        <f>IF(Emission_reduction_from_stock_loss?, INDEX(Table2[[#All],[End_SDT]], MATCH(Table1423[[#This Row],[stratum i]], Table2[[#All],[stratum i]])), crediting_period)</f>
        <v>40</v>
      </c>
      <c r="AK44" cm="1">
        <f t="array" ref="AK4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44" s="30" cm="1">
        <f t="array" ref="AL44">INDEX(Table32[[#All],[%Calloch WPS]], MATCH(1, (Table1423[[#This Row],[year t]]=Table32[[#All],[year t]])*(Table1423[[#This Row],[stratum i]]=Table32[[#All],[stratum i]]), 0))</f>
        <v>23.561573856247001</v>
      </c>
      <c r="AM4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44">
        <f>(Table1423[[#This Row],[GHGWPS-soil-CO2,i,t]]-Table1423[[#This Row],[Deductionalloch WPS (Eq 38)]])*Table1423[[#This Row],[Ai,t]]</f>
        <v>-7334.947224967128</v>
      </c>
      <c r="AO44" cm="1">
        <f t="array" ref="AO44">IF(project_soil_CH4 = "Included", INDEX(Table1830[[#All],[GHGWPS-soil-CH4,i,t (Eq 59)]], MATCH(1, (Table1423[[#This Row],[year t]]=Table1830[[#All],[year t]])*(Table1423[[#This Row],[stratum i]]=Table1830[[#All],[stratum i]]), 0)), 0)</f>
        <v>0</v>
      </c>
      <c r="AP44" cm="1">
        <f t="array" ref="AP44">IF(project_soil_N2O = "Included", INDEX(Table1830[[#All],[GHGWPS-soil-N2O,i,t (Eq 62)]], MATCH(1, (Table1423[[#This Row],[year t]]=Table1830[[#All],[year t]])*(Table1423[[#This Row],[stratum i]]=Table1830[[#All],[stratum i]]), 0)), 0)</f>
        <v>0</v>
      </c>
      <c r="AQ44">
        <f>Table1423[[#This Row],[Ai,t]]*(Table1423[[#This Row],[GHGWPS-soil-CO2,i,t]]-Table1423[[#This Row],[Deductionalloch WPS (Eq 38)]]+Table1423[[#This Row],[GHGWPS-soil-CH4,i,t]]+Table1423[[#This Row],[GHGWPS-soil-N2O,i,t]])</f>
        <v>-7334.947224967128</v>
      </c>
      <c r="AR44" t="e" cm="1">
        <f t="array" ref="AR44">INDEX(#REF!, MATCH(1, (Table1423[[#This Row],[year t]]=Table32[[#All],[year t]])*(Table1423[[#This Row],[stratum i]]=Table32[[#All],[stratum i]]), 0))</f>
        <v>#REF!</v>
      </c>
      <c r="AS44" t="e" cm="1">
        <f t="array" ref="AS44">INDEX(#REF!, MATCH(1, (Table1423[[#This Row],[year t]]=Table32[[#All],[year t]])*(Table1423[[#This Row],[stratum i]]=Table32[[#All],[stratum i]]), 0))</f>
        <v>#REF!</v>
      </c>
      <c r="AT44" t="e" cm="1">
        <f t="array" ref="AT44">INDEX(#REF!, MATCH(1, (Table1423[[#This Row],[year t]]=Table32[[#All],[year t]])*(Table1423[[#This Row],[stratum i]]=Table32[[#All],[stratum i]]), 0))</f>
        <v>#REF!</v>
      </c>
      <c r="AU44" t="e" cm="1">
        <f t="array" ref="AU44">INDEX(#REF!, MATCH(1, (Table1423[[#This Row],[year t]]=Table32[[#All],[year t]])*(Table1423[[#This Row],[stratum i]]=Table32[[#All],[stratum i]]), 0))</f>
        <v>#REF!</v>
      </c>
      <c r="AV44" s="30"/>
      <c r="BB44" s="18">
        <v>2061</v>
      </c>
      <c r="BC44" s="18">
        <v>1</v>
      </c>
      <c r="BD44" cm="1">
        <f t="array" ref="BD44">INDEX(Table32[[#All],[∆CWPS-soil,i,t (tC/ha)]], MATCH(1, (Table1329[[#This Row],[year t]]=Table32[[#All],[year t]])*(Table1329[[#This Row],[stratum i]]=Table32[[#All],[stratum i]]), 0))</f>
        <v>2.4</v>
      </c>
      <c r="BE44">
        <f>-44/12*Table1329[[#This Row],[∆CWPS-soil,i,t (tC/ha)]]</f>
        <v>-8.7999999999999989</v>
      </c>
    </row>
    <row r="45" spans="3:83" x14ac:dyDescent="0.2">
      <c r="K45" s="18">
        <v>2023</v>
      </c>
      <c r="L45">
        <v>2</v>
      </c>
      <c r="M45" cm="1">
        <f t="array" ref="M45">IF(project_aboveground_tree = "Included", INDEX(Table32[[#All],[ΔCTREE_PROJ,i,t (AR Tool 14) t C/yr]], MATCH(1, (Table1221[[#This Row],[year t]]=Table32[[#All],[year t]])*(Table1221[[#This Row],[stratum i]]=Table32[[#All],[stratum i]]), 0)), 0)</f>
        <v>8.5389229244251794E-6</v>
      </c>
      <c r="N45" s="57" cm="1">
        <f t="array" ref="N45">IF(project_aboveground_nontree = "Included", INDEX(#REF!, MATCH(1, (Table1221[[#This Row],[year t]]=Table32[[#All],[year t]])*(Table1221[[#This Row],[stratum i]]=Table32[[#All],[stratum i]]), 0)), 0)</f>
        <v>0</v>
      </c>
      <c r="O45">
        <f>12/44*(Table1221[[#This Row],[ΔCTREE_PROJ,t (AR Tool 14) t CO2e/yr]]+Table1221[[#This Row],[ΔCSHRUB_PROJ,t (AR Tool 14) t CO2e/yr]])</f>
        <v>2.3287971612068669E-6</v>
      </c>
      <c r="P45" cm="1">
        <f t="array" ref="P45">IF(project_aboveground_nontree = "Included", IFERROR(INDEX(Table1322[[#All],[ΔCWPS-herb,i,t (Eq 78)]], MATCH(1, (Table1221[[#This Row],[stratum i]]=Table1322[[#All],[stratum i]])*(Table1221[[#This Row],[year t]]&gt;=#REF!)*(Table1221[[#This Row],[year t]]&lt;=Table1322[[#All],[year t]]), 0)), 0), 0)</f>
        <v>0</v>
      </c>
      <c r="Q45">
        <f>Table1221[[#This Row],[ΔCWPS-tree/shrub,i,t (t C/yr) (Eq 75)]]+Table1221[[#This Row],[ΔCWPS-herb,i,t (t C/yr)]]</f>
        <v>2.3287971612068669E-6</v>
      </c>
      <c r="R45" cm="1">
        <f t="array" ref="R45">INDEX(Table1423[[#All],[GHGWPS-soil,i,t]], MATCH(1, (Table1221[[#This Row],[year t]]=Table1423[[#All],[year t]])*(Table1221[[#This Row],[stratum i]]=Table1423[[#All],[stratum i]]), 0))</f>
        <v>0</v>
      </c>
      <c r="S45">
        <f>IF(project_ff_CO2 = "Included", Table1221[[#This Row],[ET(FC,I,t) AR-Tool 5 WPS]], 0)</f>
        <v>0</v>
      </c>
      <c r="T45" t="e" cm="1">
        <f t="array" ref="T45">INDEX(#REF!, MATCH(1, (Table1221[[#This Row],[year t]]=Table32[[#All],[year t]])*(Table1221[[#This Row],[stratum i]]=Table32[[#All],[stratum i]]), 0))</f>
        <v>#REF!</v>
      </c>
      <c r="AE45" s="18">
        <v>2023</v>
      </c>
      <c r="AF45">
        <v>2</v>
      </c>
      <c r="AG45" s="18" cm="1">
        <f t="array" ref="AG45">INDEX(Table32[[#All],[Ai,t]], MATCH(1, (Table1423[[#This Row],[year t]]=Table32[[#All],[year t]])*(Table1423[[#This Row],[stratum i]]=Table32[[#All],[stratum i]]), 0))</f>
        <v>1982.9786785714284</v>
      </c>
      <c r="AH45" t="str">
        <f>INDEX(Table31[[#All],[Soil type (t=0)]], MATCH(Table1423[[#This Row],[stratum i]], Table31[[#All],[Stratum i]]))</f>
        <v>Mineral soil</v>
      </c>
      <c r="AI45">
        <f>IF(Emission_reduction_from_stock_loss?, INDEX(Table2[[#All],[End_PDT]], MATCH(Table1423[[#This Row],[stratum i]], Table2[[#All],[stratum i]])), crediting_period)</f>
        <v>40</v>
      </c>
      <c r="AJ45">
        <f>IF(Emission_reduction_from_stock_loss?, INDEX(Table2[[#All],[End_SDT]], MATCH(Table1423[[#This Row],[stratum i]], Table2[[#All],[stratum i]])), crediting_period)</f>
        <v>40</v>
      </c>
      <c r="AK45" cm="1">
        <f t="array" ref="AK4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45" s="30" cm="1">
        <f t="array" ref="AL45">INDEX(Table32[[#All],[%Calloch WPS]], MATCH(1, (Table1423[[#This Row],[year t]]=Table32[[#All],[year t]])*(Table1423[[#This Row],[stratum i]]=Table32[[#All],[stratum i]]), 0))</f>
        <v>23.561573856247001</v>
      </c>
      <c r="AM45">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45">
        <f>(Table1423[[#This Row],[GHGWPS-soil-CO2,i,t]]-Table1423[[#This Row],[Deductionalloch WPS (Eq 38)]])*Table1423[[#This Row],[Ai,t]]</f>
        <v>0</v>
      </c>
      <c r="AO45" cm="1">
        <f t="array" ref="AO45">IF(project_soil_CH4 = "Included", INDEX(Table1830[[#All],[GHGWPS-soil-CH4,i,t (Eq 59)]], MATCH(1, (Table1423[[#This Row],[year t]]=Table1830[[#All],[year t]])*(Table1423[[#This Row],[stratum i]]=Table1830[[#All],[stratum i]]), 0)), 0)</f>
        <v>0</v>
      </c>
      <c r="AP45" cm="1">
        <f t="array" ref="AP45">IF(project_soil_N2O = "Included", INDEX(Table1830[[#All],[GHGWPS-soil-N2O,i,t (Eq 62)]], MATCH(1, (Table1423[[#This Row],[year t]]=Table1830[[#All],[year t]])*(Table1423[[#This Row],[stratum i]]=Table1830[[#All],[stratum i]]), 0)), 0)</f>
        <v>0</v>
      </c>
      <c r="AQ45">
        <f>Table1423[[#This Row],[Ai,t]]*(Table1423[[#This Row],[GHGWPS-soil-CO2,i,t]]-Table1423[[#This Row],[Deductionalloch WPS (Eq 38)]]+Table1423[[#This Row],[GHGWPS-soil-CH4,i,t]]+Table1423[[#This Row],[GHGWPS-soil-N2O,i,t]])</f>
        <v>0</v>
      </c>
      <c r="AR45" t="e" cm="1">
        <f t="array" ref="AR45">INDEX(#REF!, MATCH(1, (Table1423[[#This Row],[year t]]=Table32[[#All],[year t]])*(Table1423[[#This Row],[stratum i]]=Table32[[#All],[stratum i]]), 0))</f>
        <v>#REF!</v>
      </c>
      <c r="AS45" t="e" cm="1">
        <f t="array" ref="AS45">INDEX(#REF!, MATCH(1, (Table1423[[#This Row],[year t]]=Table32[[#All],[year t]])*(Table1423[[#This Row],[stratum i]]=Table32[[#All],[stratum i]]), 0))</f>
        <v>#REF!</v>
      </c>
      <c r="AT45" t="e" cm="1">
        <f t="array" ref="AT45">INDEX(#REF!, MATCH(1, (Table1423[[#This Row],[year t]]=Table32[[#All],[year t]])*(Table1423[[#This Row],[stratum i]]=Table32[[#All],[stratum i]]), 0))</f>
        <v>#REF!</v>
      </c>
      <c r="AU45" t="e" cm="1">
        <f t="array" ref="AU45">INDEX(#REF!, MATCH(1, (Table1423[[#This Row],[year t]]=Table32[[#All],[year t]])*(Table1423[[#This Row],[stratum i]]=Table32[[#All],[stratum i]]), 0))</f>
        <v>#REF!</v>
      </c>
      <c r="AV45" s="30"/>
      <c r="BB45" s="18">
        <v>2023</v>
      </c>
      <c r="BC45">
        <v>2</v>
      </c>
      <c r="BD45" cm="1">
        <f t="array" ref="BD45">INDEX(Table32[[#All],[∆CWPS-soil,i,t (tC/ha)]], MATCH(1, (Table1329[[#This Row],[year t]]=Table32[[#All],[year t]])*(Table1329[[#This Row],[stratum i]]=Table32[[#All],[stratum i]]), 0))</f>
        <v>0</v>
      </c>
      <c r="BE45">
        <f>-44/12*Table1329[[#This Row],[∆CWPS-soil,i,t (tC/ha)]]</f>
        <v>0</v>
      </c>
    </row>
    <row r="46" spans="3:83" x14ac:dyDescent="0.2">
      <c r="K46" s="18">
        <v>2024</v>
      </c>
      <c r="L46">
        <v>2</v>
      </c>
      <c r="M46" cm="1">
        <f t="array" ref="M46">IF(project_aboveground_tree = "Included", INDEX(Table32[[#All],[ΔCTREE_PROJ,i,t (AR Tool 14) t C/yr]], MATCH(1, (Table1221[[#This Row],[year t]]=Table32[[#All],[year t]])*(Table1221[[#This Row],[stratum i]]=Table32[[#All],[stratum i]]), 0)), 0)</f>
        <v>1.1463404993429646E-2</v>
      </c>
      <c r="N46" s="57" cm="1">
        <f t="array" ref="N46">IF(project_aboveground_nontree = "Included", INDEX(#REF!, MATCH(1, (Table1221[[#This Row],[year t]]=Table32[[#All],[year t]])*(Table1221[[#This Row],[stratum i]]=Table32[[#All],[stratum i]]), 0)), 0)</f>
        <v>0</v>
      </c>
      <c r="O46">
        <f>12/44*(Table1221[[#This Row],[ΔCTREE_PROJ,t (AR Tool 14) t CO2e/yr]]+Table1221[[#This Row],[ΔCSHRUB_PROJ,t (AR Tool 14) t CO2e/yr]])</f>
        <v>3.1263831800262668E-3</v>
      </c>
      <c r="P46" cm="1">
        <f t="array" ref="P46">IF(project_aboveground_nontree = "Included", IFERROR(INDEX(Table1322[[#All],[ΔCWPS-herb,i,t (Eq 78)]], MATCH(1, (Table1221[[#This Row],[stratum i]]=Table1322[[#All],[stratum i]])*(Table1221[[#This Row],[year t]]&gt;=#REF!)*(Table1221[[#This Row],[year t]]&lt;=Table1322[[#All],[year t]]), 0)), 0), 0)</f>
        <v>0</v>
      </c>
      <c r="Q46">
        <f>Table1221[[#This Row],[ΔCWPS-tree/shrub,i,t (t C/yr) (Eq 75)]]+Table1221[[#This Row],[ΔCWPS-herb,i,t (t C/yr)]]</f>
        <v>3.1263831800262668E-3</v>
      </c>
      <c r="R46" cm="1">
        <f t="array" ref="R46">INDEX(Table1423[[#All],[GHGWPS-soil,i,t]], MATCH(1, (Table1221[[#This Row],[year t]]=Table1423[[#All],[year t]])*(Table1221[[#This Row],[stratum i]]=Table1423[[#All],[stratum i]]), 0))</f>
        <v>0</v>
      </c>
      <c r="S46">
        <f>IF(project_ff_CO2 = "Included", Table1221[[#This Row],[ET(FC,I,t) AR-Tool 5 WPS]], 0)</f>
        <v>0</v>
      </c>
      <c r="T46" t="e" cm="1">
        <f t="array" ref="T46">INDEX(#REF!, MATCH(1, (Table1221[[#This Row],[year t]]=Table32[[#All],[year t]])*(Table1221[[#This Row],[stratum i]]=Table32[[#All],[stratum i]]), 0))</f>
        <v>#REF!</v>
      </c>
      <c r="AE46" s="18">
        <v>2024</v>
      </c>
      <c r="AF46">
        <v>2</v>
      </c>
      <c r="AG46" s="18" cm="1">
        <f t="array" ref="AG46">INDEX(Table32[[#All],[Ai,t]], MATCH(1, (Table1423[[#This Row],[year t]]=Table32[[#All],[year t]])*(Table1423[[#This Row],[stratum i]]=Table32[[#All],[stratum i]]), 0))</f>
        <v>1982.9786785714284</v>
      </c>
      <c r="AH46" t="str">
        <f>INDEX(Table31[[#All],[Soil type (t=0)]], MATCH(Table1423[[#This Row],[stratum i]], Table31[[#All],[Stratum i]]))</f>
        <v>Mineral soil</v>
      </c>
      <c r="AI46">
        <f>IF(Emission_reduction_from_stock_loss?, INDEX(Table2[[#All],[End_PDT]], MATCH(Table1423[[#This Row],[stratum i]], Table2[[#All],[stratum i]])), crediting_period)</f>
        <v>40</v>
      </c>
      <c r="AJ46">
        <f>IF(Emission_reduction_from_stock_loss?, INDEX(Table2[[#All],[End_SDT]], MATCH(Table1423[[#This Row],[stratum i]], Table2[[#All],[stratum i]])), crediting_period)</f>
        <v>40</v>
      </c>
      <c r="AK46" cm="1">
        <f t="array" ref="AK4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46" s="30" cm="1">
        <f t="array" ref="AL46">INDEX(Table32[[#All],[%Calloch WPS]], MATCH(1, (Table1423[[#This Row],[year t]]=Table32[[#All],[year t]])*(Table1423[[#This Row],[stratum i]]=Table32[[#All],[stratum i]]), 0))</f>
        <v>23.561573856247001</v>
      </c>
      <c r="AM46">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46">
        <f>(Table1423[[#This Row],[GHGWPS-soil-CO2,i,t]]-Table1423[[#This Row],[Deductionalloch WPS (Eq 38)]])*Table1423[[#This Row],[Ai,t]]</f>
        <v>0</v>
      </c>
      <c r="AO46" cm="1">
        <f t="array" ref="AO46">IF(project_soil_CH4 = "Included", INDEX(Table1830[[#All],[GHGWPS-soil-CH4,i,t (Eq 59)]], MATCH(1, (Table1423[[#This Row],[year t]]=Table1830[[#All],[year t]])*(Table1423[[#This Row],[stratum i]]=Table1830[[#All],[stratum i]]), 0)), 0)</f>
        <v>0</v>
      </c>
      <c r="AP46" cm="1">
        <f t="array" ref="AP46">IF(project_soil_N2O = "Included", INDEX(Table1830[[#All],[GHGWPS-soil-N2O,i,t (Eq 62)]], MATCH(1, (Table1423[[#This Row],[year t]]=Table1830[[#All],[year t]])*(Table1423[[#This Row],[stratum i]]=Table1830[[#All],[stratum i]]), 0)), 0)</f>
        <v>0</v>
      </c>
      <c r="AQ46">
        <f>Table1423[[#This Row],[Ai,t]]*(Table1423[[#This Row],[GHGWPS-soil-CO2,i,t]]-Table1423[[#This Row],[Deductionalloch WPS (Eq 38)]]+Table1423[[#This Row],[GHGWPS-soil-CH4,i,t]]+Table1423[[#This Row],[GHGWPS-soil-N2O,i,t]])</f>
        <v>0</v>
      </c>
      <c r="AR46" t="e" cm="1">
        <f t="array" ref="AR46">INDEX(#REF!, MATCH(1, (Table1423[[#This Row],[year t]]=Table32[[#All],[year t]])*(Table1423[[#This Row],[stratum i]]=Table32[[#All],[stratum i]]), 0))</f>
        <v>#REF!</v>
      </c>
      <c r="AS46" t="e" cm="1">
        <f t="array" ref="AS46">INDEX(#REF!, MATCH(1, (Table1423[[#This Row],[year t]]=Table32[[#All],[year t]])*(Table1423[[#This Row],[stratum i]]=Table32[[#All],[stratum i]]), 0))</f>
        <v>#REF!</v>
      </c>
      <c r="AT46" t="e" cm="1">
        <f t="array" ref="AT46">INDEX(#REF!, MATCH(1, (Table1423[[#This Row],[year t]]=Table32[[#All],[year t]])*(Table1423[[#This Row],[stratum i]]=Table32[[#All],[stratum i]]), 0))</f>
        <v>#REF!</v>
      </c>
      <c r="AU46" t="e" cm="1">
        <f t="array" ref="AU46">INDEX(#REF!, MATCH(1, (Table1423[[#This Row],[year t]]=Table32[[#All],[year t]])*(Table1423[[#This Row],[stratum i]]=Table32[[#All],[stratum i]]), 0))</f>
        <v>#REF!</v>
      </c>
      <c r="AV46" s="30"/>
      <c r="BB46" s="18">
        <v>2024</v>
      </c>
      <c r="BC46">
        <v>2</v>
      </c>
      <c r="BD46" cm="1">
        <f t="array" ref="BD46">INDEX(Table32[[#All],[∆CWPS-soil,i,t (tC/ha)]], MATCH(1, (Table1329[[#This Row],[year t]]=Table32[[#All],[year t]])*(Table1329[[#This Row],[stratum i]]=Table32[[#All],[stratum i]]), 0))</f>
        <v>0</v>
      </c>
      <c r="BE46">
        <f>-44/12*Table1329[[#This Row],[∆CWPS-soil,i,t (tC/ha)]]</f>
        <v>0</v>
      </c>
    </row>
    <row r="47" spans="3:83" x14ac:dyDescent="0.2">
      <c r="K47" s="18">
        <v>2025</v>
      </c>
      <c r="L47">
        <v>2</v>
      </c>
      <c r="M47" cm="1">
        <f t="array" ref="M47">IF(project_aboveground_tree = "Included", INDEX(Table32[[#All],[ΔCTREE_PROJ,i,t (AR Tool 14) t C/yr]], MATCH(1, (Table1221[[#This Row],[year t]]=Table32[[#All],[year t]])*(Table1221[[#This Row],[stratum i]]=Table32[[#All],[stratum i]]), 0)), 0)</f>
        <v>0.59269336071209067</v>
      </c>
      <c r="N47" s="57" cm="1">
        <f t="array" ref="N47">IF(project_aboveground_nontree = "Included", INDEX(#REF!, MATCH(1, (Table1221[[#This Row],[year t]]=Table32[[#All],[year t]])*(Table1221[[#This Row],[stratum i]]=Table32[[#All],[stratum i]]), 0)), 0)</f>
        <v>0</v>
      </c>
      <c r="O47">
        <f>12/44*(Table1221[[#This Row],[ΔCTREE_PROJ,t (AR Tool 14) t CO2e/yr]]+Table1221[[#This Row],[ΔCSHRUB_PROJ,t (AR Tool 14) t CO2e/yr]])</f>
        <v>0.16164364383057017</v>
      </c>
      <c r="P47" cm="1">
        <f t="array" ref="P47">IF(project_aboveground_nontree = "Included", IFERROR(INDEX(Table1322[[#All],[ΔCWPS-herb,i,t (Eq 78)]], MATCH(1, (Table1221[[#This Row],[stratum i]]=Table1322[[#All],[stratum i]])*(Table1221[[#This Row],[year t]]&gt;=#REF!)*(Table1221[[#This Row],[year t]]&lt;=Table1322[[#All],[year t]]), 0)), 0), 0)</f>
        <v>0</v>
      </c>
      <c r="Q47">
        <f>Table1221[[#This Row],[ΔCWPS-tree/shrub,i,t (t C/yr) (Eq 75)]]+Table1221[[#This Row],[ΔCWPS-herb,i,t (t C/yr)]]</f>
        <v>0.16164364383057017</v>
      </c>
      <c r="R47" cm="1">
        <f t="array" ref="R47">INDEX(Table1423[[#All],[GHGWPS-soil,i,t]], MATCH(1, (Table1221[[#This Row],[year t]]=Table1423[[#All],[year t]])*(Table1221[[#This Row],[stratum i]]=Table1423[[#All],[stratum i]]), 0))</f>
        <v>0</v>
      </c>
      <c r="S47">
        <f>IF(project_ff_CO2 = "Included", Table1221[[#This Row],[ET(FC,I,t) AR-Tool 5 WPS]], 0)</f>
        <v>0</v>
      </c>
      <c r="T47" t="e" cm="1">
        <f t="array" ref="T47">INDEX(#REF!, MATCH(1, (Table1221[[#This Row],[year t]]=Table32[[#All],[year t]])*(Table1221[[#This Row],[stratum i]]=Table32[[#All],[stratum i]]), 0))</f>
        <v>#REF!</v>
      </c>
      <c r="AE47" s="18">
        <v>2025</v>
      </c>
      <c r="AF47">
        <v>2</v>
      </c>
      <c r="AG47" s="18" cm="1">
        <f t="array" ref="AG47">INDEX(Table32[[#All],[Ai,t]], MATCH(1, (Table1423[[#This Row],[year t]]=Table32[[#All],[year t]])*(Table1423[[#This Row],[stratum i]]=Table32[[#All],[stratum i]]), 0))</f>
        <v>1982.9786785714284</v>
      </c>
      <c r="AH47" t="str">
        <f>INDEX(Table31[[#All],[Soil type (t=0)]], MATCH(Table1423[[#This Row],[stratum i]], Table31[[#All],[Stratum i]]))</f>
        <v>Mineral soil</v>
      </c>
      <c r="AI47">
        <f>IF(Emission_reduction_from_stock_loss?, INDEX(Table2[[#All],[End_PDT]], MATCH(Table1423[[#This Row],[stratum i]], Table2[[#All],[stratum i]])), crediting_period)</f>
        <v>40</v>
      </c>
      <c r="AJ47">
        <f>IF(Emission_reduction_from_stock_loss?, INDEX(Table2[[#All],[End_SDT]], MATCH(Table1423[[#This Row],[stratum i]], Table2[[#All],[stratum i]])), crediting_period)</f>
        <v>40</v>
      </c>
      <c r="AK47" cm="1">
        <f t="array" ref="AK4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47" s="30" cm="1">
        <f t="array" ref="AL47">INDEX(Table32[[#All],[%Calloch WPS]], MATCH(1, (Table1423[[#This Row],[year t]]=Table32[[#All],[year t]])*(Table1423[[#This Row],[stratum i]]=Table32[[#All],[stratum i]]), 0))</f>
        <v>23.561573856247001</v>
      </c>
      <c r="AM47">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47">
        <f>(Table1423[[#This Row],[GHGWPS-soil-CO2,i,t]]-Table1423[[#This Row],[Deductionalloch WPS (Eq 38)]])*Table1423[[#This Row],[Ai,t]]</f>
        <v>0</v>
      </c>
      <c r="AO47" cm="1">
        <f t="array" ref="AO47">IF(project_soil_CH4 = "Included", INDEX(Table1830[[#All],[GHGWPS-soil-CH4,i,t (Eq 59)]], MATCH(1, (Table1423[[#This Row],[year t]]=Table1830[[#All],[year t]])*(Table1423[[#This Row],[stratum i]]=Table1830[[#All],[stratum i]]), 0)), 0)</f>
        <v>0</v>
      </c>
      <c r="AP47" cm="1">
        <f t="array" ref="AP47">IF(project_soil_N2O = "Included", INDEX(Table1830[[#All],[GHGWPS-soil-N2O,i,t (Eq 62)]], MATCH(1, (Table1423[[#This Row],[year t]]=Table1830[[#All],[year t]])*(Table1423[[#This Row],[stratum i]]=Table1830[[#All],[stratum i]]), 0)), 0)</f>
        <v>0</v>
      </c>
      <c r="AQ47">
        <f>Table1423[[#This Row],[Ai,t]]*(Table1423[[#This Row],[GHGWPS-soil-CO2,i,t]]-Table1423[[#This Row],[Deductionalloch WPS (Eq 38)]]+Table1423[[#This Row],[GHGWPS-soil-CH4,i,t]]+Table1423[[#This Row],[GHGWPS-soil-N2O,i,t]])</f>
        <v>0</v>
      </c>
      <c r="AR47" t="e" cm="1">
        <f t="array" ref="AR47">INDEX(#REF!, MATCH(1, (Table1423[[#This Row],[year t]]=Table32[[#All],[year t]])*(Table1423[[#This Row],[stratum i]]=Table32[[#All],[stratum i]]), 0))</f>
        <v>#REF!</v>
      </c>
      <c r="AS47" t="e" cm="1">
        <f t="array" ref="AS47">INDEX(#REF!, MATCH(1, (Table1423[[#This Row],[year t]]=Table32[[#All],[year t]])*(Table1423[[#This Row],[stratum i]]=Table32[[#All],[stratum i]]), 0))</f>
        <v>#REF!</v>
      </c>
      <c r="AT47" t="e" cm="1">
        <f t="array" ref="AT47">INDEX(#REF!, MATCH(1, (Table1423[[#This Row],[year t]]=Table32[[#All],[year t]])*(Table1423[[#This Row],[stratum i]]=Table32[[#All],[stratum i]]), 0))</f>
        <v>#REF!</v>
      </c>
      <c r="AU47" t="e" cm="1">
        <f t="array" ref="AU47">INDEX(#REF!, MATCH(1, (Table1423[[#This Row],[year t]]=Table32[[#All],[year t]])*(Table1423[[#This Row],[stratum i]]=Table32[[#All],[stratum i]]), 0))</f>
        <v>#REF!</v>
      </c>
      <c r="AV47" s="30"/>
      <c r="BB47" s="18">
        <v>2025</v>
      </c>
      <c r="BC47">
        <v>2</v>
      </c>
      <c r="BD47" cm="1">
        <f t="array" ref="BD47">INDEX(Table32[[#All],[∆CWPS-soil,i,t (tC/ha)]], MATCH(1, (Table1329[[#This Row],[year t]]=Table32[[#All],[year t]])*(Table1329[[#This Row],[stratum i]]=Table32[[#All],[stratum i]]), 0))</f>
        <v>0</v>
      </c>
      <c r="BE47">
        <f>-44/12*Table1329[[#This Row],[∆CWPS-soil,i,t (tC/ha)]]</f>
        <v>0</v>
      </c>
    </row>
    <row r="48" spans="3:83" x14ac:dyDescent="0.2">
      <c r="K48" s="18">
        <v>2026</v>
      </c>
      <c r="L48">
        <v>2</v>
      </c>
      <c r="M48" cm="1">
        <f t="array" ref="M48">IF(project_aboveground_tree = "Included", INDEX(Table32[[#All],[ΔCTREE_PROJ,i,t (AR Tool 14) t C/yr]], MATCH(1, (Table1221[[#This Row],[year t]]=Table32[[#All],[year t]])*(Table1221[[#This Row],[stratum i]]=Table32[[#All],[stratum i]]), 0)), 0)</f>
        <v>7.9053406431312947</v>
      </c>
      <c r="N48" s="57" cm="1">
        <f t="array" ref="N48">IF(project_aboveground_nontree = "Included", INDEX(#REF!, MATCH(1, (Table1221[[#This Row],[year t]]=Table32[[#All],[year t]])*(Table1221[[#This Row],[stratum i]]=Table32[[#All],[stratum i]]), 0)), 0)</f>
        <v>0</v>
      </c>
      <c r="O48">
        <f>12/44*(Table1221[[#This Row],[ΔCTREE_PROJ,t (AR Tool 14) t CO2e/yr]]+Table1221[[#This Row],[ΔCSHRUB_PROJ,t (AR Tool 14) t CO2e/yr]])</f>
        <v>2.156001993581262</v>
      </c>
      <c r="P48" cm="1">
        <f t="array" ref="P48">IF(project_aboveground_nontree = "Included", IFERROR(INDEX(Table1322[[#All],[ΔCWPS-herb,i,t (Eq 78)]], MATCH(1, (Table1221[[#This Row],[stratum i]]=Table1322[[#All],[stratum i]])*(Table1221[[#This Row],[year t]]&gt;=#REF!)*(Table1221[[#This Row],[year t]]&lt;=Table1322[[#All],[year t]]), 0)), 0), 0)</f>
        <v>0</v>
      </c>
      <c r="Q48">
        <f>Table1221[[#This Row],[ΔCWPS-tree/shrub,i,t (t C/yr) (Eq 75)]]+Table1221[[#This Row],[ΔCWPS-herb,i,t (t C/yr)]]</f>
        <v>2.156001993581262</v>
      </c>
      <c r="R48" cm="1">
        <f t="array" ref="R48">INDEX(Table1423[[#All],[GHGWPS-soil,i,t]], MATCH(1, (Table1221[[#This Row],[year t]]=Table1423[[#All],[year t]])*(Table1221[[#This Row],[stratum i]]=Table1423[[#All],[stratum i]]), 0))</f>
        <v>0</v>
      </c>
      <c r="S48">
        <f>IF(project_ff_CO2 = "Included", Table1221[[#This Row],[ET(FC,I,t) AR-Tool 5 WPS]], 0)</f>
        <v>0</v>
      </c>
      <c r="T48" t="e" cm="1">
        <f t="array" ref="T48">INDEX(#REF!, MATCH(1, (Table1221[[#This Row],[year t]]=Table32[[#All],[year t]])*(Table1221[[#This Row],[stratum i]]=Table32[[#All],[stratum i]]), 0))</f>
        <v>#REF!</v>
      </c>
      <c r="AE48" s="18">
        <v>2026</v>
      </c>
      <c r="AF48">
        <v>2</v>
      </c>
      <c r="AG48" s="18" cm="1">
        <f t="array" ref="AG48">INDEX(Table32[[#All],[Ai,t]], MATCH(1, (Table1423[[#This Row],[year t]]=Table32[[#All],[year t]])*(Table1423[[#This Row],[stratum i]]=Table32[[#All],[stratum i]]), 0))</f>
        <v>1982.9786785714284</v>
      </c>
      <c r="AH48" t="str">
        <f>INDEX(Table31[[#All],[Soil type (t=0)]], MATCH(Table1423[[#This Row],[stratum i]], Table31[[#All],[Stratum i]]))</f>
        <v>Mineral soil</v>
      </c>
      <c r="AI48">
        <f>IF(Emission_reduction_from_stock_loss?, INDEX(Table2[[#All],[End_PDT]], MATCH(Table1423[[#This Row],[stratum i]], Table2[[#All],[stratum i]])), crediting_period)</f>
        <v>40</v>
      </c>
      <c r="AJ48">
        <f>IF(Emission_reduction_from_stock_loss?, INDEX(Table2[[#All],[End_SDT]], MATCH(Table1423[[#This Row],[stratum i]], Table2[[#All],[stratum i]])), crediting_period)</f>
        <v>40</v>
      </c>
      <c r="AK48" cm="1">
        <f t="array" ref="AK4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48" s="30" cm="1">
        <f t="array" ref="AL48">INDEX(Table32[[#All],[%Calloch WPS]], MATCH(1, (Table1423[[#This Row],[year t]]=Table32[[#All],[year t]])*(Table1423[[#This Row],[stratum i]]=Table32[[#All],[stratum i]]), 0))</f>
        <v>23.561573856247001</v>
      </c>
      <c r="AM48">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48">
        <f>(Table1423[[#This Row],[GHGWPS-soil-CO2,i,t]]-Table1423[[#This Row],[Deductionalloch WPS (Eq 38)]])*Table1423[[#This Row],[Ai,t]]</f>
        <v>0</v>
      </c>
      <c r="AO48" cm="1">
        <f t="array" ref="AO48">IF(project_soil_CH4 = "Included", INDEX(Table1830[[#All],[GHGWPS-soil-CH4,i,t (Eq 59)]], MATCH(1, (Table1423[[#This Row],[year t]]=Table1830[[#All],[year t]])*(Table1423[[#This Row],[stratum i]]=Table1830[[#All],[stratum i]]), 0)), 0)</f>
        <v>0</v>
      </c>
      <c r="AP48" cm="1">
        <f t="array" ref="AP48">IF(project_soil_N2O = "Included", INDEX(Table1830[[#All],[GHGWPS-soil-N2O,i,t (Eq 62)]], MATCH(1, (Table1423[[#This Row],[year t]]=Table1830[[#All],[year t]])*(Table1423[[#This Row],[stratum i]]=Table1830[[#All],[stratum i]]), 0)), 0)</f>
        <v>0</v>
      </c>
      <c r="AQ48">
        <f>Table1423[[#This Row],[Ai,t]]*(Table1423[[#This Row],[GHGWPS-soil-CO2,i,t]]-Table1423[[#This Row],[Deductionalloch WPS (Eq 38)]]+Table1423[[#This Row],[GHGWPS-soil-CH4,i,t]]+Table1423[[#This Row],[GHGWPS-soil-N2O,i,t]])</f>
        <v>0</v>
      </c>
      <c r="AR48" t="e" cm="1">
        <f t="array" ref="AR48">INDEX(#REF!, MATCH(1, (Table1423[[#This Row],[year t]]=Table32[[#All],[year t]])*(Table1423[[#This Row],[stratum i]]=Table32[[#All],[stratum i]]), 0))</f>
        <v>#REF!</v>
      </c>
      <c r="AS48" t="e" cm="1">
        <f t="array" ref="AS48">INDEX(#REF!, MATCH(1, (Table1423[[#This Row],[year t]]=Table32[[#All],[year t]])*(Table1423[[#This Row],[stratum i]]=Table32[[#All],[stratum i]]), 0))</f>
        <v>#REF!</v>
      </c>
      <c r="AT48" t="e" cm="1">
        <f t="array" ref="AT48">INDEX(#REF!, MATCH(1, (Table1423[[#This Row],[year t]]=Table32[[#All],[year t]])*(Table1423[[#This Row],[stratum i]]=Table32[[#All],[stratum i]]), 0))</f>
        <v>#REF!</v>
      </c>
      <c r="AU48" t="e" cm="1">
        <f t="array" ref="AU48">INDEX(#REF!, MATCH(1, (Table1423[[#This Row],[year t]]=Table32[[#All],[year t]])*(Table1423[[#This Row],[stratum i]]=Table32[[#All],[stratum i]]), 0))</f>
        <v>#REF!</v>
      </c>
      <c r="AV48" s="30"/>
      <c r="BB48" s="18">
        <v>2026</v>
      </c>
      <c r="BC48">
        <v>2</v>
      </c>
      <c r="BD48" cm="1">
        <f t="array" ref="BD48">INDEX(Table32[[#All],[∆CWPS-soil,i,t (tC/ha)]], MATCH(1, (Table1329[[#This Row],[year t]]=Table32[[#All],[year t]])*(Table1329[[#This Row],[stratum i]]=Table32[[#All],[stratum i]]), 0))</f>
        <v>0</v>
      </c>
      <c r="BE48">
        <f>-44/12*Table1329[[#This Row],[∆CWPS-soil,i,t (tC/ha)]]</f>
        <v>0</v>
      </c>
    </row>
    <row r="49" spans="11:57" x14ac:dyDescent="0.2">
      <c r="K49" s="18">
        <v>2027</v>
      </c>
      <c r="L49">
        <v>2</v>
      </c>
      <c r="M49" cm="1">
        <f t="array" ref="M49">IF(project_aboveground_tree = "Included", INDEX(Table32[[#All],[ΔCTREE_PROJ,i,t (AR Tool 14) t C/yr]], MATCH(1, (Table1221[[#This Row],[year t]]=Table32[[#All],[year t]])*(Table1221[[#This Row],[stratum i]]=Table32[[#All],[stratum i]]), 0)), 0)</f>
        <v>49.99817321526087</v>
      </c>
      <c r="N49" s="57" cm="1">
        <f t="array" ref="N49">IF(project_aboveground_nontree = "Included", INDEX(#REF!, MATCH(1, (Table1221[[#This Row],[year t]]=Table32[[#All],[year t]])*(Table1221[[#This Row],[stratum i]]=Table32[[#All],[stratum i]]), 0)), 0)</f>
        <v>0</v>
      </c>
      <c r="O49">
        <f>12/44*(Table1221[[#This Row],[ΔCTREE_PROJ,t (AR Tool 14) t CO2e/yr]]+Table1221[[#This Row],[ΔCSHRUB_PROJ,t (AR Tool 14) t CO2e/yr]])</f>
        <v>13.635865422343873</v>
      </c>
      <c r="P49" cm="1">
        <f t="array" ref="P49">IF(project_aboveground_nontree = "Included", IFERROR(INDEX(Table1322[[#All],[ΔCWPS-herb,i,t (Eq 78)]], MATCH(1, (Table1221[[#This Row],[stratum i]]=Table1322[[#All],[stratum i]])*(Table1221[[#This Row],[year t]]&gt;=#REF!)*(Table1221[[#This Row],[year t]]&lt;=Table1322[[#All],[year t]]), 0)), 0), 0)</f>
        <v>0</v>
      </c>
      <c r="Q49">
        <f>Table1221[[#This Row],[ΔCWPS-tree/shrub,i,t (t C/yr) (Eq 75)]]+Table1221[[#This Row],[ΔCWPS-herb,i,t (t C/yr)]]</f>
        <v>13.635865422343873</v>
      </c>
      <c r="R49" cm="1">
        <f t="array" ref="R49">INDEX(Table1423[[#All],[GHGWPS-soil,i,t]], MATCH(1, (Table1221[[#This Row],[year t]]=Table1423[[#All],[year t]])*(Table1221[[#This Row],[stratum i]]=Table1423[[#All],[stratum i]]), 0))</f>
        <v>-2667.733539092495</v>
      </c>
      <c r="S49">
        <f>IF(project_ff_CO2 = "Included", Table1221[[#This Row],[ET(FC,I,t) AR-Tool 5 WPS]], 0)</f>
        <v>0</v>
      </c>
      <c r="T49" t="e" cm="1">
        <f t="array" ref="T49">INDEX(#REF!, MATCH(1, (Table1221[[#This Row],[year t]]=Table32[[#All],[year t]])*(Table1221[[#This Row],[stratum i]]=Table32[[#All],[stratum i]]), 0))</f>
        <v>#REF!</v>
      </c>
      <c r="AE49" s="18">
        <v>2027</v>
      </c>
      <c r="AF49">
        <v>2</v>
      </c>
      <c r="AG49" s="18" cm="1">
        <f t="array" ref="AG49">INDEX(Table32[[#All],[Ai,t]], MATCH(1, (Table1423[[#This Row],[year t]]=Table32[[#All],[year t]])*(Table1423[[#This Row],[stratum i]]=Table32[[#All],[stratum i]]), 0))</f>
        <v>1982.9786785714284</v>
      </c>
      <c r="AH49" t="str">
        <f>INDEX(Table31[[#All],[Soil type (t=0)]], MATCH(Table1423[[#This Row],[stratum i]], Table31[[#All],[Stratum i]]))</f>
        <v>Mineral soil</v>
      </c>
      <c r="AI49">
        <f>IF(Emission_reduction_from_stock_loss?, INDEX(Table2[[#All],[End_PDT]], MATCH(Table1423[[#This Row],[stratum i]], Table2[[#All],[stratum i]])), crediting_period)</f>
        <v>40</v>
      </c>
      <c r="AJ49">
        <f>IF(Emission_reduction_from_stock_loss?, INDEX(Table2[[#All],[End_SDT]], MATCH(Table1423[[#This Row],[stratum i]], Table2[[#All],[stratum i]])), crediting_period)</f>
        <v>40</v>
      </c>
      <c r="AK49" cm="1">
        <f t="array" ref="AK4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-1.7599999999999998</v>
      </c>
      <c r="AL49" s="30" cm="1">
        <f t="array" ref="AL49">INDEX(Table32[[#All],[%Calloch WPS]], MATCH(1, (Table1423[[#This Row],[year t]]=Table32[[#All],[year t]])*(Table1423[[#This Row],[stratum i]]=Table32[[#All],[stratum i]]), 0))</f>
        <v>23.561573856247001</v>
      </c>
      <c r="AM49">
        <f>IF(project_soil_SOC="Included", IF(Table1423[[#This Row],[Soil]]="Peat soil",0, IF(OR(soil_insitu_approach = "Proxies", soil_insitu_approach = "Field-collected data"), Table1423[[#This Row],[GHGWPS-soil-CO2,i,t]]*(Table1423[[#This Row],[%Calloch WPS]]/100),  Table1423[[#This Row],[GHGWPS-insitu-CO2,i,t]]*(Table1423[[#This Row],[%Calloch WPS]]/100))), 0)</f>
        <v>-0.41468369986994719</v>
      </c>
      <c r="AN49">
        <f>(Table1423[[#This Row],[GHGWPS-soil-CO2,i,t]]-Table1423[[#This Row],[Deductionalloch WPS (Eq 38)]])*Table1423[[#This Row],[Ai,t]]</f>
        <v>-2667.733539092495</v>
      </c>
      <c r="AO49" cm="1">
        <f t="array" ref="AO49">IF(project_soil_CH4 = "Included", INDEX(Table1830[[#All],[GHGWPS-soil-CH4,i,t (Eq 59)]], MATCH(1, (Table1423[[#This Row],[year t]]=Table1830[[#All],[year t]])*(Table1423[[#This Row],[stratum i]]=Table1830[[#All],[stratum i]]), 0)), 0)</f>
        <v>0</v>
      </c>
      <c r="AP49" cm="1">
        <f t="array" ref="AP49">IF(project_soil_N2O = "Included", INDEX(Table1830[[#All],[GHGWPS-soil-N2O,i,t (Eq 62)]], MATCH(1, (Table1423[[#This Row],[year t]]=Table1830[[#All],[year t]])*(Table1423[[#This Row],[stratum i]]=Table1830[[#All],[stratum i]]), 0)), 0)</f>
        <v>0</v>
      </c>
      <c r="AQ49">
        <f>Table1423[[#This Row],[Ai,t]]*(Table1423[[#This Row],[GHGWPS-soil-CO2,i,t]]-Table1423[[#This Row],[Deductionalloch WPS (Eq 38)]]+Table1423[[#This Row],[GHGWPS-soil-CH4,i,t]]+Table1423[[#This Row],[GHGWPS-soil-N2O,i,t]])</f>
        <v>-2667.733539092495</v>
      </c>
      <c r="AR49" t="e" cm="1">
        <f t="array" ref="AR49">INDEX(#REF!, MATCH(1, (Table1423[[#This Row],[year t]]=Table32[[#All],[year t]])*(Table1423[[#This Row],[stratum i]]=Table32[[#All],[stratum i]]), 0))</f>
        <v>#REF!</v>
      </c>
      <c r="AS49" t="e" cm="1">
        <f t="array" ref="AS49">INDEX(#REF!, MATCH(1, (Table1423[[#This Row],[year t]]=Table32[[#All],[year t]])*(Table1423[[#This Row],[stratum i]]=Table32[[#All],[stratum i]]), 0))</f>
        <v>#REF!</v>
      </c>
      <c r="AT49" t="e" cm="1">
        <f t="array" ref="AT49">INDEX(#REF!, MATCH(1, (Table1423[[#This Row],[year t]]=Table32[[#All],[year t]])*(Table1423[[#This Row],[stratum i]]=Table32[[#All],[stratum i]]), 0))</f>
        <v>#REF!</v>
      </c>
      <c r="AU49" t="e" cm="1">
        <f t="array" ref="AU49">INDEX(#REF!, MATCH(1, (Table1423[[#This Row],[year t]]=Table32[[#All],[year t]])*(Table1423[[#This Row],[stratum i]]=Table32[[#All],[stratum i]]), 0))</f>
        <v>#REF!</v>
      </c>
      <c r="AV49" s="30"/>
      <c r="BB49" s="18">
        <v>2027</v>
      </c>
      <c r="BC49">
        <v>2</v>
      </c>
      <c r="BD49" cm="1">
        <f t="array" ref="BD49">INDEX(Table32[[#All],[∆CWPS-soil,i,t (tC/ha)]], MATCH(1, (Table1329[[#This Row],[year t]]=Table32[[#All],[year t]])*(Table1329[[#This Row],[stratum i]]=Table32[[#All],[stratum i]]), 0))</f>
        <v>0.48</v>
      </c>
      <c r="BE49">
        <f>-44/12*Table1329[[#This Row],[∆CWPS-soil,i,t (tC/ha)]]</f>
        <v>-1.7599999999999998</v>
      </c>
    </row>
    <row r="50" spans="11:57" x14ac:dyDescent="0.2">
      <c r="K50" s="18">
        <v>2028</v>
      </c>
      <c r="L50">
        <v>2</v>
      </c>
      <c r="M50" cm="1">
        <f t="array" ref="M50">IF(project_aboveground_tree = "Included", INDEX(Table32[[#All],[ΔCTREE_PROJ,i,t (AR Tool 14) t C/yr]], MATCH(1, (Table1221[[#This Row],[year t]]=Table32[[#All],[year t]])*(Table1221[[#This Row],[stratum i]]=Table32[[#All],[stratum i]]), 0)), 0)</f>
        <v>198.21502979482</v>
      </c>
      <c r="N50" s="57" cm="1">
        <f t="array" ref="N50">IF(project_aboveground_nontree = "Included", INDEX(#REF!, MATCH(1, (Table1221[[#This Row],[year t]]=Table32[[#All],[year t]])*(Table1221[[#This Row],[stratum i]]=Table32[[#All],[stratum i]]), 0)), 0)</f>
        <v>0</v>
      </c>
      <c r="O50">
        <f>12/44*(Table1221[[#This Row],[ΔCTREE_PROJ,t (AR Tool 14) t CO2e/yr]]+Table1221[[#This Row],[ΔCSHRUB_PROJ,t (AR Tool 14) t CO2e/yr]])</f>
        <v>54.058644489496359</v>
      </c>
      <c r="P50" cm="1">
        <f t="array" ref="P50">IF(project_aboveground_nontree = "Included", IFERROR(INDEX(Table1322[[#All],[ΔCWPS-herb,i,t (Eq 78)]], MATCH(1, (Table1221[[#This Row],[stratum i]]=Table1322[[#All],[stratum i]])*(Table1221[[#This Row],[year t]]&gt;=#REF!)*(Table1221[[#This Row],[year t]]&lt;=Table1322[[#All],[year t]]), 0)), 0), 0)</f>
        <v>0</v>
      </c>
      <c r="Q50">
        <f>Table1221[[#This Row],[ΔCWPS-tree/shrub,i,t (t C/yr) (Eq 75)]]+Table1221[[#This Row],[ΔCWPS-herb,i,t (t C/yr)]]</f>
        <v>54.058644489496359</v>
      </c>
      <c r="R50" cm="1">
        <f t="array" ref="R50">INDEX(Table1423[[#All],[GHGWPS-soil,i,t]], MATCH(1, (Table1221[[#This Row],[year t]]=Table1423[[#All],[year t]])*(Table1221[[#This Row],[stratum i]]=Table1423[[#All],[stratum i]]), 0))</f>
        <v>-3468.0536008202439</v>
      </c>
      <c r="S50">
        <f>IF(project_ff_CO2 = "Included", Table1221[[#This Row],[ET(FC,I,t) AR-Tool 5 WPS]], 0)</f>
        <v>0</v>
      </c>
      <c r="T50" t="e" cm="1">
        <f t="array" ref="T50">INDEX(#REF!, MATCH(1, (Table1221[[#This Row],[year t]]=Table32[[#All],[year t]])*(Table1221[[#This Row],[stratum i]]=Table32[[#All],[stratum i]]), 0))</f>
        <v>#REF!</v>
      </c>
      <c r="AE50" s="18">
        <v>2028</v>
      </c>
      <c r="AF50">
        <v>2</v>
      </c>
      <c r="AG50" s="18" cm="1">
        <f t="array" ref="AG50">INDEX(Table32[[#All],[Ai,t]], MATCH(1, (Table1423[[#This Row],[year t]]=Table32[[#All],[year t]])*(Table1423[[#This Row],[stratum i]]=Table32[[#All],[stratum i]]), 0))</f>
        <v>1982.9786785714284</v>
      </c>
      <c r="AH50" t="str">
        <f>INDEX(Table31[[#All],[Soil type (t=0)]], MATCH(Table1423[[#This Row],[stratum i]], Table31[[#All],[Stratum i]]))</f>
        <v>Mineral soil</v>
      </c>
      <c r="AI50">
        <f>IF(Emission_reduction_from_stock_loss?, INDEX(Table2[[#All],[End_PDT]], MATCH(Table1423[[#This Row],[stratum i]], Table2[[#All],[stratum i]])), crediting_period)</f>
        <v>40</v>
      </c>
      <c r="AJ50">
        <f>IF(Emission_reduction_from_stock_loss?, INDEX(Table2[[#All],[End_SDT]], MATCH(Table1423[[#This Row],[stratum i]], Table2[[#All],[stratum i]])), crediting_period)</f>
        <v>40</v>
      </c>
      <c r="AK50" cm="1">
        <f t="array" ref="AK5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-2.2879999999999998</v>
      </c>
      <c r="AL50" s="30" cm="1">
        <f t="array" ref="AL50">INDEX(Table32[[#All],[%Calloch WPS]], MATCH(1, (Table1423[[#This Row],[year t]]=Table32[[#All],[year t]])*(Table1423[[#This Row],[stratum i]]=Table32[[#All],[stratum i]]), 0))</f>
        <v>23.561573856247001</v>
      </c>
      <c r="AM50">
        <f>IF(project_soil_SOC="Included", IF(Table1423[[#This Row],[Soil]]="Peat soil",0, IF(OR(soil_insitu_approach = "Proxies", soil_insitu_approach = "Field-collected data"), Table1423[[#This Row],[GHGWPS-soil-CO2,i,t]]*(Table1423[[#This Row],[%Calloch WPS]]/100),  Table1423[[#This Row],[GHGWPS-insitu-CO2,i,t]]*(Table1423[[#This Row],[%Calloch WPS]]/100))), 0)</f>
        <v>-0.53908880983093133</v>
      </c>
      <c r="AN50">
        <f>(Table1423[[#This Row],[GHGWPS-soil-CO2,i,t]]-Table1423[[#This Row],[Deductionalloch WPS (Eq 38)]])*Table1423[[#This Row],[Ai,t]]</f>
        <v>-3468.0536008202439</v>
      </c>
      <c r="AO50" cm="1">
        <f t="array" ref="AO50">IF(project_soil_CH4 = "Included", INDEX(Table1830[[#All],[GHGWPS-soil-CH4,i,t (Eq 59)]], MATCH(1, (Table1423[[#This Row],[year t]]=Table1830[[#All],[year t]])*(Table1423[[#This Row],[stratum i]]=Table1830[[#All],[stratum i]]), 0)), 0)</f>
        <v>0</v>
      </c>
      <c r="AP50" cm="1">
        <f t="array" ref="AP50">IF(project_soil_N2O = "Included", INDEX(Table1830[[#All],[GHGWPS-soil-N2O,i,t (Eq 62)]], MATCH(1, (Table1423[[#This Row],[year t]]=Table1830[[#All],[year t]])*(Table1423[[#This Row],[stratum i]]=Table1830[[#All],[stratum i]]), 0)), 0)</f>
        <v>0</v>
      </c>
      <c r="AQ50">
        <f>Table1423[[#This Row],[Ai,t]]*(Table1423[[#This Row],[GHGWPS-soil-CO2,i,t]]-Table1423[[#This Row],[Deductionalloch WPS (Eq 38)]]+Table1423[[#This Row],[GHGWPS-soil-CH4,i,t]]+Table1423[[#This Row],[GHGWPS-soil-N2O,i,t]])</f>
        <v>-3468.0536008202439</v>
      </c>
      <c r="AR50" t="e" cm="1">
        <f t="array" ref="AR50">INDEX(#REF!, MATCH(1, (Table1423[[#This Row],[year t]]=Table32[[#All],[year t]])*(Table1423[[#This Row],[stratum i]]=Table32[[#All],[stratum i]]), 0))</f>
        <v>#REF!</v>
      </c>
      <c r="AS50" t="e" cm="1">
        <f t="array" ref="AS50">INDEX(#REF!, MATCH(1, (Table1423[[#This Row],[year t]]=Table32[[#All],[year t]])*(Table1423[[#This Row],[stratum i]]=Table32[[#All],[stratum i]]), 0))</f>
        <v>#REF!</v>
      </c>
      <c r="AT50" t="e" cm="1">
        <f t="array" ref="AT50">INDEX(#REF!, MATCH(1, (Table1423[[#This Row],[year t]]=Table32[[#All],[year t]])*(Table1423[[#This Row],[stratum i]]=Table32[[#All],[stratum i]]), 0))</f>
        <v>#REF!</v>
      </c>
      <c r="AU50" t="e" cm="1">
        <f t="array" ref="AU50">INDEX(#REF!, MATCH(1, (Table1423[[#This Row],[year t]]=Table32[[#All],[year t]])*(Table1423[[#This Row],[stratum i]]=Table32[[#All],[stratum i]]), 0))</f>
        <v>#REF!</v>
      </c>
      <c r="AV50" s="30"/>
      <c r="BB50" s="18">
        <v>2028</v>
      </c>
      <c r="BC50">
        <v>2</v>
      </c>
      <c r="BD50" cm="1">
        <f t="array" ref="BD50">INDEX(Table32[[#All],[∆CWPS-soil,i,t (tC/ha)]], MATCH(1, (Table1329[[#This Row],[year t]]=Table32[[#All],[year t]])*(Table1329[[#This Row],[stratum i]]=Table32[[#All],[stratum i]]), 0))</f>
        <v>0.624</v>
      </c>
      <c r="BE50">
        <f>-44/12*Table1329[[#This Row],[∆CWPS-soil,i,t (tC/ha)]]</f>
        <v>-2.2879999999999998</v>
      </c>
    </row>
    <row r="51" spans="11:57" x14ac:dyDescent="0.2">
      <c r="K51" s="18">
        <v>2029</v>
      </c>
      <c r="L51">
        <v>2</v>
      </c>
      <c r="M51" cm="1">
        <f t="array" ref="M51">IF(project_aboveground_tree = "Included", INDEX(Table32[[#All],[ΔCTREE_PROJ,i,t (AR Tool 14) t C/yr]], MATCH(1, (Table1221[[#This Row],[year t]]=Table32[[#All],[year t]])*(Table1221[[#This Row],[stratum i]]=Table32[[#All],[stratum i]]), 0)), 0)</f>
        <v>572.59224552351191</v>
      </c>
      <c r="N51" s="57" cm="1">
        <f t="array" ref="N51">IF(project_aboveground_nontree = "Included", INDEX(#REF!, MATCH(1, (Table1221[[#This Row],[year t]]=Table32[[#All],[year t]])*(Table1221[[#This Row],[stratum i]]=Table32[[#All],[stratum i]]), 0)), 0)</f>
        <v>0</v>
      </c>
      <c r="O51">
        <f>12/44*(Table1221[[#This Row],[ΔCTREE_PROJ,t (AR Tool 14) t CO2e/yr]]+Table1221[[#This Row],[ΔCSHRUB_PROJ,t (AR Tool 14) t CO2e/yr]])</f>
        <v>156.16152150641233</v>
      </c>
      <c r="P51" cm="1">
        <f t="array" ref="P51">IF(project_aboveground_nontree = "Included", IFERROR(INDEX(Table1322[[#All],[ΔCWPS-herb,i,t (Eq 78)]], MATCH(1, (Table1221[[#This Row],[stratum i]]=Table1322[[#All],[stratum i]])*(Table1221[[#This Row],[year t]]&gt;=#REF!)*(Table1221[[#This Row],[year t]]&lt;=Table1322[[#All],[year t]]), 0)), 0), 0)</f>
        <v>0</v>
      </c>
      <c r="Q51">
        <f>Table1221[[#This Row],[ΔCWPS-tree/shrub,i,t (t C/yr) (Eq 75)]]+Table1221[[#This Row],[ΔCWPS-herb,i,t (t C/yr)]]</f>
        <v>156.16152150641233</v>
      </c>
      <c r="R51" cm="1">
        <f t="array" ref="R51">INDEX(Table1423[[#All],[GHGWPS-soil,i,t]], MATCH(1, (Table1221[[#This Row],[year t]]=Table1423[[#All],[year t]])*(Table1221[[#This Row],[stratum i]]=Table1423[[#All],[stratum i]]), 0))</f>
        <v>-4268.3736625479914</v>
      </c>
      <c r="S51">
        <f>IF(project_ff_CO2 = "Included", Table1221[[#This Row],[ET(FC,I,t) AR-Tool 5 WPS]], 0)</f>
        <v>0</v>
      </c>
      <c r="T51" t="e" cm="1">
        <f t="array" ref="T51">INDEX(#REF!, MATCH(1, (Table1221[[#This Row],[year t]]=Table32[[#All],[year t]])*(Table1221[[#This Row],[stratum i]]=Table32[[#All],[stratum i]]), 0))</f>
        <v>#REF!</v>
      </c>
      <c r="AE51" s="18">
        <v>2029</v>
      </c>
      <c r="AF51">
        <v>2</v>
      </c>
      <c r="AG51" s="18" cm="1">
        <f t="array" ref="AG51">INDEX(Table32[[#All],[Ai,t]], MATCH(1, (Table1423[[#This Row],[year t]]=Table32[[#All],[year t]])*(Table1423[[#This Row],[stratum i]]=Table32[[#All],[stratum i]]), 0))</f>
        <v>1982.9786785714284</v>
      </c>
      <c r="AH51" t="str">
        <f>INDEX(Table31[[#All],[Soil type (t=0)]], MATCH(Table1423[[#This Row],[stratum i]], Table31[[#All],[Stratum i]]))</f>
        <v>Mineral soil</v>
      </c>
      <c r="AI51">
        <f>IF(Emission_reduction_from_stock_loss?, INDEX(Table2[[#All],[End_PDT]], MATCH(Table1423[[#This Row],[stratum i]], Table2[[#All],[stratum i]])), crediting_period)</f>
        <v>40</v>
      </c>
      <c r="AJ51">
        <f>IF(Emission_reduction_from_stock_loss?, INDEX(Table2[[#All],[End_SDT]], MATCH(Table1423[[#This Row],[stratum i]], Table2[[#All],[stratum i]])), crediting_period)</f>
        <v>40</v>
      </c>
      <c r="AK51" cm="1">
        <f t="array" ref="AK5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-2.8159999999999994</v>
      </c>
      <c r="AL51" s="30" cm="1">
        <f t="array" ref="AL51">INDEX(Table32[[#All],[%Calloch WPS]], MATCH(1, (Table1423[[#This Row],[year t]]=Table32[[#All],[year t]])*(Table1423[[#This Row],[stratum i]]=Table32[[#All],[stratum i]]), 0))</f>
        <v>23.561573856247001</v>
      </c>
      <c r="AM51">
        <f>IF(project_soil_SOC="Included", IF(Table1423[[#This Row],[Soil]]="Peat soil",0, IF(OR(soil_insitu_approach = "Proxies", soil_insitu_approach = "Field-collected data"), Table1423[[#This Row],[GHGWPS-soil-CO2,i,t]]*(Table1423[[#This Row],[%Calloch WPS]]/100),  Table1423[[#This Row],[GHGWPS-insitu-CO2,i,t]]*(Table1423[[#This Row],[%Calloch WPS]]/100))), 0)</f>
        <v>-0.66349391979191541</v>
      </c>
      <c r="AN51">
        <f>(Table1423[[#This Row],[GHGWPS-soil-CO2,i,t]]-Table1423[[#This Row],[Deductionalloch WPS (Eq 38)]])*Table1423[[#This Row],[Ai,t]]</f>
        <v>-4268.3736625479914</v>
      </c>
      <c r="AO51" cm="1">
        <f t="array" ref="AO51">IF(project_soil_CH4 = "Included", INDEX(Table1830[[#All],[GHGWPS-soil-CH4,i,t (Eq 59)]], MATCH(1, (Table1423[[#This Row],[year t]]=Table1830[[#All],[year t]])*(Table1423[[#This Row],[stratum i]]=Table1830[[#All],[stratum i]]), 0)), 0)</f>
        <v>0</v>
      </c>
      <c r="AP51" cm="1">
        <f t="array" ref="AP51">IF(project_soil_N2O = "Included", INDEX(Table1830[[#All],[GHGWPS-soil-N2O,i,t (Eq 62)]], MATCH(1, (Table1423[[#This Row],[year t]]=Table1830[[#All],[year t]])*(Table1423[[#This Row],[stratum i]]=Table1830[[#All],[stratum i]]), 0)), 0)</f>
        <v>0</v>
      </c>
      <c r="AQ51">
        <f>Table1423[[#This Row],[Ai,t]]*(Table1423[[#This Row],[GHGWPS-soil-CO2,i,t]]-Table1423[[#This Row],[Deductionalloch WPS (Eq 38)]]+Table1423[[#This Row],[GHGWPS-soil-CH4,i,t]]+Table1423[[#This Row],[GHGWPS-soil-N2O,i,t]])</f>
        <v>-4268.3736625479914</v>
      </c>
      <c r="AR51" t="e" cm="1">
        <f t="array" ref="AR51">INDEX(#REF!, MATCH(1, (Table1423[[#This Row],[year t]]=Table32[[#All],[year t]])*(Table1423[[#This Row],[stratum i]]=Table32[[#All],[stratum i]]), 0))</f>
        <v>#REF!</v>
      </c>
      <c r="AS51" t="e" cm="1">
        <f t="array" ref="AS51">INDEX(#REF!, MATCH(1, (Table1423[[#This Row],[year t]]=Table32[[#All],[year t]])*(Table1423[[#This Row],[stratum i]]=Table32[[#All],[stratum i]]), 0))</f>
        <v>#REF!</v>
      </c>
      <c r="AT51" t="e" cm="1">
        <f t="array" ref="AT51">INDEX(#REF!, MATCH(1, (Table1423[[#This Row],[year t]]=Table32[[#All],[year t]])*(Table1423[[#This Row],[stratum i]]=Table32[[#All],[stratum i]]), 0))</f>
        <v>#REF!</v>
      </c>
      <c r="AU51" t="e" cm="1">
        <f t="array" ref="AU51">INDEX(#REF!, MATCH(1, (Table1423[[#This Row],[year t]]=Table32[[#All],[year t]])*(Table1423[[#This Row],[stratum i]]=Table32[[#All],[stratum i]]), 0))</f>
        <v>#REF!</v>
      </c>
      <c r="AV51" s="30"/>
      <c r="BB51" s="18">
        <v>2029</v>
      </c>
      <c r="BC51">
        <v>2</v>
      </c>
      <c r="BD51" cm="1">
        <f t="array" ref="BD51">INDEX(Table32[[#All],[∆CWPS-soil,i,t (tC/ha)]], MATCH(1, (Table1329[[#This Row],[year t]]=Table32[[#All],[year t]])*(Table1329[[#This Row],[stratum i]]=Table32[[#All],[stratum i]]), 0))</f>
        <v>0.7679999999999999</v>
      </c>
      <c r="BE51">
        <f>-44/12*Table1329[[#This Row],[∆CWPS-soil,i,t (tC/ha)]]</f>
        <v>-2.8159999999999994</v>
      </c>
    </row>
    <row r="52" spans="11:57" x14ac:dyDescent="0.2">
      <c r="K52" s="18">
        <v>2030</v>
      </c>
      <c r="L52">
        <v>2</v>
      </c>
      <c r="M52" cm="1">
        <f t="array" ref="M52">IF(project_aboveground_tree = "Included", INDEX(Table32[[#All],[ΔCTREE_PROJ,i,t (AR Tool 14) t C/yr]], MATCH(1, (Table1221[[#This Row],[year t]]=Table32[[#All],[year t]])*(Table1221[[#This Row],[stratum i]]=Table32[[#All],[stratum i]]), 0)), 0)</f>
        <v>1318.5234501194357</v>
      </c>
      <c r="N52" s="57" cm="1">
        <f t="array" ref="N52">IF(project_aboveground_nontree = "Included", INDEX(#REF!, MATCH(1, (Table1221[[#This Row],[year t]]=Table32[[#All],[year t]])*(Table1221[[#This Row],[stratum i]]=Table32[[#All],[stratum i]]), 0)), 0)</f>
        <v>0</v>
      </c>
      <c r="O52">
        <f>12/44*(Table1221[[#This Row],[ΔCTREE_PROJ,t (AR Tool 14) t CO2e/yr]]+Table1221[[#This Row],[ΔCSHRUB_PROJ,t (AR Tool 14) t CO2e/yr]])</f>
        <v>359.59730457802789</v>
      </c>
      <c r="P52" cm="1">
        <f t="array" ref="P52">IF(project_aboveground_nontree = "Included", IFERROR(INDEX(Table1322[[#All],[ΔCWPS-herb,i,t (Eq 78)]], MATCH(1, (Table1221[[#This Row],[stratum i]]=Table1322[[#All],[stratum i]])*(Table1221[[#This Row],[year t]]&gt;=#REF!)*(Table1221[[#This Row],[year t]]&lt;=Table1322[[#All],[year t]]), 0)), 0), 0)</f>
        <v>0</v>
      </c>
      <c r="Q52">
        <f>Table1221[[#This Row],[ΔCWPS-tree/shrub,i,t (t C/yr) (Eq 75)]]+Table1221[[#This Row],[ΔCWPS-herb,i,t (t C/yr)]]</f>
        <v>359.59730457802789</v>
      </c>
      <c r="R52" cm="1">
        <f t="array" ref="R52">INDEX(Table1423[[#All],[GHGWPS-soil,i,t]], MATCH(1, (Table1221[[#This Row],[year t]]=Table1423[[#All],[year t]])*(Table1221[[#This Row],[stratum i]]=Table1423[[#All],[stratum i]]), 0))</f>
        <v>-5068.6937242757413</v>
      </c>
      <c r="S52">
        <f>IF(project_ff_CO2 = "Included", Table1221[[#This Row],[ET(FC,I,t) AR-Tool 5 WPS]], 0)</f>
        <v>0</v>
      </c>
      <c r="T52" t="e" cm="1">
        <f t="array" ref="T52">INDEX(#REF!, MATCH(1, (Table1221[[#This Row],[year t]]=Table32[[#All],[year t]])*(Table1221[[#This Row],[stratum i]]=Table32[[#All],[stratum i]]), 0))</f>
        <v>#REF!</v>
      </c>
      <c r="AE52" s="18">
        <v>2030</v>
      </c>
      <c r="AF52">
        <v>2</v>
      </c>
      <c r="AG52" s="18" cm="1">
        <f t="array" ref="AG52">INDEX(Table32[[#All],[Ai,t]], MATCH(1, (Table1423[[#This Row],[year t]]=Table32[[#All],[year t]])*(Table1423[[#This Row],[stratum i]]=Table32[[#All],[stratum i]]), 0))</f>
        <v>1982.9786785714284</v>
      </c>
      <c r="AH52" t="str">
        <f>INDEX(Table31[[#All],[Soil type (t=0)]], MATCH(Table1423[[#This Row],[stratum i]], Table31[[#All],[Stratum i]]))</f>
        <v>Mineral soil</v>
      </c>
      <c r="AI52">
        <f>IF(Emission_reduction_from_stock_loss?, INDEX(Table2[[#All],[End_PDT]], MATCH(Table1423[[#This Row],[stratum i]], Table2[[#All],[stratum i]])), crediting_period)</f>
        <v>40</v>
      </c>
      <c r="AJ52">
        <f>IF(Emission_reduction_from_stock_loss?, INDEX(Table2[[#All],[End_SDT]], MATCH(Table1423[[#This Row],[stratum i]], Table2[[#All],[stratum i]])), crediting_period)</f>
        <v>40</v>
      </c>
      <c r="AK52" cm="1">
        <f t="array" ref="AK5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-3.3439999999999999</v>
      </c>
      <c r="AL52" s="30" cm="1">
        <f t="array" ref="AL52">INDEX(Table32[[#All],[%Calloch WPS]], MATCH(1, (Table1423[[#This Row],[year t]]=Table32[[#All],[year t]])*(Table1423[[#This Row],[stratum i]]=Table32[[#All],[stratum i]]), 0))</f>
        <v>23.561573856247001</v>
      </c>
      <c r="AM52">
        <f>IF(project_soil_SOC="Included", IF(Table1423[[#This Row],[Soil]]="Peat soil",0, IF(OR(soil_insitu_approach = "Proxies", soil_insitu_approach = "Field-collected data"), Table1423[[#This Row],[GHGWPS-soil-CO2,i,t]]*(Table1423[[#This Row],[%Calloch WPS]]/100),  Table1423[[#This Row],[GHGWPS-insitu-CO2,i,t]]*(Table1423[[#This Row],[%Calloch WPS]]/100))), 0)</f>
        <v>-0.78789902975289972</v>
      </c>
      <c r="AN52">
        <f>(Table1423[[#This Row],[GHGWPS-soil-CO2,i,t]]-Table1423[[#This Row],[Deductionalloch WPS (Eq 38)]])*Table1423[[#This Row],[Ai,t]]</f>
        <v>-5068.6937242757413</v>
      </c>
      <c r="AO52" cm="1">
        <f t="array" ref="AO52">IF(project_soil_CH4 = "Included", INDEX(Table1830[[#All],[GHGWPS-soil-CH4,i,t (Eq 59)]], MATCH(1, (Table1423[[#This Row],[year t]]=Table1830[[#All],[year t]])*(Table1423[[#This Row],[stratum i]]=Table1830[[#All],[stratum i]]), 0)), 0)</f>
        <v>0</v>
      </c>
      <c r="AP52" cm="1">
        <f t="array" ref="AP52">IF(project_soil_N2O = "Included", INDEX(Table1830[[#All],[GHGWPS-soil-N2O,i,t (Eq 62)]], MATCH(1, (Table1423[[#This Row],[year t]]=Table1830[[#All],[year t]])*(Table1423[[#This Row],[stratum i]]=Table1830[[#All],[stratum i]]), 0)), 0)</f>
        <v>0</v>
      </c>
      <c r="AQ52">
        <f>Table1423[[#This Row],[Ai,t]]*(Table1423[[#This Row],[GHGWPS-soil-CO2,i,t]]-Table1423[[#This Row],[Deductionalloch WPS (Eq 38)]]+Table1423[[#This Row],[GHGWPS-soil-CH4,i,t]]+Table1423[[#This Row],[GHGWPS-soil-N2O,i,t]])</f>
        <v>-5068.6937242757413</v>
      </c>
      <c r="AR52" t="e" cm="1">
        <f t="array" ref="AR52">INDEX(#REF!, MATCH(1, (Table1423[[#This Row],[year t]]=Table32[[#All],[year t]])*(Table1423[[#This Row],[stratum i]]=Table32[[#All],[stratum i]]), 0))</f>
        <v>#REF!</v>
      </c>
      <c r="AS52" t="e" cm="1">
        <f t="array" ref="AS52">INDEX(#REF!, MATCH(1, (Table1423[[#This Row],[year t]]=Table32[[#All],[year t]])*(Table1423[[#This Row],[stratum i]]=Table32[[#All],[stratum i]]), 0))</f>
        <v>#REF!</v>
      </c>
      <c r="AT52" t="e" cm="1">
        <f t="array" ref="AT52">INDEX(#REF!, MATCH(1, (Table1423[[#This Row],[year t]]=Table32[[#All],[year t]])*(Table1423[[#This Row],[stratum i]]=Table32[[#All],[stratum i]]), 0))</f>
        <v>#REF!</v>
      </c>
      <c r="AU52" t="e" cm="1">
        <f t="array" ref="AU52">INDEX(#REF!, MATCH(1, (Table1423[[#This Row],[year t]]=Table32[[#All],[year t]])*(Table1423[[#This Row],[stratum i]]=Table32[[#All],[stratum i]]), 0))</f>
        <v>#REF!</v>
      </c>
      <c r="AV52" s="30"/>
      <c r="BB52" s="18">
        <v>2030</v>
      </c>
      <c r="BC52">
        <v>2</v>
      </c>
      <c r="BD52" cm="1">
        <f t="array" ref="BD52">INDEX(Table32[[#All],[∆CWPS-soil,i,t (tC/ha)]], MATCH(1, (Table1329[[#This Row],[year t]]=Table32[[#All],[year t]])*(Table1329[[#This Row],[stratum i]]=Table32[[#All],[stratum i]]), 0))</f>
        <v>0.91200000000000003</v>
      </c>
      <c r="BE52">
        <f>-44/12*Table1329[[#This Row],[∆CWPS-soil,i,t (tC/ha)]]</f>
        <v>-3.3439999999999999</v>
      </c>
    </row>
    <row r="53" spans="11:57" x14ac:dyDescent="0.2">
      <c r="K53" s="18">
        <v>2031</v>
      </c>
      <c r="L53">
        <v>2</v>
      </c>
      <c r="M53" cm="1">
        <f t="array" ref="M53">IF(project_aboveground_tree = "Included", INDEX(Table32[[#All],[ΔCTREE_PROJ,i,t (AR Tool 14) t C/yr]], MATCH(1, (Table1221[[#This Row],[year t]]=Table32[[#All],[year t]])*(Table1221[[#This Row],[stratum i]]=Table32[[#All],[stratum i]]), 0)), 0)</f>
        <v>2563.7720538525141</v>
      </c>
      <c r="N53" s="57" cm="1">
        <f t="array" ref="N53">IF(project_aboveground_nontree = "Included", INDEX(#REF!, MATCH(1, (Table1221[[#This Row],[year t]]=Table32[[#All],[year t]])*(Table1221[[#This Row],[stratum i]]=Table32[[#All],[stratum i]]), 0)), 0)</f>
        <v>0</v>
      </c>
      <c r="O53">
        <f>12/44*(Table1221[[#This Row],[ΔCTREE_PROJ,t (AR Tool 14) t CO2e/yr]]+Table1221[[#This Row],[ΔCSHRUB_PROJ,t (AR Tool 14) t CO2e/yr]])</f>
        <v>699.21056014159467</v>
      </c>
      <c r="P53" cm="1">
        <f t="array" ref="P53">IF(project_aboveground_nontree = "Included", IFERROR(INDEX(Table1322[[#All],[ΔCWPS-herb,i,t (Eq 78)]], MATCH(1, (Table1221[[#This Row],[stratum i]]=Table1322[[#All],[stratum i]])*(Table1221[[#This Row],[year t]]&gt;=#REF!)*(Table1221[[#This Row],[year t]]&lt;=Table1322[[#All],[year t]]), 0)), 0), 0)</f>
        <v>0</v>
      </c>
      <c r="Q53">
        <f>Table1221[[#This Row],[ΔCWPS-tree/shrub,i,t (t C/yr) (Eq 75)]]+Table1221[[#This Row],[ΔCWPS-herb,i,t (t C/yr)]]</f>
        <v>699.21056014159467</v>
      </c>
      <c r="R53" cm="1">
        <f t="array" ref="R53">INDEX(Table1423[[#All],[GHGWPS-soil,i,t]], MATCH(1, (Table1221[[#This Row],[year t]]=Table1423[[#All],[year t]])*(Table1221[[#This Row],[stratum i]]=Table1423[[#All],[stratum i]]), 0))</f>
        <v>-5869.0137860034893</v>
      </c>
      <c r="S53">
        <f>IF(project_ff_CO2 = "Included", Table1221[[#This Row],[ET(FC,I,t) AR-Tool 5 WPS]], 0)</f>
        <v>0</v>
      </c>
      <c r="T53" t="e" cm="1">
        <f t="array" ref="T53">INDEX(#REF!, MATCH(1, (Table1221[[#This Row],[year t]]=Table32[[#All],[year t]])*(Table1221[[#This Row],[stratum i]]=Table32[[#All],[stratum i]]), 0))</f>
        <v>#REF!</v>
      </c>
      <c r="AE53" s="18">
        <v>2031</v>
      </c>
      <c r="AF53">
        <v>2</v>
      </c>
      <c r="AG53" s="18" cm="1">
        <f t="array" ref="AG53">INDEX(Table32[[#All],[Ai,t]], MATCH(1, (Table1423[[#This Row],[year t]]=Table32[[#All],[year t]])*(Table1423[[#This Row],[stratum i]]=Table32[[#All],[stratum i]]), 0))</f>
        <v>1982.9786785714284</v>
      </c>
      <c r="AH53" t="str">
        <f>INDEX(Table31[[#All],[Soil type (t=0)]], MATCH(Table1423[[#This Row],[stratum i]], Table31[[#All],[Stratum i]]))</f>
        <v>Mineral soil</v>
      </c>
      <c r="AI53">
        <f>IF(Emission_reduction_from_stock_loss?, INDEX(Table2[[#All],[End_PDT]], MATCH(Table1423[[#This Row],[stratum i]], Table2[[#All],[stratum i]])), crediting_period)</f>
        <v>40</v>
      </c>
      <c r="AJ53">
        <f>IF(Emission_reduction_from_stock_loss?, INDEX(Table2[[#All],[End_SDT]], MATCH(Table1423[[#This Row],[stratum i]], Table2[[#All],[stratum i]])), crediting_period)</f>
        <v>40</v>
      </c>
      <c r="AK53" cm="1">
        <f t="array" ref="AK5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-3.8719999999999999</v>
      </c>
      <c r="AL53" s="30" cm="1">
        <f t="array" ref="AL53">INDEX(Table32[[#All],[%Calloch WPS]], MATCH(1, (Table1423[[#This Row],[year t]]=Table32[[#All],[year t]])*(Table1423[[#This Row],[stratum i]]=Table32[[#All],[stratum i]]), 0))</f>
        <v>23.561573856247001</v>
      </c>
      <c r="AM53">
        <f>IF(project_soil_SOC="Included", IF(Table1423[[#This Row],[Soil]]="Peat soil",0, IF(OR(soil_insitu_approach = "Proxies", soil_insitu_approach = "Field-collected data"), Table1423[[#This Row],[GHGWPS-soil-CO2,i,t]]*(Table1423[[#This Row],[%Calloch WPS]]/100),  Table1423[[#This Row],[GHGWPS-insitu-CO2,i,t]]*(Table1423[[#This Row],[%Calloch WPS]]/100))), 0)</f>
        <v>-0.9123041397138838</v>
      </c>
      <c r="AN53">
        <f>(Table1423[[#This Row],[GHGWPS-soil-CO2,i,t]]-Table1423[[#This Row],[Deductionalloch WPS (Eq 38)]])*Table1423[[#This Row],[Ai,t]]</f>
        <v>-5869.0137860034893</v>
      </c>
      <c r="AO53" cm="1">
        <f t="array" ref="AO53">IF(project_soil_CH4 = "Included", INDEX(Table1830[[#All],[GHGWPS-soil-CH4,i,t (Eq 59)]], MATCH(1, (Table1423[[#This Row],[year t]]=Table1830[[#All],[year t]])*(Table1423[[#This Row],[stratum i]]=Table1830[[#All],[stratum i]]), 0)), 0)</f>
        <v>0</v>
      </c>
      <c r="AP53" cm="1">
        <f t="array" ref="AP53">IF(project_soil_N2O = "Included", INDEX(Table1830[[#All],[GHGWPS-soil-N2O,i,t (Eq 62)]], MATCH(1, (Table1423[[#This Row],[year t]]=Table1830[[#All],[year t]])*(Table1423[[#This Row],[stratum i]]=Table1830[[#All],[stratum i]]), 0)), 0)</f>
        <v>0</v>
      </c>
      <c r="AQ53">
        <f>Table1423[[#This Row],[Ai,t]]*(Table1423[[#This Row],[GHGWPS-soil-CO2,i,t]]-Table1423[[#This Row],[Deductionalloch WPS (Eq 38)]]+Table1423[[#This Row],[GHGWPS-soil-CH4,i,t]]+Table1423[[#This Row],[GHGWPS-soil-N2O,i,t]])</f>
        <v>-5869.0137860034893</v>
      </c>
      <c r="AR53" t="e" cm="1">
        <f t="array" ref="AR53">INDEX(#REF!, MATCH(1, (Table1423[[#This Row],[year t]]=Table32[[#All],[year t]])*(Table1423[[#This Row],[stratum i]]=Table32[[#All],[stratum i]]), 0))</f>
        <v>#REF!</v>
      </c>
      <c r="AS53" t="e" cm="1">
        <f t="array" ref="AS53">INDEX(#REF!, MATCH(1, (Table1423[[#This Row],[year t]]=Table32[[#All],[year t]])*(Table1423[[#This Row],[stratum i]]=Table32[[#All],[stratum i]]), 0))</f>
        <v>#REF!</v>
      </c>
      <c r="AT53" t="e" cm="1">
        <f t="array" ref="AT53">INDEX(#REF!, MATCH(1, (Table1423[[#This Row],[year t]]=Table32[[#All],[year t]])*(Table1423[[#This Row],[stratum i]]=Table32[[#All],[stratum i]]), 0))</f>
        <v>#REF!</v>
      </c>
      <c r="AU53" t="e" cm="1">
        <f t="array" ref="AU53">INDEX(#REF!, MATCH(1, (Table1423[[#This Row],[year t]]=Table32[[#All],[year t]])*(Table1423[[#This Row],[stratum i]]=Table32[[#All],[stratum i]]), 0))</f>
        <v>#REF!</v>
      </c>
      <c r="AV53" s="30"/>
      <c r="BB53" s="18">
        <v>2031</v>
      </c>
      <c r="BC53">
        <v>2</v>
      </c>
      <c r="BD53" cm="1">
        <f t="array" ref="BD53">INDEX(Table32[[#All],[∆CWPS-soil,i,t (tC/ha)]], MATCH(1, (Table1329[[#This Row],[year t]]=Table32[[#All],[year t]])*(Table1329[[#This Row],[stratum i]]=Table32[[#All],[stratum i]]), 0))</f>
        <v>1.056</v>
      </c>
      <c r="BE53">
        <f>-44/12*Table1329[[#This Row],[∆CWPS-soil,i,t (tC/ha)]]</f>
        <v>-3.8719999999999999</v>
      </c>
    </row>
    <row r="54" spans="11:57" x14ac:dyDescent="0.2">
      <c r="K54" s="18">
        <v>2032</v>
      </c>
      <c r="L54">
        <v>2</v>
      </c>
      <c r="M54" cm="1">
        <f t="array" ref="M54">IF(project_aboveground_tree = "Included", INDEX(Table32[[#All],[ΔCTREE_PROJ,i,t (AR Tool 14) t C/yr]], MATCH(1, (Table1221[[#This Row],[year t]]=Table32[[#All],[year t]])*(Table1221[[#This Row],[stratum i]]=Table32[[#All],[stratum i]]), 0)), 0)</f>
        <v>4376.876051986419</v>
      </c>
      <c r="N54" s="57" cm="1">
        <f t="array" ref="N54">IF(project_aboveground_nontree = "Included", INDEX(#REF!, MATCH(1, (Table1221[[#This Row],[year t]]=Table32[[#All],[year t]])*(Table1221[[#This Row],[stratum i]]=Table32[[#All],[stratum i]]), 0)), 0)</f>
        <v>0</v>
      </c>
      <c r="O54">
        <f>12/44*(Table1221[[#This Row],[ΔCTREE_PROJ,t (AR Tool 14) t CO2e/yr]]+Table1221[[#This Row],[ΔCSHRUB_PROJ,t (AR Tool 14) t CO2e/yr]])</f>
        <v>1193.6934687235687</v>
      </c>
      <c r="P54" cm="1">
        <f t="array" ref="P54">IF(project_aboveground_nontree = "Included", IFERROR(INDEX(Table1322[[#All],[ΔCWPS-herb,i,t (Eq 78)]], MATCH(1, (Table1221[[#This Row],[stratum i]]=Table1322[[#All],[stratum i]])*(Table1221[[#This Row],[year t]]&gt;=#REF!)*(Table1221[[#This Row],[year t]]&lt;=Table1322[[#All],[year t]]), 0)), 0), 0)</f>
        <v>0</v>
      </c>
      <c r="Q54">
        <f>Table1221[[#This Row],[ΔCWPS-tree/shrub,i,t (t C/yr) (Eq 75)]]+Table1221[[#This Row],[ΔCWPS-herb,i,t (t C/yr)]]</f>
        <v>1193.6934687235687</v>
      </c>
      <c r="R54" cm="1">
        <f t="array" ref="R54">INDEX(Table1423[[#All],[GHGWPS-soil,i,t]], MATCH(1, (Table1221[[#This Row],[year t]]=Table1423[[#All],[year t]])*(Table1221[[#This Row],[stratum i]]=Table1423[[#All],[stratum i]]), 0))</f>
        <v>-13338.667695462475</v>
      </c>
      <c r="S54">
        <f>IF(project_ff_CO2 = "Included", Table1221[[#This Row],[ET(FC,I,t) AR-Tool 5 WPS]], 0)</f>
        <v>0</v>
      </c>
      <c r="T54" t="e" cm="1">
        <f t="array" ref="T54">INDEX(#REF!, MATCH(1, (Table1221[[#This Row],[year t]]=Table32[[#All],[year t]])*(Table1221[[#This Row],[stratum i]]=Table32[[#All],[stratum i]]), 0))</f>
        <v>#REF!</v>
      </c>
      <c r="AE54" s="18">
        <v>2032</v>
      </c>
      <c r="AF54">
        <v>2</v>
      </c>
      <c r="AG54" s="18" cm="1">
        <f t="array" ref="AG54">INDEX(Table32[[#All],[Ai,t]], MATCH(1, (Table1423[[#This Row],[year t]]=Table32[[#All],[year t]])*(Table1423[[#This Row],[stratum i]]=Table32[[#All],[stratum i]]), 0))</f>
        <v>1982.9786785714284</v>
      </c>
      <c r="AH54" t="str">
        <f>INDEX(Table31[[#All],[Soil type (t=0)]], MATCH(Table1423[[#This Row],[stratum i]], Table31[[#All],[Stratum i]]))</f>
        <v>Mineral soil</v>
      </c>
      <c r="AI54">
        <f>IF(Emission_reduction_from_stock_loss?, INDEX(Table2[[#All],[End_PDT]], MATCH(Table1423[[#This Row],[stratum i]], Table2[[#All],[stratum i]])), crediting_period)</f>
        <v>40</v>
      </c>
      <c r="AJ54">
        <f>IF(Emission_reduction_from_stock_loss?, INDEX(Table2[[#All],[End_SDT]], MATCH(Table1423[[#This Row],[stratum i]], Table2[[#All],[stratum i]])), crediting_period)</f>
        <v>40</v>
      </c>
      <c r="AK54" cm="1">
        <f t="array" ref="AK5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4" s="30" cm="1">
        <f t="array" ref="AL54">INDEX(Table32[[#All],[%Calloch WPS]], MATCH(1, (Table1423[[#This Row],[year t]]=Table32[[#All],[year t]])*(Table1423[[#This Row],[stratum i]]=Table32[[#All],[stratum i]]), 0))</f>
        <v>23.561573856247001</v>
      </c>
      <c r="AM5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4">
        <f>(Table1423[[#This Row],[GHGWPS-soil-CO2,i,t]]-Table1423[[#This Row],[Deductionalloch WPS (Eq 38)]])*Table1423[[#This Row],[Ai,t]]</f>
        <v>-13338.667695462475</v>
      </c>
      <c r="AO54" cm="1">
        <f t="array" ref="AO54">IF(project_soil_CH4 = "Included", INDEX(Table1830[[#All],[GHGWPS-soil-CH4,i,t (Eq 59)]], MATCH(1, (Table1423[[#This Row],[year t]]=Table1830[[#All],[year t]])*(Table1423[[#This Row],[stratum i]]=Table1830[[#All],[stratum i]]), 0)), 0)</f>
        <v>0</v>
      </c>
      <c r="AP54" cm="1">
        <f t="array" ref="AP54">IF(project_soil_N2O = "Included", INDEX(Table1830[[#All],[GHGWPS-soil-N2O,i,t (Eq 62)]], MATCH(1, (Table1423[[#This Row],[year t]]=Table1830[[#All],[year t]])*(Table1423[[#This Row],[stratum i]]=Table1830[[#All],[stratum i]]), 0)), 0)</f>
        <v>0</v>
      </c>
      <c r="AQ54">
        <f>Table1423[[#This Row],[Ai,t]]*(Table1423[[#This Row],[GHGWPS-soil-CO2,i,t]]-Table1423[[#This Row],[Deductionalloch WPS (Eq 38)]]+Table1423[[#This Row],[GHGWPS-soil-CH4,i,t]]+Table1423[[#This Row],[GHGWPS-soil-N2O,i,t]])</f>
        <v>-13338.667695462475</v>
      </c>
      <c r="AR54" t="e" cm="1">
        <f t="array" ref="AR54">INDEX(#REF!, MATCH(1, (Table1423[[#This Row],[year t]]=Table32[[#All],[year t]])*(Table1423[[#This Row],[stratum i]]=Table32[[#All],[stratum i]]), 0))</f>
        <v>#REF!</v>
      </c>
      <c r="AS54" t="e" cm="1">
        <f t="array" ref="AS54">INDEX(#REF!, MATCH(1, (Table1423[[#This Row],[year t]]=Table32[[#All],[year t]])*(Table1423[[#This Row],[stratum i]]=Table32[[#All],[stratum i]]), 0))</f>
        <v>#REF!</v>
      </c>
      <c r="AT54" t="e" cm="1">
        <f t="array" ref="AT54">INDEX(#REF!, MATCH(1, (Table1423[[#This Row],[year t]]=Table32[[#All],[year t]])*(Table1423[[#This Row],[stratum i]]=Table32[[#All],[stratum i]]), 0))</f>
        <v>#REF!</v>
      </c>
      <c r="AU54" t="e" cm="1">
        <f t="array" ref="AU54">INDEX(#REF!, MATCH(1, (Table1423[[#This Row],[year t]]=Table32[[#All],[year t]])*(Table1423[[#This Row],[stratum i]]=Table32[[#All],[stratum i]]), 0))</f>
        <v>#REF!</v>
      </c>
      <c r="AV54" s="30"/>
      <c r="BB54" s="18">
        <v>2032</v>
      </c>
      <c r="BC54">
        <v>2</v>
      </c>
      <c r="BD54" cm="1">
        <f t="array" ref="BD54">INDEX(Table32[[#All],[∆CWPS-soil,i,t (tC/ha)]], MATCH(1, (Table1329[[#This Row],[year t]]=Table32[[#All],[year t]])*(Table1329[[#This Row],[stratum i]]=Table32[[#All],[stratum i]]), 0))</f>
        <v>2.4</v>
      </c>
      <c r="BE54">
        <f>-44/12*Table1329[[#This Row],[∆CWPS-soil,i,t (tC/ha)]]</f>
        <v>-8.7999999999999989</v>
      </c>
    </row>
    <row r="55" spans="11:57" x14ac:dyDescent="0.2">
      <c r="K55" s="18">
        <v>2033</v>
      </c>
      <c r="L55">
        <v>2</v>
      </c>
      <c r="M55" cm="1">
        <f t="array" ref="M55">IF(project_aboveground_tree = "Included", INDEX(Table32[[#All],[ΔCTREE_PROJ,i,t (AR Tool 14) t C/yr]], MATCH(1, (Table1221[[#This Row],[year t]]=Table32[[#All],[year t]])*(Table1221[[#This Row],[stratum i]]=Table32[[#All],[stratum i]]), 0)), 0)</f>
        <v>6744.044847380499</v>
      </c>
      <c r="N55" s="57" cm="1">
        <f t="array" ref="N55">IF(project_aboveground_nontree = "Included", INDEX(#REF!, MATCH(1, (Table1221[[#This Row],[year t]]=Table32[[#All],[year t]])*(Table1221[[#This Row],[stratum i]]=Table32[[#All],[stratum i]]), 0)), 0)</f>
        <v>0</v>
      </c>
      <c r="O55">
        <f>12/44*(Table1221[[#This Row],[ΔCTREE_PROJ,t (AR Tool 14) t CO2e/yr]]+Table1221[[#This Row],[ΔCSHRUB_PROJ,t (AR Tool 14) t CO2e/yr]])</f>
        <v>1839.2849583764996</v>
      </c>
      <c r="P55" cm="1">
        <f t="array" ref="P55">IF(project_aboveground_nontree = "Included", IFERROR(INDEX(Table1322[[#All],[ΔCWPS-herb,i,t (Eq 78)]], MATCH(1, (Table1221[[#This Row],[stratum i]]=Table1322[[#All],[stratum i]])*(Table1221[[#This Row],[year t]]&gt;=#REF!)*(Table1221[[#This Row],[year t]]&lt;=Table1322[[#All],[year t]]), 0)), 0), 0)</f>
        <v>0</v>
      </c>
      <c r="Q55">
        <f>Table1221[[#This Row],[ΔCWPS-tree/shrub,i,t (t C/yr) (Eq 75)]]+Table1221[[#This Row],[ΔCWPS-herb,i,t (t C/yr)]]</f>
        <v>1839.2849583764996</v>
      </c>
      <c r="R55" cm="1">
        <f t="array" ref="R55">INDEX(Table1423[[#All],[GHGWPS-soil,i,t]], MATCH(1, (Table1221[[#This Row],[year t]]=Table1423[[#All],[year t]])*(Table1221[[#This Row],[stratum i]]=Table1423[[#All],[stratum i]]), 0))</f>
        <v>-13338.667695462475</v>
      </c>
      <c r="S55">
        <f>IF(project_ff_CO2 = "Included", Table1221[[#This Row],[ET(FC,I,t) AR-Tool 5 WPS]], 0)</f>
        <v>0</v>
      </c>
      <c r="T55" t="e" cm="1">
        <f t="array" ref="T55">INDEX(#REF!, MATCH(1, (Table1221[[#This Row],[year t]]=Table32[[#All],[year t]])*(Table1221[[#This Row],[stratum i]]=Table32[[#All],[stratum i]]), 0))</f>
        <v>#REF!</v>
      </c>
      <c r="AE55" s="18">
        <v>2033</v>
      </c>
      <c r="AF55">
        <v>2</v>
      </c>
      <c r="AG55" s="18" cm="1">
        <f t="array" ref="AG55">INDEX(Table32[[#All],[Ai,t]], MATCH(1, (Table1423[[#This Row],[year t]]=Table32[[#All],[year t]])*(Table1423[[#This Row],[stratum i]]=Table32[[#All],[stratum i]]), 0))</f>
        <v>1982.9786785714284</v>
      </c>
      <c r="AH55" t="str">
        <f>INDEX(Table31[[#All],[Soil type (t=0)]], MATCH(Table1423[[#This Row],[stratum i]], Table31[[#All],[Stratum i]]))</f>
        <v>Mineral soil</v>
      </c>
      <c r="AI55">
        <f>IF(Emission_reduction_from_stock_loss?, INDEX(Table2[[#All],[End_PDT]], MATCH(Table1423[[#This Row],[stratum i]], Table2[[#All],[stratum i]])), crediting_period)</f>
        <v>40</v>
      </c>
      <c r="AJ55">
        <f>IF(Emission_reduction_from_stock_loss?, INDEX(Table2[[#All],[End_SDT]], MATCH(Table1423[[#This Row],[stratum i]], Table2[[#All],[stratum i]])), crediting_period)</f>
        <v>40</v>
      </c>
      <c r="AK55" cm="1">
        <f t="array" ref="AK5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5" s="30" cm="1">
        <f t="array" ref="AL55">INDEX(Table32[[#All],[%Calloch WPS]], MATCH(1, (Table1423[[#This Row],[year t]]=Table32[[#All],[year t]])*(Table1423[[#This Row],[stratum i]]=Table32[[#All],[stratum i]]), 0))</f>
        <v>23.561573856247001</v>
      </c>
      <c r="AM5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5">
        <f>(Table1423[[#This Row],[GHGWPS-soil-CO2,i,t]]-Table1423[[#This Row],[Deductionalloch WPS (Eq 38)]])*Table1423[[#This Row],[Ai,t]]</f>
        <v>-13338.667695462475</v>
      </c>
      <c r="AO55" cm="1">
        <f t="array" ref="AO55">IF(project_soil_CH4 = "Included", INDEX(Table1830[[#All],[GHGWPS-soil-CH4,i,t (Eq 59)]], MATCH(1, (Table1423[[#This Row],[year t]]=Table1830[[#All],[year t]])*(Table1423[[#This Row],[stratum i]]=Table1830[[#All],[stratum i]]), 0)), 0)</f>
        <v>0</v>
      </c>
      <c r="AP55" cm="1">
        <f t="array" ref="AP55">IF(project_soil_N2O = "Included", INDEX(Table1830[[#All],[GHGWPS-soil-N2O,i,t (Eq 62)]], MATCH(1, (Table1423[[#This Row],[year t]]=Table1830[[#All],[year t]])*(Table1423[[#This Row],[stratum i]]=Table1830[[#All],[stratum i]]), 0)), 0)</f>
        <v>0</v>
      </c>
      <c r="AQ55">
        <f>Table1423[[#This Row],[Ai,t]]*(Table1423[[#This Row],[GHGWPS-soil-CO2,i,t]]-Table1423[[#This Row],[Deductionalloch WPS (Eq 38)]]+Table1423[[#This Row],[GHGWPS-soil-CH4,i,t]]+Table1423[[#This Row],[GHGWPS-soil-N2O,i,t]])</f>
        <v>-13338.667695462475</v>
      </c>
      <c r="AR55" t="e" cm="1">
        <f t="array" ref="AR55">INDEX(#REF!, MATCH(1, (Table1423[[#This Row],[year t]]=Table32[[#All],[year t]])*(Table1423[[#This Row],[stratum i]]=Table32[[#All],[stratum i]]), 0))</f>
        <v>#REF!</v>
      </c>
      <c r="AS55" t="e" cm="1">
        <f t="array" ref="AS55">INDEX(#REF!, MATCH(1, (Table1423[[#This Row],[year t]]=Table32[[#All],[year t]])*(Table1423[[#This Row],[stratum i]]=Table32[[#All],[stratum i]]), 0))</f>
        <v>#REF!</v>
      </c>
      <c r="AT55" t="e" cm="1">
        <f t="array" ref="AT55">INDEX(#REF!, MATCH(1, (Table1423[[#This Row],[year t]]=Table32[[#All],[year t]])*(Table1423[[#This Row],[stratum i]]=Table32[[#All],[stratum i]]), 0))</f>
        <v>#REF!</v>
      </c>
      <c r="AU55" t="e" cm="1">
        <f t="array" ref="AU55">INDEX(#REF!, MATCH(1, (Table1423[[#This Row],[year t]]=Table32[[#All],[year t]])*(Table1423[[#This Row],[stratum i]]=Table32[[#All],[stratum i]]), 0))</f>
        <v>#REF!</v>
      </c>
      <c r="AV55" s="30"/>
      <c r="BB55" s="18">
        <v>2033</v>
      </c>
      <c r="BC55">
        <v>2</v>
      </c>
      <c r="BD55" cm="1">
        <f t="array" ref="BD55">INDEX(Table32[[#All],[∆CWPS-soil,i,t (tC/ha)]], MATCH(1, (Table1329[[#This Row],[year t]]=Table32[[#All],[year t]])*(Table1329[[#This Row],[stratum i]]=Table32[[#All],[stratum i]]), 0))</f>
        <v>2.4</v>
      </c>
      <c r="BE55">
        <f>-44/12*Table1329[[#This Row],[∆CWPS-soil,i,t (tC/ha)]]</f>
        <v>-8.7999999999999989</v>
      </c>
    </row>
    <row r="56" spans="11:57" x14ac:dyDescent="0.2">
      <c r="K56" s="18">
        <v>2034</v>
      </c>
      <c r="L56">
        <v>2</v>
      </c>
      <c r="M56" cm="1">
        <f t="array" ref="M56">IF(project_aboveground_tree = "Included", INDEX(Table32[[#All],[ΔCTREE_PROJ,i,t (AR Tool 14) t C/yr]], MATCH(1, (Table1221[[#This Row],[year t]]=Table32[[#All],[year t]])*(Table1221[[#This Row],[stratum i]]=Table32[[#All],[stratum i]]), 0)), 0)</f>
        <v>9569.9579234827161</v>
      </c>
      <c r="N56" s="57" cm="1">
        <f t="array" ref="N56">IF(project_aboveground_nontree = "Included", INDEX(#REF!, MATCH(1, (Table1221[[#This Row],[year t]]=Table32[[#All],[year t]])*(Table1221[[#This Row],[stratum i]]=Table32[[#All],[stratum i]]), 0)), 0)</f>
        <v>0</v>
      </c>
      <c r="O56">
        <f>12/44*(Table1221[[#This Row],[ΔCTREE_PROJ,t (AR Tool 14) t CO2e/yr]]+Table1221[[#This Row],[ΔCSHRUB_PROJ,t (AR Tool 14) t CO2e/yr]])</f>
        <v>2609.9885245861951</v>
      </c>
      <c r="P56" cm="1">
        <f t="array" ref="P56">IF(project_aboveground_nontree = "Included", IFERROR(INDEX(Table1322[[#All],[ΔCWPS-herb,i,t (Eq 78)]], MATCH(1, (Table1221[[#This Row],[stratum i]]=Table1322[[#All],[stratum i]])*(Table1221[[#This Row],[year t]]&gt;=#REF!)*(Table1221[[#This Row],[year t]]&lt;=Table1322[[#All],[year t]]), 0)), 0), 0)</f>
        <v>0</v>
      </c>
      <c r="Q56">
        <f>Table1221[[#This Row],[ΔCWPS-tree/shrub,i,t (t C/yr) (Eq 75)]]+Table1221[[#This Row],[ΔCWPS-herb,i,t (t C/yr)]]</f>
        <v>2609.9885245861951</v>
      </c>
      <c r="R56" cm="1">
        <f t="array" ref="R56">INDEX(Table1423[[#All],[GHGWPS-soil,i,t]], MATCH(1, (Table1221[[#This Row],[year t]]=Table1423[[#All],[year t]])*(Table1221[[#This Row],[stratum i]]=Table1423[[#All],[stratum i]]), 0))</f>
        <v>-13338.667695462475</v>
      </c>
      <c r="S56">
        <f>IF(project_ff_CO2 = "Included", Table1221[[#This Row],[ET(FC,I,t) AR-Tool 5 WPS]], 0)</f>
        <v>0</v>
      </c>
      <c r="T56" t="e" cm="1">
        <f t="array" ref="T56">INDEX(#REF!, MATCH(1, (Table1221[[#This Row],[year t]]=Table32[[#All],[year t]])*(Table1221[[#This Row],[stratum i]]=Table32[[#All],[stratum i]]), 0))</f>
        <v>#REF!</v>
      </c>
      <c r="AE56" s="18">
        <v>2034</v>
      </c>
      <c r="AF56">
        <v>2</v>
      </c>
      <c r="AG56" s="18" cm="1">
        <f t="array" ref="AG56">INDEX(Table32[[#All],[Ai,t]], MATCH(1, (Table1423[[#This Row],[year t]]=Table32[[#All],[year t]])*(Table1423[[#This Row],[stratum i]]=Table32[[#All],[stratum i]]), 0))</f>
        <v>1982.9786785714284</v>
      </c>
      <c r="AH56" t="str">
        <f>INDEX(Table31[[#All],[Soil type (t=0)]], MATCH(Table1423[[#This Row],[stratum i]], Table31[[#All],[Stratum i]]))</f>
        <v>Mineral soil</v>
      </c>
      <c r="AI56">
        <f>IF(Emission_reduction_from_stock_loss?, INDEX(Table2[[#All],[End_PDT]], MATCH(Table1423[[#This Row],[stratum i]], Table2[[#All],[stratum i]])), crediting_period)</f>
        <v>40</v>
      </c>
      <c r="AJ56">
        <f>IF(Emission_reduction_from_stock_loss?, INDEX(Table2[[#All],[End_SDT]], MATCH(Table1423[[#This Row],[stratum i]], Table2[[#All],[stratum i]])), crediting_period)</f>
        <v>40</v>
      </c>
      <c r="AK56" cm="1">
        <f t="array" ref="AK5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6" s="30" cm="1">
        <f t="array" ref="AL56">INDEX(Table32[[#All],[%Calloch WPS]], MATCH(1, (Table1423[[#This Row],[year t]]=Table32[[#All],[year t]])*(Table1423[[#This Row],[stratum i]]=Table32[[#All],[stratum i]]), 0))</f>
        <v>23.561573856247001</v>
      </c>
      <c r="AM5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6">
        <f>(Table1423[[#This Row],[GHGWPS-soil-CO2,i,t]]-Table1423[[#This Row],[Deductionalloch WPS (Eq 38)]])*Table1423[[#This Row],[Ai,t]]</f>
        <v>-13338.667695462475</v>
      </c>
      <c r="AO56" cm="1">
        <f t="array" ref="AO56">IF(project_soil_CH4 = "Included", INDEX(Table1830[[#All],[GHGWPS-soil-CH4,i,t (Eq 59)]], MATCH(1, (Table1423[[#This Row],[year t]]=Table1830[[#All],[year t]])*(Table1423[[#This Row],[stratum i]]=Table1830[[#All],[stratum i]]), 0)), 0)</f>
        <v>0</v>
      </c>
      <c r="AP56" cm="1">
        <f t="array" ref="AP56">IF(project_soil_N2O = "Included", INDEX(Table1830[[#All],[GHGWPS-soil-N2O,i,t (Eq 62)]], MATCH(1, (Table1423[[#This Row],[year t]]=Table1830[[#All],[year t]])*(Table1423[[#This Row],[stratum i]]=Table1830[[#All],[stratum i]]), 0)), 0)</f>
        <v>0</v>
      </c>
      <c r="AQ56">
        <f>Table1423[[#This Row],[Ai,t]]*(Table1423[[#This Row],[GHGWPS-soil-CO2,i,t]]-Table1423[[#This Row],[Deductionalloch WPS (Eq 38)]]+Table1423[[#This Row],[GHGWPS-soil-CH4,i,t]]+Table1423[[#This Row],[GHGWPS-soil-N2O,i,t]])</f>
        <v>-13338.667695462475</v>
      </c>
      <c r="AR56" t="e" cm="1">
        <f t="array" ref="AR56">INDEX(#REF!, MATCH(1, (Table1423[[#This Row],[year t]]=Table32[[#All],[year t]])*(Table1423[[#This Row],[stratum i]]=Table32[[#All],[stratum i]]), 0))</f>
        <v>#REF!</v>
      </c>
      <c r="AS56" t="e" cm="1">
        <f t="array" ref="AS56">INDEX(#REF!, MATCH(1, (Table1423[[#This Row],[year t]]=Table32[[#All],[year t]])*(Table1423[[#This Row],[stratum i]]=Table32[[#All],[stratum i]]), 0))</f>
        <v>#REF!</v>
      </c>
      <c r="AT56" t="e" cm="1">
        <f t="array" ref="AT56">INDEX(#REF!, MATCH(1, (Table1423[[#This Row],[year t]]=Table32[[#All],[year t]])*(Table1423[[#This Row],[stratum i]]=Table32[[#All],[stratum i]]), 0))</f>
        <v>#REF!</v>
      </c>
      <c r="AU56" t="e" cm="1">
        <f t="array" ref="AU56">INDEX(#REF!, MATCH(1, (Table1423[[#This Row],[year t]]=Table32[[#All],[year t]])*(Table1423[[#This Row],[stratum i]]=Table32[[#All],[stratum i]]), 0))</f>
        <v>#REF!</v>
      </c>
      <c r="AV56" s="30"/>
      <c r="BB56" s="18">
        <v>2034</v>
      </c>
      <c r="BC56">
        <v>2</v>
      </c>
      <c r="BD56" cm="1">
        <f t="array" ref="BD56">INDEX(Table32[[#All],[∆CWPS-soil,i,t (tC/ha)]], MATCH(1, (Table1329[[#This Row],[year t]]=Table32[[#All],[year t]])*(Table1329[[#This Row],[stratum i]]=Table32[[#All],[stratum i]]), 0))</f>
        <v>2.4</v>
      </c>
      <c r="BE56">
        <f>-44/12*Table1329[[#This Row],[∆CWPS-soil,i,t (tC/ha)]]</f>
        <v>-8.7999999999999989</v>
      </c>
    </row>
    <row r="57" spans="11:57" x14ac:dyDescent="0.2">
      <c r="K57" s="18">
        <v>2035</v>
      </c>
      <c r="L57">
        <v>2</v>
      </c>
      <c r="M57" cm="1">
        <f t="array" ref="M57">IF(project_aboveground_tree = "Included", INDEX(Table32[[#All],[ΔCTREE_PROJ,i,t (AR Tool 14) t C/yr]], MATCH(1, (Table1221[[#This Row],[year t]]=Table32[[#All],[year t]])*(Table1221[[#This Row],[stratum i]]=Table32[[#All],[stratum i]]), 0)), 0)</f>
        <v>12697.654159098922</v>
      </c>
      <c r="N57" s="57" cm="1">
        <f t="array" ref="N57">IF(project_aboveground_nontree = "Included", INDEX(#REF!, MATCH(1, (Table1221[[#This Row],[year t]]=Table32[[#All],[year t]])*(Table1221[[#This Row],[stratum i]]=Table32[[#All],[stratum i]]), 0)), 0)</f>
        <v>0</v>
      </c>
      <c r="O57">
        <f>12/44*(Table1221[[#This Row],[ΔCTREE_PROJ,t (AR Tool 14) t CO2e/yr]]+Table1221[[#This Row],[ΔCSHRUB_PROJ,t (AR Tool 14) t CO2e/yr]])</f>
        <v>3462.9965888451602</v>
      </c>
      <c r="P57" cm="1">
        <f t="array" ref="P57">IF(project_aboveground_nontree = "Included", IFERROR(INDEX(Table1322[[#All],[ΔCWPS-herb,i,t (Eq 78)]], MATCH(1, (Table1221[[#This Row],[stratum i]]=Table1322[[#All],[stratum i]])*(Table1221[[#This Row],[year t]]&gt;=#REF!)*(Table1221[[#This Row],[year t]]&lt;=Table1322[[#All],[year t]]), 0)), 0), 0)</f>
        <v>0</v>
      </c>
      <c r="Q57">
        <f>Table1221[[#This Row],[ΔCWPS-tree/shrub,i,t (t C/yr) (Eq 75)]]+Table1221[[#This Row],[ΔCWPS-herb,i,t (t C/yr)]]</f>
        <v>3462.9965888451602</v>
      </c>
      <c r="R57" cm="1">
        <f t="array" ref="R57">INDEX(Table1423[[#All],[GHGWPS-soil,i,t]], MATCH(1, (Table1221[[#This Row],[year t]]=Table1423[[#All],[year t]])*(Table1221[[#This Row],[stratum i]]=Table1423[[#All],[stratum i]]), 0))</f>
        <v>-13338.667695462475</v>
      </c>
      <c r="S57">
        <f>IF(project_ff_CO2 = "Included", Table1221[[#This Row],[ET(FC,I,t) AR-Tool 5 WPS]], 0)</f>
        <v>0</v>
      </c>
      <c r="T57" t="e" cm="1">
        <f t="array" ref="T57">INDEX(#REF!, MATCH(1, (Table1221[[#This Row],[year t]]=Table32[[#All],[year t]])*(Table1221[[#This Row],[stratum i]]=Table32[[#All],[stratum i]]), 0))</f>
        <v>#REF!</v>
      </c>
      <c r="AE57" s="18">
        <v>2035</v>
      </c>
      <c r="AF57">
        <v>2</v>
      </c>
      <c r="AG57" s="18" cm="1">
        <f t="array" ref="AG57">INDEX(Table32[[#All],[Ai,t]], MATCH(1, (Table1423[[#This Row],[year t]]=Table32[[#All],[year t]])*(Table1423[[#This Row],[stratum i]]=Table32[[#All],[stratum i]]), 0))</f>
        <v>1982.9786785714284</v>
      </c>
      <c r="AH57" t="str">
        <f>INDEX(Table31[[#All],[Soil type (t=0)]], MATCH(Table1423[[#This Row],[stratum i]], Table31[[#All],[Stratum i]]))</f>
        <v>Mineral soil</v>
      </c>
      <c r="AI57">
        <f>IF(Emission_reduction_from_stock_loss?, INDEX(Table2[[#All],[End_PDT]], MATCH(Table1423[[#This Row],[stratum i]], Table2[[#All],[stratum i]])), crediting_period)</f>
        <v>40</v>
      </c>
      <c r="AJ57">
        <f>IF(Emission_reduction_from_stock_loss?, INDEX(Table2[[#All],[End_SDT]], MATCH(Table1423[[#This Row],[stratum i]], Table2[[#All],[stratum i]])), crediting_period)</f>
        <v>40</v>
      </c>
      <c r="AK57" cm="1">
        <f t="array" ref="AK5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7" s="30" cm="1">
        <f t="array" ref="AL57">INDEX(Table32[[#All],[%Calloch WPS]], MATCH(1, (Table1423[[#This Row],[year t]]=Table32[[#All],[year t]])*(Table1423[[#This Row],[stratum i]]=Table32[[#All],[stratum i]]), 0))</f>
        <v>23.561573856247001</v>
      </c>
      <c r="AM5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7">
        <f>(Table1423[[#This Row],[GHGWPS-soil-CO2,i,t]]-Table1423[[#This Row],[Deductionalloch WPS (Eq 38)]])*Table1423[[#This Row],[Ai,t]]</f>
        <v>-13338.667695462475</v>
      </c>
      <c r="AO57" cm="1">
        <f t="array" ref="AO57">IF(project_soil_CH4 = "Included", INDEX(Table1830[[#All],[GHGWPS-soil-CH4,i,t (Eq 59)]], MATCH(1, (Table1423[[#This Row],[year t]]=Table1830[[#All],[year t]])*(Table1423[[#This Row],[stratum i]]=Table1830[[#All],[stratum i]]), 0)), 0)</f>
        <v>0</v>
      </c>
      <c r="AP57" cm="1">
        <f t="array" ref="AP57">IF(project_soil_N2O = "Included", INDEX(Table1830[[#All],[GHGWPS-soil-N2O,i,t (Eq 62)]], MATCH(1, (Table1423[[#This Row],[year t]]=Table1830[[#All],[year t]])*(Table1423[[#This Row],[stratum i]]=Table1830[[#All],[stratum i]]), 0)), 0)</f>
        <v>0</v>
      </c>
      <c r="AQ57">
        <f>Table1423[[#This Row],[Ai,t]]*(Table1423[[#This Row],[GHGWPS-soil-CO2,i,t]]-Table1423[[#This Row],[Deductionalloch WPS (Eq 38)]]+Table1423[[#This Row],[GHGWPS-soil-CH4,i,t]]+Table1423[[#This Row],[GHGWPS-soil-N2O,i,t]])</f>
        <v>-13338.667695462475</v>
      </c>
      <c r="AR57" t="e" cm="1">
        <f t="array" ref="AR57">INDEX(#REF!, MATCH(1, (Table1423[[#This Row],[year t]]=Table32[[#All],[year t]])*(Table1423[[#This Row],[stratum i]]=Table32[[#All],[stratum i]]), 0))</f>
        <v>#REF!</v>
      </c>
      <c r="AS57" t="e" cm="1">
        <f t="array" ref="AS57">INDEX(#REF!, MATCH(1, (Table1423[[#This Row],[year t]]=Table32[[#All],[year t]])*(Table1423[[#This Row],[stratum i]]=Table32[[#All],[stratum i]]), 0))</f>
        <v>#REF!</v>
      </c>
      <c r="AT57" t="e" cm="1">
        <f t="array" ref="AT57">INDEX(#REF!, MATCH(1, (Table1423[[#This Row],[year t]]=Table32[[#All],[year t]])*(Table1423[[#This Row],[stratum i]]=Table32[[#All],[stratum i]]), 0))</f>
        <v>#REF!</v>
      </c>
      <c r="AU57" t="e" cm="1">
        <f t="array" ref="AU57">INDEX(#REF!, MATCH(1, (Table1423[[#This Row],[year t]]=Table32[[#All],[year t]])*(Table1423[[#This Row],[stratum i]]=Table32[[#All],[stratum i]]), 0))</f>
        <v>#REF!</v>
      </c>
      <c r="AV57" s="30"/>
      <c r="BB57" s="18">
        <v>2035</v>
      </c>
      <c r="BC57">
        <v>2</v>
      </c>
      <c r="BD57" cm="1">
        <f t="array" ref="BD57">INDEX(Table32[[#All],[∆CWPS-soil,i,t (tC/ha)]], MATCH(1, (Table1329[[#This Row],[year t]]=Table32[[#All],[year t]])*(Table1329[[#This Row],[stratum i]]=Table32[[#All],[stratum i]]), 0))</f>
        <v>2.4</v>
      </c>
      <c r="BE57">
        <f>-44/12*Table1329[[#This Row],[∆CWPS-soil,i,t (tC/ha)]]</f>
        <v>-8.7999999999999989</v>
      </c>
    </row>
    <row r="58" spans="11:57" x14ac:dyDescent="0.2">
      <c r="K58" s="18">
        <v>2036</v>
      </c>
      <c r="L58">
        <v>2</v>
      </c>
      <c r="M58" cm="1">
        <f t="array" ref="M58">IF(project_aboveground_tree = "Included", INDEX(Table32[[#All],[ΔCTREE_PROJ,i,t (AR Tool 14) t C/yr]], MATCH(1, (Table1221[[#This Row],[year t]]=Table32[[#All],[year t]])*(Table1221[[#This Row],[stratum i]]=Table32[[#All],[stratum i]]), 0)), 0)</f>
        <v>15937.988973759617</v>
      </c>
      <c r="N58" s="57" cm="1">
        <f t="array" ref="N58">IF(project_aboveground_nontree = "Included", INDEX(#REF!, MATCH(1, (Table1221[[#This Row],[year t]]=Table32[[#All],[year t]])*(Table1221[[#This Row],[stratum i]]=Table32[[#All],[stratum i]]), 0)), 0)</f>
        <v>0</v>
      </c>
      <c r="O58">
        <f>12/44*(Table1221[[#This Row],[ΔCTREE_PROJ,t (AR Tool 14) t CO2e/yr]]+Table1221[[#This Row],[ΔCSHRUB_PROJ,t (AR Tool 14) t CO2e/yr]])</f>
        <v>4346.7242655708042</v>
      </c>
      <c r="P58" cm="1">
        <f t="array" ref="P58">IF(project_aboveground_nontree = "Included", IFERROR(INDEX(Table1322[[#All],[ΔCWPS-herb,i,t (Eq 78)]], MATCH(1, (Table1221[[#This Row],[stratum i]]=Table1322[[#All],[stratum i]])*(Table1221[[#This Row],[year t]]&gt;=#REF!)*(Table1221[[#This Row],[year t]]&lt;=Table1322[[#All],[year t]]), 0)), 0), 0)</f>
        <v>0</v>
      </c>
      <c r="Q58">
        <f>Table1221[[#This Row],[ΔCWPS-tree/shrub,i,t (t C/yr) (Eq 75)]]+Table1221[[#This Row],[ΔCWPS-herb,i,t (t C/yr)]]</f>
        <v>4346.7242655708042</v>
      </c>
      <c r="R58" cm="1">
        <f t="array" ref="R58">INDEX(Table1423[[#All],[GHGWPS-soil,i,t]], MATCH(1, (Table1221[[#This Row],[year t]]=Table1423[[#All],[year t]])*(Table1221[[#This Row],[stratum i]]=Table1423[[#All],[stratum i]]), 0))</f>
        <v>-13338.667695462475</v>
      </c>
      <c r="S58">
        <f>IF(project_ff_CO2 = "Included", Table1221[[#This Row],[ET(FC,I,t) AR-Tool 5 WPS]], 0)</f>
        <v>0</v>
      </c>
      <c r="T58" t="e" cm="1">
        <f t="array" ref="T58">INDEX(#REF!, MATCH(1, (Table1221[[#This Row],[year t]]=Table32[[#All],[year t]])*(Table1221[[#This Row],[stratum i]]=Table32[[#All],[stratum i]]), 0))</f>
        <v>#REF!</v>
      </c>
      <c r="AE58" s="18">
        <v>2036</v>
      </c>
      <c r="AF58">
        <v>2</v>
      </c>
      <c r="AG58" s="18" cm="1">
        <f t="array" ref="AG58">INDEX(Table32[[#All],[Ai,t]], MATCH(1, (Table1423[[#This Row],[year t]]=Table32[[#All],[year t]])*(Table1423[[#This Row],[stratum i]]=Table32[[#All],[stratum i]]), 0))</f>
        <v>1982.9786785714284</v>
      </c>
      <c r="AH58" t="str">
        <f>INDEX(Table31[[#All],[Soil type (t=0)]], MATCH(Table1423[[#This Row],[stratum i]], Table31[[#All],[Stratum i]]))</f>
        <v>Mineral soil</v>
      </c>
      <c r="AI58">
        <f>IF(Emission_reduction_from_stock_loss?, INDEX(Table2[[#All],[End_PDT]], MATCH(Table1423[[#This Row],[stratum i]], Table2[[#All],[stratum i]])), crediting_period)</f>
        <v>40</v>
      </c>
      <c r="AJ58">
        <f>IF(Emission_reduction_from_stock_loss?, INDEX(Table2[[#All],[End_SDT]], MATCH(Table1423[[#This Row],[stratum i]], Table2[[#All],[stratum i]])), crediting_period)</f>
        <v>40</v>
      </c>
      <c r="AK58" cm="1">
        <f t="array" ref="AK5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8" s="30" cm="1">
        <f t="array" ref="AL58">INDEX(Table32[[#All],[%Calloch WPS]], MATCH(1, (Table1423[[#This Row],[year t]]=Table32[[#All],[year t]])*(Table1423[[#This Row],[stratum i]]=Table32[[#All],[stratum i]]), 0))</f>
        <v>23.561573856247001</v>
      </c>
      <c r="AM5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8">
        <f>(Table1423[[#This Row],[GHGWPS-soil-CO2,i,t]]-Table1423[[#This Row],[Deductionalloch WPS (Eq 38)]])*Table1423[[#This Row],[Ai,t]]</f>
        <v>-13338.667695462475</v>
      </c>
      <c r="AO58" cm="1">
        <f t="array" ref="AO58">IF(project_soil_CH4 = "Included", INDEX(Table1830[[#All],[GHGWPS-soil-CH4,i,t (Eq 59)]], MATCH(1, (Table1423[[#This Row],[year t]]=Table1830[[#All],[year t]])*(Table1423[[#This Row],[stratum i]]=Table1830[[#All],[stratum i]]), 0)), 0)</f>
        <v>0</v>
      </c>
      <c r="AP58" cm="1">
        <f t="array" ref="AP58">IF(project_soil_N2O = "Included", INDEX(Table1830[[#All],[GHGWPS-soil-N2O,i,t (Eq 62)]], MATCH(1, (Table1423[[#This Row],[year t]]=Table1830[[#All],[year t]])*(Table1423[[#This Row],[stratum i]]=Table1830[[#All],[stratum i]]), 0)), 0)</f>
        <v>0</v>
      </c>
      <c r="AQ58">
        <f>Table1423[[#This Row],[Ai,t]]*(Table1423[[#This Row],[GHGWPS-soil-CO2,i,t]]-Table1423[[#This Row],[Deductionalloch WPS (Eq 38)]]+Table1423[[#This Row],[GHGWPS-soil-CH4,i,t]]+Table1423[[#This Row],[GHGWPS-soil-N2O,i,t]])</f>
        <v>-13338.667695462475</v>
      </c>
      <c r="AR58" t="e" cm="1">
        <f t="array" ref="AR58">INDEX(#REF!, MATCH(1, (Table1423[[#This Row],[year t]]=Table32[[#All],[year t]])*(Table1423[[#This Row],[stratum i]]=Table32[[#All],[stratum i]]), 0))</f>
        <v>#REF!</v>
      </c>
      <c r="AS58" t="e" cm="1">
        <f t="array" ref="AS58">INDEX(#REF!, MATCH(1, (Table1423[[#This Row],[year t]]=Table32[[#All],[year t]])*(Table1423[[#This Row],[stratum i]]=Table32[[#All],[stratum i]]), 0))</f>
        <v>#REF!</v>
      </c>
      <c r="AT58" t="e" cm="1">
        <f t="array" ref="AT58">INDEX(#REF!, MATCH(1, (Table1423[[#This Row],[year t]]=Table32[[#All],[year t]])*(Table1423[[#This Row],[stratum i]]=Table32[[#All],[stratum i]]), 0))</f>
        <v>#REF!</v>
      </c>
      <c r="AU58" t="e" cm="1">
        <f t="array" ref="AU58">INDEX(#REF!, MATCH(1, (Table1423[[#This Row],[year t]]=Table32[[#All],[year t]])*(Table1423[[#This Row],[stratum i]]=Table32[[#All],[stratum i]]), 0))</f>
        <v>#REF!</v>
      </c>
      <c r="AV58" s="30"/>
      <c r="BB58" s="18">
        <v>2036</v>
      </c>
      <c r="BC58">
        <v>2</v>
      </c>
      <c r="BD58" cm="1">
        <f t="array" ref="BD58">INDEX(Table32[[#All],[∆CWPS-soil,i,t (tC/ha)]], MATCH(1, (Table1329[[#This Row],[year t]]=Table32[[#All],[year t]])*(Table1329[[#This Row],[stratum i]]=Table32[[#All],[stratum i]]), 0))</f>
        <v>2.4</v>
      </c>
      <c r="BE58">
        <f>-44/12*Table1329[[#This Row],[∆CWPS-soil,i,t (tC/ha)]]</f>
        <v>-8.7999999999999989</v>
      </c>
    </row>
    <row r="59" spans="11:57" x14ac:dyDescent="0.2">
      <c r="K59" s="18">
        <v>2037</v>
      </c>
      <c r="L59">
        <v>2</v>
      </c>
      <c r="M59" cm="1">
        <f t="array" ref="M59">IF(project_aboveground_tree = "Included", INDEX(Table32[[#All],[ΔCTREE_PROJ,i,t (AR Tool 14) t C/yr]], MATCH(1, (Table1221[[#This Row],[year t]]=Table32[[#All],[year t]])*(Table1221[[#This Row],[stratum i]]=Table32[[#All],[stratum i]]), 0)), 0)</f>
        <v>19099.434357954175</v>
      </c>
      <c r="N59" s="57" cm="1">
        <f t="array" ref="N59">IF(project_aboveground_nontree = "Included", INDEX(#REF!, MATCH(1, (Table1221[[#This Row],[year t]]=Table32[[#All],[year t]])*(Table1221[[#This Row],[stratum i]]=Table32[[#All],[stratum i]]), 0)), 0)</f>
        <v>0</v>
      </c>
      <c r="O59">
        <f>12/44*(Table1221[[#This Row],[ΔCTREE_PROJ,t (AR Tool 14) t CO2e/yr]]+Table1221[[#This Row],[ΔCSHRUB_PROJ,t (AR Tool 14) t CO2e/yr]])</f>
        <v>5208.9366430784112</v>
      </c>
      <c r="P59" cm="1">
        <f t="array" ref="P59">IF(project_aboveground_nontree = "Included", IFERROR(INDEX(Table1322[[#All],[ΔCWPS-herb,i,t (Eq 78)]], MATCH(1, (Table1221[[#This Row],[stratum i]]=Table1322[[#All],[stratum i]])*(Table1221[[#This Row],[year t]]&gt;=#REF!)*(Table1221[[#This Row],[year t]]&lt;=Table1322[[#All],[year t]]), 0)), 0), 0)</f>
        <v>0</v>
      </c>
      <c r="Q59">
        <f>Table1221[[#This Row],[ΔCWPS-tree/shrub,i,t (t C/yr) (Eq 75)]]+Table1221[[#This Row],[ΔCWPS-herb,i,t (t C/yr)]]</f>
        <v>5208.9366430784112</v>
      </c>
      <c r="R59" cm="1">
        <f t="array" ref="R59">INDEX(Table1423[[#All],[GHGWPS-soil,i,t]], MATCH(1, (Table1221[[#This Row],[year t]]=Table1423[[#All],[year t]])*(Table1221[[#This Row],[stratum i]]=Table1423[[#All],[stratum i]]), 0))</f>
        <v>-13338.667695462475</v>
      </c>
      <c r="S59">
        <f>IF(project_ff_CO2 = "Included", Table1221[[#This Row],[ET(FC,I,t) AR-Tool 5 WPS]], 0)</f>
        <v>0</v>
      </c>
      <c r="T59" t="e" cm="1">
        <f t="array" ref="T59">INDEX(#REF!, MATCH(1, (Table1221[[#This Row],[year t]]=Table32[[#All],[year t]])*(Table1221[[#This Row],[stratum i]]=Table32[[#All],[stratum i]]), 0))</f>
        <v>#REF!</v>
      </c>
      <c r="AE59" s="18">
        <v>2037</v>
      </c>
      <c r="AF59">
        <v>2</v>
      </c>
      <c r="AG59" s="18" cm="1">
        <f t="array" ref="AG59">INDEX(Table32[[#All],[Ai,t]], MATCH(1, (Table1423[[#This Row],[year t]]=Table32[[#All],[year t]])*(Table1423[[#This Row],[stratum i]]=Table32[[#All],[stratum i]]), 0))</f>
        <v>1982.9786785714284</v>
      </c>
      <c r="AH59" t="str">
        <f>INDEX(Table31[[#All],[Soil type (t=0)]], MATCH(Table1423[[#This Row],[stratum i]], Table31[[#All],[Stratum i]]))</f>
        <v>Mineral soil</v>
      </c>
      <c r="AI59">
        <f>IF(Emission_reduction_from_stock_loss?, INDEX(Table2[[#All],[End_PDT]], MATCH(Table1423[[#This Row],[stratum i]], Table2[[#All],[stratum i]])), crediting_period)</f>
        <v>40</v>
      </c>
      <c r="AJ59">
        <f>IF(Emission_reduction_from_stock_loss?, INDEX(Table2[[#All],[End_SDT]], MATCH(Table1423[[#This Row],[stratum i]], Table2[[#All],[stratum i]])), crediting_period)</f>
        <v>40</v>
      </c>
      <c r="AK59" cm="1">
        <f t="array" ref="AK5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59" s="30" cm="1">
        <f t="array" ref="AL59">INDEX(Table32[[#All],[%Calloch WPS]], MATCH(1, (Table1423[[#This Row],[year t]]=Table32[[#All],[year t]])*(Table1423[[#This Row],[stratum i]]=Table32[[#All],[stratum i]]), 0))</f>
        <v>23.561573856247001</v>
      </c>
      <c r="AM5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59">
        <f>(Table1423[[#This Row],[GHGWPS-soil-CO2,i,t]]-Table1423[[#This Row],[Deductionalloch WPS (Eq 38)]])*Table1423[[#This Row],[Ai,t]]</f>
        <v>-13338.667695462475</v>
      </c>
      <c r="AO59" cm="1">
        <f t="array" ref="AO59">IF(project_soil_CH4 = "Included", INDEX(Table1830[[#All],[GHGWPS-soil-CH4,i,t (Eq 59)]], MATCH(1, (Table1423[[#This Row],[year t]]=Table1830[[#All],[year t]])*(Table1423[[#This Row],[stratum i]]=Table1830[[#All],[stratum i]]), 0)), 0)</f>
        <v>0</v>
      </c>
      <c r="AP59" cm="1">
        <f t="array" ref="AP59">IF(project_soil_N2O = "Included", INDEX(Table1830[[#All],[GHGWPS-soil-N2O,i,t (Eq 62)]], MATCH(1, (Table1423[[#This Row],[year t]]=Table1830[[#All],[year t]])*(Table1423[[#This Row],[stratum i]]=Table1830[[#All],[stratum i]]), 0)), 0)</f>
        <v>0</v>
      </c>
      <c r="AQ59">
        <f>Table1423[[#This Row],[Ai,t]]*(Table1423[[#This Row],[GHGWPS-soil-CO2,i,t]]-Table1423[[#This Row],[Deductionalloch WPS (Eq 38)]]+Table1423[[#This Row],[GHGWPS-soil-CH4,i,t]]+Table1423[[#This Row],[GHGWPS-soil-N2O,i,t]])</f>
        <v>-13338.667695462475</v>
      </c>
      <c r="AR59" t="e" cm="1">
        <f t="array" ref="AR59">INDEX(#REF!, MATCH(1, (Table1423[[#This Row],[year t]]=Table32[[#All],[year t]])*(Table1423[[#This Row],[stratum i]]=Table32[[#All],[stratum i]]), 0))</f>
        <v>#REF!</v>
      </c>
      <c r="AS59" t="e" cm="1">
        <f t="array" ref="AS59">INDEX(#REF!, MATCH(1, (Table1423[[#This Row],[year t]]=Table32[[#All],[year t]])*(Table1423[[#This Row],[stratum i]]=Table32[[#All],[stratum i]]), 0))</f>
        <v>#REF!</v>
      </c>
      <c r="AT59" t="e" cm="1">
        <f t="array" ref="AT59">INDEX(#REF!, MATCH(1, (Table1423[[#This Row],[year t]]=Table32[[#All],[year t]])*(Table1423[[#This Row],[stratum i]]=Table32[[#All],[stratum i]]), 0))</f>
        <v>#REF!</v>
      </c>
      <c r="AU59" t="e" cm="1">
        <f t="array" ref="AU59">INDEX(#REF!, MATCH(1, (Table1423[[#This Row],[year t]]=Table32[[#All],[year t]])*(Table1423[[#This Row],[stratum i]]=Table32[[#All],[stratum i]]), 0))</f>
        <v>#REF!</v>
      </c>
      <c r="AV59" s="30"/>
      <c r="BB59" s="18">
        <v>2037</v>
      </c>
      <c r="BC59">
        <v>2</v>
      </c>
      <c r="BD59" cm="1">
        <f t="array" ref="BD59">INDEX(Table32[[#All],[∆CWPS-soil,i,t (tC/ha)]], MATCH(1, (Table1329[[#This Row],[year t]]=Table32[[#All],[year t]])*(Table1329[[#This Row],[stratum i]]=Table32[[#All],[stratum i]]), 0))</f>
        <v>2.4</v>
      </c>
      <c r="BE59">
        <f>-44/12*Table1329[[#This Row],[∆CWPS-soil,i,t (tC/ha)]]</f>
        <v>-8.7999999999999989</v>
      </c>
    </row>
    <row r="60" spans="11:57" x14ac:dyDescent="0.2">
      <c r="K60" s="18">
        <v>2038</v>
      </c>
      <c r="L60">
        <v>2</v>
      </c>
      <c r="M60" cm="1">
        <f t="array" ref="M60">IF(project_aboveground_tree = "Included", INDEX(Table32[[#All],[ΔCTREE_PROJ,i,t (AR Tool 14) t C/yr]], MATCH(1, (Table1221[[#This Row],[year t]]=Table32[[#All],[year t]])*(Table1221[[#This Row],[stratum i]]=Table32[[#All],[stratum i]]), 0)), 0)</f>
        <v>22011.977312825751</v>
      </c>
      <c r="N60" s="57" cm="1">
        <f t="array" ref="N60">IF(project_aboveground_nontree = "Included", INDEX(#REF!, MATCH(1, (Table1221[[#This Row],[year t]]=Table32[[#All],[year t]])*(Table1221[[#This Row],[stratum i]]=Table32[[#All],[stratum i]]), 0)), 0)</f>
        <v>0</v>
      </c>
      <c r="O60">
        <f>12/44*(Table1221[[#This Row],[ΔCTREE_PROJ,t (AR Tool 14) t CO2e/yr]]+Table1221[[#This Row],[ΔCSHRUB_PROJ,t (AR Tool 14) t CO2e/yr]])</f>
        <v>6003.2665398615682</v>
      </c>
      <c r="P60" cm="1">
        <f t="array" ref="P60">IF(project_aboveground_nontree = "Included", IFERROR(INDEX(Table1322[[#All],[ΔCWPS-herb,i,t (Eq 78)]], MATCH(1, (Table1221[[#This Row],[stratum i]]=Table1322[[#All],[stratum i]])*(Table1221[[#This Row],[year t]]&gt;=#REF!)*(Table1221[[#This Row],[year t]]&lt;=Table1322[[#All],[year t]]), 0)), 0), 0)</f>
        <v>0</v>
      </c>
      <c r="Q60">
        <f>Table1221[[#This Row],[ΔCWPS-tree/shrub,i,t (t C/yr) (Eq 75)]]+Table1221[[#This Row],[ΔCWPS-herb,i,t (t C/yr)]]</f>
        <v>6003.2665398615682</v>
      </c>
      <c r="R60" cm="1">
        <f t="array" ref="R60">INDEX(Table1423[[#All],[GHGWPS-soil,i,t]], MATCH(1, (Table1221[[#This Row],[year t]]=Table1423[[#All],[year t]])*(Table1221[[#This Row],[stratum i]]=Table1423[[#All],[stratum i]]), 0))</f>
        <v>-13338.667695462475</v>
      </c>
      <c r="S60">
        <f>IF(project_ff_CO2 = "Included", Table1221[[#This Row],[ET(FC,I,t) AR-Tool 5 WPS]], 0)</f>
        <v>0</v>
      </c>
      <c r="T60" t="e" cm="1">
        <f t="array" ref="T60">INDEX(#REF!, MATCH(1, (Table1221[[#This Row],[year t]]=Table32[[#All],[year t]])*(Table1221[[#This Row],[stratum i]]=Table32[[#All],[stratum i]]), 0))</f>
        <v>#REF!</v>
      </c>
      <c r="AE60" s="18">
        <v>2038</v>
      </c>
      <c r="AF60">
        <v>2</v>
      </c>
      <c r="AG60" s="18" cm="1">
        <f t="array" ref="AG60">INDEX(Table32[[#All],[Ai,t]], MATCH(1, (Table1423[[#This Row],[year t]]=Table32[[#All],[year t]])*(Table1423[[#This Row],[stratum i]]=Table32[[#All],[stratum i]]), 0))</f>
        <v>1982.9786785714284</v>
      </c>
      <c r="AH60" t="str">
        <f>INDEX(Table31[[#All],[Soil type (t=0)]], MATCH(Table1423[[#This Row],[stratum i]], Table31[[#All],[Stratum i]]))</f>
        <v>Mineral soil</v>
      </c>
      <c r="AI60">
        <f>IF(Emission_reduction_from_stock_loss?, INDEX(Table2[[#All],[End_PDT]], MATCH(Table1423[[#This Row],[stratum i]], Table2[[#All],[stratum i]])), crediting_period)</f>
        <v>40</v>
      </c>
      <c r="AJ60">
        <f>IF(Emission_reduction_from_stock_loss?, INDEX(Table2[[#All],[End_SDT]], MATCH(Table1423[[#This Row],[stratum i]], Table2[[#All],[stratum i]])), crediting_period)</f>
        <v>40</v>
      </c>
      <c r="AK60" cm="1">
        <f t="array" ref="AK6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0" s="30" cm="1">
        <f t="array" ref="AL60">INDEX(Table32[[#All],[%Calloch WPS]], MATCH(1, (Table1423[[#This Row],[year t]]=Table32[[#All],[year t]])*(Table1423[[#This Row],[stratum i]]=Table32[[#All],[stratum i]]), 0))</f>
        <v>23.561573856247001</v>
      </c>
      <c r="AM6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0">
        <f>(Table1423[[#This Row],[GHGWPS-soil-CO2,i,t]]-Table1423[[#This Row],[Deductionalloch WPS (Eq 38)]])*Table1423[[#This Row],[Ai,t]]</f>
        <v>-13338.667695462475</v>
      </c>
      <c r="AO60" cm="1">
        <f t="array" ref="AO60">IF(project_soil_CH4 = "Included", INDEX(Table1830[[#All],[GHGWPS-soil-CH4,i,t (Eq 59)]], MATCH(1, (Table1423[[#This Row],[year t]]=Table1830[[#All],[year t]])*(Table1423[[#This Row],[stratum i]]=Table1830[[#All],[stratum i]]), 0)), 0)</f>
        <v>0</v>
      </c>
      <c r="AP60" cm="1">
        <f t="array" ref="AP60">IF(project_soil_N2O = "Included", INDEX(Table1830[[#All],[GHGWPS-soil-N2O,i,t (Eq 62)]], MATCH(1, (Table1423[[#This Row],[year t]]=Table1830[[#All],[year t]])*(Table1423[[#This Row],[stratum i]]=Table1830[[#All],[stratum i]]), 0)), 0)</f>
        <v>0</v>
      </c>
      <c r="AQ60">
        <f>Table1423[[#This Row],[Ai,t]]*(Table1423[[#This Row],[GHGWPS-soil-CO2,i,t]]-Table1423[[#This Row],[Deductionalloch WPS (Eq 38)]]+Table1423[[#This Row],[GHGWPS-soil-CH4,i,t]]+Table1423[[#This Row],[GHGWPS-soil-N2O,i,t]])</f>
        <v>-13338.667695462475</v>
      </c>
      <c r="AR60" t="e" cm="1">
        <f t="array" ref="AR60">INDEX(#REF!, MATCH(1, (Table1423[[#This Row],[year t]]=Table32[[#All],[year t]])*(Table1423[[#This Row],[stratum i]]=Table32[[#All],[stratum i]]), 0))</f>
        <v>#REF!</v>
      </c>
      <c r="AS60" t="e" cm="1">
        <f t="array" ref="AS60">INDEX(#REF!, MATCH(1, (Table1423[[#This Row],[year t]]=Table32[[#All],[year t]])*(Table1423[[#This Row],[stratum i]]=Table32[[#All],[stratum i]]), 0))</f>
        <v>#REF!</v>
      </c>
      <c r="AT60" t="e" cm="1">
        <f t="array" ref="AT60">INDEX(#REF!, MATCH(1, (Table1423[[#This Row],[year t]]=Table32[[#All],[year t]])*(Table1423[[#This Row],[stratum i]]=Table32[[#All],[stratum i]]), 0))</f>
        <v>#REF!</v>
      </c>
      <c r="AU60" t="e" cm="1">
        <f t="array" ref="AU60">INDEX(#REF!, MATCH(1, (Table1423[[#This Row],[year t]]=Table32[[#All],[year t]])*(Table1423[[#This Row],[stratum i]]=Table32[[#All],[stratum i]]), 0))</f>
        <v>#REF!</v>
      </c>
      <c r="AV60" s="30"/>
      <c r="BB60" s="18">
        <v>2038</v>
      </c>
      <c r="BC60">
        <v>2</v>
      </c>
      <c r="BD60" cm="1">
        <f t="array" ref="BD60">INDEX(Table32[[#All],[∆CWPS-soil,i,t (tC/ha)]], MATCH(1, (Table1329[[#This Row],[year t]]=Table32[[#All],[year t]])*(Table1329[[#This Row],[stratum i]]=Table32[[#All],[stratum i]]), 0))</f>
        <v>2.4</v>
      </c>
      <c r="BE60">
        <f>-44/12*Table1329[[#This Row],[∆CWPS-soil,i,t (tC/ha)]]</f>
        <v>-8.7999999999999989</v>
      </c>
    </row>
    <row r="61" spans="11:57" x14ac:dyDescent="0.2">
      <c r="K61" s="18">
        <v>2039</v>
      </c>
      <c r="L61">
        <v>2</v>
      </c>
      <c r="M61" cm="1">
        <f t="array" ref="M61">IF(project_aboveground_tree = "Included", INDEX(Table32[[#All],[ΔCTREE_PROJ,i,t (AR Tool 14) t C/yr]], MATCH(1, (Table1221[[#This Row],[year t]]=Table32[[#All],[year t]])*(Table1221[[#This Row],[stratum i]]=Table32[[#All],[stratum i]]), 0)), 0)</f>
        <v>24542.371592089432</v>
      </c>
      <c r="N61" s="57" cm="1">
        <f t="array" ref="N61">IF(project_aboveground_nontree = "Included", INDEX(#REF!, MATCH(1, (Table1221[[#This Row],[year t]]=Table32[[#All],[year t]])*(Table1221[[#This Row],[stratum i]]=Table32[[#All],[stratum i]]), 0)), 0)</f>
        <v>0</v>
      </c>
      <c r="O61">
        <f>12/44*(Table1221[[#This Row],[ΔCTREE_PROJ,t (AR Tool 14) t CO2e/yr]]+Table1221[[#This Row],[ΔCSHRUB_PROJ,t (AR Tool 14) t CO2e/yr]])</f>
        <v>6693.3740705698447</v>
      </c>
      <c r="P61" cm="1">
        <f t="array" ref="P61">IF(project_aboveground_nontree = "Included", IFERROR(INDEX(Table1322[[#All],[ΔCWPS-herb,i,t (Eq 78)]], MATCH(1, (Table1221[[#This Row],[stratum i]]=Table1322[[#All],[stratum i]])*(Table1221[[#This Row],[year t]]&gt;=#REF!)*(Table1221[[#This Row],[year t]]&lt;=Table1322[[#All],[year t]]), 0)), 0), 0)</f>
        <v>0</v>
      </c>
      <c r="Q61">
        <f>Table1221[[#This Row],[ΔCWPS-tree/shrub,i,t (t C/yr) (Eq 75)]]+Table1221[[#This Row],[ΔCWPS-herb,i,t (t C/yr)]]</f>
        <v>6693.3740705698447</v>
      </c>
      <c r="R61" cm="1">
        <f t="array" ref="R61">INDEX(Table1423[[#All],[GHGWPS-soil,i,t]], MATCH(1, (Table1221[[#This Row],[year t]]=Table1423[[#All],[year t]])*(Table1221[[#This Row],[stratum i]]=Table1423[[#All],[stratum i]]), 0))</f>
        <v>-13338.667695462475</v>
      </c>
      <c r="S61">
        <f>IF(project_ff_CO2 = "Included", Table1221[[#This Row],[ET(FC,I,t) AR-Tool 5 WPS]], 0)</f>
        <v>0</v>
      </c>
      <c r="T61" t="e" cm="1">
        <f t="array" ref="T61">INDEX(#REF!, MATCH(1, (Table1221[[#This Row],[year t]]=Table32[[#All],[year t]])*(Table1221[[#This Row],[stratum i]]=Table32[[#All],[stratum i]]), 0))</f>
        <v>#REF!</v>
      </c>
      <c r="AE61" s="18">
        <v>2039</v>
      </c>
      <c r="AF61">
        <v>2</v>
      </c>
      <c r="AG61" s="18" cm="1">
        <f t="array" ref="AG61">INDEX(Table32[[#All],[Ai,t]], MATCH(1, (Table1423[[#This Row],[year t]]=Table32[[#All],[year t]])*(Table1423[[#This Row],[stratum i]]=Table32[[#All],[stratum i]]), 0))</f>
        <v>1982.9786785714284</v>
      </c>
      <c r="AH61" t="str">
        <f>INDEX(Table31[[#All],[Soil type (t=0)]], MATCH(Table1423[[#This Row],[stratum i]], Table31[[#All],[Stratum i]]))</f>
        <v>Mineral soil</v>
      </c>
      <c r="AI61">
        <f>IF(Emission_reduction_from_stock_loss?, INDEX(Table2[[#All],[End_PDT]], MATCH(Table1423[[#This Row],[stratum i]], Table2[[#All],[stratum i]])), crediting_period)</f>
        <v>40</v>
      </c>
      <c r="AJ61">
        <f>IF(Emission_reduction_from_stock_loss?, INDEX(Table2[[#All],[End_SDT]], MATCH(Table1423[[#This Row],[stratum i]], Table2[[#All],[stratum i]])), crediting_period)</f>
        <v>40</v>
      </c>
      <c r="AK61" cm="1">
        <f t="array" ref="AK6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1" s="30" cm="1">
        <f t="array" ref="AL61">INDEX(Table32[[#All],[%Calloch WPS]], MATCH(1, (Table1423[[#This Row],[year t]]=Table32[[#All],[year t]])*(Table1423[[#This Row],[stratum i]]=Table32[[#All],[stratum i]]), 0))</f>
        <v>23.561573856247001</v>
      </c>
      <c r="AM6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1">
        <f>(Table1423[[#This Row],[GHGWPS-soil-CO2,i,t]]-Table1423[[#This Row],[Deductionalloch WPS (Eq 38)]])*Table1423[[#This Row],[Ai,t]]</f>
        <v>-13338.667695462475</v>
      </c>
      <c r="AO61" cm="1">
        <f t="array" ref="AO61">IF(project_soil_CH4 = "Included", INDEX(Table1830[[#All],[GHGWPS-soil-CH4,i,t (Eq 59)]], MATCH(1, (Table1423[[#This Row],[year t]]=Table1830[[#All],[year t]])*(Table1423[[#This Row],[stratum i]]=Table1830[[#All],[stratum i]]), 0)), 0)</f>
        <v>0</v>
      </c>
      <c r="AP61" cm="1">
        <f t="array" ref="AP61">IF(project_soil_N2O = "Included", INDEX(Table1830[[#All],[GHGWPS-soil-N2O,i,t (Eq 62)]], MATCH(1, (Table1423[[#This Row],[year t]]=Table1830[[#All],[year t]])*(Table1423[[#This Row],[stratum i]]=Table1830[[#All],[stratum i]]), 0)), 0)</f>
        <v>0</v>
      </c>
      <c r="AQ61">
        <f>Table1423[[#This Row],[Ai,t]]*(Table1423[[#This Row],[GHGWPS-soil-CO2,i,t]]-Table1423[[#This Row],[Deductionalloch WPS (Eq 38)]]+Table1423[[#This Row],[GHGWPS-soil-CH4,i,t]]+Table1423[[#This Row],[GHGWPS-soil-N2O,i,t]])</f>
        <v>-13338.667695462475</v>
      </c>
      <c r="AR61" t="e" cm="1">
        <f t="array" ref="AR61">INDEX(#REF!, MATCH(1, (Table1423[[#This Row],[year t]]=Table32[[#All],[year t]])*(Table1423[[#This Row],[stratum i]]=Table32[[#All],[stratum i]]), 0))</f>
        <v>#REF!</v>
      </c>
      <c r="AS61" t="e" cm="1">
        <f t="array" ref="AS61">INDEX(#REF!, MATCH(1, (Table1423[[#This Row],[year t]]=Table32[[#All],[year t]])*(Table1423[[#This Row],[stratum i]]=Table32[[#All],[stratum i]]), 0))</f>
        <v>#REF!</v>
      </c>
      <c r="AT61" t="e" cm="1">
        <f t="array" ref="AT61">INDEX(#REF!, MATCH(1, (Table1423[[#This Row],[year t]]=Table32[[#All],[year t]])*(Table1423[[#This Row],[stratum i]]=Table32[[#All],[stratum i]]), 0))</f>
        <v>#REF!</v>
      </c>
      <c r="AU61" t="e" cm="1">
        <f t="array" ref="AU61">INDEX(#REF!, MATCH(1, (Table1423[[#This Row],[year t]]=Table32[[#All],[year t]])*(Table1423[[#This Row],[stratum i]]=Table32[[#All],[stratum i]]), 0))</f>
        <v>#REF!</v>
      </c>
      <c r="AV61" s="30"/>
      <c r="BB61" s="18">
        <v>2039</v>
      </c>
      <c r="BC61">
        <v>2</v>
      </c>
      <c r="BD61" cm="1">
        <f t="array" ref="BD61">INDEX(Table32[[#All],[∆CWPS-soil,i,t (tC/ha)]], MATCH(1, (Table1329[[#This Row],[year t]]=Table32[[#All],[year t]])*(Table1329[[#This Row],[stratum i]]=Table32[[#All],[stratum i]]), 0))</f>
        <v>2.4</v>
      </c>
      <c r="BE61">
        <f>-44/12*Table1329[[#This Row],[∆CWPS-soil,i,t (tC/ha)]]</f>
        <v>-8.7999999999999989</v>
      </c>
    </row>
    <row r="62" spans="11:57" x14ac:dyDescent="0.2">
      <c r="K62" s="18">
        <v>2040</v>
      </c>
      <c r="L62">
        <v>2</v>
      </c>
      <c r="M62" cm="1">
        <f t="array" ref="M62">IF(project_aboveground_tree = "Included", INDEX(Table32[[#All],[ΔCTREE_PROJ,i,t (AR Tool 14) t C/yr]], MATCH(1, (Table1221[[#This Row],[year t]]=Table32[[#All],[year t]])*(Table1221[[#This Row],[stratum i]]=Table32[[#All],[stratum i]]), 0)), 0)</f>
        <v>26600.760852668463</v>
      </c>
      <c r="N62" s="57" cm="1">
        <f t="array" ref="N62">IF(project_aboveground_nontree = "Included", INDEX(#REF!, MATCH(1, (Table1221[[#This Row],[year t]]=Table32[[#All],[year t]])*(Table1221[[#This Row],[stratum i]]=Table32[[#All],[stratum i]]), 0)), 0)</f>
        <v>0</v>
      </c>
      <c r="O62">
        <f>12/44*(Table1221[[#This Row],[ΔCTREE_PROJ,t (AR Tool 14) t CO2e/yr]]+Table1221[[#This Row],[ΔCSHRUB_PROJ,t (AR Tool 14) t CO2e/yr]])</f>
        <v>7254.7529598186711</v>
      </c>
      <c r="P62" cm="1">
        <f t="array" ref="P62">IF(project_aboveground_nontree = "Included", IFERROR(INDEX(Table1322[[#All],[ΔCWPS-herb,i,t (Eq 78)]], MATCH(1, (Table1221[[#This Row],[stratum i]]=Table1322[[#All],[stratum i]])*(Table1221[[#This Row],[year t]]&gt;=#REF!)*(Table1221[[#This Row],[year t]]&lt;=Table1322[[#All],[year t]]), 0)), 0), 0)</f>
        <v>0</v>
      </c>
      <c r="Q62">
        <f>Table1221[[#This Row],[ΔCWPS-tree/shrub,i,t (t C/yr) (Eq 75)]]+Table1221[[#This Row],[ΔCWPS-herb,i,t (t C/yr)]]</f>
        <v>7254.7529598186711</v>
      </c>
      <c r="R62" cm="1">
        <f t="array" ref="R62">INDEX(Table1423[[#All],[GHGWPS-soil,i,t]], MATCH(1, (Table1221[[#This Row],[year t]]=Table1423[[#All],[year t]])*(Table1221[[#This Row],[stratum i]]=Table1423[[#All],[stratum i]]), 0))</f>
        <v>-13338.667695462475</v>
      </c>
      <c r="S62">
        <f>IF(project_ff_CO2 = "Included", Table1221[[#This Row],[ET(FC,I,t) AR-Tool 5 WPS]], 0)</f>
        <v>0</v>
      </c>
      <c r="T62" t="e" cm="1">
        <f t="array" ref="T62">INDEX(#REF!, MATCH(1, (Table1221[[#This Row],[year t]]=Table32[[#All],[year t]])*(Table1221[[#This Row],[stratum i]]=Table32[[#All],[stratum i]]), 0))</f>
        <v>#REF!</v>
      </c>
      <c r="AE62" s="18">
        <v>2040</v>
      </c>
      <c r="AF62">
        <v>2</v>
      </c>
      <c r="AG62" s="18" cm="1">
        <f t="array" ref="AG62">INDEX(Table32[[#All],[Ai,t]], MATCH(1, (Table1423[[#This Row],[year t]]=Table32[[#All],[year t]])*(Table1423[[#This Row],[stratum i]]=Table32[[#All],[stratum i]]), 0))</f>
        <v>1982.9786785714284</v>
      </c>
      <c r="AH62" t="str">
        <f>INDEX(Table31[[#All],[Soil type (t=0)]], MATCH(Table1423[[#This Row],[stratum i]], Table31[[#All],[Stratum i]]))</f>
        <v>Mineral soil</v>
      </c>
      <c r="AI62">
        <f>IF(Emission_reduction_from_stock_loss?, INDEX(Table2[[#All],[End_PDT]], MATCH(Table1423[[#This Row],[stratum i]], Table2[[#All],[stratum i]])), crediting_period)</f>
        <v>40</v>
      </c>
      <c r="AJ62">
        <f>IF(Emission_reduction_from_stock_loss?, INDEX(Table2[[#All],[End_SDT]], MATCH(Table1423[[#This Row],[stratum i]], Table2[[#All],[stratum i]])), crediting_period)</f>
        <v>40</v>
      </c>
      <c r="AK62" cm="1">
        <f t="array" ref="AK6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2" s="30" cm="1">
        <f t="array" ref="AL62">INDEX(Table32[[#All],[%Calloch WPS]], MATCH(1, (Table1423[[#This Row],[year t]]=Table32[[#All],[year t]])*(Table1423[[#This Row],[stratum i]]=Table32[[#All],[stratum i]]), 0))</f>
        <v>23.561573856247001</v>
      </c>
      <c r="AM6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2">
        <f>(Table1423[[#This Row],[GHGWPS-soil-CO2,i,t]]-Table1423[[#This Row],[Deductionalloch WPS (Eq 38)]])*Table1423[[#This Row],[Ai,t]]</f>
        <v>-13338.667695462475</v>
      </c>
      <c r="AO62" cm="1">
        <f t="array" ref="AO62">IF(project_soil_CH4 = "Included", INDEX(Table1830[[#All],[GHGWPS-soil-CH4,i,t (Eq 59)]], MATCH(1, (Table1423[[#This Row],[year t]]=Table1830[[#All],[year t]])*(Table1423[[#This Row],[stratum i]]=Table1830[[#All],[stratum i]]), 0)), 0)</f>
        <v>0</v>
      </c>
      <c r="AP62" cm="1">
        <f t="array" ref="AP62">IF(project_soil_N2O = "Included", INDEX(Table1830[[#All],[GHGWPS-soil-N2O,i,t (Eq 62)]], MATCH(1, (Table1423[[#This Row],[year t]]=Table1830[[#All],[year t]])*(Table1423[[#This Row],[stratum i]]=Table1830[[#All],[stratum i]]), 0)), 0)</f>
        <v>0</v>
      </c>
      <c r="AQ62">
        <f>Table1423[[#This Row],[Ai,t]]*(Table1423[[#This Row],[GHGWPS-soil-CO2,i,t]]-Table1423[[#This Row],[Deductionalloch WPS (Eq 38)]]+Table1423[[#This Row],[GHGWPS-soil-CH4,i,t]]+Table1423[[#This Row],[GHGWPS-soil-N2O,i,t]])</f>
        <v>-13338.667695462475</v>
      </c>
      <c r="AR62" t="e" cm="1">
        <f t="array" ref="AR62">INDEX(#REF!, MATCH(1, (Table1423[[#This Row],[year t]]=Table32[[#All],[year t]])*(Table1423[[#This Row],[stratum i]]=Table32[[#All],[stratum i]]), 0))</f>
        <v>#REF!</v>
      </c>
      <c r="AS62" t="e" cm="1">
        <f t="array" ref="AS62">INDEX(#REF!, MATCH(1, (Table1423[[#This Row],[year t]]=Table32[[#All],[year t]])*(Table1423[[#This Row],[stratum i]]=Table32[[#All],[stratum i]]), 0))</f>
        <v>#REF!</v>
      </c>
      <c r="AT62" t="e" cm="1">
        <f t="array" ref="AT62">INDEX(#REF!, MATCH(1, (Table1423[[#This Row],[year t]]=Table32[[#All],[year t]])*(Table1423[[#This Row],[stratum i]]=Table32[[#All],[stratum i]]), 0))</f>
        <v>#REF!</v>
      </c>
      <c r="AU62" t="e" cm="1">
        <f t="array" ref="AU62">INDEX(#REF!, MATCH(1, (Table1423[[#This Row],[year t]]=Table32[[#All],[year t]])*(Table1423[[#This Row],[stratum i]]=Table32[[#All],[stratum i]]), 0))</f>
        <v>#REF!</v>
      </c>
      <c r="AV62" s="30"/>
      <c r="BB62" s="18">
        <v>2040</v>
      </c>
      <c r="BC62">
        <v>2</v>
      </c>
      <c r="BD62" cm="1">
        <f t="array" ref="BD62">INDEX(Table32[[#All],[∆CWPS-soil,i,t (tC/ha)]], MATCH(1, (Table1329[[#This Row],[year t]]=Table32[[#All],[year t]])*(Table1329[[#This Row],[stratum i]]=Table32[[#All],[stratum i]]), 0))</f>
        <v>2.4</v>
      </c>
      <c r="BE62">
        <f>-44/12*Table1329[[#This Row],[∆CWPS-soil,i,t (tC/ha)]]</f>
        <v>-8.7999999999999989</v>
      </c>
    </row>
    <row r="63" spans="11:57" x14ac:dyDescent="0.2">
      <c r="K63" s="18">
        <v>2041</v>
      </c>
      <c r="L63">
        <v>2</v>
      </c>
      <c r="M63" cm="1">
        <f t="array" ref="M63">IF(project_aboveground_tree = "Included", INDEX(Table32[[#All],[ΔCTREE_PROJ,i,t (AR Tool 14) t C/yr]], MATCH(1, (Table1221[[#This Row],[year t]]=Table32[[#All],[year t]])*(Table1221[[#This Row],[stratum i]]=Table32[[#All],[stratum i]]), 0)), 0)</f>
        <v>28140.318933167466</v>
      </c>
      <c r="N63" s="57" cm="1">
        <f t="array" ref="N63">IF(project_aboveground_nontree = "Included", INDEX(#REF!, MATCH(1, (Table1221[[#This Row],[year t]]=Table32[[#All],[year t]])*(Table1221[[#This Row],[stratum i]]=Table32[[#All],[stratum i]]), 0)), 0)</f>
        <v>0</v>
      </c>
      <c r="O63">
        <f>12/44*(Table1221[[#This Row],[ΔCTREE_PROJ,t (AR Tool 14) t CO2e/yr]]+Table1221[[#This Row],[ΔCSHRUB_PROJ,t (AR Tool 14) t CO2e/yr]])</f>
        <v>7674.6324363183994</v>
      </c>
      <c r="P63" cm="1">
        <f t="array" ref="P63">IF(project_aboveground_nontree = "Included", IFERROR(INDEX(Table1322[[#All],[ΔCWPS-herb,i,t (Eq 78)]], MATCH(1, (Table1221[[#This Row],[stratum i]]=Table1322[[#All],[stratum i]])*(Table1221[[#This Row],[year t]]&gt;=#REF!)*(Table1221[[#This Row],[year t]]&lt;=Table1322[[#All],[year t]]), 0)), 0), 0)</f>
        <v>0</v>
      </c>
      <c r="Q63">
        <f>Table1221[[#This Row],[ΔCWPS-tree/shrub,i,t (t C/yr) (Eq 75)]]+Table1221[[#This Row],[ΔCWPS-herb,i,t (t C/yr)]]</f>
        <v>7674.6324363183994</v>
      </c>
      <c r="R63" cm="1">
        <f t="array" ref="R63">INDEX(Table1423[[#All],[GHGWPS-soil,i,t]], MATCH(1, (Table1221[[#This Row],[year t]]=Table1423[[#All],[year t]])*(Table1221[[#This Row],[stratum i]]=Table1423[[#All],[stratum i]]), 0))</f>
        <v>-13338.667695462475</v>
      </c>
      <c r="S63">
        <f>IF(project_ff_CO2 = "Included", Table1221[[#This Row],[ET(FC,I,t) AR-Tool 5 WPS]], 0)</f>
        <v>0</v>
      </c>
      <c r="T63" t="e" cm="1">
        <f t="array" ref="T63">INDEX(#REF!, MATCH(1, (Table1221[[#This Row],[year t]]=Table32[[#All],[year t]])*(Table1221[[#This Row],[stratum i]]=Table32[[#All],[stratum i]]), 0))</f>
        <v>#REF!</v>
      </c>
      <c r="AE63" s="18">
        <v>2041</v>
      </c>
      <c r="AF63">
        <v>2</v>
      </c>
      <c r="AG63" s="18" cm="1">
        <f t="array" ref="AG63">INDEX(Table32[[#All],[Ai,t]], MATCH(1, (Table1423[[#This Row],[year t]]=Table32[[#All],[year t]])*(Table1423[[#This Row],[stratum i]]=Table32[[#All],[stratum i]]), 0))</f>
        <v>1982.9786785714284</v>
      </c>
      <c r="AH63" t="str">
        <f>INDEX(Table31[[#All],[Soil type (t=0)]], MATCH(Table1423[[#This Row],[stratum i]], Table31[[#All],[Stratum i]]))</f>
        <v>Mineral soil</v>
      </c>
      <c r="AI63">
        <f>IF(Emission_reduction_from_stock_loss?, INDEX(Table2[[#All],[End_PDT]], MATCH(Table1423[[#This Row],[stratum i]], Table2[[#All],[stratum i]])), crediting_period)</f>
        <v>40</v>
      </c>
      <c r="AJ63">
        <f>IF(Emission_reduction_from_stock_loss?, INDEX(Table2[[#All],[End_SDT]], MATCH(Table1423[[#This Row],[stratum i]], Table2[[#All],[stratum i]])), crediting_period)</f>
        <v>40</v>
      </c>
      <c r="AK63" cm="1">
        <f t="array" ref="AK6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3" s="30" cm="1">
        <f t="array" ref="AL63">INDEX(Table32[[#All],[%Calloch WPS]], MATCH(1, (Table1423[[#This Row],[year t]]=Table32[[#All],[year t]])*(Table1423[[#This Row],[stratum i]]=Table32[[#All],[stratum i]]), 0))</f>
        <v>23.561573856247001</v>
      </c>
      <c r="AM6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3">
        <f>(Table1423[[#This Row],[GHGWPS-soil-CO2,i,t]]-Table1423[[#This Row],[Deductionalloch WPS (Eq 38)]])*Table1423[[#This Row],[Ai,t]]</f>
        <v>-13338.667695462475</v>
      </c>
      <c r="AO63" cm="1">
        <f t="array" ref="AO63">IF(project_soil_CH4 = "Included", INDEX(Table1830[[#All],[GHGWPS-soil-CH4,i,t (Eq 59)]], MATCH(1, (Table1423[[#This Row],[year t]]=Table1830[[#All],[year t]])*(Table1423[[#This Row],[stratum i]]=Table1830[[#All],[stratum i]]), 0)), 0)</f>
        <v>0</v>
      </c>
      <c r="AP63" cm="1">
        <f t="array" ref="AP63">IF(project_soil_N2O = "Included", INDEX(Table1830[[#All],[GHGWPS-soil-N2O,i,t (Eq 62)]], MATCH(1, (Table1423[[#This Row],[year t]]=Table1830[[#All],[year t]])*(Table1423[[#This Row],[stratum i]]=Table1830[[#All],[stratum i]]), 0)), 0)</f>
        <v>0</v>
      </c>
      <c r="AQ63">
        <f>Table1423[[#This Row],[Ai,t]]*(Table1423[[#This Row],[GHGWPS-soil-CO2,i,t]]-Table1423[[#This Row],[Deductionalloch WPS (Eq 38)]]+Table1423[[#This Row],[GHGWPS-soil-CH4,i,t]]+Table1423[[#This Row],[GHGWPS-soil-N2O,i,t]])</f>
        <v>-13338.667695462475</v>
      </c>
      <c r="AR63" t="e" cm="1">
        <f t="array" ref="AR63">INDEX(#REF!, MATCH(1, (Table1423[[#This Row],[year t]]=Table32[[#All],[year t]])*(Table1423[[#This Row],[stratum i]]=Table32[[#All],[stratum i]]), 0))</f>
        <v>#REF!</v>
      </c>
      <c r="AS63" t="e" cm="1">
        <f t="array" ref="AS63">INDEX(#REF!, MATCH(1, (Table1423[[#This Row],[year t]]=Table32[[#All],[year t]])*(Table1423[[#This Row],[stratum i]]=Table32[[#All],[stratum i]]), 0))</f>
        <v>#REF!</v>
      </c>
      <c r="AT63" t="e" cm="1">
        <f t="array" ref="AT63">INDEX(#REF!, MATCH(1, (Table1423[[#This Row],[year t]]=Table32[[#All],[year t]])*(Table1423[[#This Row],[stratum i]]=Table32[[#All],[stratum i]]), 0))</f>
        <v>#REF!</v>
      </c>
      <c r="AU63" t="e" cm="1">
        <f t="array" ref="AU63">INDEX(#REF!, MATCH(1, (Table1423[[#This Row],[year t]]=Table32[[#All],[year t]])*(Table1423[[#This Row],[stratum i]]=Table32[[#All],[stratum i]]), 0))</f>
        <v>#REF!</v>
      </c>
      <c r="AV63" s="30"/>
      <c r="BB63" s="18">
        <v>2041</v>
      </c>
      <c r="BC63">
        <v>2</v>
      </c>
      <c r="BD63" cm="1">
        <f t="array" ref="BD63">INDEX(Table32[[#All],[∆CWPS-soil,i,t (tC/ha)]], MATCH(1, (Table1329[[#This Row],[year t]]=Table32[[#All],[year t]])*(Table1329[[#This Row],[stratum i]]=Table32[[#All],[stratum i]]), 0))</f>
        <v>2.4</v>
      </c>
      <c r="BE63">
        <f>-44/12*Table1329[[#This Row],[∆CWPS-soil,i,t (tC/ha)]]</f>
        <v>-8.7999999999999989</v>
      </c>
    </row>
    <row r="64" spans="11:57" x14ac:dyDescent="0.2">
      <c r="K64" s="18">
        <v>2042</v>
      </c>
      <c r="L64">
        <v>2</v>
      </c>
      <c r="M64" cm="1">
        <f t="array" ref="M64">IF(project_aboveground_tree = "Included", INDEX(Table32[[#All],[ΔCTREE_PROJ,i,t (AR Tool 14) t C/yr]], MATCH(1, (Table1221[[#This Row],[year t]]=Table32[[#All],[year t]])*(Table1221[[#This Row],[stratum i]]=Table32[[#All],[stratum i]]), 0)), 0)</f>
        <v>29152.166523676453</v>
      </c>
      <c r="N64" s="57" cm="1">
        <f t="array" ref="N64">IF(project_aboveground_nontree = "Included", INDEX(#REF!, MATCH(1, (Table1221[[#This Row],[year t]]=Table32[[#All],[year t]])*(Table1221[[#This Row],[stratum i]]=Table32[[#All],[stratum i]]), 0)), 0)</f>
        <v>0</v>
      </c>
      <c r="O64">
        <f>12/44*(Table1221[[#This Row],[ΔCTREE_PROJ,t (AR Tool 14) t CO2e/yr]]+Table1221[[#This Row],[ΔCSHRUB_PROJ,t (AR Tool 14) t CO2e/yr]])</f>
        <v>7950.5908700935779</v>
      </c>
      <c r="P64" cm="1">
        <f t="array" ref="P64">IF(project_aboveground_nontree = "Included", IFERROR(INDEX(Table1322[[#All],[ΔCWPS-herb,i,t (Eq 78)]], MATCH(1, (Table1221[[#This Row],[stratum i]]=Table1322[[#All],[stratum i]])*(Table1221[[#This Row],[year t]]&gt;=#REF!)*(Table1221[[#This Row],[year t]]&lt;=Table1322[[#All],[year t]]), 0)), 0), 0)</f>
        <v>0</v>
      </c>
      <c r="Q64">
        <f>Table1221[[#This Row],[ΔCWPS-tree/shrub,i,t (t C/yr) (Eq 75)]]+Table1221[[#This Row],[ΔCWPS-herb,i,t (t C/yr)]]</f>
        <v>7950.5908700935779</v>
      </c>
      <c r="R64" cm="1">
        <f t="array" ref="R64">INDEX(Table1423[[#All],[GHGWPS-soil,i,t]], MATCH(1, (Table1221[[#This Row],[year t]]=Table1423[[#All],[year t]])*(Table1221[[#This Row],[stratum i]]=Table1423[[#All],[stratum i]]), 0))</f>
        <v>-13338.667695462475</v>
      </c>
      <c r="S64">
        <f>IF(project_ff_CO2 = "Included", Table1221[[#This Row],[ET(FC,I,t) AR-Tool 5 WPS]], 0)</f>
        <v>0</v>
      </c>
      <c r="T64" t="e" cm="1">
        <f t="array" ref="T64">INDEX(#REF!, MATCH(1, (Table1221[[#This Row],[year t]]=Table32[[#All],[year t]])*(Table1221[[#This Row],[stratum i]]=Table32[[#All],[stratum i]]), 0))</f>
        <v>#REF!</v>
      </c>
      <c r="AE64" s="18">
        <v>2042</v>
      </c>
      <c r="AF64">
        <v>2</v>
      </c>
      <c r="AG64" s="18" cm="1">
        <f t="array" ref="AG64">INDEX(Table32[[#All],[Ai,t]], MATCH(1, (Table1423[[#This Row],[year t]]=Table32[[#All],[year t]])*(Table1423[[#This Row],[stratum i]]=Table32[[#All],[stratum i]]), 0))</f>
        <v>1982.9786785714284</v>
      </c>
      <c r="AH64" t="str">
        <f>INDEX(Table31[[#All],[Soil type (t=0)]], MATCH(Table1423[[#This Row],[stratum i]], Table31[[#All],[Stratum i]]))</f>
        <v>Mineral soil</v>
      </c>
      <c r="AI64">
        <f>IF(Emission_reduction_from_stock_loss?, INDEX(Table2[[#All],[End_PDT]], MATCH(Table1423[[#This Row],[stratum i]], Table2[[#All],[stratum i]])), crediting_period)</f>
        <v>40</v>
      </c>
      <c r="AJ64">
        <f>IF(Emission_reduction_from_stock_loss?, INDEX(Table2[[#All],[End_SDT]], MATCH(Table1423[[#This Row],[stratum i]], Table2[[#All],[stratum i]])), crediting_period)</f>
        <v>40</v>
      </c>
      <c r="AK64" cm="1">
        <f t="array" ref="AK6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4" s="30" cm="1">
        <f t="array" ref="AL64">INDEX(Table32[[#All],[%Calloch WPS]], MATCH(1, (Table1423[[#This Row],[year t]]=Table32[[#All],[year t]])*(Table1423[[#This Row],[stratum i]]=Table32[[#All],[stratum i]]), 0))</f>
        <v>23.561573856247001</v>
      </c>
      <c r="AM6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4">
        <f>(Table1423[[#This Row],[GHGWPS-soil-CO2,i,t]]-Table1423[[#This Row],[Deductionalloch WPS (Eq 38)]])*Table1423[[#This Row],[Ai,t]]</f>
        <v>-13338.667695462475</v>
      </c>
      <c r="AO64" cm="1">
        <f t="array" ref="AO64">IF(project_soil_CH4 = "Included", INDEX(Table1830[[#All],[GHGWPS-soil-CH4,i,t (Eq 59)]], MATCH(1, (Table1423[[#This Row],[year t]]=Table1830[[#All],[year t]])*(Table1423[[#This Row],[stratum i]]=Table1830[[#All],[stratum i]]), 0)), 0)</f>
        <v>0</v>
      </c>
      <c r="AP64" cm="1">
        <f t="array" ref="AP64">IF(project_soil_N2O = "Included", INDEX(Table1830[[#All],[GHGWPS-soil-N2O,i,t (Eq 62)]], MATCH(1, (Table1423[[#This Row],[year t]]=Table1830[[#All],[year t]])*(Table1423[[#This Row],[stratum i]]=Table1830[[#All],[stratum i]]), 0)), 0)</f>
        <v>0</v>
      </c>
      <c r="AQ64">
        <f>Table1423[[#This Row],[Ai,t]]*(Table1423[[#This Row],[GHGWPS-soil-CO2,i,t]]-Table1423[[#This Row],[Deductionalloch WPS (Eq 38)]]+Table1423[[#This Row],[GHGWPS-soil-CH4,i,t]]+Table1423[[#This Row],[GHGWPS-soil-N2O,i,t]])</f>
        <v>-13338.667695462475</v>
      </c>
      <c r="AR64" t="e" cm="1">
        <f t="array" ref="AR64">INDEX(#REF!, MATCH(1, (Table1423[[#This Row],[year t]]=Table32[[#All],[year t]])*(Table1423[[#This Row],[stratum i]]=Table32[[#All],[stratum i]]), 0))</f>
        <v>#REF!</v>
      </c>
      <c r="AS64" t="e" cm="1">
        <f t="array" ref="AS64">INDEX(#REF!, MATCH(1, (Table1423[[#This Row],[year t]]=Table32[[#All],[year t]])*(Table1423[[#This Row],[stratum i]]=Table32[[#All],[stratum i]]), 0))</f>
        <v>#REF!</v>
      </c>
      <c r="AT64" t="e" cm="1">
        <f t="array" ref="AT64">INDEX(#REF!, MATCH(1, (Table1423[[#This Row],[year t]]=Table32[[#All],[year t]])*(Table1423[[#This Row],[stratum i]]=Table32[[#All],[stratum i]]), 0))</f>
        <v>#REF!</v>
      </c>
      <c r="AU64" t="e" cm="1">
        <f t="array" ref="AU64">INDEX(#REF!, MATCH(1, (Table1423[[#This Row],[year t]]=Table32[[#All],[year t]])*(Table1423[[#This Row],[stratum i]]=Table32[[#All],[stratum i]]), 0))</f>
        <v>#REF!</v>
      </c>
      <c r="AV64" s="30"/>
      <c r="BB64" s="18">
        <v>2042</v>
      </c>
      <c r="BC64">
        <v>2</v>
      </c>
      <c r="BD64" cm="1">
        <f t="array" ref="BD64">INDEX(Table32[[#All],[∆CWPS-soil,i,t (tC/ha)]], MATCH(1, (Table1329[[#This Row],[year t]]=Table32[[#All],[year t]])*(Table1329[[#This Row],[stratum i]]=Table32[[#All],[stratum i]]), 0))</f>
        <v>2.4</v>
      </c>
      <c r="BE64">
        <f>-44/12*Table1329[[#This Row],[∆CWPS-soil,i,t (tC/ha)]]</f>
        <v>-8.7999999999999989</v>
      </c>
    </row>
    <row r="65" spans="11:57" x14ac:dyDescent="0.2">
      <c r="K65" s="18">
        <v>2043</v>
      </c>
      <c r="L65">
        <v>2</v>
      </c>
      <c r="M65" cm="1">
        <f t="array" ref="M65">IF(project_aboveground_tree = "Included", INDEX(Table32[[#All],[ΔCTREE_PROJ,i,t (AR Tool 14) t C/yr]], MATCH(1, (Table1221[[#This Row],[year t]]=Table32[[#All],[year t]])*(Table1221[[#This Row],[stratum i]]=Table32[[#All],[stratum i]]), 0)), 0)</f>
        <v>29657.748511707556</v>
      </c>
      <c r="N65" s="57" cm="1">
        <f t="array" ref="N65">IF(project_aboveground_nontree = "Included", INDEX(#REF!, MATCH(1, (Table1221[[#This Row],[year t]]=Table32[[#All],[year t]])*(Table1221[[#This Row],[stratum i]]=Table32[[#All],[stratum i]]), 0)), 0)</f>
        <v>0</v>
      </c>
      <c r="O65">
        <f>12/44*(Table1221[[#This Row],[ΔCTREE_PROJ,t (AR Tool 14) t CO2e/yr]]+Table1221[[#This Row],[ΔCSHRUB_PROJ,t (AR Tool 14) t CO2e/yr]])</f>
        <v>8088.4768668293327</v>
      </c>
      <c r="P65" cm="1">
        <f t="array" ref="P65">IF(project_aboveground_nontree = "Included", IFERROR(INDEX(Table1322[[#All],[ΔCWPS-herb,i,t (Eq 78)]], MATCH(1, (Table1221[[#This Row],[stratum i]]=Table1322[[#All],[stratum i]])*(Table1221[[#This Row],[year t]]&gt;=#REF!)*(Table1221[[#This Row],[year t]]&lt;=Table1322[[#All],[year t]]), 0)), 0), 0)</f>
        <v>0</v>
      </c>
      <c r="Q65">
        <f>Table1221[[#This Row],[ΔCWPS-tree/shrub,i,t (t C/yr) (Eq 75)]]+Table1221[[#This Row],[ΔCWPS-herb,i,t (t C/yr)]]</f>
        <v>8088.4768668293327</v>
      </c>
      <c r="R65" cm="1">
        <f t="array" ref="R65">INDEX(Table1423[[#All],[GHGWPS-soil,i,t]], MATCH(1, (Table1221[[#This Row],[year t]]=Table1423[[#All],[year t]])*(Table1221[[#This Row],[stratum i]]=Table1423[[#All],[stratum i]]), 0))</f>
        <v>-13338.667695462475</v>
      </c>
      <c r="S65">
        <f>IF(project_ff_CO2 = "Included", Table1221[[#This Row],[ET(FC,I,t) AR-Tool 5 WPS]], 0)</f>
        <v>0</v>
      </c>
      <c r="T65" t="e" cm="1">
        <f t="array" ref="T65">INDEX(#REF!, MATCH(1, (Table1221[[#This Row],[year t]]=Table32[[#All],[year t]])*(Table1221[[#This Row],[stratum i]]=Table32[[#All],[stratum i]]), 0))</f>
        <v>#REF!</v>
      </c>
      <c r="AE65" s="18">
        <v>2043</v>
      </c>
      <c r="AF65">
        <v>2</v>
      </c>
      <c r="AG65" s="18" cm="1">
        <f t="array" ref="AG65">INDEX(Table32[[#All],[Ai,t]], MATCH(1, (Table1423[[#This Row],[year t]]=Table32[[#All],[year t]])*(Table1423[[#This Row],[stratum i]]=Table32[[#All],[stratum i]]), 0))</f>
        <v>1982.9786785714284</v>
      </c>
      <c r="AH65" t="str">
        <f>INDEX(Table31[[#All],[Soil type (t=0)]], MATCH(Table1423[[#This Row],[stratum i]], Table31[[#All],[Stratum i]]))</f>
        <v>Mineral soil</v>
      </c>
      <c r="AI65">
        <f>IF(Emission_reduction_from_stock_loss?, INDEX(Table2[[#All],[End_PDT]], MATCH(Table1423[[#This Row],[stratum i]], Table2[[#All],[stratum i]])), crediting_period)</f>
        <v>40</v>
      </c>
      <c r="AJ65">
        <f>IF(Emission_reduction_from_stock_loss?, INDEX(Table2[[#All],[End_SDT]], MATCH(Table1423[[#This Row],[stratum i]], Table2[[#All],[stratum i]])), crediting_period)</f>
        <v>40</v>
      </c>
      <c r="AK65" cm="1">
        <f t="array" ref="AK6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5" s="30" cm="1">
        <f t="array" ref="AL65">INDEX(Table32[[#All],[%Calloch WPS]], MATCH(1, (Table1423[[#This Row],[year t]]=Table32[[#All],[year t]])*(Table1423[[#This Row],[stratum i]]=Table32[[#All],[stratum i]]), 0))</f>
        <v>23.561573856247001</v>
      </c>
      <c r="AM6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5">
        <f>(Table1423[[#This Row],[GHGWPS-soil-CO2,i,t]]-Table1423[[#This Row],[Deductionalloch WPS (Eq 38)]])*Table1423[[#This Row],[Ai,t]]</f>
        <v>-13338.667695462475</v>
      </c>
      <c r="AO65" cm="1">
        <f t="array" ref="AO65">IF(project_soil_CH4 = "Included", INDEX(Table1830[[#All],[GHGWPS-soil-CH4,i,t (Eq 59)]], MATCH(1, (Table1423[[#This Row],[year t]]=Table1830[[#All],[year t]])*(Table1423[[#This Row],[stratum i]]=Table1830[[#All],[stratum i]]), 0)), 0)</f>
        <v>0</v>
      </c>
      <c r="AP65" cm="1">
        <f t="array" ref="AP65">IF(project_soil_N2O = "Included", INDEX(Table1830[[#All],[GHGWPS-soil-N2O,i,t (Eq 62)]], MATCH(1, (Table1423[[#This Row],[year t]]=Table1830[[#All],[year t]])*(Table1423[[#This Row],[stratum i]]=Table1830[[#All],[stratum i]]), 0)), 0)</f>
        <v>0</v>
      </c>
      <c r="AQ65">
        <f>Table1423[[#This Row],[Ai,t]]*(Table1423[[#This Row],[GHGWPS-soil-CO2,i,t]]-Table1423[[#This Row],[Deductionalloch WPS (Eq 38)]]+Table1423[[#This Row],[GHGWPS-soil-CH4,i,t]]+Table1423[[#This Row],[GHGWPS-soil-N2O,i,t]])</f>
        <v>-13338.667695462475</v>
      </c>
      <c r="AR65" t="e" cm="1">
        <f t="array" ref="AR65">INDEX(#REF!, MATCH(1, (Table1423[[#This Row],[year t]]=Table32[[#All],[year t]])*(Table1423[[#This Row],[stratum i]]=Table32[[#All],[stratum i]]), 0))</f>
        <v>#REF!</v>
      </c>
      <c r="AS65" t="e" cm="1">
        <f t="array" ref="AS65">INDEX(#REF!, MATCH(1, (Table1423[[#This Row],[year t]]=Table32[[#All],[year t]])*(Table1423[[#This Row],[stratum i]]=Table32[[#All],[stratum i]]), 0))</f>
        <v>#REF!</v>
      </c>
      <c r="AT65" t="e" cm="1">
        <f t="array" ref="AT65">INDEX(#REF!, MATCH(1, (Table1423[[#This Row],[year t]]=Table32[[#All],[year t]])*(Table1423[[#This Row],[stratum i]]=Table32[[#All],[stratum i]]), 0))</f>
        <v>#REF!</v>
      </c>
      <c r="AU65" t="e" cm="1">
        <f t="array" ref="AU65">INDEX(#REF!, MATCH(1, (Table1423[[#This Row],[year t]]=Table32[[#All],[year t]])*(Table1423[[#This Row],[stratum i]]=Table32[[#All],[stratum i]]), 0))</f>
        <v>#REF!</v>
      </c>
      <c r="AV65" s="30"/>
      <c r="BB65" s="18">
        <v>2043</v>
      </c>
      <c r="BC65">
        <v>2</v>
      </c>
      <c r="BD65" cm="1">
        <f t="array" ref="BD65">INDEX(Table32[[#All],[∆CWPS-soil,i,t (tC/ha)]], MATCH(1, (Table1329[[#This Row],[year t]]=Table32[[#All],[year t]])*(Table1329[[#This Row],[stratum i]]=Table32[[#All],[stratum i]]), 0))</f>
        <v>2.4</v>
      </c>
      <c r="BE65">
        <f>-44/12*Table1329[[#This Row],[∆CWPS-soil,i,t (tC/ha)]]</f>
        <v>-8.7999999999999989</v>
      </c>
    </row>
    <row r="66" spans="11:57" x14ac:dyDescent="0.2">
      <c r="K66" s="18">
        <v>2044</v>
      </c>
      <c r="L66">
        <v>2</v>
      </c>
      <c r="M66" cm="1">
        <f t="array" ref="M66">IF(project_aboveground_tree = "Included", INDEX(Table32[[#All],[ΔCTREE_PROJ,i,t (AR Tool 14) t C/yr]], MATCH(1, (Table1221[[#This Row],[year t]]=Table32[[#All],[year t]])*(Table1221[[#This Row],[stratum i]]=Table32[[#All],[stratum i]]), 0)), 0)</f>
        <v>29700.423140032013</v>
      </c>
      <c r="N66" s="57" cm="1">
        <f t="array" ref="N66">IF(project_aboveground_nontree = "Included", INDEX(#REF!, MATCH(1, (Table1221[[#This Row],[year t]]=Table32[[#All],[year t]])*(Table1221[[#This Row],[stratum i]]=Table32[[#All],[stratum i]]), 0)), 0)</f>
        <v>0</v>
      </c>
      <c r="O66">
        <f>12/44*(Table1221[[#This Row],[ΔCTREE_PROJ,t (AR Tool 14) t CO2e/yr]]+Table1221[[#This Row],[ΔCSHRUB_PROJ,t (AR Tool 14) t CO2e/yr]])</f>
        <v>8100.1154018269117</v>
      </c>
      <c r="P66" cm="1">
        <f t="array" ref="P66">IF(project_aboveground_nontree = "Included", IFERROR(INDEX(Table1322[[#All],[ΔCWPS-herb,i,t (Eq 78)]], MATCH(1, (Table1221[[#This Row],[stratum i]]=Table1322[[#All],[stratum i]])*(Table1221[[#This Row],[year t]]&gt;=#REF!)*(Table1221[[#This Row],[year t]]&lt;=Table1322[[#All],[year t]]), 0)), 0), 0)</f>
        <v>0</v>
      </c>
      <c r="Q66">
        <f>Table1221[[#This Row],[ΔCWPS-tree/shrub,i,t (t C/yr) (Eq 75)]]+Table1221[[#This Row],[ΔCWPS-herb,i,t (t C/yr)]]</f>
        <v>8100.1154018269117</v>
      </c>
      <c r="R66" cm="1">
        <f t="array" ref="R66">INDEX(Table1423[[#All],[GHGWPS-soil,i,t]], MATCH(1, (Table1221[[#This Row],[year t]]=Table1423[[#All],[year t]])*(Table1221[[#This Row],[stratum i]]=Table1423[[#All],[stratum i]]), 0))</f>
        <v>-13338.667695462475</v>
      </c>
      <c r="S66">
        <f>IF(project_ff_CO2 = "Included", Table1221[[#This Row],[ET(FC,I,t) AR-Tool 5 WPS]], 0)</f>
        <v>0</v>
      </c>
      <c r="T66" t="e" cm="1">
        <f t="array" ref="T66">INDEX(#REF!, MATCH(1, (Table1221[[#This Row],[year t]]=Table32[[#All],[year t]])*(Table1221[[#This Row],[stratum i]]=Table32[[#All],[stratum i]]), 0))</f>
        <v>#REF!</v>
      </c>
      <c r="AE66" s="18">
        <v>2044</v>
      </c>
      <c r="AF66">
        <v>2</v>
      </c>
      <c r="AG66" s="18" cm="1">
        <f t="array" ref="AG66">INDEX(Table32[[#All],[Ai,t]], MATCH(1, (Table1423[[#This Row],[year t]]=Table32[[#All],[year t]])*(Table1423[[#This Row],[stratum i]]=Table32[[#All],[stratum i]]), 0))</f>
        <v>1982.9786785714284</v>
      </c>
      <c r="AH66" t="str">
        <f>INDEX(Table31[[#All],[Soil type (t=0)]], MATCH(Table1423[[#This Row],[stratum i]], Table31[[#All],[Stratum i]]))</f>
        <v>Mineral soil</v>
      </c>
      <c r="AI66">
        <f>IF(Emission_reduction_from_stock_loss?, INDEX(Table2[[#All],[End_PDT]], MATCH(Table1423[[#This Row],[stratum i]], Table2[[#All],[stratum i]])), crediting_period)</f>
        <v>40</v>
      </c>
      <c r="AJ66">
        <f>IF(Emission_reduction_from_stock_loss?, INDEX(Table2[[#All],[End_SDT]], MATCH(Table1423[[#This Row],[stratum i]], Table2[[#All],[stratum i]])), crediting_period)</f>
        <v>40</v>
      </c>
      <c r="AK66" cm="1">
        <f t="array" ref="AK6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6" s="30" cm="1">
        <f t="array" ref="AL66">INDEX(Table32[[#All],[%Calloch WPS]], MATCH(1, (Table1423[[#This Row],[year t]]=Table32[[#All],[year t]])*(Table1423[[#This Row],[stratum i]]=Table32[[#All],[stratum i]]), 0))</f>
        <v>23.561573856247001</v>
      </c>
      <c r="AM6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6">
        <f>(Table1423[[#This Row],[GHGWPS-soil-CO2,i,t]]-Table1423[[#This Row],[Deductionalloch WPS (Eq 38)]])*Table1423[[#This Row],[Ai,t]]</f>
        <v>-13338.667695462475</v>
      </c>
      <c r="AO66" cm="1">
        <f t="array" ref="AO66">IF(project_soil_CH4 = "Included", INDEX(Table1830[[#All],[GHGWPS-soil-CH4,i,t (Eq 59)]], MATCH(1, (Table1423[[#This Row],[year t]]=Table1830[[#All],[year t]])*(Table1423[[#This Row],[stratum i]]=Table1830[[#All],[stratum i]]), 0)), 0)</f>
        <v>0</v>
      </c>
      <c r="AP66" cm="1">
        <f t="array" ref="AP66">IF(project_soil_N2O = "Included", INDEX(Table1830[[#All],[GHGWPS-soil-N2O,i,t (Eq 62)]], MATCH(1, (Table1423[[#This Row],[year t]]=Table1830[[#All],[year t]])*(Table1423[[#This Row],[stratum i]]=Table1830[[#All],[stratum i]]), 0)), 0)</f>
        <v>0</v>
      </c>
      <c r="AQ66">
        <f>Table1423[[#This Row],[Ai,t]]*(Table1423[[#This Row],[GHGWPS-soil-CO2,i,t]]-Table1423[[#This Row],[Deductionalloch WPS (Eq 38)]]+Table1423[[#This Row],[GHGWPS-soil-CH4,i,t]]+Table1423[[#This Row],[GHGWPS-soil-N2O,i,t]])</f>
        <v>-13338.667695462475</v>
      </c>
      <c r="AR66" t="e" cm="1">
        <f t="array" ref="AR66">INDEX(#REF!, MATCH(1, (Table1423[[#This Row],[year t]]=Table32[[#All],[year t]])*(Table1423[[#This Row],[stratum i]]=Table32[[#All],[stratum i]]), 0))</f>
        <v>#REF!</v>
      </c>
      <c r="AS66" t="e" cm="1">
        <f t="array" ref="AS66">INDEX(#REF!, MATCH(1, (Table1423[[#This Row],[year t]]=Table32[[#All],[year t]])*(Table1423[[#This Row],[stratum i]]=Table32[[#All],[stratum i]]), 0))</f>
        <v>#REF!</v>
      </c>
      <c r="AT66" t="e" cm="1">
        <f t="array" ref="AT66">INDEX(#REF!, MATCH(1, (Table1423[[#This Row],[year t]]=Table32[[#All],[year t]])*(Table1423[[#This Row],[stratum i]]=Table32[[#All],[stratum i]]), 0))</f>
        <v>#REF!</v>
      </c>
      <c r="AU66" t="e" cm="1">
        <f t="array" ref="AU66">INDEX(#REF!, MATCH(1, (Table1423[[#This Row],[year t]]=Table32[[#All],[year t]])*(Table1423[[#This Row],[stratum i]]=Table32[[#All],[stratum i]]), 0))</f>
        <v>#REF!</v>
      </c>
      <c r="AV66" s="30"/>
      <c r="BB66" s="18">
        <v>2044</v>
      </c>
      <c r="BC66">
        <v>2</v>
      </c>
      <c r="BD66" cm="1">
        <f t="array" ref="BD66">INDEX(Table32[[#All],[∆CWPS-soil,i,t (tC/ha)]], MATCH(1, (Table1329[[#This Row],[year t]]=Table32[[#All],[year t]])*(Table1329[[#This Row],[stratum i]]=Table32[[#All],[stratum i]]), 0))</f>
        <v>2.4</v>
      </c>
      <c r="BE66">
        <f>-44/12*Table1329[[#This Row],[∆CWPS-soil,i,t (tC/ha)]]</f>
        <v>-8.7999999999999989</v>
      </c>
    </row>
    <row r="67" spans="11:57" x14ac:dyDescent="0.2">
      <c r="K67" s="18">
        <v>2045</v>
      </c>
      <c r="L67">
        <v>2</v>
      </c>
      <c r="M67" cm="1">
        <f t="array" ref="M67">IF(project_aboveground_tree = "Included", INDEX(Table32[[#All],[ΔCTREE_PROJ,i,t (AR Tool 14) t C/yr]], MATCH(1, (Table1221[[#This Row],[year t]]=Table32[[#All],[year t]])*(Table1221[[#This Row],[stratum i]]=Table32[[#All],[stratum i]]), 0)), 0)</f>
        <v>29337.470426270564</v>
      </c>
      <c r="N67" s="57" cm="1">
        <f t="array" ref="N67">IF(project_aboveground_nontree = "Included", INDEX(#REF!, MATCH(1, (Table1221[[#This Row],[year t]]=Table32[[#All],[year t]])*(Table1221[[#This Row],[stratum i]]=Table32[[#All],[stratum i]]), 0)), 0)</f>
        <v>0</v>
      </c>
      <c r="O67">
        <f>12/44*(Table1221[[#This Row],[ΔCTREE_PROJ,t (AR Tool 14) t CO2e/yr]]+Table1221[[#This Row],[ΔCSHRUB_PROJ,t (AR Tool 14) t CO2e/yr]])</f>
        <v>8001.1282980737897</v>
      </c>
      <c r="P67" cm="1">
        <f t="array" ref="P67">IF(project_aboveground_nontree = "Included", IFERROR(INDEX(Table1322[[#All],[ΔCWPS-herb,i,t (Eq 78)]], MATCH(1, (Table1221[[#This Row],[stratum i]]=Table1322[[#All],[stratum i]])*(Table1221[[#This Row],[year t]]&gt;=#REF!)*(Table1221[[#This Row],[year t]]&lt;=Table1322[[#All],[year t]]), 0)), 0), 0)</f>
        <v>0</v>
      </c>
      <c r="Q67">
        <f>Table1221[[#This Row],[ΔCWPS-tree/shrub,i,t (t C/yr) (Eq 75)]]+Table1221[[#This Row],[ΔCWPS-herb,i,t (t C/yr)]]</f>
        <v>8001.1282980737897</v>
      </c>
      <c r="R67" cm="1">
        <f t="array" ref="R67">INDEX(Table1423[[#All],[GHGWPS-soil,i,t]], MATCH(1, (Table1221[[#This Row],[year t]]=Table1423[[#All],[year t]])*(Table1221[[#This Row],[stratum i]]=Table1423[[#All],[stratum i]]), 0))</f>
        <v>-13338.667695462475</v>
      </c>
      <c r="S67">
        <f>IF(project_ff_CO2 = "Included", Table1221[[#This Row],[ET(FC,I,t) AR-Tool 5 WPS]], 0)</f>
        <v>0</v>
      </c>
      <c r="T67" t="e" cm="1">
        <f t="array" ref="T67">INDEX(#REF!, MATCH(1, (Table1221[[#This Row],[year t]]=Table32[[#All],[year t]])*(Table1221[[#This Row],[stratum i]]=Table32[[#All],[stratum i]]), 0))</f>
        <v>#REF!</v>
      </c>
      <c r="AE67" s="18">
        <v>2045</v>
      </c>
      <c r="AF67">
        <v>2</v>
      </c>
      <c r="AG67" s="18" cm="1">
        <f t="array" ref="AG67">INDEX(Table32[[#All],[Ai,t]], MATCH(1, (Table1423[[#This Row],[year t]]=Table32[[#All],[year t]])*(Table1423[[#This Row],[stratum i]]=Table32[[#All],[stratum i]]), 0))</f>
        <v>1982.9786785714284</v>
      </c>
      <c r="AH67" t="str">
        <f>INDEX(Table31[[#All],[Soil type (t=0)]], MATCH(Table1423[[#This Row],[stratum i]], Table31[[#All],[Stratum i]]))</f>
        <v>Mineral soil</v>
      </c>
      <c r="AI67">
        <f>IF(Emission_reduction_from_stock_loss?, INDEX(Table2[[#All],[End_PDT]], MATCH(Table1423[[#This Row],[stratum i]], Table2[[#All],[stratum i]])), crediting_period)</f>
        <v>40</v>
      </c>
      <c r="AJ67">
        <f>IF(Emission_reduction_from_stock_loss?, INDEX(Table2[[#All],[End_SDT]], MATCH(Table1423[[#This Row],[stratum i]], Table2[[#All],[stratum i]])), crediting_period)</f>
        <v>40</v>
      </c>
      <c r="AK67" cm="1">
        <f t="array" ref="AK6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7" s="30" cm="1">
        <f t="array" ref="AL67">INDEX(Table32[[#All],[%Calloch WPS]], MATCH(1, (Table1423[[#This Row],[year t]]=Table32[[#All],[year t]])*(Table1423[[#This Row],[stratum i]]=Table32[[#All],[stratum i]]), 0))</f>
        <v>23.561573856247001</v>
      </c>
      <c r="AM6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7">
        <f>(Table1423[[#This Row],[GHGWPS-soil-CO2,i,t]]-Table1423[[#This Row],[Deductionalloch WPS (Eq 38)]])*Table1423[[#This Row],[Ai,t]]</f>
        <v>-13338.667695462475</v>
      </c>
      <c r="AO67" cm="1">
        <f t="array" ref="AO67">IF(project_soil_CH4 = "Included", INDEX(Table1830[[#All],[GHGWPS-soil-CH4,i,t (Eq 59)]], MATCH(1, (Table1423[[#This Row],[year t]]=Table1830[[#All],[year t]])*(Table1423[[#This Row],[stratum i]]=Table1830[[#All],[stratum i]]), 0)), 0)</f>
        <v>0</v>
      </c>
      <c r="AP67" cm="1">
        <f t="array" ref="AP67">IF(project_soil_N2O = "Included", INDEX(Table1830[[#All],[GHGWPS-soil-N2O,i,t (Eq 62)]], MATCH(1, (Table1423[[#This Row],[year t]]=Table1830[[#All],[year t]])*(Table1423[[#This Row],[stratum i]]=Table1830[[#All],[stratum i]]), 0)), 0)</f>
        <v>0</v>
      </c>
      <c r="AQ67">
        <f>Table1423[[#This Row],[Ai,t]]*(Table1423[[#This Row],[GHGWPS-soil-CO2,i,t]]-Table1423[[#This Row],[Deductionalloch WPS (Eq 38)]]+Table1423[[#This Row],[GHGWPS-soil-CH4,i,t]]+Table1423[[#This Row],[GHGWPS-soil-N2O,i,t]])</f>
        <v>-13338.667695462475</v>
      </c>
      <c r="AR67" t="e" cm="1">
        <f t="array" ref="AR67">INDEX(#REF!, MATCH(1, (Table1423[[#This Row],[year t]]=Table32[[#All],[year t]])*(Table1423[[#This Row],[stratum i]]=Table32[[#All],[stratum i]]), 0))</f>
        <v>#REF!</v>
      </c>
      <c r="AS67" t="e" cm="1">
        <f t="array" ref="AS67">INDEX(#REF!, MATCH(1, (Table1423[[#This Row],[year t]]=Table32[[#All],[year t]])*(Table1423[[#This Row],[stratum i]]=Table32[[#All],[stratum i]]), 0))</f>
        <v>#REF!</v>
      </c>
      <c r="AT67" t="e" cm="1">
        <f t="array" ref="AT67">INDEX(#REF!, MATCH(1, (Table1423[[#This Row],[year t]]=Table32[[#All],[year t]])*(Table1423[[#This Row],[stratum i]]=Table32[[#All],[stratum i]]), 0))</f>
        <v>#REF!</v>
      </c>
      <c r="AU67" t="e" cm="1">
        <f t="array" ref="AU67">INDEX(#REF!, MATCH(1, (Table1423[[#This Row],[year t]]=Table32[[#All],[year t]])*(Table1423[[#This Row],[stratum i]]=Table32[[#All],[stratum i]]), 0))</f>
        <v>#REF!</v>
      </c>
      <c r="AV67" s="30"/>
      <c r="BB67" s="18">
        <v>2045</v>
      </c>
      <c r="BC67">
        <v>2</v>
      </c>
      <c r="BD67" cm="1">
        <f t="array" ref="BD67">INDEX(Table32[[#All],[∆CWPS-soil,i,t (tC/ha)]], MATCH(1, (Table1329[[#This Row],[year t]]=Table32[[#All],[year t]])*(Table1329[[#This Row],[stratum i]]=Table32[[#All],[stratum i]]), 0))</f>
        <v>2.4</v>
      </c>
      <c r="BE67">
        <f>-44/12*Table1329[[#This Row],[∆CWPS-soil,i,t (tC/ha)]]</f>
        <v>-8.7999999999999989</v>
      </c>
    </row>
    <row r="68" spans="11:57" x14ac:dyDescent="0.2">
      <c r="K68" s="18">
        <v>2046</v>
      </c>
      <c r="L68">
        <v>2</v>
      </c>
      <c r="M68" cm="1">
        <f t="array" ref="M68">IF(project_aboveground_tree = "Included", INDEX(Table32[[#All],[ΔCTREE_PROJ,i,t (AR Tool 14) t C/yr]], MATCH(1, (Table1221[[#This Row],[year t]]=Table32[[#All],[year t]])*(Table1221[[#This Row],[stratum i]]=Table32[[#All],[stratum i]]), 0)), 0)</f>
        <v>28633.222164803999</v>
      </c>
      <c r="N68" s="57" cm="1">
        <f t="array" ref="N68">IF(project_aboveground_nontree = "Included", INDEX(#REF!, MATCH(1, (Table1221[[#This Row],[year t]]=Table32[[#All],[year t]])*(Table1221[[#This Row],[stratum i]]=Table32[[#All],[stratum i]]), 0)), 0)</f>
        <v>0</v>
      </c>
      <c r="O68">
        <f>12/44*(Table1221[[#This Row],[ΔCTREE_PROJ,t (AR Tool 14) t CO2e/yr]]+Table1221[[#This Row],[ΔCSHRUB_PROJ,t (AR Tool 14) t CO2e/yr]])</f>
        <v>7809.0605904010899</v>
      </c>
      <c r="P68" cm="1">
        <f t="array" ref="P68">IF(project_aboveground_nontree = "Included", IFERROR(INDEX(Table1322[[#All],[ΔCWPS-herb,i,t (Eq 78)]], MATCH(1, (Table1221[[#This Row],[stratum i]]=Table1322[[#All],[stratum i]])*(Table1221[[#This Row],[year t]]&gt;=#REF!)*(Table1221[[#This Row],[year t]]&lt;=Table1322[[#All],[year t]]), 0)), 0), 0)</f>
        <v>0</v>
      </c>
      <c r="Q68">
        <f>Table1221[[#This Row],[ΔCWPS-tree/shrub,i,t (t C/yr) (Eq 75)]]+Table1221[[#This Row],[ΔCWPS-herb,i,t (t C/yr)]]</f>
        <v>7809.0605904010899</v>
      </c>
      <c r="R68" cm="1">
        <f t="array" ref="R68">INDEX(Table1423[[#All],[GHGWPS-soil,i,t]], MATCH(1, (Table1221[[#This Row],[year t]]=Table1423[[#All],[year t]])*(Table1221[[#This Row],[stratum i]]=Table1423[[#All],[stratum i]]), 0))</f>
        <v>-13338.667695462475</v>
      </c>
      <c r="S68">
        <f>IF(project_ff_CO2 = "Included", Table1221[[#This Row],[ET(FC,I,t) AR-Tool 5 WPS]], 0)</f>
        <v>0</v>
      </c>
      <c r="T68" t="e" cm="1">
        <f t="array" ref="T68">INDEX(#REF!, MATCH(1, (Table1221[[#This Row],[year t]]=Table32[[#All],[year t]])*(Table1221[[#This Row],[stratum i]]=Table32[[#All],[stratum i]]), 0))</f>
        <v>#REF!</v>
      </c>
      <c r="AE68" s="18">
        <v>2046</v>
      </c>
      <c r="AF68">
        <v>2</v>
      </c>
      <c r="AG68" s="18" cm="1">
        <f t="array" ref="AG68">INDEX(Table32[[#All],[Ai,t]], MATCH(1, (Table1423[[#This Row],[year t]]=Table32[[#All],[year t]])*(Table1423[[#This Row],[stratum i]]=Table32[[#All],[stratum i]]), 0))</f>
        <v>1982.9786785714284</v>
      </c>
      <c r="AH68" t="str">
        <f>INDEX(Table31[[#All],[Soil type (t=0)]], MATCH(Table1423[[#This Row],[stratum i]], Table31[[#All],[Stratum i]]))</f>
        <v>Mineral soil</v>
      </c>
      <c r="AI68">
        <f>IF(Emission_reduction_from_stock_loss?, INDEX(Table2[[#All],[End_PDT]], MATCH(Table1423[[#This Row],[stratum i]], Table2[[#All],[stratum i]])), crediting_period)</f>
        <v>40</v>
      </c>
      <c r="AJ68">
        <f>IF(Emission_reduction_from_stock_loss?, INDEX(Table2[[#All],[End_SDT]], MATCH(Table1423[[#This Row],[stratum i]], Table2[[#All],[stratum i]])), crediting_period)</f>
        <v>40</v>
      </c>
      <c r="AK68" cm="1">
        <f t="array" ref="AK6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8" s="30" cm="1">
        <f t="array" ref="AL68">INDEX(Table32[[#All],[%Calloch WPS]], MATCH(1, (Table1423[[#This Row],[year t]]=Table32[[#All],[year t]])*(Table1423[[#This Row],[stratum i]]=Table32[[#All],[stratum i]]), 0))</f>
        <v>23.561573856247001</v>
      </c>
      <c r="AM6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8">
        <f>(Table1423[[#This Row],[GHGWPS-soil-CO2,i,t]]-Table1423[[#This Row],[Deductionalloch WPS (Eq 38)]])*Table1423[[#This Row],[Ai,t]]</f>
        <v>-13338.667695462475</v>
      </c>
      <c r="AO68" cm="1">
        <f t="array" ref="AO68">IF(project_soil_CH4 = "Included", INDEX(Table1830[[#All],[GHGWPS-soil-CH4,i,t (Eq 59)]], MATCH(1, (Table1423[[#This Row],[year t]]=Table1830[[#All],[year t]])*(Table1423[[#This Row],[stratum i]]=Table1830[[#All],[stratum i]]), 0)), 0)</f>
        <v>0</v>
      </c>
      <c r="AP68" cm="1">
        <f t="array" ref="AP68">IF(project_soil_N2O = "Included", INDEX(Table1830[[#All],[GHGWPS-soil-N2O,i,t (Eq 62)]], MATCH(1, (Table1423[[#This Row],[year t]]=Table1830[[#All],[year t]])*(Table1423[[#This Row],[stratum i]]=Table1830[[#All],[stratum i]]), 0)), 0)</f>
        <v>0</v>
      </c>
      <c r="AQ68">
        <f>Table1423[[#This Row],[Ai,t]]*(Table1423[[#This Row],[GHGWPS-soil-CO2,i,t]]-Table1423[[#This Row],[Deductionalloch WPS (Eq 38)]]+Table1423[[#This Row],[GHGWPS-soil-CH4,i,t]]+Table1423[[#This Row],[GHGWPS-soil-N2O,i,t]])</f>
        <v>-13338.667695462475</v>
      </c>
      <c r="AR68" t="e" cm="1">
        <f t="array" ref="AR68">INDEX(#REF!, MATCH(1, (Table1423[[#This Row],[year t]]=Table32[[#All],[year t]])*(Table1423[[#This Row],[stratum i]]=Table32[[#All],[stratum i]]), 0))</f>
        <v>#REF!</v>
      </c>
      <c r="AS68" t="e" cm="1">
        <f t="array" ref="AS68">INDEX(#REF!, MATCH(1, (Table1423[[#This Row],[year t]]=Table32[[#All],[year t]])*(Table1423[[#This Row],[stratum i]]=Table32[[#All],[stratum i]]), 0))</f>
        <v>#REF!</v>
      </c>
      <c r="AT68" t="e" cm="1">
        <f t="array" ref="AT68">INDEX(#REF!, MATCH(1, (Table1423[[#This Row],[year t]]=Table32[[#All],[year t]])*(Table1423[[#This Row],[stratum i]]=Table32[[#All],[stratum i]]), 0))</f>
        <v>#REF!</v>
      </c>
      <c r="AU68" t="e" cm="1">
        <f t="array" ref="AU68">INDEX(#REF!, MATCH(1, (Table1423[[#This Row],[year t]]=Table32[[#All],[year t]])*(Table1423[[#This Row],[stratum i]]=Table32[[#All],[stratum i]]), 0))</f>
        <v>#REF!</v>
      </c>
      <c r="AV68" s="30"/>
      <c r="BB68" s="18">
        <v>2046</v>
      </c>
      <c r="BC68">
        <v>2</v>
      </c>
      <c r="BD68" cm="1">
        <f t="array" ref="BD68">INDEX(Table32[[#All],[∆CWPS-soil,i,t (tC/ha)]], MATCH(1, (Table1329[[#This Row],[year t]]=Table32[[#All],[year t]])*(Table1329[[#This Row],[stratum i]]=Table32[[#All],[stratum i]]), 0))</f>
        <v>2.4</v>
      </c>
      <c r="BE68">
        <f>-44/12*Table1329[[#This Row],[∆CWPS-soil,i,t (tC/ha)]]</f>
        <v>-8.7999999999999989</v>
      </c>
    </row>
    <row r="69" spans="11:57" x14ac:dyDescent="0.2">
      <c r="K69" s="18">
        <v>2047</v>
      </c>
      <c r="L69">
        <v>2</v>
      </c>
      <c r="M69" cm="1">
        <f t="array" ref="M69">IF(project_aboveground_tree = "Included", INDEX(Table32[[#All],[ΔCTREE_PROJ,i,t (AR Tool 14) t C/yr]], MATCH(1, (Table1221[[#This Row],[year t]]=Table32[[#All],[year t]])*(Table1221[[#This Row],[stratum i]]=Table32[[#All],[stratum i]]), 0)), 0)</f>
        <v>27653.61787932372</v>
      </c>
      <c r="N69" s="57" cm="1">
        <f t="array" ref="N69">IF(project_aboveground_nontree = "Included", INDEX(#REF!, MATCH(1, (Table1221[[#This Row],[year t]]=Table32[[#All],[year t]])*(Table1221[[#This Row],[stratum i]]=Table32[[#All],[stratum i]]), 0)), 0)</f>
        <v>0</v>
      </c>
      <c r="O69">
        <f>12/44*(Table1221[[#This Row],[ΔCTREE_PROJ,t (AR Tool 14) t CO2e/yr]]+Table1221[[#This Row],[ΔCSHRUB_PROJ,t (AR Tool 14) t CO2e/yr]])</f>
        <v>7541.8957852701051</v>
      </c>
      <c r="P69" cm="1">
        <f t="array" ref="P69">IF(project_aboveground_nontree = "Included", IFERROR(INDEX(Table1322[[#All],[ΔCWPS-herb,i,t (Eq 78)]], MATCH(1, (Table1221[[#This Row],[stratum i]]=Table1322[[#All],[stratum i]])*(Table1221[[#This Row],[year t]]&gt;=#REF!)*(Table1221[[#This Row],[year t]]&lt;=Table1322[[#All],[year t]]), 0)), 0), 0)</f>
        <v>0</v>
      </c>
      <c r="Q69">
        <f>Table1221[[#This Row],[ΔCWPS-tree/shrub,i,t (t C/yr) (Eq 75)]]+Table1221[[#This Row],[ΔCWPS-herb,i,t (t C/yr)]]</f>
        <v>7541.8957852701051</v>
      </c>
      <c r="R69" cm="1">
        <f t="array" ref="R69">INDEX(Table1423[[#All],[GHGWPS-soil,i,t]], MATCH(1, (Table1221[[#This Row],[year t]]=Table1423[[#All],[year t]])*(Table1221[[#This Row],[stratum i]]=Table1423[[#All],[stratum i]]), 0))</f>
        <v>-13338.667695462475</v>
      </c>
      <c r="S69">
        <f>IF(project_ff_CO2 = "Included", Table1221[[#This Row],[ET(FC,I,t) AR-Tool 5 WPS]], 0)</f>
        <v>0</v>
      </c>
      <c r="T69" t="e" cm="1">
        <f t="array" ref="T69">INDEX(#REF!, MATCH(1, (Table1221[[#This Row],[year t]]=Table32[[#All],[year t]])*(Table1221[[#This Row],[stratum i]]=Table32[[#All],[stratum i]]), 0))</f>
        <v>#REF!</v>
      </c>
      <c r="AE69" s="18">
        <v>2047</v>
      </c>
      <c r="AF69">
        <v>2</v>
      </c>
      <c r="AG69" s="18" cm="1">
        <f t="array" ref="AG69">INDEX(Table32[[#All],[Ai,t]], MATCH(1, (Table1423[[#This Row],[year t]]=Table32[[#All],[year t]])*(Table1423[[#This Row],[stratum i]]=Table32[[#All],[stratum i]]), 0))</f>
        <v>1982.9786785714284</v>
      </c>
      <c r="AH69" t="str">
        <f>INDEX(Table31[[#All],[Soil type (t=0)]], MATCH(Table1423[[#This Row],[stratum i]], Table31[[#All],[Stratum i]]))</f>
        <v>Mineral soil</v>
      </c>
      <c r="AI69">
        <f>IF(Emission_reduction_from_stock_loss?, INDEX(Table2[[#All],[End_PDT]], MATCH(Table1423[[#This Row],[stratum i]], Table2[[#All],[stratum i]])), crediting_period)</f>
        <v>40</v>
      </c>
      <c r="AJ69">
        <f>IF(Emission_reduction_from_stock_loss?, INDEX(Table2[[#All],[End_SDT]], MATCH(Table1423[[#This Row],[stratum i]], Table2[[#All],[stratum i]])), crediting_period)</f>
        <v>40</v>
      </c>
      <c r="AK69" cm="1">
        <f t="array" ref="AK6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69" s="30" cm="1">
        <f t="array" ref="AL69">INDEX(Table32[[#All],[%Calloch WPS]], MATCH(1, (Table1423[[#This Row],[year t]]=Table32[[#All],[year t]])*(Table1423[[#This Row],[stratum i]]=Table32[[#All],[stratum i]]), 0))</f>
        <v>23.561573856247001</v>
      </c>
      <c r="AM6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69">
        <f>(Table1423[[#This Row],[GHGWPS-soil-CO2,i,t]]-Table1423[[#This Row],[Deductionalloch WPS (Eq 38)]])*Table1423[[#This Row],[Ai,t]]</f>
        <v>-13338.667695462475</v>
      </c>
      <c r="AO69" cm="1">
        <f t="array" ref="AO69">IF(project_soil_CH4 = "Included", INDEX(Table1830[[#All],[GHGWPS-soil-CH4,i,t (Eq 59)]], MATCH(1, (Table1423[[#This Row],[year t]]=Table1830[[#All],[year t]])*(Table1423[[#This Row],[stratum i]]=Table1830[[#All],[stratum i]]), 0)), 0)</f>
        <v>0</v>
      </c>
      <c r="AP69" cm="1">
        <f t="array" ref="AP69">IF(project_soil_N2O = "Included", INDEX(Table1830[[#All],[GHGWPS-soil-N2O,i,t (Eq 62)]], MATCH(1, (Table1423[[#This Row],[year t]]=Table1830[[#All],[year t]])*(Table1423[[#This Row],[stratum i]]=Table1830[[#All],[stratum i]]), 0)), 0)</f>
        <v>0</v>
      </c>
      <c r="AQ69">
        <f>Table1423[[#This Row],[Ai,t]]*(Table1423[[#This Row],[GHGWPS-soil-CO2,i,t]]-Table1423[[#This Row],[Deductionalloch WPS (Eq 38)]]+Table1423[[#This Row],[GHGWPS-soil-CH4,i,t]]+Table1423[[#This Row],[GHGWPS-soil-N2O,i,t]])</f>
        <v>-13338.667695462475</v>
      </c>
      <c r="AR69" t="e" cm="1">
        <f t="array" ref="AR69">INDEX(#REF!, MATCH(1, (Table1423[[#This Row],[year t]]=Table32[[#All],[year t]])*(Table1423[[#This Row],[stratum i]]=Table32[[#All],[stratum i]]), 0))</f>
        <v>#REF!</v>
      </c>
      <c r="AS69" t="e" cm="1">
        <f t="array" ref="AS69">INDEX(#REF!, MATCH(1, (Table1423[[#This Row],[year t]]=Table32[[#All],[year t]])*(Table1423[[#This Row],[stratum i]]=Table32[[#All],[stratum i]]), 0))</f>
        <v>#REF!</v>
      </c>
      <c r="AT69" t="e" cm="1">
        <f t="array" ref="AT69">INDEX(#REF!, MATCH(1, (Table1423[[#This Row],[year t]]=Table32[[#All],[year t]])*(Table1423[[#This Row],[stratum i]]=Table32[[#All],[stratum i]]), 0))</f>
        <v>#REF!</v>
      </c>
      <c r="AU69" t="e" cm="1">
        <f t="array" ref="AU69">INDEX(#REF!, MATCH(1, (Table1423[[#This Row],[year t]]=Table32[[#All],[year t]])*(Table1423[[#This Row],[stratum i]]=Table32[[#All],[stratum i]]), 0))</f>
        <v>#REF!</v>
      </c>
      <c r="AV69" s="30"/>
      <c r="BB69" s="18">
        <v>2047</v>
      </c>
      <c r="BC69">
        <v>2</v>
      </c>
      <c r="BD69" cm="1">
        <f t="array" ref="BD69">INDEX(Table32[[#All],[∆CWPS-soil,i,t (tC/ha)]], MATCH(1, (Table1329[[#This Row],[year t]]=Table32[[#All],[year t]])*(Table1329[[#This Row],[stratum i]]=Table32[[#All],[stratum i]]), 0))</f>
        <v>2.4</v>
      </c>
      <c r="BE69">
        <f>-44/12*Table1329[[#This Row],[∆CWPS-soil,i,t (tC/ha)]]</f>
        <v>-8.7999999999999989</v>
      </c>
    </row>
    <row r="70" spans="11:57" x14ac:dyDescent="0.2">
      <c r="K70" s="18">
        <v>2048</v>
      </c>
      <c r="L70">
        <v>2</v>
      </c>
      <c r="M70" cm="1">
        <f t="array" ref="M70">IF(project_aboveground_tree = "Included", INDEX(Table32[[#All],[ΔCTREE_PROJ,i,t (AR Tool 14) t C/yr]], MATCH(1, (Table1221[[#This Row],[year t]]=Table32[[#All],[year t]])*(Table1221[[#This Row],[stratum i]]=Table32[[#All],[stratum i]]), 0)), 0)</f>
        <v>26462.215783081308</v>
      </c>
      <c r="N70" s="57" cm="1">
        <f t="array" ref="N70">IF(project_aboveground_nontree = "Included", INDEX(#REF!, MATCH(1, (Table1221[[#This Row],[year t]]=Table32[[#All],[year t]])*(Table1221[[#This Row],[stratum i]]=Table32[[#All],[stratum i]]), 0)), 0)</f>
        <v>0</v>
      </c>
      <c r="O70">
        <f>12/44*(Table1221[[#This Row],[ΔCTREE_PROJ,t (AR Tool 14) t CO2e/yr]]+Table1221[[#This Row],[ΔCSHRUB_PROJ,t (AR Tool 14) t CO2e/yr]])</f>
        <v>7216.9679408403563</v>
      </c>
      <c r="P70" cm="1">
        <f t="array" ref="P70">IF(project_aboveground_nontree = "Included", IFERROR(INDEX(Table1322[[#All],[ΔCWPS-herb,i,t (Eq 78)]], MATCH(1, (Table1221[[#This Row],[stratum i]]=Table1322[[#All],[stratum i]])*(Table1221[[#This Row],[year t]]&gt;=#REF!)*(Table1221[[#This Row],[year t]]&lt;=Table1322[[#All],[year t]]), 0)), 0), 0)</f>
        <v>0</v>
      </c>
      <c r="Q70">
        <f>Table1221[[#This Row],[ΔCWPS-tree/shrub,i,t (t C/yr) (Eq 75)]]+Table1221[[#This Row],[ΔCWPS-herb,i,t (t C/yr)]]</f>
        <v>7216.9679408403563</v>
      </c>
      <c r="R70" cm="1">
        <f t="array" ref="R70">INDEX(Table1423[[#All],[GHGWPS-soil,i,t]], MATCH(1, (Table1221[[#This Row],[year t]]=Table1423[[#All],[year t]])*(Table1221[[#This Row],[stratum i]]=Table1423[[#All],[stratum i]]), 0))</f>
        <v>-13338.667695462475</v>
      </c>
      <c r="S70">
        <f>IF(project_ff_CO2 = "Included", Table1221[[#This Row],[ET(FC,I,t) AR-Tool 5 WPS]], 0)</f>
        <v>0</v>
      </c>
      <c r="T70" t="e" cm="1">
        <f t="array" ref="T70">INDEX(#REF!, MATCH(1, (Table1221[[#This Row],[year t]]=Table32[[#All],[year t]])*(Table1221[[#This Row],[stratum i]]=Table32[[#All],[stratum i]]), 0))</f>
        <v>#REF!</v>
      </c>
      <c r="AE70" s="18">
        <v>2048</v>
      </c>
      <c r="AF70">
        <v>2</v>
      </c>
      <c r="AG70" s="18" cm="1">
        <f t="array" ref="AG70">INDEX(Table32[[#All],[Ai,t]], MATCH(1, (Table1423[[#This Row],[year t]]=Table32[[#All],[year t]])*(Table1423[[#This Row],[stratum i]]=Table32[[#All],[stratum i]]), 0))</f>
        <v>1982.9786785714284</v>
      </c>
      <c r="AH70" t="str">
        <f>INDEX(Table31[[#All],[Soil type (t=0)]], MATCH(Table1423[[#This Row],[stratum i]], Table31[[#All],[Stratum i]]))</f>
        <v>Mineral soil</v>
      </c>
      <c r="AI70">
        <f>IF(Emission_reduction_from_stock_loss?, INDEX(Table2[[#All],[End_PDT]], MATCH(Table1423[[#This Row],[stratum i]], Table2[[#All],[stratum i]])), crediting_period)</f>
        <v>40</v>
      </c>
      <c r="AJ70">
        <f>IF(Emission_reduction_from_stock_loss?, INDEX(Table2[[#All],[End_SDT]], MATCH(Table1423[[#This Row],[stratum i]], Table2[[#All],[stratum i]])), crediting_period)</f>
        <v>40</v>
      </c>
      <c r="AK70" cm="1">
        <f t="array" ref="AK7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0" s="30" cm="1">
        <f t="array" ref="AL70">INDEX(Table32[[#All],[%Calloch WPS]], MATCH(1, (Table1423[[#This Row],[year t]]=Table32[[#All],[year t]])*(Table1423[[#This Row],[stratum i]]=Table32[[#All],[stratum i]]), 0))</f>
        <v>23.561573856247001</v>
      </c>
      <c r="AM7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0">
        <f>(Table1423[[#This Row],[GHGWPS-soil-CO2,i,t]]-Table1423[[#This Row],[Deductionalloch WPS (Eq 38)]])*Table1423[[#This Row],[Ai,t]]</f>
        <v>-13338.667695462475</v>
      </c>
      <c r="AO70" cm="1">
        <f t="array" ref="AO70">IF(project_soil_CH4 = "Included", INDEX(Table1830[[#All],[GHGWPS-soil-CH4,i,t (Eq 59)]], MATCH(1, (Table1423[[#This Row],[year t]]=Table1830[[#All],[year t]])*(Table1423[[#This Row],[stratum i]]=Table1830[[#All],[stratum i]]), 0)), 0)</f>
        <v>0</v>
      </c>
      <c r="AP70" cm="1">
        <f t="array" ref="AP70">IF(project_soil_N2O = "Included", INDEX(Table1830[[#All],[GHGWPS-soil-N2O,i,t (Eq 62)]], MATCH(1, (Table1423[[#This Row],[year t]]=Table1830[[#All],[year t]])*(Table1423[[#This Row],[stratum i]]=Table1830[[#All],[stratum i]]), 0)), 0)</f>
        <v>0</v>
      </c>
      <c r="AQ70">
        <f>Table1423[[#This Row],[Ai,t]]*(Table1423[[#This Row],[GHGWPS-soil-CO2,i,t]]-Table1423[[#This Row],[Deductionalloch WPS (Eq 38)]]+Table1423[[#This Row],[GHGWPS-soil-CH4,i,t]]+Table1423[[#This Row],[GHGWPS-soil-N2O,i,t]])</f>
        <v>-13338.667695462475</v>
      </c>
      <c r="AR70" t="e" cm="1">
        <f t="array" ref="AR70">INDEX(#REF!, MATCH(1, (Table1423[[#This Row],[year t]]=Table32[[#All],[year t]])*(Table1423[[#This Row],[stratum i]]=Table32[[#All],[stratum i]]), 0))</f>
        <v>#REF!</v>
      </c>
      <c r="AS70" t="e" cm="1">
        <f t="array" ref="AS70">INDEX(#REF!, MATCH(1, (Table1423[[#This Row],[year t]]=Table32[[#All],[year t]])*(Table1423[[#This Row],[stratum i]]=Table32[[#All],[stratum i]]), 0))</f>
        <v>#REF!</v>
      </c>
      <c r="AT70" t="e" cm="1">
        <f t="array" ref="AT70">INDEX(#REF!, MATCH(1, (Table1423[[#This Row],[year t]]=Table32[[#All],[year t]])*(Table1423[[#This Row],[stratum i]]=Table32[[#All],[stratum i]]), 0))</f>
        <v>#REF!</v>
      </c>
      <c r="AU70" t="e" cm="1">
        <f t="array" ref="AU70">INDEX(#REF!, MATCH(1, (Table1423[[#This Row],[year t]]=Table32[[#All],[year t]])*(Table1423[[#This Row],[stratum i]]=Table32[[#All],[stratum i]]), 0))</f>
        <v>#REF!</v>
      </c>
      <c r="AV70" s="30"/>
      <c r="BB70" s="18">
        <v>2048</v>
      </c>
      <c r="BC70">
        <v>2</v>
      </c>
      <c r="BD70" cm="1">
        <f t="array" ref="BD70">INDEX(Table32[[#All],[∆CWPS-soil,i,t (tC/ha)]], MATCH(1, (Table1329[[#This Row],[year t]]=Table32[[#All],[year t]])*(Table1329[[#This Row],[stratum i]]=Table32[[#All],[stratum i]]), 0))</f>
        <v>2.4</v>
      </c>
      <c r="BE70">
        <f>-44/12*Table1329[[#This Row],[∆CWPS-soil,i,t (tC/ha)]]</f>
        <v>-8.7999999999999989</v>
      </c>
    </row>
    <row r="71" spans="11:57" x14ac:dyDescent="0.2">
      <c r="K71" s="18">
        <v>2049</v>
      </c>
      <c r="L71">
        <v>2</v>
      </c>
      <c r="M71" cm="1">
        <f t="array" ref="M71">IF(project_aboveground_tree = "Included", INDEX(Table32[[#All],[ΔCTREE_PROJ,i,t (AR Tool 14) t C/yr]], MATCH(1, (Table1221[[#This Row],[year t]]=Table32[[#All],[year t]])*(Table1221[[#This Row],[stratum i]]=Table32[[#All],[stratum i]]), 0)), 0)</f>
        <v>25117.521764294012</v>
      </c>
      <c r="N71" s="57" cm="1">
        <f t="array" ref="N71">IF(project_aboveground_nontree = "Included", INDEX(#REF!, MATCH(1, (Table1221[[#This Row],[year t]]=Table32[[#All],[year t]])*(Table1221[[#This Row],[stratum i]]=Table32[[#All],[stratum i]]), 0)), 0)</f>
        <v>0</v>
      </c>
      <c r="O71">
        <f>12/44*(Table1221[[#This Row],[ΔCTREE_PROJ,t (AR Tool 14) t CO2e/yr]]+Table1221[[#This Row],[ΔCSHRUB_PROJ,t (AR Tool 14) t CO2e/yr]])</f>
        <v>6850.2332084438212</v>
      </c>
      <c r="P71" cm="1">
        <f t="array" ref="P71">IF(project_aboveground_nontree = "Included", IFERROR(INDEX(Table1322[[#All],[ΔCWPS-herb,i,t (Eq 78)]], MATCH(1, (Table1221[[#This Row],[stratum i]]=Table1322[[#All],[stratum i]])*(Table1221[[#This Row],[year t]]&gt;=#REF!)*(Table1221[[#This Row],[year t]]&lt;=Table1322[[#All],[year t]]), 0)), 0), 0)</f>
        <v>0</v>
      </c>
      <c r="Q71">
        <f>Table1221[[#This Row],[ΔCWPS-tree/shrub,i,t (t C/yr) (Eq 75)]]+Table1221[[#This Row],[ΔCWPS-herb,i,t (t C/yr)]]</f>
        <v>6850.2332084438212</v>
      </c>
      <c r="R71" cm="1">
        <f t="array" ref="R71">INDEX(Table1423[[#All],[GHGWPS-soil,i,t]], MATCH(1, (Table1221[[#This Row],[year t]]=Table1423[[#All],[year t]])*(Table1221[[#This Row],[stratum i]]=Table1423[[#All],[stratum i]]), 0))</f>
        <v>-13338.667695462475</v>
      </c>
      <c r="S71">
        <f>IF(project_ff_CO2 = "Included", Table1221[[#This Row],[ET(FC,I,t) AR-Tool 5 WPS]], 0)</f>
        <v>0</v>
      </c>
      <c r="T71" t="e" cm="1">
        <f t="array" ref="T71">INDEX(#REF!, MATCH(1, (Table1221[[#This Row],[year t]]=Table32[[#All],[year t]])*(Table1221[[#This Row],[stratum i]]=Table32[[#All],[stratum i]]), 0))</f>
        <v>#REF!</v>
      </c>
      <c r="AE71" s="18">
        <v>2049</v>
      </c>
      <c r="AF71">
        <v>2</v>
      </c>
      <c r="AG71" s="18" cm="1">
        <f t="array" ref="AG71">INDEX(Table32[[#All],[Ai,t]], MATCH(1, (Table1423[[#This Row],[year t]]=Table32[[#All],[year t]])*(Table1423[[#This Row],[stratum i]]=Table32[[#All],[stratum i]]), 0))</f>
        <v>1982.9786785714284</v>
      </c>
      <c r="AH71" t="str">
        <f>INDEX(Table31[[#All],[Soil type (t=0)]], MATCH(Table1423[[#This Row],[stratum i]], Table31[[#All],[Stratum i]]))</f>
        <v>Mineral soil</v>
      </c>
      <c r="AI71">
        <f>IF(Emission_reduction_from_stock_loss?, INDEX(Table2[[#All],[End_PDT]], MATCH(Table1423[[#This Row],[stratum i]], Table2[[#All],[stratum i]])), crediting_period)</f>
        <v>40</v>
      </c>
      <c r="AJ71">
        <f>IF(Emission_reduction_from_stock_loss?, INDEX(Table2[[#All],[End_SDT]], MATCH(Table1423[[#This Row],[stratum i]], Table2[[#All],[stratum i]])), crediting_period)</f>
        <v>40</v>
      </c>
      <c r="AK71" cm="1">
        <f t="array" ref="AK7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1" s="30" cm="1">
        <f t="array" ref="AL71">INDEX(Table32[[#All],[%Calloch WPS]], MATCH(1, (Table1423[[#This Row],[year t]]=Table32[[#All],[year t]])*(Table1423[[#This Row],[stratum i]]=Table32[[#All],[stratum i]]), 0))</f>
        <v>23.561573856247001</v>
      </c>
      <c r="AM7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1">
        <f>(Table1423[[#This Row],[GHGWPS-soil-CO2,i,t]]-Table1423[[#This Row],[Deductionalloch WPS (Eq 38)]])*Table1423[[#This Row],[Ai,t]]</f>
        <v>-13338.667695462475</v>
      </c>
      <c r="AO71" cm="1">
        <f t="array" ref="AO71">IF(project_soil_CH4 = "Included", INDEX(Table1830[[#All],[GHGWPS-soil-CH4,i,t (Eq 59)]], MATCH(1, (Table1423[[#This Row],[year t]]=Table1830[[#All],[year t]])*(Table1423[[#This Row],[stratum i]]=Table1830[[#All],[stratum i]]), 0)), 0)</f>
        <v>0</v>
      </c>
      <c r="AP71" cm="1">
        <f t="array" ref="AP71">IF(project_soil_N2O = "Included", INDEX(Table1830[[#All],[GHGWPS-soil-N2O,i,t (Eq 62)]], MATCH(1, (Table1423[[#This Row],[year t]]=Table1830[[#All],[year t]])*(Table1423[[#This Row],[stratum i]]=Table1830[[#All],[stratum i]]), 0)), 0)</f>
        <v>0</v>
      </c>
      <c r="AQ71">
        <f>Table1423[[#This Row],[Ai,t]]*(Table1423[[#This Row],[GHGWPS-soil-CO2,i,t]]-Table1423[[#This Row],[Deductionalloch WPS (Eq 38)]]+Table1423[[#This Row],[GHGWPS-soil-CH4,i,t]]+Table1423[[#This Row],[GHGWPS-soil-N2O,i,t]])</f>
        <v>-13338.667695462475</v>
      </c>
      <c r="AR71" t="e" cm="1">
        <f t="array" ref="AR71">INDEX(#REF!, MATCH(1, (Table1423[[#This Row],[year t]]=Table32[[#All],[year t]])*(Table1423[[#This Row],[stratum i]]=Table32[[#All],[stratum i]]), 0))</f>
        <v>#REF!</v>
      </c>
      <c r="AS71" t="e" cm="1">
        <f t="array" ref="AS71">INDEX(#REF!, MATCH(1, (Table1423[[#This Row],[year t]]=Table32[[#All],[year t]])*(Table1423[[#This Row],[stratum i]]=Table32[[#All],[stratum i]]), 0))</f>
        <v>#REF!</v>
      </c>
      <c r="AT71" t="e" cm="1">
        <f t="array" ref="AT71">INDEX(#REF!, MATCH(1, (Table1423[[#This Row],[year t]]=Table32[[#All],[year t]])*(Table1423[[#This Row],[stratum i]]=Table32[[#All],[stratum i]]), 0))</f>
        <v>#REF!</v>
      </c>
      <c r="AU71" t="e" cm="1">
        <f t="array" ref="AU71">INDEX(#REF!, MATCH(1, (Table1423[[#This Row],[year t]]=Table32[[#All],[year t]])*(Table1423[[#This Row],[stratum i]]=Table32[[#All],[stratum i]]), 0))</f>
        <v>#REF!</v>
      </c>
      <c r="AV71" s="30"/>
      <c r="BB71" s="18">
        <v>2049</v>
      </c>
      <c r="BC71">
        <v>2</v>
      </c>
      <c r="BD71" cm="1">
        <f t="array" ref="BD71">INDEX(Table32[[#All],[∆CWPS-soil,i,t (tC/ha)]], MATCH(1, (Table1329[[#This Row],[year t]]=Table32[[#All],[year t]])*(Table1329[[#This Row],[stratum i]]=Table32[[#All],[stratum i]]), 0))</f>
        <v>2.4</v>
      </c>
      <c r="BE71">
        <f>-44/12*Table1329[[#This Row],[∆CWPS-soil,i,t (tC/ha)]]</f>
        <v>-8.7999999999999989</v>
      </c>
    </row>
    <row r="72" spans="11:57" x14ac:dyDescent="0.2">
      <c r="K72" s="18">
        <v>2050</v>
      </c>
      <c r="L72">
        <v>2</v>
      </c>
      <c r="M72" cm="1">
        <f t="array" ref="M72">IF(project_aboveground_tree = "Included", INDEX(Table32[[#All],[ΔCTREE_PROJ,i,t (AR Tool 14) t C/yr]], MATCH(1, (Table1221[[#This Row],[year t]]=Table32[[#All],[year t]])*(Table1221[[#This Row],[stratum i]]=Table32[[#All],[stratum i]]), 0)), 0)</f>
        <v>23671.417698164063</v>
      </c>
      <c r="N72" s="57" cm="1">
        <f t="array" ref="N72">IF(project_aboveground_nontree = "Included", INDEX(#REF!, MATCH(1, (Table1221[[#This Row],[year t]]=Table32[[#All],[year t]])*(Table1221[[#This Row],[stratum i]]=Table32[[#All],[stratum i]]), 0)), 0)</f>
        <v>0</v>
      </c>
      <c r="O72">
        <f>12/44*(Table1221[[#This Row],[ΔCTREE_PROJ,t (AR Tool 14) t CO2e/yr]]+Table1221[[#This Row],[ΔCSHRUB_PROJ,t (AR Tool 14) t CO2e/yr]])</f>
        <v>6455.8411904083805</v>
      </c>
      <c r="P72" cm="1">
        <f t="array" ref="P72">IF(project_aboveground_nontree = "Included", IFERROR(INDEX(Table1322[[#All],[ΔCWPS-herb,i,t (Eq 78)]], MATCH(1, (Table1221[[#This Row],[stratum i]]=Table1322[[#All],[stratum i]])*(Table1221[[#This Row],[year t]]&gt;=#REF!)*(Table1221[[#This Row],[year t]]&lt;=Table1322[[#All],[year t]]), 0)), 0), 0)</f>
        <v>0</v>
      </c>
      <c r="Q72">
        <f>Table1221[[#This Row],[ΔCWPS-tree/shrub,i,t (t C/yr) (Eq 75)]]+Table1221[[#This Row],[ΔCWPS-herb,i,t (t C/yr)]]</f>
        <v>6455.8411904083805</v>
      </c>
      <c r="R72" cm="1">
        <f t="array" ref="R72">INDEX(Table1423[[#All],[GHGWPS-soil,i,t]], MATCH(1, (Table1221[[#This Row],[year t]]=Table1423[[#All],[year t]])*(Table1221[[#This Row],[stratum i]]=Table1423[[#All],[stratum i]]), 0))</f>
        <v>-13338.667695462475</v>
      </c>
      <c r="S72">
        <f>IF(project_ff_CO2 = "Included", Table1221[[#This Row],[ET(FC,I,t) AR-Tool 5 WPS]], 0)</f>
        <v>0</v>
      </c>
      <c r="T72" t="e" cm="1">
        <f t="array" ref="T72">INDEX(#REF!, MATCH(1, (Table1221[[#This Row],[year t]]=Table32[[#All],[year t]])*(Table1221[[#This Row],[stratum i]]=Table32[[#All],[stratum i]]), 0))</f>
        <v>#REF!</v>
      </c>
      <c r="AE72" s="18">
        <v>2050</v>
      </c>
      <c r="AF72">
        <v>2</v>
      </c>
      <c r="AG72" s="18" cm="1">
        <f t="array" ref="AG72">INDEX(Table32[[#All],[Ai,t]], MATCH(1, (Table1423[[#This Row],[year t]]=Table32[[#All],[year t]])*(Table1423[[#This Row],[stratum i]]=Table32[[#All],[stratum i]]), 0))</f>
        <v>1982.9786785714284</v>
      </c>
      <c r="AH72" t="str">
        <f>INDEX(Table31[[#All],[Soil type (t=0)]], MATCH(Table1423[[#This Row],[stratum i]], Table31[[#All],[Stratum i]]))</f>
        <v>Mineral soil</v>
      </c>
      <c r="AI72">
        <f>IF(Emission_reduction_from_stock_loss?, INDEX(Table2[[#All],[End_PDT]], MATCH(Table1423[[#This Row],[stratum i]], Table2[[#All],[stratum i]])), crediting_period)</f>
        <v>40</v>
      </c>
      <c r="AJ72">
        <f>IF(Emission_reduction_from_stock_loss?, INDEX(Table2[[#All],[End_SDT]], MATCH(Table1423[[#This Row],[stratum i]], Table2[[#All],[stratum i]])), crediting_period)</f>
        <v>40</v>
      </c>
      <c r="AK72" cm="1">
        <f t="array" ref="AK7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2" s="30" cm="1">
        <f t="array" ref="AL72">INDEX(Table32[[#All],[%Calloch WPS]], MATCH(1, (Table1423[[#This Row],[year t]]=Table32[[#All],[year t]])*(Table1423[[#This Row],[stratum i]]=Table32[[#All],[stratum i]]), 0))</f>
        <v>23.561573856247001</v>
      </c>
      <c r="AM7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2">
        <f>(Table1423[[#This Row],[GHGWPS-soil-CO2,i,t]]-Table1423[[#This Row],[Deductionalloch WPS (Eq 38)]])*Table1423[[#This Row],[Ai,t]]</f>
        <v>-13338.667695462475</v>
      </c>
      <c r="AO72" cm="1">
        <f t="array" ref="AO72">IF(project_soil_CH4 = "Included", INDEX(Table1830[[#All],[GHGWPS-soil-CH4,i,t (Eq 59)]], MATCH(1, (Table1423[[#This Row],[year t]]=Table1830[[#All],[year t]])*(Table1423[[#This Row],[stratum i]]=Table1830[[#All],[stratum i]]), 0)), 0)</f>
        <v>0</v>
      </c>
      <c r="AP72" cm="1">
        <f t="array" ref="AP72">IF(project_soil_N2O = "Included", INDEX(Table1830[[#All],[GHGWPS-soil-N2O,i,t (Eq 62)]], MATCH(1, (Table1423[[#This Row],[year t]]=Table1830[[#All],[year t]])*(Table1423[[#This Row],[stratum i]]=Table1830[[#All],[stratum i]]), 0)), 0)</f>
        <v>0</v>
      </c>
      <c r="AQ72">
        <f>Table1423[[#This Row],[Ai,t]]*(Table1423[[#This Row],[GHGWPS-soil-CO2,i,t]]-Table1423[[#This Row],[Deductionalloch WPS (Eq 38)]]+Table1423[[#This Row],[GHGWPS-soil-CH4,i,t]]+Table1423[[#This Row],[GHGWPS-soil-N2O,i,t]])</f>
        <v>-13338.667695462475</v>
      </c>
      <c r="AR72" t="e" cm="1">
        <f t="array" ref="AR72">INDEX(#REF!, MATCH(1, (Table1423[[#This Row],[year t]]=Table32[[#All],[year t]])*(Table1423[[#This Row],[stratum i]]=Table32[[#All],[stratum i]]), 0))</f>
        <v>#REF!</v>
      </c>
      <c r="AS72" t="e" cm="1">
        <f t="array" ref="AS72">INDEX(#REF!, MATCH(1, (Table1423[[#This Row],[year t]]=Table32[[#All],[year t]])*(Table1423[[#This Row],[stratum i]]=Table32[[#All],[stratum i]]), 0))</f>
        <v>#REF!</v>
      </c>
      <c r="AT72" t="e" cm="1">
        <f t="array" ref="AT72">INDEX(#REF!, MATCH(1, (Table1423[[#This Row],[year t]]=Table32[[#All],[year t]])*(Table1423[[#This Row],[stratum i]]=Table32[[#All],[stratum i]]), 0))</f>
        <v>#REF!</v>
      </c>
      <c r="AU72" t="e" cm="1">
        <f t="array" ref="AU72">INDEX(#REF!, MATCH(1, (Table1423[[#This Row],[year t]]=Table32[[#All],[year t]])*(Table1423[[#This Row],[stratum i]]=Table32[[#All],[stratum i]]), 0))</f>
        <v>#REF!</v>
      </c>
      <c r="AV72" s="30"/>
      <c r="BB72" s="18">
        <v>2050</v>
      </c>
      <c r="BC72">
        <v>2</v>
      </c>
      <c r="BD72" cm="1">
        <f t="array" ref="BD72">INDEX(Table32[[#All],[∆CWPS-soil,i,t (tC/ha)]], MATCH(1, (Table1329[[#This Row],[year t]]=Table32[[#All],[year t]])*(Table1329[[#This Row],[stratum i]]=Table32[[#All],[stratum i]]), 0))</f>
        <v>2.4</v>
      </c>
      <c r="BE72">
        <f>-44/12*Table1329[[#This Row],[∆CWPS-soil,i,t (tC/ha)]]</f>
        <v>-8.7999999999999989</v>
      </c>
    </row>
    <row r="73" spans="11:57" x14ac:dyDescent="0.2">
      <c r="K73" s="18">
        <v>2051</v>
      </c>
      <c r="L73">
        <v>2</v>
      </c>
      <c r="M73" cm="1">
        <f t="array" ref="M73">IF(project_aboveground_tree = "Included", INDEX(Table32[[#All],[ΔCTREE_PROJ,i,t (AR Tool 14) t C/yr]], MATCH(1, (Table1221[[#This Row],[year t]]=Table32[[#All],[year t]])*(Table1221[[#This Row],[stratum i]]=Table32[[#All],[stratum i]]), 0)), 0)</f>
        <v>22168.446772436786</v>
      </c>
      <c r="N73" s="57" cm="1">
        <f t="array" ref="N73">IF(project_aboveground_nontree = "Included", INDEX(#REF!, MATCH(1, (Table1221[[#This Row],[year t]]=Table32[[#All],[year t]])*(Table1221[[#This Row],[stratum i]]=Table32[[#All],[stratum i]]), 0)), 0)</f>
        <v>0</v>
      </c>
      <c r="O73">
        <f>12/44*(Table1221[[#This Row],[ΔCTREE_PROJ,t (AR Tool 14) t CO2e/yr]]+Table1221[[#This Row],[ΔCSHRUB_PROJ,t (AR Tool 14) t CO2e/yr]])</f>
        <v>6045.9400288463958</v>
      </c>
      <c r="P73" cm="1">
        <f t="array" ref="P73">IF(project_aboveground_nontree = "Included", IFERROR(INDEX(Table1322[[#All],[ΔCWPS-herb,i,t (Eq 78)]], MATCH(1, (Table1221[[#This Row],[stratum i]]=Table1322[[#All],[stratum i]])*(Table1221[[#This Row],[year t]]&gt;=#REF!)*(Table1221[[#This Row],[year t]]&lt;=Table1322[[#All],[year t]]), 0)), 0), 0)</f>
        <v>0</v>
      </c>
      <c r="Q73">
        <f>Table1221[[#This Row],[ΔCWPS-tree/shrub,i,t (t C/yr) (Eq 75)]]+Table1221[[#This Row],[ΔCWPS-herb,i,t (t C/yr)]]</f>
        <v>6045.9400288463958</v>
      </c>
      <c r="R73" cm="1">
        <f t="array" ref="R73">INDEX(Table1423[[#All],[GHGWPS-soil,i,t]], MATCH(1, (Table1221[[#This Row],[year t]]=Table1423[[#All],[year t]])*(Table1221[[#This Row],[stratum i]]=Table1423[[#All],[stratum i]]), 0))</f>
        <v>-13338.667695462475</v>
      </c>
      <c r="S73">
        <f>IF(project_ff_CO2 = "Included", Table1221[[#This Row],[ET(FC,I,t) AR-Tool 5 WPS]], 0)</f>
        <v>0</v>
      </c>
      <c r="T73" t="e" cm="1">
        <f t="array" ref="T73">INDEX(#REF!, MATCH(1, (Table1221[[#This Row],[year t]]=Table32[[#All],[year t]])*(Table1221[[#This Row],[stratum i]]=Table32[[#All],[stratum i]]), 0))</f>
        <v>#REF!</v>
      </c>
      <c r="AE73" s="18">
        <v>2051</v>
      </c>
      <c r="AF73">
        <v>2</v>
      </c>
      <c r="AG73" s="18" cm="1">
        <f t="array" ref="AG73">INDEX(Table32[[#All],[Ai,t]], MATCH(1, (Table1423[[#This Row],[year t]]=Table32[[#All],[year t]])*(Table1423[[#This Row],[stratum i]]=Table32[[#All],[stratum i]]), 0))</f>
        <v>1982.9786785714284</v>
      </c>
      <c r="AH73" t="str">
        <f>INDEX(Table31[[#All],[Soil type (t=0)]], MATCH(Table1423[[#This Row],[stratum i]], Table31[[#All],[Stratum i]]))</f>
        <v>Mineral soil</v>
      </c>
      <c r="AI73">
        <f>IF(Emission_reduction_from_stock_loss?, INDEX(Table2[[#All],[End_PDT]], MATCH(Table1423[[#This Row],[stratum i]], Table2[[#All],[stratum i]])), crediting_period)</f>
        <v>40</v>
      </c>
      <c r="AJ73">
        <f>IF(Emission_reduction_from_stock_loss?, INDEX(Table2[[#All],[End_SDT]], MATCH(Table1423[[#This Row],[stratum i]], Table2[[#All],[stratum i]])), crediting_period)</f>
        <v>40</v>
      </c>
      <c r="AK73" cm="1">
        <f t="array" ref="AK7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3" s="30" cm="1">
        <f t="array" ref="AL73">INDEX(Table32[[#All],[%Calloch WPS]], MATCH(1, (Table1423[[#This Row],[year t]]=Table32[[#All],[year t]])*(Table1423[[#This Row],[stratum i]]=Table32[[#All],[stratum i]]), 0))</f>
        <v>23.561573856247001</v>
      </c>
      <c r="AM7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3">
        <f>(Table1423[[#This Row],[GHGWPS-soil-CO2,i,t]]-Table1423[[#This Row],[Deductionalloch WPS (Eq 38)]])*Table1423[[#This Row],[Ai,t]]</f>
        <v>-13338.667695462475</v>
      </c>
      <c r="AO73" cm="1">
        <f t="array" ref="AO73">IF(project_soil_CH4 = "Included", INDEX(Table1830[[#All],[GHGWPS-soil-CH4,i,t (Eq 59)]], MATCH(1, (Table1423[[#This Row],[year t]]=Table1830[[#All],[year t]])*(Table1423[[#This Row],[stratum i]]=Table1830[[#All],[stratum i]]), 0)), 0)</f>
        <v>0</v>
      </c>
      <c r="AP73" cm="1">
        <f t="array" ref="AP73">IF(project_soil_N2O = "Included", INDEX(Table1830[[#All],[GHGWPS-soil-N2O,i,t (Eq 62)]], MATCH(1, (Table1423[[#This Row],[year t]]=Table1830[[#All],[year t]])*(Table1423[[#This Row],[stratum i]]=Table1830[[#All],[stratum i]]), 0)), 0)</f>
        <v>0</v>
      </c>
      <c r="AQ73">
        <f>Table1423[[#This Row],[Ai,t]]*(Table1423[[#This Row],[GHGWPS-soil-CO2,i,t]]-Table1423[[#This Row],[Deductionalloch WPS (Eq 38)]]+Table1423[[#This Row],[GHGWPS-soil-CH4,i,t]]+Table1423[[#This Row],[GHGWPS-soil-N2O,i,t]])</f>
        <v>-13338.667695462475</v>
      </c>
      <c r="AR73" t="e" cm="1">
        <f t="array" ref="AR73">INDEX(#REF!, MATCH(1, (Table1423[[#This Row],[year t]]=Table32[[#All],[year t]])*(Table1423[[#This Row],[stratum i]]=Table32[[#All],[stratum i]]), 0))</f>
        <v>#REF!</v>
      </c>
      <c r="AS73" t="e" cm="1">
        <f t="array" ref="AS73">INDEX(#REF!, MATCH(1, (Table1423[[#This Row],[year t]]=Table32[[#All],[year t]])*(Table1423[[#This Row],[stratum i]]=Table32[[#All],[stratum i]]), 0))</f>
        <v>#REF!</v>
      </c>
      <c r="AT73" t="e" cm="1">
        <f t="array" ref="AT73">INDEX(#REF!, MATCH(1, (Table1423[[#This Row],[year t]]=Table32[[#All],[year t]])*(Table1423[[#This Row],[stratum i]]=Table32[[#All],[stratum i]]), 0))</f>
        <v>#REF!</v>
      </c>
      <c r="AU73" t="e" cm="1">
        <f t="array" ref="AU73">INDEX(#REF!, MATCH(1, (Table1423[[#This Row],[year t]]=Table32[[#All],[year t]])*(Table1423[[#This Row],[stratum i]]=Table32[[#All],[stratum i]]), 0))</f>
        <v>#REF!</v>
      </c>
      <c r="AV73" s="30"/>
      <c r="BB73" s="18">
        <v>2051</v>
      </c>
      <c r="BC73">
        <v>2</v>
      </c>
      <c r="BD73" cm="1">
        <f t="array" ref="BD73">INDEX(Table32[[#All],[∆CWPS-soil,i,t (tC/ha)]], MATCH(1, (Table1329[[#This Row],[year t]]=Table32[[#All],[year t]])*(Table1329[[#This Row],[stratum i]]=Table32[[#All],[stratum i]]), 0))</f>
        <v>2.4</v>
      </c>
      <c r="BE73">
        <f>-44/12*Table1329[[#This Row],[∆CWPS-soil,i,t (tC/ha)]]</f>
        <v>-8.7999999999999989</v>
      </c>
    </row>
    <row r="74" spans="11:57" x14ac:dyDescent="0.2">
      <c r="K74" s="18">
        <v>2052</v>
      </c>
      <c r="L74">
        <v>2</v>
      </c>
      <c r="M74" cm="1">
        <f t="array" ref="M74">IF(project_aboveground_tree = "Included", INDEX(Table32[[#All],[ΔCTREE_PROJ,i,t (AR Tool 14) t C/yr]], MATCH(1, (Table1221[[#This Row],[year t]]=Table32[[#All],[year t]])*(Table1221[[#This Row],[stratum i]]=Table32[[#All],[stratum i]]), 0)), 0)</f>
        <v>20645.72556414752</v>
      </c>
      <c r="N74" s="57" cm="1">
        <f t="array" ref="N74">IF(project_aboveground_nontree = "Included", INDEX(#REF!, MATCH(1, (Table1221[[#This Row],[year t]]=Table32[[#All],[year t]])*(Table1221[[#This Row],[stratum i]]=Table32[[#All],[stratum i]]), 0)), 0)</f>
        <v>0</v>
      </c>
      <c r="O74">
        <f>12/44*(Table1221[[#This Row],[ΔCTREE_PROJ,t (AR Tool 14) t CO2e/yr]]+Table1221[[#This Row],[ΔCSHRUB_PROJ,t (AR Tool 14) t CO2e/yr]])</f>
        <v>5630.652426585687</v>
      </c>
      <c r="P74" cm="1">
        <f t="array" ref="P74">IF(project_aboveground_nontree = "Included", IFERROR(INDEX(Table1322[[#All],[ΔCWPS-herb,i,t (Eq 78)]], MATCH(1, (Table1221[[#This Row],[stratum i]]=Table1322[[#All],[stratum i]])*(Table1221[[#This Row],[year t]]&gt;=#REF!)*(Table1221[[#This Row],[year t]]&lt;=Table1322[[#All],[year t]]), 0)), 0), 0)</f>
        <v>0</v>
      </c>
      <c r="Q74">
        <f>Table1221[[#This Row],[ΔCWPS-tree/shrub,i,t (t C/yr) (Eq 75)]]+Table1221[[#This Row],[ΔCWPS-herb,i,t (t C/yr)]]</f>
        <v>5630.652426585687</v>
      </c>
      <c r="R74" cm="1">
        <f t="array" ref="R74">INDEX(Table1423[[#All],[GHGWPS-soil,i,t]], MATCH(1, (Table1221[[#This Row],[year t]]=Table1423[[#All],[year t]])*(Table1221[[#This Row],[stratum i]]=Table1423[[#All],[stratum i]]), 0))</f>
        <v>-13338.667695462475</v>
      </c>
      <c r="S74">
        <f>IF(project_ff_CO2 = "Included", Table1221[[#This Row],[ET(FC,I,t) AR-Tool 5 WPS]], 0)</f>
        <v>0</v>
      </c>
      <c r="T74" t="e" cm="1">
        <f t="array" ref="T74">INDEX(#REF!, MATCH(1, (Table1221[[#This Row],[year t]]=Table32[[#All],[year t]])*(Table1221[[#This Row],[stratum i]]=Table32[[#All],[stratum i]]), 0))</f>
        <v>#REF!</v>
      </c>
      <c r="AE74" s="18">
        <v>2052</v>
      </c>
      <c r="AF74">
        <v>2</v>
      </c>
      <c r="AG74" s="18" cm="1">
        <f t="array" ref="AG74">INDEX(Table32[[#All],[Ai,t]], MATCH(1, (Table1423[[#This Row],[year t]]=Table32[[#All],[year t]])*(Table1423[[#This Row],[stratum i]]=Table32[[#All],[stratum i]]), 0))</f>
        <v>1982.9786785714284</v>
      </c>
      <c r="AH74" t="str">
        <f>INDEX(Table31[[#All],[Soil type (t=0)]], MATCH(Table1423[[#This Row],[stratum i]], Table31[[#All],[Stratum i]]))</f>
        <v>Mineral soil</v>
      </c>
      <c r="AI74">
        <f>IF(Emission_reduction_from_stock_loss?, INDEX(Table2[[#All],[End_PDT]], MATCH(Table1423[[#This Row],[stratum i]], Table2[[#All],[stratum i]])), crediting_period)</f>
        <v>40</v>
      </c>
      <c r="AJ74">
        <f>IF(Emission_reduction_from_stock_loss?, INDEX(Table2[[#All],[End_SDT]], MATCH(Table1423[[#This Row],[stratum i]], Table2[[#All],[stratum i]])), crediting_period)</f>
        <v>40</v>
      </c>
      <c r="AK74" cm="1">
        <f t="array" ref="AK7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4" s="30" cm="1">
        <f t="array" ref="AL74">INDEX(Table32[[#All],[%Calloch WPS]], MATCH(1, (Table1423[[#This Row],[year t]]=Table32[[#All],[year t]])*(Table1423[[#This Row],[stratum i]]=Table32[[#All],[stratum i]]), 0))</f>
        <v>23.561573856247001</v>
      </c>
      <c r="AM7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4">
        <f>(Table1423[[#This Row],[GHGWPS-soil-CO2,i,t]]-Table1423[[#This Row],[Deductionalloch WPS (Eq 38)]])*Table1423[[#This Row],[Ai,t]]</f>
        <v>-13338.667695462475</v>
      </c>
      <c r="AO74" cm="1">
        <f t="array" ref="AO74">IF(project_soil_CH4 = "Included", INDEX(Table1830[[#All],[GHGWPS-soil-CH4,i,t (Eq 59)]], MATCH(1, (Table1423[[#This Row],[year t]]=Table1830[[#All],[year t]])*(Table1423[[#This Row],[stratum i]]=Table1830[[#All],[stratum i]]), 0)), 0)</f>
        <v>0</v>
      </c>
      <c r="AP74" cm="1">
        <f t="array" ref="AP74">IF(project_soil_N2O = "Included", INDEX(Table1830[[#All],[GHGWPS-soil-N2O,i,t (Eq 62)]], MATCH(1, (Table1423[[#This Row],[year t]]=Table1830[[#All],[year t]])*(Table1423[[#This Row],[stratum i]]=Table1830[[#All],[stratum i]]), 0)), 0)</f>
        <v>0</v>
      </c>
      <c r="AQ74">
        <f>Table1423[[#This Row],[Ai,t]]*(Table1423[[#This Row],[GHGWPS-soil-CO2,i,t]]-Table1423[[#This Row],[Deductionalloch WPS (Eq 38)]]+Table1423[[#This Row],[GHGWPS-soil-CH4,i,t]]+Table1423[[#This Row],[GHGWPS-soil-N2O,i,t]])</f>
        <v>-13338.667695462475</v>
      </c>
      <c r="AR74" t="e" cm="1">
        <f t="array" ref="AR74">INDEX(#REF!, MATCH(1, (Table1423[[#This Row],[year t]]=Table32[[#All],[year t]])*(Table1423[[#This Row],[stratum i]]=Table32[[#All],[stratum i]]), 0))</f>
        <v>#REF!</v>
      </c>
      <c r="AS74" t="e" cm="1">
        <f t="array" ref="AS74">INDEX(#REF!, MATCH(1, (Table1423[[#This Row],[year t]]=Table32[[#All],[year t]])*(Table1423[[#This Row],[stratum i]]=Table32[[#All],[stratum i]]), 0))</f>
        <v>#REF!</v>
      </c>
      <c r="AT74" t="e" cm="1">
        <f t="array" ref="AT74">INDEX(#REF!, MATCH(1, (Table1423[[#This Row],[year t]]=Table32[[#All],[year t]])*(Table1423[[#This Row],[stratum i]]=Table32[[#All],[stratum i]]), 0))</f>
        <v>#REF!</v>
      </c>
      <c r="AU74" t="e" cm="1">
        <f t="array" ref="AU74">INDEX(#REF!, MATCH(1, (Table1423[[#This Row],[year t]]=Table32[[#All],[year t]])*(Table1423[[#This Row],[stratum i]]=Table32[[#All],[stratum i]]), 0))</f>
        <v>#REF!</v>
      </c>
      <c r="AV74" s="30"/>
      <c r="BB74" s="18">
        <v>2052</v>
      </c>
      <c r="BC74">
        <v>2</v>
      </c>
      <c r="BD74" cm="1">
        <f t="array" ref="BD74">INDEX(Table32[[#All],[∆CWPS-soil,i,t (tC/ha)]], MATCH(1, (Table1329[[#This Row],[year t]]=Table32[[#All],[year t]])*(Table1329[[#This Row],[stratum i]]=Table32[[#All],[stratum i]]), 0))</f>
        <v>2.4</v>
      </c>
      <c r="BE74">
        <f>-44/12*Table1329[[#This Row],[∆CWPS-soil,i,t (tC/ha)]]</f>
        <v>-8.7999999999999989</v>
      </c>
    </row>
    <row r="75" spans="11:57" x14ac:dyDescent="0.2">
      <c r="K75" s="18">
        <v>2053</v>
      </c>
      <c r="L75">
        <v>2</v>
      </c>
      <c r="M75" cm="1">
        <f t="array" ref="M75">IF(project_aboveground_tree = "Included", INDEX(Table32[[#All],[ΔCTREE_PROJ,i,t (AR Tool 14) t C/yr]], MATCH(1, (Table1221[[#This Row],[year t]]=Table32[[#All],[year t]])*(Table1221[[#This Row],[stratum i]]=Table32[[#All],[stratum i]]), 0)), 0)</f>
        <v>19133.283374309482</v>
      </c>
      <c r="N75" s="57" cm="1">
        <f t="array" ref="N75">IF(project_aboveground_nontree = "Included", INDEX(#REF!, MATCH(1, (Table1221[[#This Row],[year t]]=Table32[[#All],[year t]])*(Table1221[[#This Row],[stratum i]]=Table32[[#All],[stratum i]]), 0)), 0)</f>
        <v>0</v>
      </c>
      <c r="O75">
        <f>12/44*(Table1221[[#This Row],[ΔCTREE_PROJ,t (AR Tool 14) t CO2e/yr]]+Table1221[[#This Row],[ΔCSHRUB_PROJ,t (AR Tool 14) t CO2e/yr]])</f>
        <v>5218.1681929934948</v>
      </c>
      <c r="P75" cm="1">
        <f t="array" ref="P75">IF(project_aboveground_nontree = "Included", IFERROR(INDEX(Table1322[[#All],[ΔCWPS-herb,i,t (Eq 78)]], MATCH(1, (Table1221[[#This Row],[stratum i]]=Table1322[[#All],[stratum i]])*(Table1221[[#This Row],[year t]]&gt;=#REF!)*(Table1221[[#This Row],[year t]]&lt;=Table1322[[#All],[year t]]), 0)), 0), 0)</f>
        <v>0</v>
      </c>
      <c r="Q75">
        <f>Table1221[[#This Row],[ΔCWPS-tree/shrub,i,t (t C/yr) (Eq 75)]]+Table1221[[#This Row],[ΔCWPS-herb,i,t (t C/yr)]]</f>
        <v>5218.1681929934948</v>
      </c>
      <c r="R75" cm="1">
        <f t="array" ref="R75">INDEX(Table1423[[#All],[GHGWPS-soil,i,t]], MATCH(1, (Table1221[[#This Row],[year t]]=Table1423[[#All],[year t]])*(Table1221[[#This Row],[stratum i]]=Table1423[[#All],[stratum i]]), 0))</f>
        <v>-13338.667695462475</v>
      </c>
      <c r="S75">
        <f>IF(project_ff_CO2 = "Included", Table1221[[#This Row],[ET(FC,I,t) AR-Tool 5 WPS]], 0)</f>
        <v>0</v>
      </c>
      <c r="T75" t="e" cm="1">
        <f t="array" ref="T75">INDEX(#REF!, MATCH(1, (Table1221[[#This Row],[year t]]=Table32[[#All],[year t]])*(Table1221[[#This Row],[stratum i]]=Table32[[#All],[stratum i]]), 0))</f>
        <v>#REF!</v>
      </c>
      <c r="AE75" s="18">
        <v>2053</v>
      </c>
      <c r="AF75">
        <v>2</v>
      </c>
      <c r="AG75" s="18" cm="1">
        <f t="array" ref="AG75">INDEX(Table32[[#All],[Ai,t]], MATCH(1, (Table1423[[#This Row],[year t]]=Table32[[#All],[year t]])*(Table1423[[#This Row],[stratum i]]=Table32[[#All],[stratum i]]), 0))</f>
        <v>1982.9786785714284</v>
      </c>
      <c r="AH75" t="str">
        <f>INDEX(Table31[[#All],[Soil type (t=0)]], MATCH(Table1423[[#This Row],[stratum i]], Table31[[#All],[Stratum i]]))</f>
        <v>Mineral soil</v>
      </c>
      <c r="AI75">
        <f>IF(Emission_reduction_from_stock_loss?, INDEX(Table2[[#All],[End_PDT]], MATCH(Table1423[[#This Row],[stratum i]], Table2[[#All],[stratum i]])), crediting_period)</f>
        <v>40</v>
      </c>
      <c r="AJ75">
        <f>IF(Emission_reduction_from_stock_loss?, INDEX(Table2[[#All],[End_SDT]], MATCH(Table1423[[#This Row],[stratum i]], Table2[[#All],[stratum i]])), crediting_period)</f>
        <v>40</v>
      </c>
      <c r="AK75" cm="1">
        <f t="array" ref="AK7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5" s="30" cm="1">
        <f t="array" ref="AL75">INDEX(Table32[[#All],[%Calloch WPS]], MATCH(1, (Table1423[[#This Row],[year t]]=Table32[[#All],[year t]])*(Table1423[[#This Row],[stratum i]]=Table32[[#All],[stratum i]]), 0))</f>
        <v>23.561573856247001</v>
      </c>
      <c r="AM7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5">
        <f>(Table1423[[#This Row],[GHGWPS-soil-CO2,i,t]]-Table1423[[#This Row],[Deductionalloch WPS (Eq 38)]])*Table1423[[#This Row],[Ai,t]]</f>
        <v>-13338.667695462475</v>
      </c>
      <c r="AO75" cm="1">
        <f t="array" ref="AO75">IF(project_soil_CH4 = "Included", INDEX(Table1830[[#All],[GHGWPS-soil-CH4,i,t (Eq 59)]], MATCH(1, (Table1423[[#This Row],[year t]]=Table1830[[#All],[year t]])*(Table1423[[#This Row],[stratum i]]=Table1830[[#All],[stratum i]]), 0)), 0)</f>
        <v>0</v>
      </c>
      <c r="AP75" cm="1">
        <f t="array" ref="AP75">IF(project_soil_N2O = "Included", INDEX(Table1830[[#All],[GHGWPS-soil-N2O,i,t (Eq 62)]], MATCH(1, (Table1423[[#This Row],[year t]]=Table1830[[#All],[year t]])*(Table1423[[#This Row],[stratum i]]=Table1830[[#All],[stratum i]]), 0)), 0)</f>
        <v>0</v>
      </c>
      <c r="AQ75">
        <f>Table1423[[#This Row],[Ai,t]]*(Table1423[[#This Row],[GHGWPS-soil-CO2,i,t]]-Table1423[[#This Row],[Deductionalloch WPS (Eq 38)]]+Table1423[[#This Row],[GHGWPS-soil-CH4,i,t]]+Table1423[[#This Row],[GHGWPS-soil-N2O,i,t]])</f>
        <v>-13338.667695462475</v>
      </c>
      <c r="AR75" t="e" cm="1">
        <f t="array" ref="AR75">INDEX(#REF!, MATCH(1, (Table1423[[#This Row],[year t]]=Table32[[#All],[year t]])*(Table1423[[#This Row],[stratum i]]=Table32[[#All],[stratum i]]), 0))</f>
        <v>#REF!</v>
      </c>
      <c r="AS75" t="e" cm="1">
        <f t="array" ref="AS75">INDEX(#REF!, MATCH(1, (Table1423[[#This Row],[year t]]=Table32[[#All],[year t]])*(Table1423[[#This Row],[stratum i]]=Table32[[#All],[stratum i]]), 0))</f>
        <v>#REF!</v>
      </c>
      <c r="AT75" t="e" cm="1">
        <f t="array" ref="AT75">INDEX(#REF!, MATCH(1, (Table1423[[#This Row],[year t]]=Table32[[#All],[year t]])*(Table1423[[#This Row],[stratum i]]=Table32[[#All],[stratum i]]), 0))</f>
        <v>#REF!</v>
      </c>
      <c r="AU75" t="e" cm="1">
        <f t="array" ref="AU75">INDEX(#REF!, MATCH(1, (Table1423[[#This Row],[year t]]=Table32[[#All],[year t]])*(Table1423[[#This Row],[stratum i]]=Table32[[#All],[stratum i]]), 0))</f>
        <v>#REF!</v>
      </c>
      <c r="AV75" s="30"/>
      <c r="BB75" s="18">
        <v>2053</v>
      </c>
      <c r="BC75">
        <v>2</v>
      </c>
      <c r="BD75" cm="1">
        <f t="array" ref="BD75">INDEX(Table32[[#All],[∆CWPS-soil,i,t (tC/ha)]], MATCH(1, (Table1329[[#This Row],[year t]]=Table32[[#All],[year t]])*(Table1329[[#This Row],[stratum i]]=Table32[[#All],[stratum i]]), 0))</f>
        <v>2.4</v>
      </c>
      <c r="BE75">
        <f>-44/12*Table1329[[#This Row],[∆CWPS-soil,i,t (tC/ha)]]</f>
        <v>-8.7999999999999989</v>
      </c>
    </row>
    <row r="76" spans="11:57" x14ac:dyDescent="0.2">
      <c r="K76" s="18">
        <v>2054</v>
      </c>
      <c r="L76">
        <v>2</v>
      </c>
      <c r="M76" cm="1">
        <f t="array" ref="M76">IF(project_aboveground_tree = "Included", INDEX(Table32[[#All],[ΔCTREE_PROJ,i,t (AR Tool 14) t C/yr]], MATCH(1, (Table1221[[#This Row],[year t]]=Table32[[#All],[year t]])*(Table1221[[#This Row],[stratum i]]=Table32[[#All],[stratum i]]), 0)), 0)</f>
        <v>17654.667225566925</v>
      </c>
      <c r="N76" s="57" cm="1">
        <f t="array" ref="N76">IF(project_aboveground_nontree = "Included", INDEX(#REF!, MATCH(1, (Table1221[[#This Row],[year t]]=Table32[[#All],[year t]])*(Table1221[[#This Row],[stratum i]]=Table32[[#All],[stratum i]]), 0)), 0)</f>
        <v>0</v>
      </c>
      <c r="O76">
        <f>12/44*(Table1221[[#This Row],[ΔCTREE_PROJ,t (AR Tool 14) t CO2e/yr]]+Table1221[[#This Row],[ΔCSHRUB_PROJ,t (AR Tool 14) t CO2e/yr]])</f>
        <v>4814.909243336434</v>
      </c>
      <c r="P76" cm="1">
        <f t="array" ref="P76">IF(project_aboveground_nontree = "Included", IFERROR(INDEX(Table1322[[#All],[ΔCWPS-herb,i,t (Eq 78)]], MATCH(1, (Table1221[[#This Row],[stratum i]]=Table1322[[#All],[stratum i]])*(Table1221[[#This Row],[year t]]&gt;=#REF!)*(Table1221[[#This Row],[year t]]&lt;=Table1322[[#All],[year t]]), 0)), 0), 0)</f>
        <v>0</v>
      </c>
      <c r="Q76">
        <f>Table1221[[#This Row],[ΔCWPS-tree/shrub,i,t (t C/yr) (Eq 75)]]+Table1221[[#This Row],[ΔCWPS-herb,i,t (t C/yr)]]</f>
        <v>4814.909243336434</v>
      </c>
      <c r="R76" cm="1">
        <f t="array" ref="R76">INDEX(Table1423[[#All],[GHGWPS-soil,i,t]], MATCH(1, (Table1221[[#This Row],[year t]]=Table1423[[#All],[year t]])*(Table1221[[#This Row],[stratum i]]=Table1423[[#All],[stratum i]]), 0))</f>
        <v>-13338.667695462475</v>
      </c>
      <c r="S76">
        <f>IF(project_ff_CO2 = "Included", Table1221[[#This Row],[ET(FC,I,t) AR-Tool 5 WPS]], 0)</f>
        <v>0</v>
      </c>
      <c r="T76" t="e" cm="1">
        <f t="array" ref="T76">INDEX(#REF!, MATCH(1, (Table1221[[#This Row],[year t]]=Table32[[#All],[year t]])*(Table1221[[#This Row],[stratum i]]=Table32[[#All],[stratum i]]), 0))</f>
        <v>#REF!</v>
      </c>
      <c r="AE76" s="18">
        <v>2054</v>
      </c>
      <c r="AF76">
        <v>2</v>
      </c>
      <c r="AG76" s="18" cm="1">
        <f t="array" ref="AG76">INDEX(Table32[[#All],[Ai,t]], MATCH(1, (Table1423[[#This Row],[year t]]=Table32[[#All],[year t]])*(Table1423[[#This Row],[stratum i]]=Table32[[#All],[stratum i]]), 0))</f>
        <v>1982.9786785714284</v>
      </c>
      <c r="AH76" t="str">
        <f>INDEX(Table31[[#All],[Soil type (t=0)]], MATCH(Table1423[[#This Row],[stratum i]], Table31[[#All],[Stratum i]]))</f>
        <v>Mineral soil</v>
      </c>
      <c r="AI76">
        <f>IF(Emission_reduction_from_stock_loss?, INDEX(Table2[[#All],[End_PDT]], MATCH(Table1423[[#This Row],[stratum i]], Table2[[#All],[stratum i]])), crediting_period)</f>
        <v>40</v>
      </c>
      <c r="AJ76">
        <f>IF(Emission_reduction_from_stock_loss?, INDEX(Table2[[#All],[End_SDT]], MATCH(Table1423[[#This Row],[stratum i]], Table2[[#All],[stratum i]])), crediting_period)</f>
        <v>40</v>
      </c>
      <c r="AK76" cm="1">
        <f t="array" ref="AK7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6" s="30" cm="1">
        <f t="array" ref="AL76">INDEX(Table32[[#All],[%Calloch WPS]], MATCH(1, (Table1423[[#This Row],[year t]]=Table32[[#All],[year t]])*(Table1423[[#This Row],[stratum i]]=Table32[[#All],[stratum i]]), 0))</f>
        <v>23.561573856247001</v>
      </c>
      <c r="AM7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6">
        <f>(Table1423[[#This Row],[GHGWPS-soil-CO2,i,t]]-Table1423[[#This Row],[Deductionalloch WPS (Eq 38)]])*Table1423[[#This Row],[Ai,t]]</f>
        <v>-13338.667695462475</v>
      </c>
      <c r="AO76" cm="1">
        <f t="array" ref="AO76">IF(project_soil_CH4 = "Included", INDEX(Table1830[[#All],[GHGWPS-soil-CH4,i,t (Eq 59)]], MATCH(1, (Table1423[[#This Row],[year t]]=Table1830[[#All],[year t]])*(Table1423[[#This Row],[stratum i]]=Table1830[[#All],[stratum i]]), 0)), 0)</f>
        <v>0</v>
      </c>
      <c r="AP76" cm="1">
        <f t="array" ref="AP76">IF(project_soil_N2O = "Included", INDEX(Table1830[[#All],[GHGWPS-soil-N2O,i,t (Eq 62)]], MATCH(1, (Table1423[[#This Row],[year t]]=Table1830[[#All],[year t]])*(Table1423[[#This Row],[stratum i]]=Table1830[[#All],[stratum i]]), 0)), 0)</f>
        <v>0</v>
      </c>
      <c r="AQ76">
        <f>Table1423[[#This Row],[Ai,t]]*(Table1423[[#This Row],[GHGWPS-soil-CO2,i,t]]-Table1423[[#This Row],[Deductionalloch WPS (Eq 38)]]+Table1423[[#This Row],[GHGWPS-soil-CH4,i,t]]+Table1423[[#This Row],[GHGWPS-soil-N2O,i,t]])</f>
        <v>-13338.667695462475</v>
      </c>
      <c r="AR76" t="e" cm="1">
        <f t="array" ref="AR76">INDEX(#REF!, MATCH(1, (Table1423[[#This Row],[year t]]=Table32[[#All],[year t]])*(Table1423[[#This Row],[stratum i]]=Table32[[#All],[stratum i]]), 0))</f>
        <v>#REF!</v>
      </c>
      <c r="AS76" t="e" cm="1">
        <f t="array" ref="AS76">INDEX(#REF!, MATCH(1, (Table1423[[#This Row],[year t]]=Table32[[#All],[year t]])*(Table1423[[#This Row],[stratum i]]=Table32[[#All],[stratum i]]), 0))</f>
        <v>#REF!</v>
      </c>
      <c r="AT76" t="e" cm="1">
        <f t="array" ref="AT76">INDEX(#REF!, MATCH(1, (Table1423[[#This Row],[year t]]=Table32[[#All],[year t]])*(Table1423[[#This Row],[stratum i]]=Table32[[#All],[stratum i]]), 0))</f>
        <v>#REF!</v>
      </c>
      <c r="AU76" t="e" cm="1">
        <f t="array" ref="AU76">INDEX(#REF!, MATCH(1, (Table1423[[#This Row],[year t]]=Table32[[#All],[year t]])*(Table1423[[#This Row],[stratum i]]=Table32[[#All],[stratum i]]), 0))</f>
        <v>#REF!</v>
      </c>
      <c r="AV76" s="30"/>
      <c r="BB76" s="18">
        <v>2054</v>
      </c>
      <c r="BC76">
        <v>2</v>
      </c>
      <c r="BD76" cm="1">
        <f t="array" ref="BD76">INDEX(Table32[[#All],[∆CWPS-soil,i,t (tC/ha)]], MATCH(1, (Table1329[[#This Row],[year t]]=Table32[[#All],[year t]])*(Table1329[[#This Row],[stratum i]]=Table32[[#All],[stratum i]]), 0))</f>
        <v>2.4</v>
      </c>
      <c r="BE76">
        <f>-44/12*Table1329[[#This Row],[∆CWPS-soil,i,t (tC/ha)]]</f>
        <v>-8.7999999999999989</v>
      </c>
    </row>
    <row r="77" spans="11:57" x14ac:dyDescent="0.2">
      <c r="K77" s="18">
        <v>2055</v>
      </c>
      <c r="L77">
        <v>2</v>
      </c>
      <c r="M77" cm="1">
        <f t="array" ref="M77">IF(project_aboveground_tree = "Included", INDEX(Table32[[#All],[ΔCTREE_PROJ,i,t (AR Tool 14) t C/yr]], MATCH(1, (Table1221[[#This Row],[year t]]=Table32[[#All],[year t]])*(Table1221[[#This Row],[stratum i]]=Table32[[#All],[stratum i]]), 0)), 0)</f>
        <v>16227.688782772457</v>
      </c>
      <c r="N77" s="57" cm="1">
        <f t="array" ref="N77">IF(project_aboveground_nontree = "Included", INDEX(#REF!, MATCH(1, (Table1221[[#This Row],[year t]]=Table32[[#All],[year t]])*(Table1221[[#This Row],[stratum i]]=Table32[[#All],[stratum i]]), 0)), 0)</f>
        <v>0</v>
      </c>
      <c r="O77">
        <f>12/44*(Table1221[[#This Row],[ΔCTREE_PROJ,t (AR Tool 14) t CO2e/yr]]+Table1221[[#This Row],[ΔCSHRUB_PROJ,t (AR Tool 14) t CO2e/yr]])</f>
        <v>4425.7333043924882</v>
      </c>
      <c r="P77" cm="1">
        <f t="array" ref="P77">IF(project_aboveground_nontree = "Included", IFERROR(INDEX(Table1322[[#All],[ΔCWPS-herb,i,t (Eq 78)]], MATCH(1, (Table1221[[#This Row],[stratum i]]=Table1322[[#All],[stratum i]])*(Table1221[[#This Row],[year t]]&gt;=#REF!)*(Table1221[[#This Row],[year t]]&lt;=Table1322[[#All],[year t]]), 0)), 0), 0)</f>
        <v>0</v>
      </c>
      <c r="Q77">
        <f>Table1221[[#This Row],[ΔCWPS-tree/shrub,i,t (t C/yr) (Eq 75)]]+Table1221[[#This Row],[ΔCWPS-herb,i,t (t C/yr)]]</f>
        <v>4425.7333043924882</v>
      </c>
      <c r="R77" cm="1">
        <f t="array" ref="R77">INDEX(Table1423[[#All],[GHGWPS-soil,i,t]], MATCH(1, (Table1221[[#This Row],[year t]]=Table1423[[#All],[year t]])*(Table1221[[#This Row],[stratum i]]=Table1423[[#All],[stratum i]]), 0))</f>
        <v>-13338.667695462475</v>
      </c>
      <c r="S77">
        <f>IF(project_ff_CO2 = "Included", Table1221[[#This Row],[ET(FC,I,t) AR-Tool 5 WPS]], 0)</f>
        <v>0</v>
      </c>
      <c r="T77" t="e" cm="1">
        <f t="array" ref="T77">INDEX(#REF!, MATCH(1, (Table1221[[#This Row],[year t]]=Table32[[#All],[year t]])*(Table1221[[#This Row],[stratum i]]=Table32[[#All],[stratum i]]), 0))</f>
        <v>#REF!</v>
      </c>
      <c r="AE77" s="18">
        <v>2055</v>
      </c>
      <c r="AF77">
        <v>2</v>
      </c>
      <c r="AG77" s="18" cm="1">
        <f t="array" ref="AG77">INDEX(Table32[[#All],[Ai,t]], MATCH(1, (Table1423[[#This Row],[year t]]=Table32[[#All],[year t]])*(Table1423[[#This Row],[stratum i]]=Table32[[#All],[stratum i]]), 0))</f>
        <v>1982.9786785714284</v>
      </c>
      <c r="AH77" t="str">
        <f>INDEX(Table31[[#All],[Soil type (t=0)]], MATCH(Table1423[[#This Row],[stratum i]], Table31[[#All],[Stratum i]]))</f>
        <v>Mineral soil</v>
      </c>
      <c r="AI77">
        <f>IF(Emission_reduction_from_stock_loss?, INDEX(Table2[[#All],[End_PDT]], MATCH(Table1423[[#This Row],[stratum i]], Table2[[#All],[stratum i]])), crediting_period)</f>
        <v>40</v>
      </c>
      <c r="AJ77">
        <f>IF(Emission_reduction_from_stock_loss?, INDEX(Table2[[#All],[End_SDT]], MATCH(Table1423[[#This Row],[stratum i]], Table2[[#All],[stratum i]])), crediting_period)</f>
        <v>40</v>
      </c>
      <c r="AK77" cm="1">
        <f t="array" ref="AK7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7" s="30" cm="1">
        <f t="array" ref="AL77">INDEX(Table32[[#All],[%Calloch WPS]], MATCH(1, (Table1423[[#This Row],[year t]]=Table32[[#All],[year t]])*(Table1423[[#This Row],[stratum i]]=Table32[[#All],[stratum i]]), 0))</f>
        <v>23.561573856247001</v>
      </c>
      <c r="AM7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7">
        <f>(Table1423[[#This Row],[GHGWPS-soil-CO2,i,t]]-Table1423[[#This Row],[Deductionalloch WPS (Eq 38)]])*Table1423[[#This Row],[Ai,t]]</f>
        <v>-13338.667695462475</v>
      </c>
      <c r="AO77" cm="1">
        <f t="array" ref="AO77">IF(project_soil_CH4 = "Included", INDEX(Table1830[[#All],[GHGWPS-soil-CH4,i,t (Eq 59)]], MATCH(1, (Table1423[[#This Row],[year t]]=Table1830[[#All],[year t]])*(Table1423[[#This Row],[stratum i]]=Table1830[[#All],[stratum i]]), 0)), 0)</f>
        <v>0</v>
      </c>
      <c r="AP77" cm="1">
        <f t="array" ref="AP77">IF(project_soil_N2O = "Included", INDEX(Table1830[[#All],[GHGWPS-soil-N2O,i,t (Eq 62)]], MATCH(1, (Table1423[[#This Row],[year t]]=Table1830[[#All],[year t]])*(Table1423[[#This Row],[stratum i]]=Table1830[[#All],[stratum i]]), 0)), 0)</f>
        <v>0</v>
      </c>
      <c r="AQ77">
        <f>Table1423[[#This Row],[Ai,t]]*(Table1423[[#This Row],[GHGWPS-soil-CO2,i,t]]-Table1423[[#This Row],[Deductionalloch WPS (Eq 38)]]+Table1423[[#This Row],[GHGWPS-soil-CH4,i,t]]+Table1423[[#This Row],[GHGWPS-soil-N2O,i,t]])</f>
        <v>-13338.667695462475</v>
      </c>
      <c r="AR77" t="e" cm="1">
        <f t="array" ref="AR77">INDEX(#REF!, MATCH(1, (Table1423[[#This Row],[year t]]=Table32[[#All],[year t]])*(Table1423[[#This Row],[stratum i]]=Table32[[#All],[stratum i]]), 0))</f>
        <v>#REF!</v>
      </c>
      <c r="AS77" t="e" cm="1">
        <f t="array" ref="AS77">INDEX(#REF!, MATCH(1, (Table1423[[#This Row],[year t]]=Table32[[#All],[year t]])*(Table1423[[#This Row],[stratum i]]=Table32[[#All],[stratum i]]), 0))</f>
        <v>#REF!</v>
      </c>
      <c r="AT77" t="e" cm="1">
        <f t="array" ref="AT77">INDEX(#REF!, MATCH(1, (Table1423[[#This Row],[year t]]=Table32[[#All],[year t]])*(Table1423[[#This Row],[stratum i]]=Table32[[#All],[stratum i]]), 0))</f>
        <v>#REF!</v>
      </c>
      <c r="AU77" t="e" cm="1">
        <f t="array" ref="AU77">INDEX(#REF!, MATCH(1, (Table1423[[#This Row],[year t]]=Table32[[#All],[year t]])*(Table1423[[#This Row],[stratum i]]=Table32[[#All],[stratum i]]), 0))</f>
        <v>#REF!</v>
      </c>
      <c r="AV77" s="30"/>
      <c r="BB77" s="18">
        <v>2055</v>
      </c>
      <c r="BC77">
        <v>2</v>
      </c>
      <c r="BD77" cm="1">
        <f t="array" ref="BD77">INDEX(Table32[[#All],[∆CWPS-soil,i,t (tC/ha)]], MATCH(1, (Table1329[[#This Row],[year t]]=Table32[[#All],[year t]])*(Table1329[[#This Row],[stratum i]]=Table32[[#All],[stratum i]]), 0))</f>
        <v>2.4</v>
      </c>
      <c r="BE77">
        <f>-44/12*Table1329[[#This Row],[∆CWPS-soil,i,t (tC/ha)]]</f>
        <v>-8.7999999999999989</v>
      </c>
    </row>
    <row r="78" spans="11:57" x14ac:dyDescent="0.2">
      <c r="K78" s="18">
        <v>2056</v>
      </c>
      <c r="L78">
        <v>2</v>
      </c>
      <c r="M78" cm="1">
        <f t="array" ref="M78">IF(project_aboveground_tree = "Included", INDEX(Table32[[#All],[ΔCTREE_PROJ,i,t (AR Tool 14) t C/yr]], MATCH(1, (Table1221[[#This Row],[year t]]=Table32[[#All],[year t]])*(Table1221[[#This Row],[stratum i]]=Table32[[#All],[stratum i]]), 0)), 0)</f>
        <v>14865.223361283483</v>
      </c>
      <c r="N78" s="57" cm="1">
        <f t="array" ref="N78">IF(project_aboveground_nontree = "Included", INDEX(#REF!, MATCH(1, (Table1221[[#This Row],[year t]]=Table32[[#All],[year t]])*(Table1221[[#This Row],[stratum i]]=Table32[[#All],[stratum i]]), 0)), 0)</f>
        <v>0</v>
      </c>
      <c r="O78">
        <f>12/44*(Table1221[[#This Row],[ΔCTREE_PROJ,t (AR Tool 14) t CO2e/yr]]+Table1221[[#This Row],[ΔCSHRUB_PROJ,t (AR Tool 14) t CO2e/yr]])</f>
        <v>4054.1518258045858</v>
      </c>
      <c r="P78" cm="1">
        <f t="array" ref="P78">IF(project_aboveground_nontree = "Included", IFERROR(INDEX(Table1322[[#All],[ΔCWPS-herb,i,t (Eq 78)]], MATCH(1, (Table1221[[#This Row],[stratum i]]=Table1322[[#All],[stratum i]])*(Table1221[[#This Row],[year t]]&gt;=#REF!)*(Table1221[[#This Row],[year t]]&lt;=Table1322[[#All],[year t]]), 0)), 0), 0)</f>
        <v>0</v>
      </c>
      <c r="Q78">
        <f>Table1221[[#This Row],[ΔCWPS-tree/shrub,i,t (t C/yr) (Eq 75)]]+Table1221[[#This Row],[ΔCWPS-herb,i,t (t C/yr)]]</f>
        <v>4054.1518258045858</v>
      </c>
      <c r="R78" cm="1">
        <f t="array" ref="R78">INDEX(Table1423[[#All],[GHGWPS-soil,i,t]], MATCH(1, (Table1221[[#This Row],[year t]]=Table1423[[#All],[year t]])*(Table1221[[#This Row],[stratum i]]=Table1423[[#All],[stratum i]]), 0))</f>
        <v>-13338.667695462475</v>
      </c>
      <c r="S78">
        <f>IF(project_ff_CO2 = "Included", Table1221[[#This Row],[ET(FC,I,t) AR-Tool 5 WPS]], 0)</f>
        <v>0</v>
      </c>
      <c r="T78" t="e" cm="1">
        <f t="array" ref="T78">INDEX(#REF!, MATCH(1, (Table1221[[#This Row],[year t]]=Table32[[#All],[year t]])*(Table1221[[#This Row],[stratum i]]=Table32[[#All],[stratum i]]), 0))</f>
        <v>#REF!</v>
      </c>
      <c r="AE78" s="18">
        <v>2056</v>
      </c>
      <c r="AF78">
        <v>2</v>
      </c>
      <c r="AG78" s="18" cm="1">
        <f t="array" ref="AG78">INDEX(Table32[[#All],[Ai,t]], MATCH(1, (Table1423[[#This Row],[year t]]=Table32[[#All],[year t]])*(Table1423[[#This Row],[stratum i]]=Table32[[#All],[stratum i]]), 0))</f>
        <v>1982.9786785714284</v>
      </c>
      <c r="AH78" t="str">
        <f>INDEX(Table31[[#All],[Soil type (t=0)]], MATCH(Table1423[[#This Row],[stratum i]], Table31[[#All],[Stratum i]]))</f>
        <v>Mineral soil</v>
      </c>
      <c r="AI78">
        <f>IF(Emission_reduction_from_stock_loss?, INDEX(Table2[[#All],[End_PDT]], MATCH(Table1423[[#This Row],[stratum i]], Table2[[#All],[stratum i]])), crediting_period)</f>
        <v>40</v>
      </c>
      <c r="AJ78">
        <f>IF(Emission_reduction_from_stock_loss?, INDEX(Table2[[#All],[End_SDT]], MATCH(Table1423[[#This Row],[stratum i]], Table2[[#All],[stratum i]])), crediting_period)</f>
        <v>40</v>
      </c>
      <c r="AK78" cm="1">
        <f t="array" ref="AK7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8" s="30" cm="1">
        <f t="array" ref="AL78">INDEX(Table32[[#All],[%Calloch WPS]], MATCH(1, (Table1423[[#This Row],[year t]]=Table32[[#All],[year t]])*(Table1423[[#This Row],[stratum i]]=Table32[[#All],[stratum i]]), 0))</f>
        <v>23.561573856247001</v>
      </c>
      <c r="AM7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8">
        <f>(Table1423[[#This Row],[GHGWPS-soil-CO2,i,t]]-Table1423[[#This Row],[Deductionalloch WPS (Eq 38)]])*Table1423[[#This Row],[Ai,t]]</f>
        <v>-13338.667695462475</v>
      </c>
      <c r="AO78" cm="1">
        <f t="array" ref="AO78">IF(project_soil_CH4 = "Included", INDEX(Table1830[[#All],[GHGWPS-soil-CH4,i,t (Eq 59)]], MATCH(1, (Table1423[[#This Row],[year t]]=Table1830[[#All],[year t]])*(Table1423[[#This Row],[stratum i]]=Table1830[[#All],[stratum i]]), 0)), 0)</f>
        <v>0</v>
      </c>
      <c r="AP78" cm="1">
        <f t="array" ref="AP78">IF(project_soil_N2O = "Included", INDEX(Table1830[[#All],[GHGWPS-soil-N2O,i,t (Eq 62)]], MATCH(1, (Table1423[[#This Row],[year t]]=Table1830[[#All],[year t]])*(Table1423[[#This Row],[stratum i]]=Table1830[[#All],[stratum i]]), 0)), 0)</f>
        <v>0</v>
      </c>
      <c r="AQ78">
        <f>Table1423[[#This Row],[Ai,t]]*(Table1423[[#This Row],[GHGWPS-soil-CO2,i,t]]-Table1423[[#This Row],[Deductionalloch WPS (Eq 38)]]+Table1423[[#This Row],[GHGWPS-soil-CH4,i,t]]+Table1423[[#This Row],[GHGWPS-soil-N2O,i,t]])</f>
        <v>-13338.667695462475</v>
      </c>
      <c r="AR78" t="e" cm="1">
        <f t="array" ref="AR78">INDEX(#REF!, MATCH(1, (Table1423[[#This Row],[year t]]=Table32[[#All],[year t]])*(Table1423[[#This Row],[stratum i]]=Table32[[#All],[stratum i]]), 0))</f>
        <v>#REF!</v>
      </c>
      <c r="AS78" t="e" cm="1">
        <f t="array" ref="AS78">INDEX(#REF!, MATCH(1, (Table1423[[#This Row],[year t]]=Table32[[#All],[year t]])*(Table1423[[#This Row],[stratum i]]=Table32[[#All],[stratum i]]), 0))</f>
        <v>#REF!</v>
      </c>
      <c r="AT78" t="e" cm="1">
        <f t="array" ref="AT78">INDEX(#REF!, MATCH(1, (Table1423[[#This Row],[year t]]=Table32[[#All],[year t]])*(Table1423[[#This Row],[stratum i]]=Table32[[#All],[stratum i]]), 0))</f>
        <v>#REF!</v>
      </c>
      <c r="AU78" t="e" cm="1">
        <f t="array" ref="AU78">INDEX(#REF!, MATCH(1, (Table1423[[#This Row],[year t]]=Table32[[#All],[year t]])*(Table1423[[#This Row],[stratum i]]=Table32[[#All],[stratum i]]), 0))</f>
        <v>#REF!</v>
      </c>
      <c r="AV78" s="30"/>
      <c r="BB78" s="18">
        <v>2056</v>
      </c>
      <c r="BC78">
        <v>2</v>
      </c>
      <c r="BD78" cm="1">
        <f t="array" ref="BD78">INDEX(Table32[[#All],[∆CWPS-soil,i,t (tC/ha)]], MATCH(1, (Table1329[[#This Row],[year t]]=Table32[[#All],[year t]])*(Table1329[[#This Row],[stratum i]]=Table32[[#All],[stratum i]]), 0))</f>
        <v>2.4</v>
      </c>
      <c r="BE78">
        <f>-44/12*Table1329[[#This Row],[∆CWPS-soil,i,t (tC/ha)]]</f>
        <v>-8.7999999999999989</v>
      </c>
    </row>
    <row r="79" spans="11:57" x14ac:dyDescent="0.2">
      <c r="K79" s="18">
        <v>2057</v>
      </c>
      <c r="L79">
        <v>2</v>
      </c>
      <c r="M79" cm="1">
        <f t="array" ref="M79">IF(project_aboveground_tree = "Included", INDEX(Table32[[#All],[ΔCTREE_PROJ,i,t (AR Tool 14) t C/yr]], MATCH(1, (Table1221[[#This Row],[year t]]=Table32[[#All],[year t]])*(Table1221[[#This Row],[stratum i]]=Table32[[#All],[stratum i]]), 0)), 0)</f>
        <v>13575.999450515374</v>
      </c>
      <c r="N79" s="57" cm="1">
        <f t="array" ref="N79">IF(project_aboveground_nontree = "Included", INDEX(#REF!, MATCH(1, (Table1221[[#This Row],[year t]]=Table32[[#All],[year t]])*(Table1221[[#This Row],[stratum i]]=Table32[[#All],[stratum i]]), 0)), 0)</f>
        <v>0</v>
      </c>
      <c r="O79">
        <f>12/44*(Table1221[[#This Row],[ΔCTREE_PROJ,t (AR Tool 14) t CO2e/yr]]+Table1221[[#This Row],[ΔCSHRUB_PROJ,t (AR Tool 14) t CO2e/yr]])</f>
        <v>3702.5453046860107</v>
      </c>
      <c r="P79" cm="1">
        <f t="array" ref="P79">IF(project_aboveground_nontree = "Included", IFERROR(INDEX(Table1322[[#All],[ΔCWPS-herb,i,t (Eq 78)]], MATCH(1, (Table1221[[#This Row],[stratum i]]=Table1322[[#All],[stratum i]])*(Table1221[[#This Row],[year t]]&gt;=#REF!)*(Table1221[[#This Row],[year t]]&lt;=Table1322[[#All],[year t]]), 0)), 0), 0)</f>
        <v>0</v>
      </c>
      <c r="Q79">
        <f>Table1221[[#This Row],[ΔCWPS-tree/shrub,i,t (t C/yr) (Eq 75)]]+Table1221[[#This Row],[ΔCWPS-herb,i,t (t C/yr)]]</f>
        <v>3702.5453046860107</v>
      </c>
      <c r="R79" cm="1">
        <f t="array" ref="R79">INDEX(Table1423[[#All],[GHGWPS-soil,i,t]], MATCH(1, (Table1221[[#This Row],[year t]]=Table1423[[#All],[year t]])*(Table1221[[#This Row],[stratum i]]=Table1423[[#All],[stratum i]]), 0))</f>
        <v>-13338.667695462475</v>
      </c>
      <c r="S79">
        <f>IF(project_ff_CO2 = "Included", Table1221[[#This Row],[ET(FC,I,t) AR-Tool 5 WPS]], 0)</f>
        <v>0</v>
      </c>
      <c r="T79" t="e" cm="1">
        <f t="array" ref="T79">INDEX(#REF!, MATCH(1, (Table1221[[#This Row],[year t]]=Table32[[#All],[year t]])*(Table1221[[#This Row],[stratum i]]=Table32[[#All],[stratum i]]), 0))</f>
        <v>#REF!</v>
      </c>
      <c r="AE79" s="18">
        <v>2057</v>
      </c>
      <c r="AF79">
        <v>2</v>
      </c>
      <c r="AG79" s="18" cm="1">
        <f t="array" ref="AG79">INDEX(Table32[[#All],[Ai,t]], MATCH(1, (Table1423[[#This Row],[year t]]=Table32[[#All],[year t]])*(Table1423[[#This Row],[stratum i]]=Table32[[#All],[stratum i]]), 0))</f>
        <v>1982.9786785714284</v>
      </c>
      <c r="AH79" t="str">
        <f>INDEX(Table31[[#All],[Soil type (t=0)]], MATCH(Table1423[[#This Row],[stratum i]], Table31[[#All],[Stratum i]]))</f>
        <v>Mineral soil</v>
      </c>
      <c r="AI79">
        <f>IF(Emission_reduction_from_stock_loss?, INDEX(Table2[[#All],[End_PDT]], MATCH(Table1423[[#This Row],[stratum i]], Table2[[#All],[stratum i]])), crediting_period)</f>
        <v>40</v>
      </c>
      <c r="AJ79">
        <f>IF(Emission_reduction_from_stock_loss?, INDEX(Table2[[#All],[End_SDT]], MATCH(Table1423[[#This Row],[stratum i]], Table2[[#All],[stratum i]])), crediting_period)</f>
        <v>40</v>
      </c>
      <c r="AK79" cm="1">
        <f t="array" ref="AK7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79" s="30" cm="1">
        <f t="array" ref="AL79">INDEX(Table32[[#All],[%Calloch WPS]], MATCH(1, (Table1423[[#This Row],[year t]]=Table32[[#All],[year t]])*(Table1423[[#This Row],[stratum i]]=Table32[[#All],[stratum i]]), 0))</f>
        <v>23.561573856247001</v>
      </c>
      <c r="AM7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79">
        <f>(Table1423[[#This Row],[GHGWPS-soil-CO2,i,t]]-Table1423[[#This Row],[Deductionalloch WPS (Eq 38)]])*Table1423[[#This Row],[Ai,t]]</f>
        <v>-13338.667695462475</v>
      </c>
      <c r="AO79" cm="1">
        <f t="array" ref="AO79">IF(project_soil_CH4 = "Included", INDEX(Table1830[[#All],[GHGWPS-soil-CH4,i,t (Eq 59)]], MATCH(1, (Table1423[[#This Row],[year t]]=Table1830[[#All],[year t]])*(Table1423[[#This Row],[stratum i]]=Table1830[[#All],[stratum i]]), 0)), 0)</f>
        <v>0</v>
      </c>
      <c r="AP79" cm="1">
        <f t="array" ref="AP79">IF(project_soil_N2O = "Included", INDEX(Table1830[[#All],[GHGWPS-soil-N2O,i,t (Eq 62)]], MATCH(1, (Table1423[[#This Row],[year t]]=Table1830[[#All],[year t]])*(Table1423[[#This Row],[stratum i]]=Table1830[[#All],[stratum i]]), 0)), 0)</f>
        <v>0</v>
      </c>
      <c r="AQ79">
        <f>Table1423[[#This Row],[Ai,t]]*(Table1423[[#This Row],[GHGWPS-soil-CO2,i,t]]-Table1423[[#This Row],[Deductionalloch WPS (Eq 38)]]+Table1423[[#This Row],[GHGWPS-soil-CH4,i,t]]+Table1423[[#This Row],[GHGWPS-soil-N2O,i,t]])</f>
        <v>-13338.667695462475</v>
      </c>
      <c r="AR79" t="e" cm="1">
        <f t="array" ref="AR79">INDEX(#REF!, MATCH(1, (Table1423[[#This Row],[year t]]=Table32[[#All],[year t]])*(Table1423[[#This Row],[stratum i]]=Table32[[#All],[stratum i]]), 0))</f>
        <v>#REF!</v>
      </c>
      <c r="AS79" t="e" cm="1">
        <f t="array" ref="AS79">INDEX(#REF!, MATCH(1, (Table1423[[#This Row],[year t]]=Table32[[#All],[year t]])*(Table1423[[#This Row],[stratum i]]=Table32[[#All],[stratum i]]), 0))</f>
        <v>#REF!</v>
      </c>
      <c r="AT79" t="e" cm="1">
        <f t="array" ref="AT79">INDEX(#REF!, MATCH(1, (Table1423[[#This Row],[year t]]=Table32[[#All],[year t]])*(Table1423[[#This Row],[stratum i]]=Table32[[#All],[stratum i]]), 0))</f>
        <v>#REF!</v>
      </c>
      <c r="AU79" t="e" cm="1">
        <f t="array" ref="AU79">INDEX(#REF!, MATCH(1, (Table1423[[#This Row],[year t]]=Table32[[#All],[year t]])*(Table1423[[#This Row],[stratum i]]=Table32[[#All],[stratum i]]), 0))</f>
        <v>#REF!</v>
      </c>
      <c r="AV79" s="30"/>
      <c r="BB79" s="18">
        <v>2057</v>
      </c>
      <c r="BC79">
        <v>2</v>
      </c>
      <c r="BD79" cm="1">
        <f t="array" ref="BD79">INDEX(Table32[[#All],[∆CWPS-soil,i,t (tC/ha)]], MATCH(1, (Table1329[[#This Row],[year t]]=Table32[[#All],[year t]])*(Table1329[[#This Row],[stratum i]]=Table32[[#All],[stratum i]]), 0))</f>
        <v>2.4</v>
      </c>
      <c r="BE79">
        <f>-44/12*Table1329[[#This Row],[∆CWPS-soil,i,t (tC/ha)]]</f>
        <v>-8.7999999999999989</v>
      </c>
    </row>
    <row r="80" spans="11:57" x14ac:dyDescent="0.2">
      <c r="K80" s="18">
        <v>2058</v>
      </c>
      <c r="L80">
        <v>2</v>
      </c>
      <c r="M80" cm="1">
        <f t="array" ref="M80">IF(project_aboveground_tree = "Included", INDEX(Table32[[#All],[ΔCTREE_PROJ,i,t (AR Tool 14) t C/yr]], MATCH(1, (Table1221[[#This Row],[year t]]=Table32[[#All],[year t]])*(Table1221[[#This Row],[stratum i]]=Table32[[#All],[stratum i]]), 0)), 0)</f>
        <v>12365.339482612908</v>
      </c>
      <c r="N80" s="57" cm="1">
        <f t="array" ref="N80">IF(project_aboveground_nontree = "Included", INDEX(#REF!, MATCH(1, (Table1221[[#This Row],[year t]]=Table32[[#All],[year t]])*(Table1221[[#This Row],[stratum i]]=Table32[[#All],[stratum i]]), 0)), 0)</f>
        <v>0</v>
      </c>
      <c r="O80">
        <f>12/44*(Table1221[[#This Row],[ΔCTREE_PROJ,t (AR Tool 14) t CO2e/yr]]+Table1221[[#This Row],[ΔCSHRUB_PROJ,t (AR Tool 14) t CO2e/yr]])</f>
        <v>3372.3653134398837</v>
      </c>
      <c r="P80" cm="1">
        <f t="array" ref="P80">IF(project_aboveground_nontree = "Included", IFERROR(INDEX(Table1322[[#All],[ΔCWPS-herb,i,t (Eq 78)]], MATCH(1, (Table1221[[#This Row],[stratum i]]=Table1322[[#All],[stratum i]])*(Table1221[[#This Row],[year t]]&gt;=#REF!)*(Table1221[[#This Row],[year t]]&lt;=Table1322[[#All],[year t]]), 0)), 0), 0)</f>
        <v>0</v>
      </c>
      <c r="Q80">
        <f>Table1221[[#This Row],[ΔCWPS-tree/shrub,i,t (t C/yr) (Eq 75)]]+Table1221[[#This Row],[ΔCWPS-herb,i,t (t C/yr)]]</f>
        <v>3372.3653134398837</v>
      </c>
      <c r="R80" cm="1">
        <f t="array" ref="R80">INDEX(Table1423[[#All],[GHGWPS-soil,i,t]], MATCH(1, (Table1221[[#This Row],[year t]]=Table1423[[#All],[year t]])*(Table1221[[#This Row],[stratum i]]=Table1423[[#All],[stratum i]]), 0))</f>
        <v>-13338.667695462475</v>
      </c>
      <c r="S80">
        <f>IF(project_ff_CO2 = "Included", Table1221[[#This Row],[ET(FC,I,t) AR-Tool 5 WPS]], 0)</f>
        <v>0</v>
      </c>
      <c r="T80" t="e" cm="1">
        <f t="array" ref="T80">INDEX(#REF!, MATCH(1, (Table1221[[#This Row],[year t]]=Table32[[#All],[year t]])*(Table1221[[#This Row],[stratum i]]=Table32[[#All],[stratum i]]), 0))</f>
        <v>#REF!</v>
      </c>
      <c r="AE80" s="18">
        <v>2058</v>
      </c>
      <c r="AF80">
        <v>2</v>
      </c>
      <c r="AG80" s="18" cm="1">
        <f t="array" ref="AG80">INDEX(Table32[[#All],[Ai,t]], MATCH(1, (Table1423[[#This Row],[year t]]=Table32[[#All],[year t]])*(Table1423[[#This Row],[stratum i]]=Table32[[#All],[stratum i]]), 0))</f>
        <v>1982.9786785714284</v>
      </c>
      <c r="AH80" t="str">
        <f>INDEX(Table31[[#All],[Soil type (t=0)]], MATCH(Table1423[[#This Row],[stratum i]], Table31[[#All],[Stratum i]]))</f>
        <v>Mineral soil</v>
      </c>
      <c r="AI80">
        <f>IF(Emission_reduction_from_stock_loss?, INDEX(Table2[[#All],[End_PDT]], MATCH(Table1423[[#This Row],[stratum i]], Table2[[#All],[stratum i]])), crediting_period)</f>
        <v>40</v>
      </c>
      <c r="AJ80">
        <f>IF(Emission_reduction_from_stock_loss?, INDEX(Table2[[#All],[End_SDT]], MATCH(Table1423[[#This Row],[stratum i]], Table2[[#All],[stratum i]])), crediting_period)</f>
        <v>40</v>
      </c>
      <c r="AK80" cm="1">
        <f t="array" ref="AK8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80" s="30" cm="1">
        <f t="array" ref="AL80">INDEX(Table32[[#All],[%Calloch WPS]], MATCH(1, (Table1423[[#This Row],[year t]]=Table32[[#All],[year t]])*(Table1423[[#This Row],[stratum i]]=Table32[[#All],[stratum i]]), 0))</f>
        <v>23.561573856247001</v>
      </c>
      <c r="AM8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80">
        <f>(Table1423[[#This Row],[GHGWPS-soil-CO2,i,t]]-Table1423[[#This Row],[Deductionalloch WPS (Eq 38)]])*Table1423[[#This Row],[Ai,t]]</f>
        <v>-13338.667695462475</v>
      </c>
      <c r="AO80" cm="1">
        <f t="array" ref="AO80">IF(project_soil_CH4 = "Included", INDEX(Table1830[[#All],[GHGWPS-soil-CH4,i,t (Eq 59)]], MATCH(1, (Table1423[[#This Row],[year t]]=Table1830[[#All],[year t]])*(Table1423[[#This Row],[stratum i]]=Table1830[[#All],[stratum i]]), 0)), 0)</f>
        <v>0</v>
      </c>
      <c r="AP80" cm="1">
        <f t="array" ref="AP80">IF(project_soil_N2O = "Included", INDEX(Table1830[[#All],[GHGWPS-soil-N2O,i,t (Eq 62)]], MATCH(1, (Table1423[[#This Row],[year t]]=Table1830[[#All],[year t]])*(Table1423[[#This Row],[stratum i]]=Table1830[[#All],[stratum i]]), 0)), 0)</f>
        <v>0</v>
      </c>
      <c r="AQ80">
        <f>Table1423[[#This Row],[Ai,t]]*(Table1423[[#This Row],[GHGWPS-soil-CO2,i,t]]-Table1423[[#This Row],[Deductionalloch WPS (Eq 38)]]+Table1423[[#This Row],[GHGWPS-soil-CH4,i,t]]+Table1423[[#This Row],[GHGWPS-soil-N2O,i,t]])</f>
        <v>-13338.667695462475</v>
      </c>
      <c r="AR80" t="e" cm="1">
        <f t="array" ref="AR80">INDEX(#REF!, MATCH(1, (Table1423[[#This Row],[year t]]=Table32[[#All],[year t]])*(Table1423[[#This Row],[stratum i]]=Table32[[#All],[stratum i]]), 0))</f>
        <v>#REF!</v>
      </c>
      <c r="AS80" t="e" cm="1">
        <f t="array" ref="AS80">INDEX(#REF!, MATCH(1, (Table1423[[#This Row],[year t]]=Table32[[#All],[year t]])*(Table1423[[#This Row],[stratum i]]=Table32[[#All],[stratum i]]), 0))</f>
        <v>#REF!</v>
      </c>
      <c r="AT80" t="e" cm="1">
        <f t="array" ref="AT80">INDEX(#REF!, MATCH(1, (Table1423[[#This Row],[year t]]=Table32[[#All],[year t]])*(Table1423[[#This Row],[stratum i]]=Table32[[#All],[stratum i]]), 0))</f>
        <v>#REF!</v>
      </c>
      <c r="AU80" t="e" cm="1">
        <f t="array" ref="AU80">INDEX(#REF!, MATCH(1, (Table1423[[#This Row],[year t]]=Table32[[#All],[year t]])*(Table1423[[#This Row],[stratum i]]=Table32[[#All],[stratum i]]), 0))</f>
        <v>#REF!</v>
      </c>
      <c r="AV80" s="30"/>
      <c r="BB80" s="18">
        <v>2058</v>
      </c>
      <c r="BC80">
        <v>2</v>
      </c>
      <c r="BD80" cm="1">
        <f t="array" ref="BD80">INDEX(Table32[[#All],[∆CWPS-soil,i,t (tC/ha)]], MATCH(1, (Table1329[[#This Row],[year t]]=Table32[[#All],[year t]])*(Table1329[[#This Row],[stratum i]]=Table32[[#All],[stratum i]]), 0))</f>
        <v>2.4</v>
      </c>
      <c r="BE80">
        <f>-44/12*Table1329[[#This Row],[∆CWPS-soil,i,t (tC/ha)]]</f>
        <v>-8.7999999999999989</v>
      </c>
    </row>
    <row r="81" spans="11:57" x14ac:dyDescent="0.2">
      <c r="K81" s="18">
        <v>2059</v>
      </c>
      <c r="L81">
        <v>2</v>
      </c>
      <c r="M81" cm="1">
        <f t="array" ref="M81">IF(project_aboveground_tree = "Included", INDEX(Table32[[#All],[ΔCTREE_PROJ,i,t (AR Tool 14) t C/yr]], MATCH(1, (Table1221[[#This Row],[year t]]=Table32[[#All],[year t]])*(Table1221[[#This Row],[stratum i]]=Table32[[#All],[stratum i]]), 0)), 0)</f>
        <v>11235.82936574053</v>
      </c>
      <c r="N81" s="57" cm="1">
        <f t="array" ref="N81">IF(project_aboveground_nontree = "Included", INDEX(#REF!, MATCH(1, (Table1221[[#This Row],[year t]]=Table32[[#All],[year t]])*(Table1221[[#This Row],[stratum i]]=Table32[[#All],[stratum i]]), 0)), 0)</f>
        <v>0</v>
      </c>
      <c r="O81">
        <f>12/44*(Table1221[[#This Row],[ΔCTREE_PROJ,t (AR Tool 14) t CO2e/yr]]+Table1221[[#This Row],[ΔCSHRUB_PROJ,t (AR Tool 14) t CO2e/yr]])</f>
        <v>3064.3170997474172</v>
      </c>
      <c r="P81" cm="1">
        <f t="array" ref="P81">IF(project_aboveground_nontree = "Included", IFERROR(INDEX(Table1322[[#All],[ΔCWPS-herb,i,t (Eq 78)]], MATCH(1, (Table1221[[#This Row],[stratum i]]=Table1322[[#All],[stratum i]])*(Table1221[[#This Row],[year t]]&gt;=#REF!)*(Table1221[[#This Row],[year t]]&lt;=Table1322[[#All],[year t]]), 0)), 0), 0)</f>
        <v>0</v>
      </c>
      <c r="Q81">
        <f>Table1221[[#This Row],[ΔCWPS-tree/shrub,i,t (t C/yr) (Eq 75)]]+Table1221[[#This Row],[ΔCWPS-herb,i,t (t C/yr)]]</f>
        <v>3064.3170997474172</v>
      </c>
      <c r="R81" cm="1">
        <f t="array" ref="R81">INDEX(Table1423[[#All],[GHGWPS-soil,i,t]], MATCH(1, (Table1221[[#This Row],[year t]]=Table1423[[#All],[year t]])*(Table1221[[#This Row],[stratum i]]=Table1423[[#All],[stratum i]]), 0))</f>
        <v>-13338.667695462475</v>
      </c>
      <c r="S81">
        <f>IF(project_ff_CO2 = "Included", Table1221[[#This Row],[ET(FC,I,t) AR-Tool 5 WPS]], 0)</f>
        <v>0</v>
      </c>
      <c r="T81" t="e" cm="1">
        <f t="array" ref="T81">INDEX(#REF!, MATCH(1, (Table1221[[#This Row],[year t]]=Table32[[#All],[year t]])*(Table1221[[#This Row],[stratum i]]=Table32[[#All],[stratum i]]), 0))</f>
        <v>#REF!</v>
      </c>
      <c r="AE81" s="18">
        <v>2059</v>
      </c>
      <c r="AF81">
        <v>2</v>
      </c>
      <c r="AG81" s="18" cm="1">
        <f t="array" ref="AG81">INDEX(Table32[[#All],[Ai,t]], MATCH(1, (Table1423[[#This Row],[year t]]=Table32[[#All],[year t]])*(Table1423[[#This Row],[stratum i]]=Table32[[#All],[stratum i]]), 0))</f>
        <v>1982.9786785714284</v>
      </c>
      <c r="AH81" t="str">
        <f>INDEX(Table31[[#All],[Soil type (t=0)]], MATCH(Table1423[[#This Row],[stratum i]], Table31[[#All],[Stratum i]]))</f>
        <v>Mineral soil</v>
      </c>
      <c r="AI81">
        <f>IF(Emission_reduction_from_stock_loss?, INDEX(Table2[[#All],[End_PDT]], MATCH(Table1423[[#This Row],[stratum i]], Table2[[#All],[stratum i]])), crediting_period)</f>
        <v>40</v>
      </c>
      <c r="AJ81">
        <f>IF(Emission_reduction_from_stock_loss?, INDEX(Table2[[#All],[End_SDT]], MATCH(Table1423[[#This Row],[stratum i]], Table2[[#All],[stratum i]])), crediting_period)</f>
        <v>40</v>
      </c>
      <c r="AK81" cm="1">
        <f t="array" ref="AK8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81" s="30" cm="1">
        <f t="array" ref="AL81">INDEX(Table32[[#All],[%Calloch WPS]], MATCH(1, (Table1423[[#This Row],[year t]]=Table32[[#All],[year t]])*(Table1423[[#This Row],[stratum i]]=Table32[[#All],[stratum i]]), 0))</f>
        <v>23.561573856247001</v>
      </c>
      <c r="AM8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81">
        <f>(Table1423[[#This Row],[GHGWPS-soil-CO2,i,t]]-Table1423[[#This Row],[Deductionalloch WPS (Eq 38)]])*Table1423[[#This Row],[Ai,t]]</f>
        <v>-13338.667695462475</v>
      </c>
      <c r="AO81" cm="1">
        <f t="array" ref="AO81">IF(project_soil_CH4 = "Included", INDEX(Table1830[[#All],[GHGWPS-soil-CH4,i,t (Eq 59)]], MATCH(1, (Table1423[[#This Row],[year t]]=Table1830[[#All],[year t]])*(Table1423[[#This Row],[stratum i]]=Table1830[[#All],[stratum i]]), 0)), 0)</f>
        <v>0</v>
      </c>
      <c r="AP81" cm="1">
        <f t="array" ref="AP81">IF(project_soil_N2O = "Included", INDEX(Table1830[[#All],[GHGWPS-soil-N2O,i,t (Eq 62)]], MATCH(1, (Table1423[[#This Row],[year t]]=Table1830[[#All],[year t]])*(Table1423[[#This Row],[stratum i]]=Table1830[[#All],[stratum i]]), 0)), 0)</f>
        <v>0</v>
      </c>
      <c r="AQ81">
        <f>Table1423[[#This Row],[Ai,t]]*(Table1423[[#This Row],[GHGWPS-soil-CO2,i,t]]-Table1423[[#This Row],[Deductionalloch WPS (Eq 38)]]+Table1423[[#This Row],[GHGWPS-soil-CH4,i,t]]+Table1423[[#This Row],[GHGWPS-soil-N2O,i,t]])</f>
        <v>-13338.667695462475</v>
      </c>
      <c r="AR81" t="e" cm="1">
        <f t="array" ref="AR81">INDEX(#REF!, MATCH(1, (Table1423[[#This Row],[year t]]=Table32[[#All],[year t]])*(Table1423[[#This Row],[stratum i]]=Table32[[#All],[stratum i]]), 0))</f>
        <v>#REF!</v>
      </c>
      <c r="AS81" t="e" cm="1">
        <f t="array" ref="AS81">INDEX(#REF!, MATCH(1, (Table1423[[#This Row],[year t]]=Table32[[#All],[year t]])*(Table1423[[#This Row],[stratum i]]=Table32[[#All],[stratum i]]), 0))</f>
        <v>#REF!</v>
      </c>
      <c r="AT81" t="e" cm="1">
        <f t="array" ref="AT81">INDEX(#REF!, MATCH(1, (Table1423[[#This Row],[year t]]=Table32[[#All],[year t]])*(Table1423[[#This Row],[stratum i]]=Table32[[#All],[stratum i]]), 0))</f>
        <v>#REF!</v>
      </c>
      <c r="AU81" t="e" cm="1">
        <f t="array" ref="AU81">INDEX(#REF!, MATCH(1, (Table1423[[#This Row],[year t]]=Table32[[#All],[year t]])*(Table1423[[#This Row],[stratum i]]=Table32[[#All],[stratum i]]), 0))</f>
        <v>#REF!</v>
      </c>
      <c r="AV81" s="30"/>
      <c r="BB81" s="18">
        <v>2059</v>
      </c>
      <c r="BC81">
        <v>2</v>
      </c>
      <c r="BD81" cm="1">
        <f t="array" ref="BD81">INDEX(Table32[[#All],[∆CWPS-soil,i,t (tC/ha)]], MATCH(1, (Table1329[[#This Row],[year t]]=Table32[[#All],[year t]])*(Table1329[[#This Row],[stratum i]]=Table32[[#All],[stratum i]]), 0))</f>
        <v>2.4</v>
      </c>
      <c r="BE81">
        <f>-44/12*Table1329[[#This Row],[∆CWPS-soil,i,t (tC/ha)]]</f>
        <v>-8.7999999999999989</v>
      </c>
    </row>
    <row r="82" spans="11:57" x14ac:dyDescent="0.2">
      <c r="K82" s="18">
        <v>2060</v>
      </c>
      <c r="L82">
        <v>2</v>
      </c>
      <c r="M82" cm="1">
        <f t="array" ref="M82">IF(project_aboveground_tree = "Included", INDEX(Table32[[#All],[ΔCTREE_PROJ,i,t (AR Tool 14) t C/yr]], MATCH(1, (Table1221[[#This Row],[year t]]=Table32[[#All],[year t]])*(Table1221[[#This Row],[stratum i]]=Table32[[#All],[stratum i]]), 0)), 0)</f>
        <v>10187.906383336056</v>
      </c>
      <c r="N82" s="57" cm="1">
        <f t="array" ref="N82">IF(project_aboveground_nontree = "Included", INDEX(#REF!, MATCH(1, (Table1221[[#This Row],[year t]]=Table32[[#All],[year t]])*(Table1221[[#This Row],[stratum i]]=Table32[[#All],[stratum i]]), 0)), 0)</f>
        <v>0</v>
      </c>
      <c r="O82">
        <f>12/44*(Table1221[[#This Row],[ΔCTREE_PROJ,t (AR Tool 14) t CO2e/yr]]+Table1221[[#This Row],[ΔCSHRUB_PROJ,t (AR Tool 14) t CO2e/yr]])</f>
        <v>2778.519922728015</v>
      </c>
      <c r="P82" cm="1">
        <f t="array" ref="P82">IF(project_aboveground_nontree = "Included", IFERROR(INDEX(Table1322[[#All],[ΔCWPS-herb,i,t (Eq 78)]], MATCH(1, (Table1221[[#This Row],[stratum i]]=Table1322[[#All],[stratum i]])*(Table1221[[#This Row],[year t]]&gt;=#REF!)*(Table1221[[#This Row],[year t]]&lt;=Table1322[[#All],[year t]]), 0)), 0), 0)</f>
        <v>0</v>
      </c>
      <c r="Q82">
        <f>Table1221[[#This Row],[ΔCWPS-tree/shrub,i,t (t C/yr) (Eq 75)]]+Table1221[[#This Row],[ΔCWPS-herb,i,t (t C/yr)]]</f>
        <v>2778.519922728015</v>
      </c>
      <c r="R82" cm="1">
        <f t="array" ref="R82">INDEX(Table1423[[#All],[GHGWPS-soil,i,t]], MATCH(1, (Table1221[[#This Row],[year t]]=Table1423[[#All],[year t]])*(Table1221[[#This Row],[stratum i]]=Table1423[[#All],[stratum i]]), 0))</f>
        <v>-13338.667695462475</v>
      </c>
      <c r="S82">
        <f>IF(project_ff_CO2 = "Included", Table1221[[#This Row],[ET(FC,I,t) AR-Tool 5 WPS]], 0)</f>
        <v>0</v>
      </c>
      <c r="T82" t="e" cm="1">
        <f t="array" ref="T82">INDEX(#REF!, MATCH(1, (Table1221[[#This Row],[year t]]=Table32[[#All],[year t]])*(Table1221[[#This Row],[stratum i]]=Table32[[#All],[stratum i]]), 0))</f>
        <v>#REF!</v>
      </c>
      <c r="AE82" s="18">
        <v>2060</v>
      </c>
      <c r="AF82">
        <v>2</v>
      </c>
      <c r="AG82" s="18" cm="1">
        <f t="array" ref="AG82">INDEX(Table32[[#All],[Ai,t]], MATCH(1, (Table1423[[#This Row],[year t]]=Table32[[#All],[year t]])*(Table1423[[#This Row],[stratum i]]=Table32[[#All],[stratum i]]), 0))</f>
        <v>1982.9786785714284</v>
      </c>
      <c r="AH82" t="str">
        <f>INDEX(Table31[[#All],[Soil type (t=0)]], MATCH(Table1423[[#This Row],[stratum i]], Table31[[#All],[Stratum i]]))</f>
        <v>Mineral soil</v>
      </c>
      <c r="AI82">
        <f>IF(Emission_reduction_from_stock_loss?, INDEX(Table2[[#All],[End_PDT]], MATCH(Table1423[[#This Row],[stratum i]], Table2[[#All],[stratum i]])), crediting_period)</f>
        <v>40</v>
      </c>
      <c r="AJ82">
        <f>IF(Emission_reduction_from_stock_loss?, INDEX(Table2[[#All],[End_SDT]], MATCH(Table1423[[#This Row],[stratum i]], Table2[[#All],[stratum i]])), crediting_period)</f>
        <v>40</v>
      </c>
      <c r="AK82" cm="1">
        <f t="array" ref="AK8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82" s="30" cm="1">
        <f t="array" ref="AL82">INDEX(Table32[[#All],[%Calloch WPS]], MATCH(1, (Table1423[[#This Row],[year t]]=Table32[[#All],[year t]])*(Table1423[[#This Row],[stratum i]]=Table32[[#All],[stratum i]]), 0))</f>
        <v>23.561573856247001</v>
      </c>
      <c r="AM8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82">
        <f>(Table1423[[#This Row],[GHGWPS-soil-CO2,i,t]]-Table1423[[#This Row],[Deductionalloch WPS (Eq 38)]])*Table1423[[#This Row],[Ai,t]]</f>
        <v>-13338.667695462475</v>
      </c>
      <c r="AO82" cm="1">
        <f t="array" ref="AO82">IF(project_soil_CH4 = "Included", INDEX(Table1830[[#All],[GHGWPS-soil-CH4,i,t (Eq 59)]], MATCH(1, (Table1423[[#This Row],[year t]]=Table1830[[#All],[year t]])*(Table1423[[#This Row],[stratum i]]=Table1830[[#All],[stratum i]]), 0)), 0)</f>
        <v>0</v>
      </c>
      <c r="AP82" cm="1">
        <f t="array" ref="AP82">IF(project_soil_N2O = "Included", INDEX(Table1830[[#All],[GHGWPS-soil-N2O,i,t (Eq 62)]], MATCH(1, (Table1423[[#This Row],[year t]]=Table1830[[#All],[year t]])*(Table1423[[#This Row],[stratum i]]=Table1830[[#All],[stratum i]]), 0)), 0)</f>
        <v>0</v>
      </c>
      <c r="AQ82">
        <f>Table1423[[#This Row],[Ai,t]]*(Table1423[[#This Row],[GHGWPS-soil-CO2,i,t]]-Table1423[[#This Row],[Deductionalloch WPS (Eq 38)]]+Table1423[[#This Row],[GHGWPS-soil-CH4,i,t]]+Table1423[[#This Row],[GHGWPS-soil-N2O,i,t]])</f>
        <v>-13338.667695462475</v>
      </c>
      <c r="AR82" t="e" cm="1">
        <f t="array" ref="AR82">INDEX(#REF!, MATCH(1, (Table1423[[#This Row],[year t]]=Table32[[#All],[year t]])*(Table1423[[#This Row],[stratum i]]=Table32[[#All],[stratum i]]), 0))</f>
        <v>#REF!</v>
      </c>
      <c r="AS82" t="e" cm="1">
        <f t="array" ref="AS82">INDEX(#REF!, MATCH(1, (Table1423[[#This Row],[year t]]=Table32[[#All],[year t]])*(Table1423[[#This Row],[stratum i]]=Table32[[#All],[stratum i]]), 0))</f>
        <v>#REF!</v>
      </c>
      <c r="AT82" t="e" cm="1">
        <f t="array" ref="AT82">INDEX(#REF!, MATCH(1, (Table1423[[#This Row],[year t]]=Table32[[#All],[year t]])*(Table1423[[#This Row],[stratum i]]=Table32[[#All],[stratum i]]), 0))</f>
        <v>#REF!</v>
      </c>
      <c r="AU82" t="e" cm="1">
        <f t="array" ref="AU82">INDEX(#REF!, MATCH(1, (Table1423[[#This Row],[year t]]=Table32[[#All],[year t]])*(Table1423[[#This Row],[stratum i]]=Table32[[#All],[stratum i]]), 0))</f>
        <v>#REF!</v>
      </c>
      <c r="AV82" s="30"/>
      <c r="BB82" s="18">
        <v>2060</v>
      </c>
      <c r="BC82">
        <v>2</v>
      </c>
      <c r="BD82" cm="1">
        <f t="array" ref="BD82">INDEX(Table32[[#All],[∆CWPS-soil,i,t (tC/ha)]], MATCH(1, (Table1329[[#This Row],[year t]]=Table32[[#All],[year t]])*(Table1329[[#This Row],[stratum i]]=Table32[[#All],[stratum i]]), 0))</f>
        <v>2.4</v>
      </c>
      <c r="BE82">
        <f>-44/12*Table1329[[#This Row],[∆CWPS-soil,i,t (tC/ha)]]</f>
        <v>-8.7999999999999989</v>
      </c>
    </row>
    <row r="83" spans="11:57" x14ac:dyDescent="0.2">
      <c r="K83" s="18">
        <v>2061</v>
      </c>
      <c r="L83">
        <v>2</v>
      </c>
      <c r="M83" cm="1">
        <f t="array" ref="M83">IF(project_aboveground_tree = "Included", INDEX(Table32[[#All],[ΔCTREE_PROJ,i,t (AR Tool 14) t C/yr]], MATCH(1, (Table1221[[#This Row],[year t]]=Table32[[#All],[year t]])*(Table1221[[#This Row],[stratum i]]=Table32[[#All],[stratum i]]), 0)), 0)</f>
        <v>9220.3633428617613</v>
      </c>
      <c r="N83" s="57" cm="1">
        <f t="array" ref="N83">IF(project_aboveground_nontree = "Included", INDEX(#REF!, MATCH(1, (Table1221[[#This Row],[year t]]=Table32[[#All],[year t]])*(Table1221[[#This Row],[stratum i]]=Table32[[#All],[stratum i]]), 0)), 0)</f>
        <v>0</v>
      </c>
      <c r="O83">
        <f>12/44*(Table1221[[#This Row],[ΔCTREE_PROJ,t (AR Tool 14) t CO2e/yr]]+Table1221[[#This Row],[ΔCSHRUB_PROJ,t (AR Tool 14) t CO2e/yr]])</f>
        <v>2514.6445480532075</v>
      </c>
      <c r="P83" cm="1">
        <f t="array" ref="P83">IF(project_aboveground_nontree = "Included", IFERROR(INDEX(Table1322[[#All],[ΔCWPS-herb,i,t (Eq 78)]], MATCH(1, (Table1221[[#This Row],[stratum i]]=Table1322[[#All],[stratum i]])*(Table1221[[#This Row],[year t]]&gt;=#REF!)*(Table1221[[#This Row],[year t]]&lt;=Table1322[[#All],[year t]]), 0)), 0), 0)</f>
        <v>0</v>
      </c>
      <c r="Q83">
        <f>Table1221[[#This Row],[ΔCWPS-tree/shrub,i,t (t C/yr) (Eq 75)]]+Table1221[[#This Row],[ΔCWPS-herb,i,t (t C/yr)]]</f>
        <v>2514.6445480532075</v>
      </c>
      <c r="R83" cm="1">
        <f t="array" ref="R83">INDEX(Table1423[[#All],[GHGWPS-soil,i,t]], MATCH(1, (Table1221[[#This Row],[year t]]=Table1423[[#All],[year t]])*(Table1221[[#This Row],[stratum i]]=Table1423[[#All],[stratum i]]), 0))</f>
        <v>-13338.667695462475</v>
      </c>
      <c r="S83">
        <f>IF(project_ff_CO2 = "Included", Table1221[[#This Row],[ET(FC,I,t) AR-Tool 5 WPS]], 0)</f>
        <v>0</v>
      </c>
      <c r="T83" t="e" cm="1">
        <f t="array" ref="T83">INDEX(#REF!, MATCH(1, (Table1221[[#This Row],[year t]]=Table32[[#All],[year t]])*(Table1221[[#This Row],[stratum i]]=Table32[[#All],[stratum i]]), 0))</f>
        <v>#REF!</v>
      </c>
      <c r="AE83" s="18">
        <v>2061</v>
      </c>
      <c r="AF83">
        <v>2</v>
      </c>
      <c r="AG83" s="18" cm="1">
        <f t="array" ref="AG83">INDEX(Table32[[#All],[Ai,t]], MATCH(1, (Table1423[[#This Row],[year t]]=Table32[[#All],[year t]])*(Table1423[[#This Row],[stratum i]]=Table32[[#All],[stratum i]]), 0))</f>
        <v>1982.9786785714284</v>
      </c>
      <c r="AH83" t="str">
        <f>INDEX(Table31[[#All],[Soil type (t=0)]], MATCH(Table1423[[#This Row],[stratum i]], Table31[[#All],[Stratum i]]))</f>
        <v>Mineral soil</v>
      </c>
      <c r="AI83">
        <f>IF(Emission_reduction_from_stock_loss?, INDEX(Table2[[#All],[End_PDT]], MATCH(Table1423[[#This Row],[stratum i]], Table2[[#All],[stratum i]])), crediting_period)</f>
        <v>40</v>
      </c>
      <c r="AJ83">
        <f>IF(Emission_reduction_from_stock_loss?, INDEX(Table2[[#All],[End_SDT]], MATCH(Table1423[[#This Row],[stratum i]], Table2[[#All],[stratum i]])), crediting_period)</f>
        <v>40</v>
      </c>
      <c r="AK83" cm="1">
        <f t="array" ref="AK8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83" s="30" cm="1">
        <f t="array" ref="AL83">INDEX(Table32[[#All],[%Calloch WPS]], MATCH(1, (Table1423[[#This Row],[year t]]=Table32[[#All],[year t]])*(Table1423[[#This Row],[stratum i]]=Table32[[#All],[stratum i]]), 0))</f>
        <v>23.561573856247001</v>
      </c>
      <c r="AM8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83">
        <f>(Table1423[[#This Row],[GHGWPS-soil-CO2,i,t]]-Table1423[[#This Row],[Deductionalloch WPS (Eq 38)]])*Table1423[[#This Row],[Ai,t]]</f>
        <v>-13338.667695462475</v>
      </c>
      <c r="AO83" cm="1">
        <f t="array" ref="AO83">IF(project_soil_CH4 = "Included", INDEX(Table1830[[#All],[GHGWPS-soil-CH4,i,t (Eq 59)]], MATCH(1, (Table1423[[#This Row],[year t]]=Table1830[[#All],[year t]])*(Table1423[[#This Row],[stratum i]]=Table1830[[#All],[stratum i]]), 0)), 0)</f>
        <v>0</v>
      </c>
      <c r="AP83" cm="1">
        <f t="array" ref="AP83">IF(project_soil_N2O = "Included", INDEX(Table1830[[#All],[GHGWPS-soil-N2O,i,t (Eq 62)]], MATCH(1, (Table1423[[#This Row],[year t]]=Table1830[[#All],[year t]])*(Table1423[[#This Row],[stratum i]]=Table1830[[#All],[stratum i]]), 0)), 0)</f>
        <v>0</v>
      </c>
      <c r="AQ83">
        <f>Table1423[[#This Row],[Ai,t]]*(Table1423[[#This Row],[GHGWPS-soil-CO2,i,t]]-Table1423[[#This Row],[Deductionalloch WPS (Eq 38)]]+Table1423[[#This Row],[GHGWPS-soil-CH4,i,t]]+Table1423[[#This Row],[GHGWPS-soil-N2O,i,t]])</f>
        <v>-13338.667695462475</v>
      </c>
      <c r="AR83" t="e" cm="1">
        <f t="array" ref="AR83">INDEX(#REF!, MATCH(1, (Table1423[[#This Row],[year t]]=Table32[[#All],[year t]])*(Table1423[[#This Row],[stratum i]]=Table32[[#All],[stratum i]]), 0))</f>
        <v>#REF!</v>
      </c>
      <c r="AS83" t="e" cm="1">
        <f t="array" ref="AS83">INDEX(#REF!, MATCH(1, (Table1423[[#This Row],[year t]]=Table32[[#All],[year t]])*(Table1423[[#This Row],[stratum i]]=Table32[[#All],[stratum i]]), 0))</f>
        <v>#REF!</v>
      </c>
      <c r="AT83" t="e" cm="1">
        <f t="array" ref="AT83">INDEX(#REF!, MATCH(1, (Table1423[[#This Row],[year t]]=Table32[[#All],[year t]])*(Table1423[[#This Row],[stratum i]]=Table32[[#All],[stratum i]]), 0))</f>
        <v>#REF!</v>
      </c>
      <c r="AU83" t="e" cm="1">
        <f t="array" ref="AU83">INDEX(#REF!, MATCH(1, (Table1423[[#This Row],[year t]]=Table32[[#All],[year t]])*(Table1423[[#This Row],[stratum i]]=Table32[[#All],[stratum i]]), 0))</f>
        <v>#REF!</v>
      </c>
      <c r="AV83" s="30"/>
      <c r="BB83" s="18">
        <v>2061</v>
      </c>
      <c r="BC83">
        <v>2</v>
      </c>
      <c r="BD83" cm="1">
        <f t="array" ref="BD83">INDEX(Table32[[#All],[∆CWPS-soil,i,t (tC/ha)]], MATCH(1, (Table1329[[#This Row],[year t]]=Table32[[#All],[year t]])*(Table1329[[#This Row],[stratum i]]=Table32[[#All],[stratum i]]), 0))</f>
        <v>2.4</v>
      </c>
      <c r="BE83">
        <f>-44/12*Table1329[[#This Row],[∆CWPS-soil,i,t (tC/ha)]]</f>
        <v>-8.7999999999999989</v>
      </c>
    </row>
    <row r="84" spans="11:57" x14ac:dyDescent="0.2">
      <c r="K84" s="18">
        <v>2024</v>
      </c>
      <c r="L84">
        <v>3</v>
      </c>
      <c r="M84" cm="1">
        <f t="array" ref="M84">IF(project_aboveground_tree = "Included", INDEX(Table32[[#All],[ΔCTREE_PROJ,i,t (AR Tool 14) t C/yr]], MATCH(1, (Table1221[[#This Row],[year t]]=Table32[[#All],[year t]])*(Table1221[[#This Row],[stratum i]]=Table32[[#All],[stratum i]]), 0)), 0)</f>
        <v>9.5718103039930972E-6</v>
      </c>
      <c r="N84" s="57" cm="1">
        <f t="array" ref="N84">IF(project_aboveground_nontree = "Included", INDEX(#REF!, MATCH(1, (Table1221[[#This Row],[year t]]=Table32[[#All],[year t]])*(Table1221[[#This Row],[stratum i]]=Table32[[#All],[stratum i]]), 0)), 0)</f>
        <v>0</v>
      </c>
      <c r="O84">
        <f>12/44*(Table1221[[#This Row],[ΔCTREE_PROJ,t (AR Tool 14) t CO2e/yr]]+Table1221[[#This Row],[ΔCSHRUB_PROJ,t (AR Tool 14) t CO2e/yr]])</f>
        <v>2.6104937192708443E-6</v>
      </c>
      <c r="P84" cm="1">
        <f t="array" ref="P84">IF(project_aboveground_nontree = "Included", IFERROR(INDEX(Table1322[[#All],[ΔCWPS-herb,i,t (Eq 78)]], MATCH(1, (Table1221[[#This Row],[stratum i]]=Table1322[[#All],[stratum i]])*(Table1221[[#This Row],[year t]]&gt;=#REF!)*(Table1221[[#This Row],[year t]]&lt;=Table1322[[#All],[year t]]), 0)), 0), 0)</f>
        <v>0</v>
      </c>
      <c r="Q84">
        <f>Table1221[[#This Row],[ΔCWPS-tree/shrub,i,t (t C/yr) (Eq 75)]]+Table1221[[#This Row],[ΔCWPS-herb,i,t (t C/yr)]]</f>
        <v>2.6104937192708443E-6</v>
      </c>
      <c r="R84" cm="1">
        <f t="array" ref="R84">INDEX(Table1423[[#All],[GHGWPS-soil,i,t]], MATCH(1, (Table1221[[#This Row],[year t]]=Table1423[[#All],[year t]])*(Table1221[[#This Row],[stratum i]]=Table1423[[#All],[stratum i]]), 0))</f>
        <v>0</v>
      </c>
      <c r="S84">
        <f>IF(project_ff_CO2 = "Included", Table1221[[#This Row],[ET(FC,I,t) AR-Tool 5 WPS]], 0)</f>
        <v>0</v>
      </c>
      <c r="T84" t="e" cm="1">
        <f t="array" ref="T84">INDEX(#REF!, MATCH(1, (Table1221[[#This Row],[year t]]=Table32[[#All],[year t]])*(Table1221[[#This Row],[stratum i]]=Table32[[#All],[stratum i]]), 0))</f>
        <v>#REF!</v>
      </c>
      <c r="AE84" s="18">
        <v>2024</v>
      </c>
      <c r="AF84">
        <v>3</v>
      </c>
      <c r="AG84" s="18" cm="1">
        <f t="array" ref="AG84">INDEX(Table32[[#All],[Ai,t]], MATCH(1, (Table1423[[#This Row],[year t]]=Table32[[#All],[year t]])*(Table1423[[#This Row],[stratum i]]=Table32[[#All],[stratum i]]), 0))</f>
        <v>2222.8442528571427</v>
      </c>
      <c r="AH84" t="str">
        <f>INDEX(Table31[[#All],[Soil type (t=0)]], MATCH(Table1423[[#This Row],[stratum i]], Table31[[#All],[Stratum i]]))</f>
        <v>Mineral soil</v>
      </c>
      <c r="AI84">
        <f>IF(Emission_reduction_from_stock_loss?, INDEX(Table2[[#All],[End_PDT]], MATCH(Table1423[[#This Row],[stratum i]], Table2[[#All],[stratum i]])), crediting_period)</f>
        <v>40</v>
      </c>
      <c r="AJ84">
        <f>IF(Emission_reduction_from_stock_loss?, INDEX(Table2[[#All],[End_SDT]], MATCH(Table1423[[#This Row],[stratum i]], Table2[[#All],[stratum i]])), crediting_period)</f>
        <v>40</v>
      </c>
      <c r="AK84" cm="1">
        <f t="array" ref="AK8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84" s="30" cm="1">
        <f t="array" ref="AL84">INDEX(Table32[[#All],[%Calloch WPS]], MATCH(1, (Table1423[[#This Row],[year t]]=Table32[[#All],[year t]])*(Table1423[[#This Row],[stratum i]]=Table32[[#All],[stratum i]]), 0))</f>
        <v>23.561573856247001</v>
      </c>
      <c r="AM84">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84">
        <f>(Table1423[[#This Row],[GHGWPS-soil-CO2,i,t]]-Table1423[[#This Row],[Deductionalloch WPS (Eq 38)]])*Table1423[[#This Row],[Ai,t]]</f>
        <v>0</v>
      </c>
      <c r="AO84" cm="1">
        <f t="array" ref="AO84">IF(project_soil_CH4 = "Included", INDEX(Table1830[[#All],[GHGWPS-soil-CH4,i,t (Eq 59)]], MATCH(1, (Table1423[[#This Row],[year t]]=Table1830[[#All],[year t]])*(Table1423[[#This Row],[stratum i]]=Table1830[[#All],[stratum i]]), 0)), 0)</f>
        <v>0</v>
      </c>
      <c r="AP84" cm="1">
        <f t="array" ref="AP84">IF(project_soil_N2O = "Included", INDEX(Table1830[[#All],[GHGWPS-soil-N2O,i,t (Eq 62)]], MATCH(1, (Table1423[[#This Row],[year t]]=Table1830[[#All],[year t]])*(Table1423[[#This Row],[stratum i]]=Table1830[[#All],[stratum i]]), 0)), 0)</f>
        <v>0</v>
      </c>
      <c r="AQ84">
        <f>Table1423[[#This Row],[Ai,t]]*(Table1423[[#This Row],[GHGWPS-soil-CO2,i,t]]-Table1423[[#This Row],[Deductionalloch WPS (Eq 38)]]+Table1423[[#This Row],[GHGWPS-soil-CH4,i,t]]+Table1423[[#This Row],[GHGWPS-soil-N2O,i,t]])</f>
        <v>0</v>
      </c>
      <c r="AR84" t="e" cm="1">
        <f t="array" ref="AR84">INDEX(#REF!, MATCH(1, (Table1423[[#This Row],[year t]]=Table32[[#All],[year t]])*(Table1423[[#This Row],[stratum i]]=Table32[[#All],[stratum i]]), 0))</f>
        <v>#REF!</v>
      </c>
      <c r="AS84" t="e" cm="1">
        <f t="array" ref="AS84">INDEX(#REF!, MATCH(1, (Table1423[[#This Row],[year t]]=Table32[[#All],[year t]])*(Table1423[[#This Row],[stratum i]]=Table32[[#All],[stratum i]]), 0))</f>
        <v>#REF!</v>
      </c>
      <c r="AT84" t="e" cm="1">
        <f t="array" ref="AT84">INDEX(#REF!, MATCH(1, (Table1423[[#This Row],[year t]]=Table32[[#All],[year t]])*(Table1423[[#This Row],[stratum i]]=Table32[[#All],[stratum i]]), 0))</f>
        <v>#REF!</v>
      </c>
      <c r="AU84" t="e" cm="1">
        <f t="array" ref="AU84">INDEX(#REF!, MATCH(1, (Table1423[[#This Row],[year t]]=Table32[[#All],[year t]])*(Table1423[[#This Row],[stratum i]]=Table32[[#All],[stratum i]]), 0))</f>
        <v>#REF!</v>
      </c>
      <c r="AV84" s="30"/>
      <c r="BB84" s="18">
        <v>2024</v>
      </c>
      <c r="BC84">
        <v>3</v>
      </c>
      <c r="BD84" cm="1">
        <f t="array" ref="BD84">INDEX(Table32[[#All],[∆CWPS-soil,i,t (tC/ha)]], MATCH(1, (Table1329[[#This Row],[year t]]=Table32[[#All],[year t]])*(Table1329[[#This Row],[stratum i]]=Table32[[#All],[stratum i]]), 0))</f>
        <v>0</v>
      </c>
      <c r="BE84">
        <f>-44/12*Table1329[[#This Row],[∆CWPS-soil,i,t (tC/ha)]]</f>
        <v>0</v>
      </c>
    </row>
    <row r="85" spans="11:57" x14ac:dyDescent="0.2">
      <c r="K85" s="18">
        <v>2025</v>
      </c>
      <c r="L85">
        <v>3</v>
      </c>
      <c r="M85" cm="1">
        <f t="array" ref="M85">IF(project_aboveground_tree = "Included", INDEX(Table32[[#All],[ΔCTREE_PROJ,i,t (AR Tool 14) t C/yr]], MATCH(1, (Table1221[[#This Row],[year t]]=Table32[[#All],[year t]])*(Table1221[[#This Row],[stratum i]]=Table32[[#All],[stratum i]]), 0)), 0)</f>
        <v>1.2850044321291526E-2</v>
      </c>
      <c r="N85" s="57" cm="1">
        <f t="array" ref="N85">IF(project_aboveground_nontree = "Included", INDEX(#REF!, MATCH(1, (Table1221[[#This Row],[year t]]=Table32[[#All],[year t]])*(Table1221[[#This Row],[stratum i]]=Table32[[#All],[stratum i]]), 0)), 0)</f>
        <v>0</v>
      </c>
      <c r="O85">
        <f>12/44*(Table1221[[#This Row],[ΔCTREE_PROJ,t (AR Tool 14) t CO2e/yr]]+Table1221[[#This Row],[ΔCSHRUB_PROJ,t (AR Tool 14) t CO2e/yr]])</f>
        <v>3.5045575421704159E-3</v>
      </c>
      <c r="P85" cm="1">
        <f t="array" ref="P85">IF(project_aboveground_nontree = "Included", IFERROR(INDEX(Table1322[[#All],[ΔCWPS-herb,i,t (Eq 78)]], MATCH(1, (Table1221[[#This Row],[stratum i]]=Table1322[[#All],[stratum i]])*(Table1221[[#This Row],[year t]]&gt;=#REF!)*(Table1221[[#This Row],[year t]]&lt;=Table1322[[#All],[year t]]), 0)), 0), 0)</f>
        <v>0</v>
      </c>
      <c r="Q85">
        <f>Table1221[[#This Row],[ΔCWPS-tree/shrub,i,t (t C/yr) (Eq 75)]]+Table1221[[#This Row],[ΔCWPS-herb,i,t (t C/yr)]]</f>
        <v>3.5045575421704159E-3</v>
      </c>
      <c r="R85" cm="1">
        <f t="array" ref="R85">INDEX(Table1423[[#All],[GHGWPS-soil,i,t]], MATCH(1, (Table1221[[#This Row],[year t]]=Table1423[[#All],[year t]])*(Table1221[[#This Row],[stratum i]]=Table1423[[#All],[stratum i]]), 0))</f>
        <v>0</v>
      </c>
      <c r="S85">
        <f>IF(project_ff_CO2 = "Included", Table1221[[#This Row],[ET(FC,I,t) AR-Tool 5 WPS]], 0)</f>
        <v>0</v>
      </c>
      <c r="T85" t="e" cm="1">
        <f t="array" ref="T85">INDEX(#REF!, MATCH(1, (Table1221[[#This Row],[year t]]=Table32[[#All],[year t]])*(Table1221[[#This Row],[stratum i]]=Table32[[#All],[stratum i]]), 0))</f>
        <v>#REF!</v>
      </c>
      <c r="AE85" s="18">
        <v>2025</v>
      </c>
      <c r="AF85">
        <v>3</v>
      </c>
      <c r="AG85" s="18" cm="1">
        <f t="array" ref="AG85">INDEX(Table32[[#All],[Ai,t]], MATCH(1, (Table1423[[#This Row],[year t]]=Table32[[#All],[year t]])*(Table1423[[#This Row],[stratum i]]=Table32[[#All],[stratum i]]), 0))</f>
        <v>2222.8442528571427</v>
      </c>
      <c r="AH85" t="str">
        <f>INDEX(Table31[[#All],[Soil type (t=0)]], MATCH(Table1423[[#This Row],[stratum i]], Table31[[#All],[Stratum i]]))</f>
        <v>Mineral soil</v>
      </c>
      <c r="AI85">
        <f>IF(Emission_reduction_from_stock_loss?, INDEX(Table2[[#All],[End_PDT]], MATCH(Table1423[[#This Row],[stratum i]], Table2[[#All],[stratum i]])), crediting_period)</f>
        <v>40</v>
      </c>
      <c r="AJ85">
        <f>IF(Emission_reduction_from_stock_loss?, INDEX(Table2[[#All],[End_SDT]], MATCH(Table1423[[#This Row],[stratum i]], Table2[[#All],[stratum i]])), crediting_period)</f>
        <v>40</v>
      </c>
      <c r="AK85" cm="1">
        <f t="array" ref="AK8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85" s="30" cm="1">
        <f t="array" ref="AL85">INDEX(Table32[[#All],[%Calloch WPS]], MATCH(1, (Table1423[[#This Row],[year t]]=Table32[[#All],[year t]])*(Table1423[[#This Row],[stratum i]]=Table32[[#All],[stratum i]]), 0))</f>
        <v>23.561573856247001</v>
      </c>
      <c r="AM85">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85">
        <f>(Table1423[[#This Row],[GHGWPS-soil-CO2,i,t]]-Table1423[[#This Row],[Deductionalloch WPS (Eq 38)]])*Table1423[[#This Row],[Ai,t]]</f>
        <v>0</v>
      </c>
      <c r="AO85" cm="1">
        <f t="array" ref="AO85">IF(project_soil_CH4 = "Included", INDEX(Table1830[[#All],[GHGWPS-soil-CH4,i,t (Eq 59)]], MATCH(1, (Table1423[[#This Row],[year t]]=Table1830[[#All],[year t]])*(Table1423[[#This Row],[stratum i]]=Table1830[[#All],[stratum i]]), 0)), 0)</f>
        <v>0</v>
      </c>
      <c r="AP85" cm="1">
        <f t="array" ref="AP85">IF(project_soil_N2O = "Included", INDEX(Table1830[[#All],[GHGWPS-soil-N2O,i,t (Eq 62)]], MATCH(1, (Table1423[[#This Row],[year t]]=Table1830[[#All],[year t]])*(Table1423[[#This Row],[stratum i]]=Table1830[[#All],[stratum i]]), 0)), 0)</f>
        <v>0</v>
      </c>
      <c r="AQ85">
        <f>Table1423[[#This Row],[Ai,t]]*(Table1423[[#This Row],[GHGWPS-soil-CO2,i,t]]-Table1423[[#This Row],[Deductionalloch WPS (Eq 38)]]+Table1423[[#This Row],[GHGWPS-soil-CH4,i,t]]+Table1423[[#This Row],[GHGWPS-soil-N2O,i,t]])</f>
        <v>0</v>
      </c>
      <c r="AR85" t="e" cm="1">
        <f t="array" ref="AR85">INDEX(#REF!, MATCH(1, (Table1423[[#This Row],[year t]]=Table32[[#All],[year t]])*(Table1423[[#This Row],[stratum i]]=Table32[[#All],[stratum i]]), 0))</f>
        <v>#REF!</v>
      </c>
      <c r="AS85" t="e" cm="1">
        <f t="array" ref="AS85">INDEX(#REF!, MATCH(1, (Table1423[[#This Row],[year t]]=Table32[[#All],[year t]])*(Table1423[[#This Row],[stratum i]]=Table32[[#All],[stratum i]]), 0))</f>
        <v>#REF!</v>
      </c>
      <c r="AT85" t="e" cm="1">
        <f t="array" ref="AT85">INDEX(#REF!, MATCH(1, (Table1423[[#This Row],[year t]]=Table32[[#All],[year t]])*(Table1423[[#This Row],[stratum i]]=Table32[[#All],[stratum i]]), 0))</f>
        <v>#REF!</v>
      </c>
      <c r="AU85" t="e" cm="1">
        <f t="array" ref="AU85">INDEX(#REF!, MATCH(1, (Table1423[[#This Row],[year t]]=Table32[[#All],[year t]])*(Table1423[[#This Row],[stratum i]]=Table32[[#All],[stratum i]]), 0))</f>
        <v>#REF!</v>
      </c>
      <c r="AV85" s="30"/>
      <c r="BB85" s="18">
        <v>2025</v>
      </c>
      <c r="BC85">
        <v>3</v>
      </c>
      <c r="BD85" cm="1">
        <f t="array" ref="BD85">INDEX(Table32[[#All],[∆CWPS-soil,i,t (tC/ha)]], MATCH(1, (Table1329[[#This Row],[year t]]=Table32[[#All],[year t]])*(Table1329[[#This Row],[stratum i]]=Table32[[#All],[stratum i]]), 0))</f>
        <v>0</v>
      </c>
      <c r="BE85">
        <f>-44/12*Table1329[[#This Row],[∆CWPS-soil,i,t (tC/ha)]]</f>
        <v>0</v>
      </c>
    </row>
    <row r="86" spans="11:57" x14ac:dyDescent="0.2">
      <c r="K86" s="18">
        <v>2026</v>
      </c>
      <c r="L86">
        <v>3</v>
      </c>
      <c r="M86" cm="1">
        <f t="array" ref="M86">IF(project_aboveground_tree = "Included", INDEX(Table32[[#All],[ΔCTREE_PROJ,i,t (AR Tool 14) t C/yr]], MATCH(1, (Table1221[[#This Row],[year t]]=Table32[[#All],[year t]])*(Table1221[[#This Row],[stratum i]]=Table32[[#All],[stratum i]]), 0)), 0)</f>
        <v>0.66438688665809575</v>
      </c>
      <c r="N86" s="57" cm="1">
        <f t="array" ref="N86">IF(project_aboveground_nontree = "Included", INDEX(#REF!, MATCH(1, (Table1221[[#This Row],[year t]]=Table32[[#All],[year t]])*(Table1221[[#This Row],[stratum i]]=Table32[[#All],[stratum i]]), 0)), 0)</f>
        <v>0</v>
      </c>
      <c r="O86">
        <f>12/44*(Table1221[[#This Row],[ΔCTREE_PROJ,t (AR Tool 14) t CO2e/yr]]+Table1221[[#This Row],[ΔCSHRUB_PROJ,t (AR Tool 14) t CO2e/yr]])</f>
        <v>0.1811964236340261</v>
      </c>
      <c r="P86" cm="1">
        <f t="array" ref="P86">IF(project_aboveground_nontree = "Included", IFERROR(INDEX(Table1322[[#All],[ΔCWPS-herb,i,t (Eq 78)]], MATCH(1, (Table1221[[#This Row],[stratum i]]=Table1322[[#All],[stratum i]])*(Table1221[[#This Row],[year t]]&gt;=#REF!)*(Table1221[[#This Row],[year t]]&lt;=Table1322[[#All],[year t]]), 0)), 0), 0)</f>
        <v>0</v>
      </c>
      <c r="Q86">
        <f>Table1221[[#This Row],[ΔCWPS-tree/shrub,i,t (t C/yr) (Eq 75)]]+Table1221[[#This Row],[ΔCWPS-herb,i,t (t C/yr)]]</f>
        <v>0.1811964236340261</v>
      </c>
      <c r="R86" cm="1">
        <f t="array" ref="R86">INDEX(Table1423[[#All],[GHGWPS-soil,i,t]], MATCH(1, (Table1221[[#This Row],[year t]]=Table1423[[#All],[year t]])*(Table1221[[#This Row],[stratum i]]=Table1423[[#All],[stratum i]]), 0))</f>
        <v>0</v>
      </c>
      <c r="S86">
        <f>IF(project_ff_CO2 = "Included", Table1221[[#This Row],[ET(FC,I,t) AR-Tool 5 WPS]], 0)</f>
        <v>0</v>
      </c>
      <c r="T86" t="e" cm="1">
        <f t="array" ref="T86">INDEX(#REF!, MATCH(1, (Table1221[[#This Row],[year t]]=Table32[[#All],[year t]])*(Table1221[[#This Row],[stratum i]]=Table32[[#All],[stratum i]]), 0))</f>
        <v>#REF!</v>
      </c>
      <c r="AE86" s="18">
        <v>2026</v>
      </c>
      <c r="AF86">
        <v>3</v>
      </c>
      <c r="AG86" s="18" cm="1">
        <f t="array" ref="AG86">INDEX(Table32[[#All],[Ai,t]], MATCH(1, (Table1423[[#This Row],[year t]]=Table32[[#All],[year t]])*(Table1423[[#This Row],[stratum i]]=Table32[[#All],[stratum i]]), 0))</f>
        <v>2222.8442528571427</v>
      </c>
      <c r="AH86" t="str">
        <f>INDEX(Table31[[#All],[Soil type (t=0)]], MATCH(Table1423[[#This Row],[stratum i]], Table31[[#All],[Stratum i]]))</f>
        <v>Mineral soil</v>
      </c>
      <c r="AI86">
        <f>IF(Emission_reduction_from_stock_loss?, INDEX(Table2[[#All],[End_PDT]], MATCH(Table1423[[#This Row],[stratum i]], Table2[[#All],[stratum i]])), crediting_period)</f>
        <v>40</v>
      </c>
      <c r="AJ86">
        <f>IF(Emission_reduction_from_stock_loss?, INDEX(Table2[[#All],[End_SDT]], MATCH(Table1423[[#This Row],[stratum i]], Table2[[#All],[stratum i]])), crediting_period)</f>
        <v>40</v>
      </c>
      <c r="AK86" cm="1">
        <f t="array" ref="AK8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86" s="30" cm="1">
        <f t="array" ref="AL86">INDEX(Table32[[#All],[%Calloch WPS]], MATCH(1, (Table1423[[#This Row],[year t]]=Table32[[#All],[year t]])*(Table1423[[#This Row],[stratum i]]=Table32[[#All],[stratum i]]), 0))</f>
        <v>23.561573856247001</v>
      </c>
      <c r="AM86">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86">
        <f>(Table1423[[#This Row],[GHGWPS-soil-CO2,i,t]]-Table1423[[#This Row],[Deductionalloch WPS (Eq 38)]])*Table1423[[#This Row],[Ai,t]]</f>
        <v>0</v>
      </c>
      <c r="AO86" cm="1">
        <f t="array" ref="AO86">IF(project_soil_CH4 = "Included", INDEX(Table1830[[#All],[GHGWPS-soil-CH4,i,t (Eq 59)]], MATCH(1, (Table1423[[#This Row],[year t]]=Table1830[[#All],[year t]])*(Table1423[[#This Row],[stratum i]]=Table1830[[#All],[stratum i]]), 0)), 0)</f>
        <v>0</v>
      </c>
      <c r="AP86" cm="1">
        <f t="array" ref="AP86">IF(project_soil_N2O = "Included", INDEX(Table1830[[#All],[GHGWPS-soil-N2O,i,t (Eq 62)]], MATCH(1, (Table1423[[#This Row],[year t]]=Table1830[[#All],[year t]])*(Table1423[[#This Row],[stratum i]]=Table1830[[#All],[stratum i]]), 0)), 0)</f>
        <v>0</v>
      </c>
      <c r="AQ86">
        <f>Table1423[[#This Row],[Ai,t]]*(Table1423[[#This Row],[GHGWPS-soil-CO2,i,t]]-Table1423[[#This Row],[Deductionalloch WPS (Eq 38)]]+Table1423[[#This Row],[GHGWPS-soil-CH4,i,t]]+Table1423[[#This Row],[GHGWPS-soil-N2O,i,t]])</f>
        <v>0</v>
      </c>
      <c r="AR86" t="e" cm="1">
        <f t="array" ref="AR86">INDEX(#REF!, MATCH(1, (Table1423[[#This Row],[year t]]=Table32[[#All],[year t]])*(Table1423[[#This Row],[stratum i]]=Table32[[#All],[stratum i]]), 0))</f>
        <v>#REF!</v>
      </c>
      <c r="AS86" t="e" cm="1">
        <f t="array" ref="AS86">INDEX(#REF!, MATCH(1, (Table1423[[#This Row],[year t]]=Table32[[#All],[year t]])*(Table1423[[#This Row],[stratum i]]=Table32[[#All],[stratum i]]), 0))</f>
        <v>#REF!</v>
      </c>
      <c r="AT86" t="e" cm="1">
        <f t="array" ref="AT86">INDEX(#REF!, MATCH(1, (Table1423[[#This Row],[year t]]=Table32[[#All],[year t]])*(Table1423[[#This Row],[stratum i]]=Table32[[#All],[stratum i]]), 0))</f>
        <v>#REF!</v>
      </c>
      <c r="AU86" t="e" cm="1">
        <f t="array" ref="AU86">INDEX(#REF!, MATCH(1, (Table1423[[#This Row],[year t]]=Table32[[#All],[year t]])*(Table1423[[#This Row],[stratum i]]=Table32[[#All],[stratum i]]), 0))</f>
        <v>#REF!</v>
      </c>
      <c r="AV86" s="30"/>
      <c r="BB86" s="18">
        <v>2026</v>
      </c>
      <c r="BC86">
        <v>3</v>
      </c>
      <c r="BD86" cm="1">
        <f t="array" ref="BD86">INDEX(Table32[[#All],[∆CWPS-soil,i,t (tC/ha)]], MATCH(1, (Table1329[[#This Row],[year t]]=Table32[[#All],[year t]])*(Table1329[[#This Row],[stratum i]]=Table32[[#All],[stratum i]]), 0))</f>
        <v>0</v>
      </c>
      <c r="BE86">
        <f>-44/12*Table1329[[#This Row],[∆CWPS-soil,i,t (tC/ha)]]</f>
        <v>0</v>
      </c>
    </row>
    <row r="87" spans="11:57" x14ac:dyDescent="0.2">
      <c r="K87" s="18">
        <v>2027</v>
      </c>
      <c r="L87">
        <v>3</v>
      </c>
      <c r="M87" cm="1">
        <f t="array" ref="M87">IF(project_aboveground_tree = "Included", INDEX(Table32[[#All],[ΔCTREE_PROJ,i,t (AR Tool 14) t C/yr]], MATCH(1, (Table1221[[#This Row],[year t]]=Table32[[#All],[year t]])*(Table1221[[#This Row],[stratum i]]=Table32[[#All],[stratum i]]), 0)), 0)</f>
        <v>8.8615884806798846</v>
      </c>
      <c r="N87" s="57" cm="1">
        <f t="array" ref="N87">IF(project_aboveground_nontree = "Included", INDEX(#REF!, MATCH(1, (Table1221[[#This Row],[year t]]=Table32[[#All],[year t]])*(Table1221[[#This Row],[stratum i]]=Table32[[#All],[stratum i]]), 0)), 0)</f>
        <v>0</v>
      </c>
      <c r="O87">
        <f>12/44*(Table1221[[#This Row],[ΔCTREE_PROJ,t (AR Tool 14) t CO2e/yr]]+Table1221[[#This Row],[ΔCSHRUB_PROJ,t (AR Tool 14) t CO2e/yr]])</f>
        <v>2.416796858367241</v>
      </c>
      <c r="P87" cm="1">
        <f t="array" ref="P87">IF(project_aboveground_nontree = "Included", IFERROR(INDEX(Table1322[[#All],[ΔCWPS-herb,i,t (Eq 78)]], MATCH(1, (Table1221[[#This Row],[stratum i]]=Table1322[[#All],[stratum i]])*(Table1221[[#This Row],[year t]]&gt;=#REF!)*(Table1221[[#This Row],[year t]]&lt;=Table1322[[#All],[year t]]), 0)), 0), 0)</f>
        <v>0</v>
      </c>
      <c r="Q87">
        <f>Table1221[[#This Row],[ΔCWPS-tree/shrub,i,t (t C/yr) (Eq 75)]]+Table1221[[#This Row],[ΔCWPS-herb,i,t (t C/yr)]]</f>
        <v>2.416796858367241</v>
      </c>
      <c r="R87" cm="1">
        <f t="array" ref="R87">INDEX(Table1423[[#All],[GHGWPS-soil,i,t]], MATCH(1, (Table1221[[#This Row],[year t]]=Table1423[[#All],[year t]])*(Table1221[[#This Row],[stratum i]]=Table1423[[#All],[stratum i]]), 0))</f>
        <v>0</v>
      </c>
      <c r="S87">
        <f>IF(project_ff_CO2 = "Included", Table1221[[#This Row],[ET(FC,I,t) AR-Tool 5 WPS]], 0)</f>
        <v>0</v>
      </c>
      <c r="T87" t="e" cm="1">
        <f t="array" ref="T87">INDEX(#REF!, MATCH(1, (Table1221[[#This Row],[year t]]=Table32[[#All],[year t]])*(Table1221[[#This Row],[stratum i]]=Table32[[#All],[stratum i]]), 0))</f>
        <v>#REF!</v>
      </c>
      <c r="AE87" s="18">
        <v>2027</v>
      </c>
      <c r="AF87">
        <v>3</v>
      </c>
      <c r="AG87" s="18" cm="1">
        <f t="array" ref="AG87">INDEX(Table32[[#All],[Ai,t]], MATCH(1, (Table1423[[#This Row],[year t]]=Table32[[#All],[year t]])*(Table1423[[#This Row],[stratum i]]=Table32[[#All],[stratum i]]), 0))</f>
        <v>2222.8442528571427</v>
      </c>
      <c r="AH87" t="str">
        <f>INDEX(Table31[[#All],[Soil type (t=0)]], MATCH(Table1423[[#This Row],[stratum i]], Table31[[#All],[Stratum i]]))</f>
        <v>Mineral soil</v>
      </c>
      <c r="AI87">
        <f>IF(Emission_reduction_from_stock_loss?, INDEX(Table2[[#All],[End_PDT]], MATCH(Table1423[[#This Row],[stratum i]], Table2[[#All],[stratum i]])), crediting_period)</f>
        <v>40</v>
      </c>
      <c r="AJ87">
        <f>IF(Emission_reduction_from_stock_loss?, INDEX(Table2[[#All],[End_SDT]], MATCH(Table1423[[#This Row],[stratum i]], Table2[[#All],[stratum i]])), crediting_period)</f>
        <v>40</v>
      </c>
      <c r="AK87" cm="1">
        <f t="array" ref="AK8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87" s="30" cm="1">
        <f t="array" ref="AL87">INDEX(Table32[[#All],[%Calloch WPS]], MATCH(1, (Table1423[[#This Row],[year t]]=Table32[[#All],[year t]])*(Table1423[[#This Row],[stratum i]]=Table32[[#All],[stratum i]]), 0))</f>
        <v>23.561573856247001</v>
      </c>
      <c r="AM87">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87">
        <f>(Table1423[[#This Row],[GHGWPS-soil-CO2,i,t]]-Table1423[[#This Row],[Deductionalloch WPS (Eq 38)]])*Table1423[[#This Row],[Ai,t]]</f>
        <v>0</v>
      </c>
      <c r="AO87" cm="1">
        <f t="array" ref="AO87">IF(project_soil_CH4 = "Included", INDEX(Table1830[[#All],[GHGWPS-soil-CH4,i,t (Eq 59)]], MATCH(1, (Table1423[[#This Row],[year t]]=Table1830[[#All],[year t]])*(Table1423[[#This Row],[stratum i]]=Table1830[[#All],[stratum i]]), 0)), 0)</f>
        <v>0</v>
      </c>
      <c r="AP87" cm="1">
        <f t="array" ref="AP87">IF(project_soil_N2O = "Included", INDEX(Table1830[[#All],[GHGWPS-soil-N2O,i,t (Eq 62)]], MATCH(1, (Table1423[[#This Row],[year t]]=Table1830[[#All],[year t]])*(Table1423[[#This Row],[stratum i]]=Table1830[[#All],[stratum i]]), 0)), 0)</f>
        <v>0</v>
      </c>
      <c r="AQ87">
        <f>Table1423[[#This Row],[Ai,t]]*(Table1423[[#This Row],[GHGWPS-soil-CO2,i,t]]-Table1423[[#This Row],[Deductionalloch WPS (Eq 38)]]+Table1423[[#This Row],[GHGWPS-soil-CH4,i,t]]+Table1423[[#This Row],[GHGWPS-soil-N2O,i,t]])</f>
        <v>0</v>
      </c>
      <c r="AR87" t="e" cm="1">
        <f t="array" ref="AR87">INDEX(#REF!, MATCH(1, (Table1423[[#This Row],[year t]]=Table32[[#All],[year t]])*(Table1423[[#This Row],[stratum i]]=Table32[[#All],[stratum i]]), 0))</f>
        <v>#REF!</v>
      </c>
      <c r="AS87" t="e" cm="1">
        <f t="array" ref="AS87">INDEX(#REF!, MATCH(1, (Table1423[[#This Row],[year t]]=Table32[[#All],[year t]])*(Table1423[[#This Row],[stratum i]]=Table32[[#All],[stratum i]]), 0))</f>
        <v>#REF!</v>
      </c>
      <c r="AT87" t="e" cm="1">
        <f t="array" ref="AT87">INDEX(#REF!, MATCH(1, (Table1423[[#This Row],[year t]]=Table32[[#All],[year t]])*(Table1423[[#This Row],[stratum i]]=Table32[[#All],[stratum i]]), 0))</f>
        <v>#REF!</v>
      </c>
      <c r="AU87" t="e" cm="1">
        <f t="array" ref="AU87">INDEX(#REF!, MATCH(1, (Table1423[[#This Row],[year t]]=Table32[[#All],[year t]])*(Table1423[[#This Row],[stratum i]]=Table32[[#All],[stratum i]]), 0))</f>
        <v>#REF!</v>
      </c>
      <c r="AV87" s="30"/>
      <c r="BB87" s="18">
        <v>2027</v>
      </c>
      <c r="BC87">
        <v>3</v>
      </c>
      <c r="BD87" cm="1">
        <f t="array" ref="BD87">INDEX(Table32[[#All],[∆CWPS-soil,i,t (tC/ha)]], MATCH(1, (Table1329[[#This Row],[year t]]=Table32[[#All],[year t]])*(Table1329[[#This Row],[stratum i]]=Table32[[#All],[stratum i]]), 0))</f>
        <v>0</v>
      </c>
      <c r="BE87">
        <f>-44/12*Table1329[[#This Row],[∆CWPS-soil,i,t (tC/ha)]]</f>
        <v>0</v>
      </c>
    </row>
    <row r="88" spans="11:57" x14ac:dyDescent="0.2">
      <c r="K88" s="18">
        <v>2028</v>
      </c>
      <c r="L88">
        <v>3</v>
      </c>
      <c r="M88" cm="1">
        <f t="array" ref="M88">IF(project_aboveground_tree = "Included", INDEX(Table32[[#All],[ΔCTREE_PROJ,i,t (AR Tool 14) t C/yr]], MATCH(1, (Table1221[[#This Row],[year t]]=Table32[[#All],[year t]])*(Table1221[[#This Row],[stratum i]]=Table32[[#All],[stratum i]]), 0)), 0)</f>
        <v>56.046065036344395</v>
      </c>
      <c r="N88" s="57" cm="1">
        <f t="array" ref="N88">IF(project_aboveground_nontree = "Included", INDEX(#REF!, MATCH(1, (Table1221[[#This Row],[year t]]=Table32[[#All],[year t]])*(Table1221[[#This Row],[stratum i]]=Table32[[#All],[stratum i]]), 0)), 0)</f>
        <v>0</v>
      </c>
      <c r="O88">
        <f>12/44*(Table1221[[#This Row],[ΔCTREE_PROJ,t (AR Tool 14) t CO2e/yr]]+Table1221[[#This Row],[ΔCSHRUB_PROJ,t (AR Tool 14) t CO2e/yr]])</f>
        <v>15.28529046445756</v>
      </c>
      <c r="P88" cm="1">
        <f t="array" ref="P88">IF(project_aboveground_nontree = "Included", IFERROR(INDEX(Table1322[[#All],[ΔCWPS-herb,i,t (Eq 78)]], MATCH(1, (Table1221[[#This Row],[stratum i]]=Table1322[[#All],[stratum i]])*(Table1221[[#This Row],[year t]]&gt;=#REF!)*(Table1221[[#This Row],[year t]]&lt;=Table1322[[#All],[year t]]), 0)), 0), 0)</f>
        <v>0</v>
      </c>
      <c r="Q88">
        <f>Table1221[[#This Row],[ΔCWPS-tree/shrub,i,t (t C/yr) (Eq 75)]]+Table1221[[#This Row],[ΔCWPS-herb,i,t (t C/yr)]]</f>
        <v>15.28529046445756</v>
      </c>
      <c r="R88" cm="1">
        <f t="array" ref="R88">INDEX(Table1423[[#All],[GHGWPS-soil,i,t]], MATCH(1, (Table1221[[#This Row],[year t]]=Table1423[[#All],[year t]])*(Table1221[[#This Row],[stratum i]]=Table1423[[#All],[stratum i]]), 0))</f>
        <v>-2990.4286060191221</v>
      </c>
      <c r="S88">
        <f>IF(project_ff_CO2 = "Included", Table1221[[#This Row],[ET(FC,I,t) AR-Tool 5 WPS]], 0)</f>
        <v>0</v>
      </c>
      <c r="T88" t="e" cm="1">
        <f t="array" ref="T88">INDEX(#REF!, MATCH(1, (Table1221[[#This Row],[year t]]=Table32[[#All],[year t]])*(Table1221[[#This Row],[stratum i]]=Table32[[#All],[stratum i]]), 0))</f>
        <v>#REF!</v>
      </c>
      <c r="AE88" s="18">
        <v>2028</v>
      </c>
      <c r="AF88">
        <v>3</v>
      </c>
      <c r="AG88" s="18" cm="1">
        <f t="array" ref="AG88">INDEX(Table32[[#All],[Ai,t]], MATCH(1, (Table1423[[#This Row],[year t]]=Table32[[#All],[year t]])*(Table1423[[#This Row],[stratum i]]=Table32[[#All],[stratum i]]), 0))</f>
        <v>2222.8442528571427</v>
      </c>
      <c r="AH88" t="str">
        <f>INDEX(Table31[[#All],[Soil type (t=0)]], MATCH(Table1423[[#This Row],[stratum i]], Table31[[#All],[Stratum i]]))</f>
        <v>Mineral soil</v>
      </c>
      <c r="AI88">
        <f>IF(Emission_reduction_from_stock_loss?, INDEX(Table2[[#All],[End_PDT]], MATCH(Table1423[[#This Row],[stratum i]], Table2[[#All],[stratum i]])), crediting_period)</f>
        <v>40</v>
      </c>
      <c r="AJ88">
        <f>IF(Emission_reduction_from_stock_loss?, INDEX(Table2[[#All],[End_SDT]], MATCH(Table1423[[#This Row],[stratum i]], Table2[[#All],[stratum i]])), crediting_period)</f>
        <v>40</v>
      </c>
      <c r="AK88" cm="1">
        <f t="array" ref="AK8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-1.7599999999999998</v>
      </c>
      <c r="AL88" s="30" cm="1">
        <f t="array" ref="AL88">INDEX(Table32[[#All],[%Calloch WPS]], MATCH(1, (Table1423[[#This Row],[year t]]=Table32[[#All],[year t]])*(Table1423[[#This Row],[stratum i]]=Table32[[#All],[stratum i]]), 0))</f>
        <v>23.561573856247001</v>
      </c>
      <c r="AM88">
        <f>IF(project_soil_SOC="Included", IF(Table1423[[#This Row],[Soil]]="Peat soil",0, IF(OR(soil_insitu_approach = "Proxies", soil_insitu_approach = "Field-collected data"), Table1423[[#This Row],[GHGWPS-soil-CO2,i,t]]*(Table1423[[#This Row],[%Calloch WPS]]/100),  Table1423[[#This Row],[GHGWPS-insitu-CO2,i,t]]*(Table1423[[#This Row],[%Calloch WPS]]/100))), 0)</f>
        <v>-0.41468369986994719</v>
      </c>
      <c r="AN88">
        <f>(Table1423[[#This Row],[GHGWPS-soil-CO2,i,t]]-Table1423[[#This Row],[Deductionalloch WPS (Eq 38)]])*Table1423[[#This Row],[Ai,t]]</f>
        <v>-2990.4286060191221</v>
      </c>
      <c r="AO88" cm="1">
        <f t="array" ref="AO88">IF(project_soil_CH4 = "Included", INDEX(Table1830[[#All],[GHGWPS-soil-CH4,i,t (Eq 59)]], MATCH(1, (Table1423[[#This Row],[year t]]=Table1830[[#All],[year t]])*(Table1423[[#This Row],[stratum i]]=Table1830[[#All],[stratum i]]), 0)), 0)</f>
        <v>0</v>
      </c>
      <c r="AP88" cm="1">
        <f t="array" ref="AP88">IF(project_soil_N2O = "Included", INDEX(Table1830[[#All],[GHGWPS-soil-N2O,i,t (Eq 62)]], MATCH(1, (Table1423[[#This Row],[year t]]=Table1830[[#All],[year t]])*(Table1423[[#This Row],[stratum i]]=Table1830[[#All],[stratum i]]), 0)), 0)</f>
        <v>0</v>
      </c>
      <c r="AQ88">
        <f>Table1423[[#This Row],[Ai,t]]*(Table1423[[#This Row],[GHGWPS-soil-CO2,i,t]]-Table1423[[#This Row],[Deductionalloch WPS (Eq 38)]]+Table1423[[#This Row],[GHGWPS-soil-CH4,i,t]]+Table1423[[#This Row],[GHGWPS-soil-N2O,i,t]])</f>
        <v>-2990.4286060191221</v>
      </c>
      <c r="AR88" t="e" cm="1">
        <f t="array" ref="AR88">INDEX(#REF!, MATCH(1, (Table1423[[#This Row],[year t]]=Table32[[#All],[year t]])*(Table1423[[#This Row],[stratum i]]=Table32[[#All],[stratum i]]), 0))</f>
        <v>#REF!</v>
      </c>
      <c r="AS88" t="e" cm="1">
        <f t="array" ref="AS88">INDEX(#REF!, MATCH(1, (Table1423[[#This Row],[year t]]=Table32[[#All],[year t]])*(Table1423[[#This Row],[stratum i]]=Table32[[#All],[stratum i]]), 0))</f>
        <v>#REF!</v>
      </c>
      <c r="AT88" t="e" cm="1">
        <f t="array" ref="AT88">INDEX(#REF!, MATCH(1, (Table1423[[#This Row],[year t]]=Table32[[#All],[year t]])*(Table1423[[#This Row],[stratum i]]=Table32[[#All],[stratum i]]), 0))</f>
        <v>#REF!</v>
      </c>
      <c r="AU88" t="e" cm="1">
        <f t="array" ref="AU88">INDEX(#REF!, MATCH(1, (Table1423[[#This Row],[year t]]=Table32[[#All],[year t]])*(Table1423[[#This Row],[stratum i]]=Table32[[#All],[stratum i]]), 0))</f>
        <v>#REF!</v>
      </c>
      <c r="AV88" s="30"/>
      <c r="BB88" s="18">
        <v>2028</v>
      </c>
      <c r="BC88">
        <v>3</v>
      </c>
      <c r="BD88" cm="1">
        <f t="array" ref="BD88">INDEX(Table32[[#All],[∆CWPS-soil,i,t (tC/ha)]], MATCH(1, (Table1329[[#This Row],[year t]]=Table32[[#All],[year t]])*(Table1329[[#This Row],[stratum i]]=Table32[[#All],[stratum i]]), 0))</f>
        <v>0.48</v>
      </c>
      <c r="BE88">
        <f>-44/12*Table1329[[#This Row],[∆CWPS-soil,i,t (tC/ha)]]</f>
        <v>-1.7599999999999998</v>
      </c>
    </row>
    <row r="89" spans="11:57" x14ac:dyDescent="0.2">
      <c r="K89" s="18">
        <v>2029</v>
      </c>
      <c r="L89">
        <v>3</v>
      </c>
      <c r="M89" cm="1">
        <f t="array" ref="M89">IF(project_aboveground_tree = "Included", INDEX(Table32[[#All],[ΔCTREE_PROJ,i,t (AR Tool 14) t C/yr]], MATCH(1, (Table1221[[#This Row],[year t]]=Table32[[#All],[year t]])*(Table1221[[#This Row],[stratum i]]=Table32[[#All],[stratum i]]), 0)), 0)</f>
        <v>222.19156694450163</v>
      </c>
      <c r="N89" s="57" cm="1">
        <f t="array" ref="N89">IF(project_aboveground_nontree = "Included", INDEX(#REF!, MATCH(1, (Table1221[[#This Row],[year t]]=Table32[[#All],[year t]])*(Table1221[[#This Row],[stratum i]]=Table32[[#All],[stratum i]]), 0)), 0)</f>
        <v>0</v>
      </c>
      <c r="O89">
        <f>12/44*(Table1221[[#This Row],[ΔCTREE_PROJ,t (AR Tool 14) t CO2e/yr]]+Table1221[[#This Row],[ΔCSHRUB_PROJ,t (AR Tool 14) t CO2e/yr]])</f>
        <v>60.597700075773169</v>
      </c>
      <c r="P89" cm="1">
        <f t="array" ref="P89">IF(project_aboveground_nontree = "Included", IFERROR(INDEX(Table1322[[#All],[ΔCWPS-herb,i,t (Eq 78)]], MATCH(1, (Table1221[[#This Row],[stratum i]]=Table1322[[#All],[stratum i]])*(Table1221[[#This Row],[year t]]&gt;=#REF!)*(Table1221[[#This Row],[year t]]&lt;=Table1322[[#All],[year t]]), 0)), 0), 0)</f>
        <v>0</v>
      </c>
      <c r="Q89">
        <f>Table1221[[#This Row],[ΔCWPS-tree/shrub,i,t (t C/yr) (Eq 75)]]+Table1221[[#This Row],[ΔCWPS-herb,i,t (t C/yr)]]</f>
        <v>60.597700075773169</v>
      </c>
      <c r="R89" cm="1">
        <f t="array" ref="R89">INDEX(Table1423[[#All],[GHGWPS-soil,i,t]], MATCH(1, (Table1221[[#This Row],[year t]]=Table1423[[#All],[year t]])*(Table1221[[#This Row],[stratum i]]=Table1423[[#All],[stratum i]]), 0))</f>
        <v>-3887.5571878248593</v>
      </c>
      <c r="S89">
        <f>IF(project_ff_CO2 = "Included", Table1221[[#This Row],[ET(FC,I,t) AR-Tool 5 WPS]], 0)</f>
        <v>0</v>
      </c>
      <c r="T89" t="e" cm="1">
        <f t="array" ref="T89">INDEX(#REF!, MATCH(1, (Table1221[[#This Row],[year t]]=Table32[[#All],[year t]])*(Table1221[[#This Row],[stratum i]]=Table32[[#All],[stratum i]]), 0))</f>
        <v>#REF!</v>
      </c>
      <c r="AE89" s="18">
        <v>2029</v>
      </c>
      <c r="AF89">
        <v>3</v>
      </c>
      <c r="AG89" s="18" cm="1">
        <f t="array" ref="AG89">INDEX(Table32[[#All],[Ai,t]], MATCH(1, (Table1423[[#This Row],[year t]]=Table32[[#All],[year t]])*(Table1423[[#This Row],[stratum i]]=Table32[[#All],[stratum i]]), 0))</f>
        <v>2222.8442528571427</v>
      </c>
      <c r="AH89" t="str">
        <f>INDEX(Table31[[#All],[Soil type (t=0)]], MATCH(Table1423[[#This Row],[stratum i]], Table31[[#All],[Stratum i]]))</f>
        <v>Mineral soil</v>
      </c>
      <c r="AI89">
        <f>IF(Emission_reduction_from_stock_loss?, INDEX(Table2[[#All],[End_PDT]], MATCH(Table1423[[#This Row],[stratum i]], Table2[[#All],[stratum i]])), crediting_period)</f>
        <v>40</v>
      </c>
      <c r="AJ89">
        <f>IF(Emission_reduction_from_stock_loss?, INDEX(Table2[[#All],[End_SDT]], MATCH(Table1423[[#This Row],[stratum i]], Table2[[#All],[stratum i]])), crediting_period)</f>
        <v>40</v>
      </c>
      <c r="AK89" cm="1">
        <f t="array" ref="AK8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-2.2879999999999998</v>
      </c>
      <c r="AL89" s="30" cm="1">
        <f t="array" ref="AL89">INDEX(Table32[[#All],[%Calloch WPS]], MATCH(1, (Table1423[[#This Row],[year t]]=Table32[[#All],[year t]])*(Table1423[[#This Row],[stratum i]]=Table32[[#All],[stratum i]]), 0))</f>
        <v>23.561573856247001</v>
      </c>
      <c r="AM89">
        <f>IF(project_soil_SOC="Included", IF(Table1423[[#This Row],[Soil]]="Peat soil",0, IF(OR(soil_insitu_approach = "Proxies", soil_insitu_approach = "Field-collected data"), Table1423[[#This Row],[GHGWPS-soil-CO2,i,t]]*(Table1423[[#This Row],[%Calloch WPS]]/100),  Table1423[[#This Row],[GHGWPS-insitu-CO2,i,t]]*(Table1423[[#This Row],[%Calloch WPS]]/100))), 0)</f>
        <v>-0.53908880983093133</v>
      </c>
      <c r="AN89">
        <f>(Table1423[[#This Row],[GHGWPS-soil-CO2,i,t]]-Table1423[[#This Row],[Deductionalloch WPS (Eq 38)]])*Table1423[[#This Row],[Ai,t]]</f>
        <v>-3887.5571878248593</v>
      </c>
      <c r="AO89" cm="1">
        <f t="array" ref="AO89">IF(project_soil_CH4 = "Included", INDEX(Table1830[[#All],[GHGWPS-soil-CH4,i,t (Eq 59)]], MATCH(1, (Table1423[[#This Row],[year t]]=Table1830[[#All],[year t]])*(Table1423[[#This Row],[stratum i]]=Table1830[[#All],[stratum i]]), 0)), 0)</f>
        <v>0</v>
      </c>
      <c r="AP89" cm="1">
        <f t="array" ref="AP89">IF(project_soil_N2O = "Included", INDEX(Table1830[[#All],[GHGWPS-soil-N2O,i,t (Eq 62)]], MATCH(1, (Table1423[[#This Row],[year t]]=Table1830[[#All],[year t]])*(Table1423[[#This Row],[stratum i]]=Table1830[[#All],[stratum i]]), 0)), 0)</f>
        <v>0</v>
      </c>
      <c r="AQ89">
        <f>Table1423[[#This Row],[Ai,t]]*(Table1423[[#This Row],[GHGWPS-soil-CO2,i,t]]-Table1423[[#This Row],[Deductionalloch WPS (Eq 38)]]+Table1423[[#This Row],[GHGWPS-soil-CH4,i,t]]+Table1423[[#This Row],[GHGWPS-soil-N2O,i,t]])</f>
        <v>-3887.5571878248593</v>
      </c>
      <c r="AR89" t="e" cm="1">
        <f t="array" ref="AR89">INDEX(#REF!, MATCH(1, (Table1423[[#This Row],[year t]]=Table32[[#All],[year t]])*(Table1423[[#This Row],[stratum i]]=Table32[[#All],[stratum i]]), 0))</f>
        <v>#REF!</v>
      </c>
      <c r="AS89" t="e" cm="1">
        <f t="array" ref="AS89">INDEX(#REF!, MATCH(1, (Table1423[[#This Row],[year t]]=Table32[[#All],[year t]])*(Table1423[[#This Row],[stratum i]]=Table32[[#All],[stratum i]]), 0))</f>
        <v>#REF!</v>
      </c>
      <c r="AT89" t="e" cm="1">
        <f t="array" ref="AT89">INDEX(#REF!, MATCH(1, (Table1423[[#This Row],[year t]]=Table32[[#All],[year t]])*(Table1423[[#This Row],[stratum i]]=Table32[[#All],[stratum i]]), 0))</f>
        <v>#REF!</v>
      </c>
      <c r="AU89" t="e" cm="1">
        <f t="array" ref="AU89">INDEX(#REF!, MATCH(1, (Table1423[[#This Row],[year t]]=Table32[[#All],[year t]])*(Table1423[[#This Row],[stratum i]]=Table32[[#All],[stratum i]]), 0))</f>
        <v>#REF!</v>
      </c>
      <c r="AV89" s="30"/>
      <c r="BB89" s="18">
        <v>2029</v>
      </c>
      <c r="BC89">
        <v>3</v>
      </c>
      <c r="BD89" cm="1">
        <f t="array" ref="BD89">INDEX(Table32[[#All],[∆CWPS-soil,i,t (tC/ha)]], MATCH(1, (Table1329[[#This Row],[year t]]=Table32[[#All],[year t]])*(Table1329[[#This Row],[stratum i]]=Table32[[#All],[stratum i]]), 0))</f>
        <v>0.624</v>
      </c>
      <c r="BE89">
        <f>-44/12*Table1329[[#This Row],[∆CWPS-soil,i,t (tC/ha)]]</f>
        <v>-2.2879999999999998</v>
      </c>
    </row>
    <row r="90" spans="11:57" x14ac:dyDescent="0.2">
      <c r="K90" s="18">
        <v>2030</v>
      </c>
      <c r="L90">
        <v>3</v>
      </c>
      <c r="M90" cm="1">
        <f t="array" ref="M90">IF(project_aboveground_tree = "Included", INDEX(Table32[[#All],[ΔCTREE_PROJ,i,t (AR Tool 14) t C/yr]], MATCH(1, (Table1221[[#This Row],[year t]]=Table32[[#All],[year t]])*(Table1221[[#This Row],[stratum i]]=Table32[[#All],[stratum i]]), 0)), 0)</f>
        <v>641.85429523097014</v>
      </c>
      <c r="N90" s="57" cm="1">
        <f t="array" ref="N90">IF(project_aboveground_nontree = "Included", INDEX(#REF!, MATCH(1, (Table1221[[#This Row],[year t]]=Table32[[#All],[year t]])*(Table1221[[#This Row],[stratum i]]=Table32[[#All],[stratum i]]), 0)), 0)</f>
        <v>0</v>
      </c>
      <c r="O90">
        <f>12/44*(Table1221[[#This Row],[ΔCTREE_PROJ,t (AR Tool 14) t CO2e/yr]]+Table1221[[#This Row],[ΔCSHRUB_PROJ,t (AR Tool 14) t CO2e/yr]])</f>
        <v>175.0511714266282</v>
      </c>
      <c r="P90" cm="1">
        <f t="array" ref="P90">IF(project_aboveground_nontree = "Included", IFERROR(INDEX(Table1322[[#All],[ΔCWPS-herb,i,t (Eq 78)]], MATCH(1, (Table1221[[#This Row],[stratum i]]=Table1322[[#All],[stratum i]])*(Table1221[[#This Row],[year t]]&gt;=#REF!)*(Table1221[[#This Row],[year t]]&lt;=Table1322[[#All],[year t]]), 0)), 0), 0)</f>
        <v>0</v>
      </c>
      <c r="Q90">
        <f>Table1221[[#This Row],[ΔCWPS-tree/shrub,i,t (t C/yr) (Eq 75)]]+Table1221[[#This Row],[ΔCWPS-herb,i,t (t C/yr)]]</f>
        <v>175.0511714266282</v>
      </c>
      <c r="R90" cm="1">
        <f t="array" ref="R90">INDEX(Table1423[[#All],[GHGWPS-soil,i,t]], MATCH(1, (Table1221[[#This Row],[year t]]=Table1423[[#All],[year t]])*(Table1221[[#This Row],[stratum i]]=Table1423[[#All],[stratum i]]), 0))</f>
        <v>-4784.6857696305951</v>
      </c>
      <c r="S90">
        <f>IF(project_ff_CO2 = "Included", Table1221[[#This Row],[ET(FC,I,t) AR-Tool 5 WPS]], 0)</f>
        <v>0</v>
      </c>
      <c r="T90" t="e" cm="1">
        <f t="array" ref="T90">INDEX(#REF!, MATCH(1, (Table1221[[#This Row],[year t]]=Table32[[#All],[year t]])*(Table1221[[#This Row],[stratum i]]=Table32[[#All],[stratum i]]), 0))</f>
        <v>#REF!</v>
      </c>
      <c r="AE90" s="18">
        <v>2030</v>
      </c>
      <c r="AF90">
        <v>3</v>
      </c>
      <c r="AG90" s="18" cm="1">
        <f t="array" ref="AG90">INDEX(Table32[[#All],[Ai,t]], MATCH(1, (Table1423[[#This Row],[year t]]=Table32[[#All],[year t]])*(Table1423[[#This Row],[stratum i]]=Table32[[#All],[stratum i]]), 0))</f>
        <v>2222.8442528571427</v>
      </c>
      <c r="AH90" t="str">
        <f>INDEX(Table31[[#All],[Soil type (t=0)]], MATCH(Table1423[[#This Row],[stratum i]], Table31[[#All],[Stratum i]]))</f>
        <v>Mineral soil</v>
      </c>
      <c r="AI90">
        <f>IF(Emission_reduction_from_stock_loss?, INDEX(Table2[[#All],[End_PDT]], MATCH(Table1423[[#This Row],[stratum i]], Table2[[#All],[stratum i]])), crediting_period)</f>
        <v>40</v>
      </c>
      <c r="AJ90">
        <f>IF(Emission_reduction_from_stock_loss?, INDEX(Table2[[#All],[End_SDT]], MATCH(Table1423[[#This Row],[stratum i]], Table2[[#All],[stratum i]])), crediting_period)</f>
        <v>40</v>
      </c>
      <c r="AK90" cm="1">
        <f t="array" ref="AK9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-2.8159999999999994</v>
      </c>
      <c r="AL90" s="30" cm="1">
        <f t="array" ref="AL90">INDEX(Table32[[#All],[%Calloch WPS]], MATCH(1, (Table1423[[#This Row],[year t]]=Table32[[#All],[year t]])*(Table1423[[#This Row],[stratum i]]=Table32[[#All],[stratum i]]), 0))</f>
        <v>23.561573856247001</v>
      </c>
      <c r="AM90">
        <f>IF(project_soil_SOC="Included", IF(Table1423[[#This Row],[Soil]]="Peat soil",0, IF(OR(soil_insitu_approach = "Proxies", soil_insitu_approach = "Field-collected data"), Table1423[[#This Row],[GHGWPS-soil-CO2,i,t]]*(Table1423[[#This Row],[%Calloch WPS]]/100),  Table1423[[#This Row],[GHGWPS-insitu-CO2,i,t]]*(Table1423[[#This Row],[%Calloch WPS]]/100))), 0)</f>
        <v>-0.66349391979191541</v>
      </c>
      <c r="AN90">
        <f>(Table1423[[#This Row],[GHGWPS-soil-CO2,i,t]]-Table1423[[#This Row],[Deductionalloch WPS (Eq 38)]])*Table1423[[#This Row],[Ai,t]]</f>
        <v>-4784.6857696305951</v>
      </c>
      <c r="AO90" cm="1">
        <f t="array" ref="AO90">IF(project_soil_CH4 = "Included", INDEX(Table1830[[#All],[GHGWPS-soil-CH4,i,t (Eq 59)]], MATCH(1, (Table1423[[#This Row],[year t]]=Table1830[[#All],[year t]])*(Table1423[[#This Row],[stratum i]]=Table1830[[#All],[stratum i]]), 0)), 0)</f>
        <v>0</v>
      </c>
      <c r="AP90" cm="1">
        <f t="array" ref="AP90">IF(project_soil_N2O = "Included", INDEX(Table1830[[#All],[GHGWPS-soil-N2O,i,t (Eq 62)]], MATCH(1, (Table1423[[#This Row],[year t]]=Table1830[[#All],[year t]])*(Table1423[[#This Row],[stratum i]]=Table1830[[#All],[stratum i]]), 0)), 0)</f>
        <v>0</v>
      </c>
      <c r="AQ90">
        <f>Table1423[[#This Row],[Ai,t]]*(Table1423[[#This Row],[GHGWPS-soil-CO2,i,t]]-Table1423[[#This Row],[Deductionalloch WPS (Eq 38)]]+Table1423[[#This Row],[GHGWPS-soil-CH4,i,t]]+Table1423[[#This Row],[GHGWPS-soil-N2O,i,t]])</f>
        <v>-4784.6857696305951</v>
      </c>
      <c r="AR90" t="e" cm="1">
        <f t="array" ref="AR90">INDEX(#REF!, MATCH(1, (Table1423[[#This Row],[year t]]=Table32[[#All],[year t]])*(Table1423[[#This Row],[stratum i]]=Table32[[#All],[stratum i]]), 0))</f>
        <v>#REF!</v>
      </c>
      <c r="AS90" t="e" cm="1">
        <f t="array" ref="AS90">INDEX(#REF!, MATCH(1, (Table1423[[#This Row],[year t]]=Table32[[#All],[year t]])*(Table1423[[#This Row],[stratum i]]=Table32[[#All],[stratum i]]), 0))</f>
        <v>#REF!</v>
      </c>
      <c r="AT90" t="e" cm="1">
        <f t="array" ref="AT90">INDEX(#REF!, MATCH(1, (Table1423[[#This Row],[year t]]=Table32[[#All],[year t]])*(Table1423[[#This Row],[stratum i]]=Table32[[#All],[stratum i]]), 0))</f>
        <v>#REF!</v>
      </c>
      <c r="AU90" t="e" cm="1">
        <f t="array" ref="AU90">INDEX(#REF!, MATCH(1, (Table1423[[#This Row],[year t]]=Table32[[#All],[year t]])*(Table1423[[#This Row],[stratum i]]=Table32[[#All],[stratum i]]), 0))</f>
        <v>#REF!</v>
      </c>
      <c r="AV90" s="30"/>
      <c r="BB90" s="18">
        <v>2030</v>
      </c>
      <c r="BC90">
        <v>3</v>
      </c>
      <c r="BD90" cm="1">
        <f t="array" ref="BD90">INDEX(Table32[[#All],[∆CWPS-soil,i,t (tC/ha)]], MATCH(1, (Table1329[[#This Row],[year t]]=Table32[[#All],[year t]])*(Table1329[[#This Row],[stratum i]]=Table32[[#All],[stratum i]]), 0))</f>
        <v>0.7679999999999999</v>
      </c>
      <c r="BE90">
        <f>-44/12*Table1329[[#This Row],[∆CWPS-soil,i,t (tC/ha)]]</f>
        <v>-2.8159999999999994</v>
      </c>
    </row>
    <row r="91" spans="11:57" x14ac:dyDescent="0.2">
      <c r="K91" s="18">
        <v>2031</v>
      </c>
      <c r="L91">
        <v>3</v>
      </c>
      <c r="M91" cm="1">
        <f t="array" ref="M91">IF(project_aboveground_tree = "Included", INDEX(Table32[[#All],[ΔCTREE_PROJ,i,t (AR Tool 14) t C/yr]], MATCH(1, (Table1221[[#This Row],[year t]]=Table32[[#All],[year t]])*(Table1221[[#This Row],[stratum i]]=Table32[[#All],[stratum i]]), 0)), 0)</f>
        <v>1478.0150210524748</v>
      </c>
      <c r="N91" s="57" cm="1">
        <f t="array" ref="N91">IF(project_aboveground_nontree = "Included", INDEX(#REF!, MATCH(1, (Table1221[[#This Row],[year t]]=Table32[[#All],[year t]])*(Table1221[[#This Row],[stratum i]]=Table32[[#All],[stratum i]]), 0)), 0)</f>
        <v>0</v>
      </c>
      <c r="O91">
        <f>12/44*(Table1221[[#This Row],[ΔCTREE_PROJ,t (AR Tool 14) t CO2e/yr]]+Table1221[[#This Row],[ΔCSHRUB_PROJ,t (AR Tool 14) t CO2e/yr]])</f>
        <v>403.09500574158403</v>
      </c>
      <c r="P91" cm="1">
        <f t="array" ref="P91">IF(project_aboveground_nontree = "Included", IFERROR(INDEX(Table1322[[#All],[ΔCWPS-herb,i,t (Eq 78)]], MATCH(1, (Table1221[[#This Row],[stratum i]]=Table1322[[#All],[stratum i]])*(Table1221[[#This Row],[year t]]&gt;=#REF!)*(Table1221[[#This Row],[year t]]&lt;=Table1322[[#All],[year t]]), 0)), 0), 0)</f>
        <v>0</v>
      </c>
      <c r="Q91">
        <f>Table1221[[#This Row],[ΔCWPS-tree/shrub,i,t (t C/yr) (Eq 75)]]+Table1221[[#This Row],[ΔCWPS-herb,i,t (t C/yr)]]</f>
        <v>403.09500574158403</v>
      </c>
      <c r="R91" cm="1">
        <f t="array" ref="R91">INDEX(Table1423[[#All],[GHGWPS-soil,i,t]], MATCH(1, (Table1221[[#This Row],[year t]]=Table1423[[#All],[year t]])*(Table1221[[#This Row],[stratum i]]=Table1423[[#All],[stratum i]]), 0))</f>
        <v>-5681.8143514363328</v>
      </c>
      <c r="S91">
        <f>IF(project_ff_CO2 = "Included", Table1221[[#This Row],[ET(FC,I,t) AR-Tool 5 WPS]], 0)</f>
        <v>0</v>
      </c>
      <c r="T91" t="e" cm="1">
        <f t="array" ref="T91">INDEX(#REF!, MATCH(1, (Table1221[[#This Row],[year t]]=Table32[[#All],[year t]])*(Table1221[[#This Row],[stratum i]]=Table32[[#All],[stratum i]]), 0))</f>
        <v>#REF!</v>
      </c>
      <c r="AE91" s="18">
        <v>2031</v>
      </c>
      <c r="AF91">
        <v>3</v>
      </c>
      <c r="AG91" s="18" cm="1">
        <f t="array" ref="AG91">INDEX(Table32[[#All],[Ai,t]], MATCH(1, (Table1423[[#This Row],[year t]]=Table32[[#All],[year t]])*(Table1423[[#This Row],[stratum i]]=Table32[[#All],[stratum i]]), 0))</f>
        <v>2222.8442528571427</v>
      </c>
      <c r="AH91" t="str">
        <f>INDEX(Table31[[#All],[Soil type (t=0)]], MATCH(Table1423[[#This Row],[stratum i]], Table31[[#All],[Stratum i]]))</f>
        <v>Mineral soil</v>
      </c>
      <c r="AI91">
        <f>IF(Emission_reduction_from_stock_loss?, INDEX(Table2[[#All],[End_PDT]], MATCH(Table1423[[#This Row],[stratum i]], Table2[[#All],[stratum i]])), crediting_period)</f>
        <v>40</v>
      </c>
      <c r="AJ91">
        <f>IF(Emission_reduction_from_stock_loss?, INDEX(Table2[[#All],[End_SDT]], MATCH(Table1423[[#This Row],[stratum i]], Table2[[#All],[stratum i]])), crediting_period)</f>
        <v>40</v>
      </c>
      <c r="AK91" cm="1">
        <f t="array" ref="AK9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-3.3439999999999999</v>
      </c>
      <c r="AL91" s="30" cm="1">
        <f t="array" ref="AL91">INDEX(Table32[[#All],[%Calloch WPS]], MATCH(1, (Table1423[[#This Row],[year t]]=Table32[[#All],[year t]])*(Table1423[[#This Row],[stratum i]]=Table32[[#All],[stratum i]]), 0))</f>
        <v>23.561573856247001</v>
      </c>
      <c r="AM91">
        <f>IF(project_soil_SOC="Included", IF(Table1423[[#This Row],[Soil]]="Peat soil",0, IF(OR(soil_insitu_approach = "Proxies", soil_insitu_approach = "Field-collected data"), Table1423[[#This Row],[GHGWPS-soil-CO2,i,t]]*(Table1423[[#This Row],[%Calloch WPS]]/100),  Table1423[[#This Row],[GHGWPS-insitu-CO2,i,t]]*(Table1423[[#This Row],[%Calloch WPS]]/100))), 0)</f>
        <v>-0.78789902975289972</v>
      </c>
      <c r="AN91">
        <f>(Table1423[[#This Row],[GHGWPS-soil-CO2,i,t]]-Table1423[[#This Row],[Deductionalloch WPS (Eq 38)]])*Table1423[[#This Row],[Ai,t]]</f>
        <v>-5681.8143514363328</v>
      </c>
      <c r="AO91" cm="1">
        <f t="array" ref="AO91">IF(project_soil_CH4 = "Included", INDEX(Table1830[[#All],[GHGWPS-soil-CH4,i,t (Eq 59)]], MATCH(1, (Table1423[[#This Row],[year t]]=Table1830[[#All],[year t]])*(Table1423[[#This Row],[stratum i]]=Table1830[[#All],[stratum i]]), 0)), 0)</f>
        <v>0</v>
      </c>
      <c r="AP91" cm="1">
        <f t="array" ref="AP91">IF(project_soil_N2O = "Included", INDEX(Table1830[[#All],[GHGWPS-soil-N2O,i,t (Eq 62)]], MATCH(1, (Table1423[[#This Row],[year t]]=Table1830[[#All],[year t]])*(Table1423[[#This Row],[stratum i]]=Table1830[[#All],[stratum i]]), 0)), 0)</f>
        <v>0</v>
      </c>
      <c r="AQ91">
        <f>Table1423[[#This Row],[Ai,t]]*(Table1423[[#This Row],[GHGWPS-soil-CO2,i,t]]-Table1423[[#This Row],[Deductionalloch WPS (Eq 38)]]+Table1423[[#This Row],[GHGWPS-soil-CH4,i,t]]+Table1423[[#This Row],[GHGWPS-soil-N2O,i,t]])</f>
        <v>-5681.8143514363328</v>
      </c>
      <c r="AR91" t="e" cm="1">
        <f t="array" ref="AR91">INDEX(#REF!, MATCH(1, (Table1423[[#This Row],[year t]]=Table32[[#All],[year t]])*(Table1423[[#This Row],[stratum i]]=Table32[[#All],[stratum i]]), 0))</f>
        <v>#REF!</v>
      </c>
      <c r="AS91" t="e" cm="1">
        <f t="array" ref="AS91">INDEX(#REF!, MATCH(1, (Table1423[[#This Row],[year t]]=Table32[[#All],[year t]])*(Table1423[[#This Row],[stratum i]]=Table32[[#All],[stratum i]]), 0))</f>
        <v>#REF!</v>
      </c>
      <c r="AT91" t="e" cm="1">
        <f t="array" ref="AT91">INDEX(#REF!, MATCH(1, (Table1423[[#This Row],[year t]]=Table32[[#All],[year t]])*(Table1423[[#This Row],[stratum i]]=Table32[[#All],[stratum i]]), 0))</f>
        <v>#REF!</v>
      </c>
      <c r="AU91" t="e" cm="1">
        <f t="array" ref="AU91">INDEX(#REF!, MATCH(1, (Table1423[[#This Row],[year t]]=Table32[[#All],[year t]])*(Table1423[[#This Row],[stratum i]]=Table32[[#All],[stratum i]]), 0))</f>
        <v>#REF!</v>
      </c>
      <c r="AV91" s="30"/>
      <c r="BB91" s="18">
        <v>2031</v>
      </c>
      <c r="BC91">
        <v>3</v>
      </c>
      <c r="BD91" cm="1">
        <f t="array" ref="BD91">INDEX(Table32[[#All],[∆CWPS-soil,i,t (tC/ha)]], MATCH(1, (Table1329[[#This Row],[year t]]=Table32[[#All],[year t]])*(Table1329[[#This Row],[stratum i]]=Table32[[#All],[stratum i]]), 0))</f>
        <v>0.91200000000000003</v>
      </c>
      <c r="BE91">
        <f>-44/12*Table1329[[#This Row],[∆CWPS-soil,i,t (tC/ha)]]</f>
        <v>-3.3439999999999999</v>
      </c>
    </row>
    <row r="92" spans="11:57" x14ac:dyDescent="0.2">
      <c r="K92" s="18">
        <v>2032</v>
      </c>
      <c r="L92">
        <v>3</v>
      </c>
      <c r="M92" cm="1">
        <f t="array" ref="M92">IF(project_aboveground_tree = "Included", INDEX(Table32[[#All],[ΔCTREE_PROJ,i,t (AR Tool 14) t C/yr]], MATCH(1, (Table1221[[#This Row],[year t]]=Table32[[#All],[year t]])*(Table1221[[#This Row],[stratum i]]=Table32[[#All],[stratum i]]), 0)), 0)</f>
        <v>2873.8917050017776</v>
      </c>
      <c r="N92" s="57" cm="1">
        <f t="array" ref="N92">IF(project_aboveground_nontree = "Included", INDEX(#REF!, MATCH(1, (Table1221[[#This Row],[year t]]=Table32[[#All],[year t]])*(Table1221[[#This Row],[stratum i]]=Table32[[#All],[stratum i]]), 0)), 0)</f>
        <v>0</v>
      </c>
      <c r="O92">
        <f>12/44*(Table1221[[#This Row],[ΔCTREE_PROJ,t (AR Tool 14) t CO2e/yr]]+Table1221[[#This Row],[ΔCSHRUB_PROJ,t (AR Tool 14) t CO2e/yr]])</f>
        <v>783.78864681866651</v>
      </c>
      <c r="P92" cm="1">
        <f t="array" ref="P92">IF(project_aboveground_nontree = "Included", IFERROR(INDEX(Table1322[[#All],[ΔCWPS-herb,i,t (Eq 78)]], MATCH(1, (Table1221[[#This Row],[stratum i]]=Table1322[[#All],[stratum i]])*(Table1221[[#This Row],[year t]]&gt;=#REF!)*(Table1221[[#This Row],[year t]]&lt;=Table1322[[#All],[year t]]), 0)), 0), 0)</f>
        <v>0</v>
      </c>
      <c r="Q92">
        <f>Table1221[[#This Row],[ΔCWPS-tree/shrub,i,t (t C/yr) (Eq 75)]]+Table1221[[#This Row],[ΔCWPS-herb,i,t (t C/yr)]]</f>
        <v>783.78864681866651</v>
      </c>
      <c r="R92" cm="1">
        <f t="array" ref="R92">INDEX(Table1423[[#All],[GHGWPS-soil,i,t]], MATCH(1, (Table1221[[#This Row],[year t]]=Table1423[[#All],[year t]])*(Table1221[[#This Row],[stratum i]]=Table1423[[#All],[stratum i]]), 0))</f>
        <v>-6578.9429332420696</v>
      </c>
      <c r="S92">
        <f>IF(project_ff_CO2 = "Included", Table1221[[#This Row],[ET(FC,I,t) AR-Tool 5 WPS]], 0)</f>
        <v>0</v>
      </c>
      <c r="T92" t="e" cm="1">
        <f t="array" ref="T92">INDEX(#REF!, MATCH(1, (Table1221[[#This Row],[year t]]=Table32[[#All],[year t]])*(Table1221[[#This Row],[stratum i]]=Table32[[#All],[stratum i]]), 0))</f>
        <v>#REF!</v>
      </c>
      <c r="AE92" s="18">
        <v>2032</v>
      </c>
      <c r="AF92">
        <v>3</v>
      </c>
      <c r="AG92" s="18" cm="1">
        <f t="array" ref="AG92">INDEX(Table32[[#All],[Ai,t]], MATCH(1, (Table1423[[#This Row],[year t]]=Table32[[#All],[year t]])*(Table1423[[#This Row],[stratum i]]=Table32[[#All],[stratum i]]), 0))</f>
        <v>2222.8442528571427</v>
      </c>
      <c r="AH92" t="str">
        <f>INDEX(Table31[[#All],[Soil type (t=0)]], MATCH(Table1423[[#This Row],[stratum i]], Table31[[#All],[Stratum i]]))</f>
        <v>Mineral soil</v>
      </c>
      <c r="AI92">
        <f>IF(Emission_reduction_from_stock_loss?, INDEX(Table2[[#All],[End_PDT]], MATCH(Table1423[[#This Row],[stratum i]], Table2[[#All],[stratum i]])), crediting_period)</f>
        <v>40</v>
      </c>
      <c r="AJ92">
        <f>IF(Emission_reduction_from_stock_loss?, INDEX(Table2[[#All],[End_SDT]], MATCH(Table1423[[#This Row],[stratum i]], Table2[[#All],[stratum i]])), crediting_period)</f>
        <v>40</v>
      </c>
      <c r="AK92" cm="1">
        <f t="array" ref="AK9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-3.8719999999999999</v>
      </c>
      <c r="AL92" s="30" cm="1">
        <f t="array" ref="AL92">INDEX(Table32[[#All],[%Calloch WPS]], MATCH(1, (Table1423[[#This Row],[year t]]=Table32[[#All],[year t]])*(Table1423[[#This Row],[stratum i]]=Table32[[#All],[stratum i]]), 0))</f>
        <v>23.561573856247001</v>
      </c>
      <c r="AM92">
        <f>IF(project_soil_SOC="Included", IF(Table1423[[#This Row],[Soil]]="Peat soil",0, IF(OR(soil_insitu_approach = "Proxies", soil_insitu_approach = "Field-collected data"), Table1423[[#This Row],[GHGWPS-soil-CO2,i,t]]*(Table1423[[#This Row],[%Calloch WPS]]/100),  Table1423[[#This Row],[GHGWPS-insitu-CO2,i,t]]*(Table1423[[#This Row],[%Calloch WPS]]/100))), 0)</f>
        <v>-0.9123041397138838</v>
      </c>
      <c r="AN92">
        <f>(Table1423[[#This Row],[GHGWPS-soil-CO2,i,t]]-Table1423[[#This Row],[Deductionalloch WPS (Eq 38)]])*Table1423[[#This Row],[Ai,t]]</f>
        <v>-6578.9429332420696</v>
      </c>
      <c r="AO92" cm="1">
        <f t="array" ref="AO92">IF(project_soil_CH4 = "Included", INDEX(Table1830[[#All],[GHGWPS-soil-CH4,i,t (Eq 59)]], MATCH(1, (Table1423[[#This Row],[year t]]=Table1830[[#All],[year t]])*(Table1423[[#This Row],[stratum i]]=Table1830[[#All],[stratum i]]), 0)), 0)</f>
        <v>0</v>
      </c>
      <c r="AP92" cm="1">
        <f t="array" ref="AP92">IF(project_soil_N2O = "Included", INDEX(Table1830[[#All],[GHGWPS-soil-N2O,i,t (Eq 62)]], MATCH(1, (Table1423[[#This Row],[year t]]=Table1830[[#All],[year t]])*(Table1423[[#This Row],[stratum i]]=Table1830[[#All],[stratum i]]), 0)), 0)</f>
        <v>0</v>
      </c>
      <c r="AQ92">
        <f>Table1423[[#This Row],[Ai,t]]*(Table1423[[#This Row],[GHGWPS-soil-CO2,i,t]]-Table1423[[#This Row],[Deductionalloch WPS (Eq 38)]]+Table1423[[#This Row],[GHGWPS-soil-CH4,i,t]]+Table1423[[#This Row],[GHGWPS-soil-N2O,i,t]])</f>
        <v>-6578.9429332420696</v>
      </c>
      <c r="AR92" t="e" cm="1">
        <f t="array" ref="AR92">INDEX(#REF!, MATCH(1, (Table1423[[#This Row],[year t]]=Table32[[#All],[year t]])*(Table1423[[#This Row],[stratum i]]=Table32[[#All],[stratum i]]), 0))</f>
        <v>#REF!</v>
      </c>
      <c r="AS92" t="e" cm="1">
        <f t="array" ref="AS92">INDEX(#REF!, MATCH(1, (Table1423[[#This Row],[year t]]=Table32[[#All],[year t]])*(Table1423[[#This Row],[stratum i]]=Table32[[#All],[stratum i]]), 0))</f>
        <v>#REF!</v>
      </c>
      <c r="AT92" t="e" cm="1">
        <f t="array" ref="AT92">INDEX(#REF!, MATCH(1, (Table1423[[#This Row],[year t]]=Table32[[#All],[year t]])*(Table1423[[#This Row],[stratum i]]=Table32[[#All],[stratum i]]), 0))</f>
        <v>#REF!</v>
      </c>
      <c r="AU92" t="e" cm="1">
        <f t="array" ref="AU92">INDEX(#REF!, MATCH(1, (Table1423[[#This Row],[year t]]=Table32[[#All],[year t]])*(Table1423[[#This Row],[stratum i]]=Table32[[#All],[stratum i]]), 0))</f>
        <v>#REF!</v>
      </c>
      <c r="AV92" s="30"/>
      <c r="BB92" s="18">
        <v>2032</v>
      </c>
      <c r="BC92">
        <v>3</v>
      </c>
      <c r="BD92" cm="1">
        <f t="array" ref="BD92">INDEX(Table32[[#All],[∆CWPS-soil,i,t (tC/ha)]], MATCH(1, (Table1329[[#This Row],[year t]]=Table32[[#All],[year t]])*(Table1329[[#This Row],[stratum i]]=Table32[[#All],[stratum i]]), 0))</f>
        <v>1.056</v>
      </c>
      <c r="BE92">
        <f>-44/12*Table1329[[#This Row],[∆CWPS-soil,i,t (tC/ha)]]</f>
        <v>-3.8719999999999999</v>
      </c>
    </row>
    <row r="93" spans="11:57" x14ac:dyDescent="0.2">
      <c r="K93" s="18">
        <v>2033</v>
      </c>
      <c r="L93">
        <v>3</v>
      </c>
      <c r="M93" cm="1">
        <f t="array" ref="M93">IF(project_aboveground_tree = "Included", INDEX(Table32[[#All],[ΔCTREE_PROJ,i,t (AR Tool 14) t C/yr]], MATCH(1, (Table1221[[#This Row],[year t]]=Table32[[#All],[year t]])*(Table1221[[#This Row],[stratum i]]=Table32[[#All],[stratum i]]), 0)), 0)</f>
        <v>4906.3128528618836</v>
      </c>
      <c r="N93" s="57" cm="1">
        <f t="array" ref="N93">IF(project_aboveground_nontree = "Included", INDEX(#REF!, MATCH(1, (Table1221[[#This Row],[year t]]=Table32[[#All],[year t]])*(Table1221[[#This Row],[stratum i]]=Table32[[#All],[stratum i]]), 0)), 0)</f>
        <v>0</v>
      </c>
      <c r="O93">
        <f>12/44*(Table1221[[#This Row],[ΔCTREE_PROJ,t (AR Tool 14) t CO2e/yr]]+Table1221[[#This Row],[ΔCSHRUB_PROJ,t (AR Tool 14) t CO2e/yr]])</f>
        <v>1338.0853235077864</v>
      </c>
      <c r="P93" cm="1">
        <f t="array" ref="P93">IF(project_aboveground_nontree = "Included", IFERROR(INDEX(Table1322[[#All],[ΔCWPS-herb,i,t (Eq 78)]], MATCH(1, (Table1221[[#This Row],[stratum i]]=Table1322[[#All],[stratum i]])*(Table1221[[#This Row],[year t]]&gt;=#REF!)*(Table1221[[#This Row],[year t]]&lt;=Table1322[[#All],[year t]]), 0)), 0), 0)</f>
        <v>0</v>
      </c>
      <c r="Q93">
        <f>Table1221[[#This Row],[ΔCWPS-tree/shrub,i,t (t C/yr) (Eq 75)]]+Table1221[[#This Row],[ΔCWPS-herb,i,t (t C/yr)]]</f>
        <v>1338.0853235077864</v>
      </c>
      <c r="R93" cm="1">
        <f t="array" ref="R93">INDEX(Table1423[[#All],[GHGWPS-soil,i,t]], MATCH(1, (Table1221[[#This Row],[year t]]=Table1423[[#All],[year t]])*(Table1221[[#This Row],[stratum i]]=Table1423[[#All],[stratum i]]), 0))</f>
        <v>-14952.143030095611</v>
      </c>
      <c r="S93">
        <f>IF(project_ff_CO2 = "Included", Table1221[[#This Row],[ET(FC,I,t) AR-Tool 5 WPS]], 0)</f>
        <v>0</v>
      </c>
      <c r="T93" t="e" cm="1">
        <f t="array" ref="T93">INDEX(#REF!, MATCH(1, (Table1221[[#This Row],[year t]]=Table32[[#All],[year t]])*(Table1221[[#This Row],[stratum i]]=Table32[[#All],[stratum i]]), 0))</f>
        <v>#REF!</v>
      </c>
      <c r="AE93" s="18">
        <v>2033</v>
      </c>
      <c r="AF93">
        <v>3</v>
      </c>
      <c r="AG93" s="18" cm="1">
        <f t="array" ref="AG93">INDEX(Table32[[#All],[Ai,t]], MATCH(1, (Table1423[[#This Row],[year t]]=Table32[[#All],[year t]])*(Table1423[[#This Row],[stratum i]]=Table32[[#All],[stratum i]]), 0))</f>
        <v>2222.8442528571427</v>
      </c>
      <c r="AH93" t="str">
        <f>INDEX(Table31[[#All],[Soil type (t=0)]], MATCH(Table1423[[#This Row],[stratum i]], Table31[[#All],[Stratum i]]))</f>
        <v>Mineral soil</v>
      </c>
      <c r="AI93">
        <f>IF(Emission_reduction_from_stock_loss?, INDEX(Table2[[#All],[End_PDT]], MATCH(Table1423[[#This Row],[stratum i]], Table2[[#All],[stratum i]])), crediting_period)</f>
        <v>40</v>
      </c>
      <c r="AJ93">
        <f>IF(Emission_reduction_from_stock_loss?, INDEX(Table2[[#All],[End_SDT]], MATCH(Table1423[[#This Row],[stratum i]], Table2[[#All],[stratum i]])), crediting_period)</f>
        <v>40</v>
      </c>
      <c r="AK93" cm="1">
        <f t="array" ref="AK9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3" s="30" cm="1">
        <f t="array" ref="AL93">INDEX(Table32[[#All],[%Calloch WPS]], MATCH(1, (Table1423[[#This Row],[year t]]=Table32[[#All],[year t]])*(Table1423[[#This Row],[stratum i]]=Table32[[#All],[stratum i]]), 0))</f>
        <v>23.561573856247001</v>
      </c>
      <c r="AM9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3">
        <f>(Table1423[[#This Row],[GHGWPS-soil-CO2,i,t]]-Table1423[[#This Row],[Deductionalloch WPS (Eq 38)]])*Table1423[[#This Row],[Ai,t]]</f>
        <v>-14952.143030095611</v>
      </c>
      <c r="AO93" cm="1">
        <f t="array" ref="AO93">IF(project_soil_CH4 = "Included", INDEX(Table1830[[#All],[GHGWPS-soil-CH4,i,t (Eq 59)]], MATCH(1, (Table1423[[#This Row],[year t]]=Table1830[[#All],[year t]])*(Table1423[[#This Row],[stratum i]]=Table1830[[#All],[stratum i]]), 0)), 0)</f>
        <v>0</v>
      </c>
      <c r="AP93" cm="1">
        <f t="array" ref="AP93">IF(project_soil_N2O = "Included", INDEX(Table1830[[#All],[GHGWPS-soil-N2O,i,t (Eq 62)]], MATCH(1, (Table1423[[#This Row],[year t]]=Table1830[[#All],[year t]])*(Table1423[[#This Row],[stratum i]]=Table1830[[#All],[stratum i]]), 0)), 0)</f>
        <v>0</v>
      </c>
      <c r="AQ93">
        <f>Table1423[[#This Row],[Ai,t]]*(Table1423[[#This Row],[GHGWPS-soil-CO2,i,t]]-Table1423[[#This Row],[Deductionalloch WPS (Eq 38)]]+Table1423[[#This Row],[GHGWPS-soil-CH4,i,t]]+Table1423[[#This Row],[GHGWPS-soil-N2O,i,t]])</f>
        <v>-14952.143030095611</v>
      </c>
      <c r="AR93" t="e" cm="1">
        <f t="array" ref="AR93">INDEX(#REF!, MATCH(1, (Table1423[[#This Row],[year t]]=Table32[[#All],[year t]])*(Table1423[[#This Row],[stratum i]]=Table32[[#All],[stratum i]]), 0))</f>
        <v>#REF!</v>
      </c>
      <c r="AS93" t="e" cm="1">
        <f t="array" ref="AS93">INDEX(#REF!, MATCH(1, (Table1423[[#This Row],[year t]]=Table32[[#All],[year t]])*(Table1423[[#This Row],[stratum i]]=Table32[[#All],[stratum i]]), 0))</f>
        <v>#REF!</v>
      </c>
      <c r="AT93" t="e" cm="1">
        <f t="array" ref="AT93">INDEX(#REF!, MATCH(1, (Table1423[[#This Row],[year t]]=Table32[[#All],[year t]])*(Table1423[[#This Row],[stratum i]]=Table32[[#All],[stratum i]]), 0))</f>
        <v>#REF!</v>
      </c>
      <c r="AU93" t="e" cm="1">
        <f t="array" ref="AU93">INDEX(#REF!, MATCH(1, (Table1423[[#This Row],[year t]]=Table32[[#All],[year t]])*(Table1423[[#This Row],[stratum i]]=Table32[[#All],[stratum i]]), 0))</f>
        <v>#REF!</v>
      </c>
      <c r="AV93" s="30"/>
      <c r="BB93" s="18">
        <v>2033</v>
      </c>
      <c r="BC93">
        <v>3</v>
      </c>
      <c r="BD93" cm="1">
        <f t="array" ref="BD93">INDEX(Table32[[#All],[∆CWPS-soil,i,t (tC/ha)]], MATCH(1, (Table1329[[#This Row],[year t]]=Table32[[#All],[year t]])*(Table1329[[#This Row],[stratum i]]=Table32[[#All],[stratum i]]), 0))</f>
        <v>2.4</v>
      </c>
      <c r="BE93">
        <f>-44/12*Table1329[[#This Row],[∆CWPS-soil,i,t (tC/ha)]]</f>
        <v>-8.7999999999999989</v>
      </c>
    </row>
    <row r="94" spans="11:57" x14ac:dyDescent="0.2">
      <c r="K94" s="18">
        <v>2034</v>
      </c>
      <c r="L94">
        <v>3</v>
      </c>
      <c r="M94" cm="1">
        <f t="array" ref="M94">IF(project_aboveground_tree = "Included", INDEX(Table32[[#All],[ΔCTREE_PROJ,i,t (AR Tool 14) t C/yr]], MATCH(1, (Table1221[[#This Row],[year t]]=Table32[[#All],[year t]])*(Table1221[[#This Row],[stratum i]]=Table32[[#All],[stratum i]]), 0)), 0)</f>
        <v>7559.8197257523279</v>
      </c>
      <c r="N94" s="57" cm="1">
        <f t="array" ref="N94">IF(project_aboveground_nontree = "Included", INDEX(#REF!, MATCH(1, (Table1221[[#This Row],[year t]]=Table32[[#All],[year t]])*(Table1221[[#This Row],[stratum i]]=Table32[[#All],[stratum i]]), 0)), 0)</f>
        <v>0</v>
      </c>
      <c r="O94">
        <f>12/44*(Table1221[[#This Row],[ΔCTREE_PROJ,t (AR Tool 14) t CO2e/yr]]+Table1221[[#This Row],[ΔCSHRUB_PROJ,t (AR Tool 14) t CO2e/yr]])</f>
        <v>2061.7690161142709</v>
      </c>
      <c r="P94" cm="1">
        <f t="array" ref="P94">IF(project_aboveground_nontree = "Included", IFERROR(INDEX(Table1322[[#All],[ΔCWPS-herb,i,t (Eq 78)]], MATCH(1, (Table1221[[#This Row],[stratum i]]=Table1322[[#All],[stratum i]])*(Table1221[[#This Row],[year t]]&gt;=#REF!)*(Table1221[[#This Row],[year t]]&lt;=Table1322[[#All],[year t]]), 0)), 0), 0)</f>
        <v>0</v>
      </c>
      <c r="Q94">
        <f>Table1221[[#This Row],[ΔCWPS-tree/shrub,i,t (t C/yr) (Eq 75)]]+Table1221[[#This Row],[ΔCWPS-herb,i,t (t C/yr)]]</f>
        <v>2061.7690161142709</v>
      </c>
      <c r="R94" cm="1">
        <f t="array" ref="R94">INDEX(Table1423[[#All],[GHGWPS-soil,i,t]], MATCH(1, (Table1221[[#This Row],[year t]]=Table1423[[#All],[year t]])*(Table1221[[#This Row],[stratum i]]=Table1423[[#All],[stratum i]]), 0))</f>
        <v>-14952.143030095611</v>
      </c>
      <c r="S94">
        <f>IF(project_ff_CO2 = "Included", Table1221[[#This Row],[ET(FC,I,t) AR-Tool 5 WPS]], 0)</f>
        <v>0</v>
      </c>
      <c r="T94" t="e" cm="1">
        <f t="array" ref="T94">INDEX(#REF!, MATCH(1, (Table1221[[#This Row],[year t]]=Table32[[#All],[year t]])*(Table1221[[#This Row],[stratum i]]=Table32[[#All],[stratum i]]), 0))</f>
        <v>#REF!</v>
      </c>
      <c r="AE94" s="18">
        <v>2034</v>
      </c>
      <c r="AF94">
        <v>3</v>
      </c>
      <c r="AG94" s="18" cm="1">
        <f t="array" ref="AG94">INDEX(Table32[[#All],[Ai,t]], MATCH(1, (Table1423[[#This Row],[year t]]=Table32[[#All],[year t]])*(Table1423[[#This Row],[stratum i]]=Table32[[#All],[stratum i]]), 0))</f>
        <v>2222.8442528571427</v>
      </c>
      <c r="AH94" t="str">
        <f>INDEX(Table31[[#All],[Soil type (t=0)]], MATCH(Table1423[[#This Row],[stratum i]], Table31[[#All],[Stratum i]]))</f>
        <v>Mineral soil</v>
      </c>
      <c r="AI94">
        <f>IF(Emission_reduction_from_stock_loss?, INDEX(Table2[[#All],[End_PDT]], MATCH(Table1423[[#This Row],[stratum i]], Table2[[#All],[stratum i]])), crediting_period)</f>
        <v>40</v>
      </c>
      <c r="AJ94">
        <f>IF(Emission_reduction_from_stock_loss?, INDEX(Table2[[#All],[End_SDT]], MATCH(Table1423[[#This Row],[stratum i]], Table2[[#All],[stratum i]])), crediting_period)</f>
        <v>40</v>
      </c>
      <c r="AK94" cm="1">
        <f t="array" ref="AK9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4" s="30" cm="1">
        <f t="array" ref="AL94">INDEX(Table32[[#All],[%Calloch WPS]], MATCH(1, (Table1423[[#This Row],[year t]]=Table32[[#All],[year t]])*(Table1423[[#This Row],[stratum i]]=Table32[[#All],[stratum i]]), 0))</f>
        <v>23.561573856247001</v>
      </c>
      <c r="AM9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4">
        <f>(Table1423[[#This Row],[GHGWPS-soil-CO2,i,t]]-Table1423[[#This Row],[Deductionalloch WPS (Eq 38)]])*Table1423[[#This Row],[Ai,t]]</f>
        <v>-14952.143030095611</v>
      </c>
      <c r="AO94" cm="1">
        <f t="array" ref="AO94">IF(project_soil_CH4 = "Included", INDEX(Table1830[[#All],[GHGWPS-soil-CH4,i,t (Eq 59)]], MATCH(1, (Table1423[[#This Row],[year t]]=Table1830[[#All],[year t]])*(Table1423[[#This Row],[stratum i]]=Table1830[[#All],[stratum i]]), 0)), 0)</f>
        <v>0</v>
      </c>
      <c r="AP94" cm="1">
        <f t="array" ref="AP94">IF(project_soil_N2O = "Included", INDEX(Table1830[[#All],[GHGWPS-soil-N2O,i,t (Eq 62)]], MATCH(1, (Table1423[[#This Row],[year t]]=Table1830[[#All],[year t]])*(Table1423[[#This Row],[stratum i]]=Table1830[[#All],[stratum i]]), 0)), 0)</f>
        <v>0</v>
      </c>
      <c r="AQ94">
        <f>Table1423[[#This Row],[Ai,t]]*(Table1423[[#This Row],[GHGWPS-soil-CO2,i,t]]-Table1423[[#This Row],[Deductionalloch WPS (Eq 38)]]+Table1423[[#This Row],[GHGWPS-soil-CH4,i,t]]+Table1423[[#This Row],[GHGWPS-soil-N2O,i,t]])</f>
        <v>-14952.143030095611</v>
      </c>
      <c r="AR94" t="e" cm="1">
        <f t="array" ref="AR94">INDEX(#REF!, MATCH(1, (Table1423[[#This Row],[year t]]=Table32[[#All],[year t]])*(Table1423[[#This Row],[stratum i]]=Table32[[#All],[stratum i]]), 0))</f>
        <v>#REF!</v>
      </c>
      <c r="AS94" t="e" cm="1">
        <f t="array" ref="AS94">INDEX(#REF!, MATCH(1, (Table1423[[#This Row],[year t]]=Table32[[#All],[year t]])*(Table1423[[#This Row],[stratum i]]=Table32[[#All],[stratum i]]), 0))</f>
        <v>#REF!</v>
      </c>
      <c r="AT94" t="e" cm="1">
        <f t="array" ref="AT94">INDEX(#REF!, MATCH(1, (Table1423[[#This Row],[year t]]=Table32[[#All],[year t]])*(Table1423[[#This Row],[stratum i]]=Table32[[#All],[stratum i]]), 0))</f>
        <v>#REF!</v>
      </c>
      <c r="AU94" t="e" cm="1">
        <f t="array" ref="AU94">INDEX(#REF!, MATCH(1, (Table1423[[#This Row],[year t]]=Table32[[#All],[year t]])*(Table1423[[#This Row],[stratum i]]=Table32[[#All],[stratum i]]), 0))</f>
        <v>#REF!</v>
      </c>
      <c r="AV94" s="30"/>
      <c r="BB94" s="18">
        <v>2034</v>
      </c>
      <c r="BC94">
        <v>3</v>
      </c>
      <c r="BD94" cm="1">
        <f t="array" ref="BD94">INDEX(Table32[[#All],[∆CWPS-soil,i,t (tC/ha)]], MATCH(1, (Table1329[[#This Row],[year t]]=Table32[[#All],[year t]])*(Table1329[[#This Row],[stratum i]]=Table32[[#All],[stratum i]]), 0))</f>
        <v>2.4</v>
      </c>
      <c r="BE94">
        <f>-44/12*Table1329[[#This Row],[∆CWPS-soil,i,t (tC/ha)]]</f>
        <v>-8.7999999999999989</v>
      </c>
    </row>
    <row r="95" spans="11:57" x14ac:dyDescent="0.2">
      <c r="K95" s="18">
        <v>2035</v>
      </c>
      <c r="L95">
        <v>3</v>
      </c>
      <c r="M95" cm="1">
        <f t="array" ref="M95">IF(project_aboveground_tree = "Included", INDEX(Table32[[#All],[ΔCTREE_PROJ,i,t (AR Tool 14) t C/yr]], MATCH(1, (Table1221[[#This Row],[year t]]=Table32[[#All],[year t]])*(Table1221[[#This Row],[stratum i]]=Table32[[#All],[stratum i]]), 0)), 0)</f>
        <v>10727.56162240903</v>
      </c>
      <c r="N95" s="57" cm="1">
        <f t="array" ref="N95">IF(project_aboveground_nontree = "Included", INDEX(#REF!, MATCH(1, (Table1221[[#This Row],[year t]]=Table32[[#All],[year t]])*(Table1221[[#This Row],[stratum i]]=Table32[[#All],[stratum i]]), 0)), 0)</f>
        <v>0</v>
      </c>
      <c r="O95">
        <f>12/44*(Table1221[[#This Row],[ΔCTREE_PROJ,t (AR Tool 14) t CO2e/yr]]+Table1221[[#This Row],[ΔCSHRUB_PROJ,t (AR Tool 14) t CO2e/yr]])</f>
        <v>2925.6986242933717</v>
      </c>
      <c r="P95" cm="1">
        <f t="array" ref="P95">IF(project_aboveground_nontree = "Included", IFERROR(INDEX(Table1322[[#All],[ΔCWPS-herb,i,t (Eq 78)]], MATCH(1, (Table1221[[#This Row],[stratum i]]=Table1322[[#All],[stratum i]])*(Table1221[[#This Row],[year t]]&gt;=#REF!)*(Table1221[[#This Row],[year t]]&lt;=Table1322[[#All],[year t]]), 0)), 0), 0)</f>
        <v>0</v>
      </c>
      <c r="Q95">
        <f>Table1221[[#This Row],[ΔCWPS-tree/shrub,i,t (t C/yr) (Eq 75)]]+Table1221[[#This Row],[ΔCWPS-herb,i,t (t C/yr)]]</f>
        <v>2925.6986242933717</v>
      </c>
      <c r="R95" cm="1">
        <f t="array" ref="R95">INDEX(Table1423[[#All],[GHGWPS-soil,i,t]], MATCH(1, (Table1221[[#This Row],[year t]]=Table1423[[#All],[year t]])*(Table1221[[#This Row],[stratum i]]=Table1423[[#All],[stratum i]]), 0))</f>
        <v>-14952.143030095611</v>
      </c>
      <c r="S95">
        <f>IF(project_ff_CO2 = "Included", Table1221[[#This Row],[ET(FC,I,t) AR-Tool 5 WPS]], 0)</f>
        <v>0</v>
      </c>
      <c r="T95" t="e" cm="1">
        <f t="array" ref="T95">INDEX(#REF!, MATCH(1, (Table1221[[#This Row],[year t]]=Table32[[#All],[year t]])*(Table1221[[#This Row],[stratum i]]=Table32[[#All],[stratum i]]), 0))</f>
        <v>#REF!</v>
      </c>
      <c r="AE95" s="18">
        <v>2035</v>
      </c>
      <c r="AF95">
        <v>3</v>
      </c>
      <c r="AG95" s="18" cm="1">
        <f t="array" ref="AG95">INDEX(Table32[[#All],[Ai,t]], MATCH(1, (Table1423[[#This Row],[year t]]=Table32[[#All],[year t]])*(Table1423[[#This Row],[stratum i]]=Table32[[#All],[stratum i]]), 0))</f>
        <v>2222.8442528571427</v>
      </c>
      <c r="AH95" t="str">
        <f>INDEX(Table31[[#All],[Soil type (t=0)]], MATCH(Table1423[[#This Row],[stratum i]], Table31[[#All],[Stratum i]]))</f>
        <v>Mineral soil</v>
      </c>
      <c r="AI95">
        <f>IF(Emission_reduction_from_stock_loss?, INDEX(Table2[[#All],[End_PDT]], MATCH(Table1423[[#This Row],[stratum i]], Table2[[#All],[stratum i]])), crediting_period)</f>
        <v>40</v>
      </c>
      <c r="AJ95">
        <f>IF(Emission_reduction_from_stock_loss?, INDEX(Table2[[#All],[End_SDT]], MATCH(Table1423[[#This Row],[stratum i]], Table2[[#All],[stratum i]])), crediting_period)</f>
        <v>40</v>
      </c>
      <c r="AK95" cm="1">
        <f t="array" ref="AK9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5" s="30" cm="1">
        <f t="array" ref="AL95">INDEX(Table32[[#All],[%Calloch WPS]], MATCH(1, (Table1423[[#This Row],[year t]]=Table32[[#All],[year t]])*(Table1423[[#This Row],[stratum i]]=Table32[[#All],[stratum i]]), 0))</f>
        <v>23.561573856247001</v>
      </c>
      <c r="AM9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5">
        <f>(Table1423[[#This Row],[GHGWPS-soil-CO2,i,t]]-Table1423[[#This Row],[Deductionalloch WPS (Eq 38)]])*Table1423[[#This Row],[Ai,t]]</f>
        <v>-14952.143030095611</v>
      </c>
      <c r="AO95" cm="1">
        <f t="array" ref="AO95">IF(project_soil_CH4 = "Included", INDEX(Table1830[[#All],[GHGWPS-soil-CH4,i,t (Eq 59)]], MATCH(1, (Table1423[[#This Row],[year t]]=Table1830[[#All],[year t]])*(Table1423[[#This Row],[stratum i]]=Table1830[[#All],[stratum i]]), 0)), 0)</f>
        <v>0</v>
      </c>
      <c r="AP95" cm="1">
        <f t="array" ref="AP95">IF(project_soil_N2O = "Included", INDEX(Table1830[[#All],[GHGWPS-soil-N2O,i,t (Eq 62)]], MATCH(1, (Table1423[[#This Row],[year t]]=Table1830[[#All],[year t]])*(Table1423[[#This Row],[stratum i]]=Table1830[[#All],[stratum i]]), 0)), 0)</f>
        <v>0</v>
      </c>
      <c r="AQ95">
        <f>Table1423[[#This Row],[Ai,t]]*(Table1423[[#This Row],[GHGWPS-soil-CO2,i,t]]-Table1423[[#This Row],[Deductionalloch WPS (Eq 38)]]+Table1423[[#This Row],[GHGWPS-soil-CH4,i,t]]+Table1423[[#This Row],[GHGWPS-soil-N2O,i,t]])</f>
        <v>-14952.143030095611</v>
      </c>
      <c r="AR95" t="e" cm="1">
        <f t="array" ref="AR95">INDEX(#REF!, MATCH(1, (Table1423[[#This Row],[year t]]=Table32[[#All],[year t]])*(Table1423[[#This Row],[stratum i]]=Table32[[#All],[stratum i]]), 0))</f>
        <v>#REF!</v>
      </c>
      <c r="AS95" t="e" cm="1">
        <f t="array" ref="AS95">INDEX(#REF!, MATCH(1, (Table1423[[#This Row],[year t]]=Table32[[#All],[year t]])*(Table1423[[#This Row],[stratum i]]=Table32[[#All],[stratum i]]), 0))</f>
        <v>#REF!</v>
      </c>
      <c r="AT95" t="e" cm="1">
        <f t="array" ref="AT95">INDEX(#REF!, MATCH(1, (Table1423[[#This Row],[year t]]=Table32[[#All],[year t]])*(Table1423[[#This Row],[stratum i]]=Table32[[#All],[stratum i]]), 0))</f>
        <v>#REF!</v>
      </c>
      <c r="AU95" t="e" cm="1">
        <f t="array" ref="AU95">INDEX(#REF!, MATCH(1, (Table1423[[#This Row],[year t]]=Table32[[#All],[year t]])*(Table1423[[#This Row],[stratum i]]=Table32[[#All],[stratum i]]), 0))</f>
        <v>#REF!</v>
      </c>
      <c r="AV95" s="30"/>
      <c r="BB95" s="18">
        <v>2035</v>
      </c>
      <c r="BC95">
        <v>3</v>
      </c>
      <c r="BD95" cm="1">
        <f t="array" ref="BD95">INDEX(Table32[[#All],[∆CWPS-soil,i,t (tC/ha)]], MATCH(1, (Table1329[[#This Row],[year t]]=Table32[[#All],[year t]])*(Table1329[[#This Row],[stratum i]]=Table32[[#All],[stratum i]]), 0))</f>
        <v>2.4</v>
      </c>
      <c r="BE95">
        <f>-44/12*Table1329[[#This Row],[∆CWPS-soil,i,t (tC/ha)]]</f>
        <v>-8.7999999999999989</v>
      </c>
    </row>
    <row r="96" spans="11:57" x14ac:dyDescent="0.2">
      <c r="K96" s="18">
        <v>2036</v>
      </c>
      <c r="L96">
        <v>3</v>
      </c>
      <c r="M96" cm="1">
        <f t="array" ref="M96">IF(project_aboveground_tree = "Included", INDEX(Table32[[#All],[ΔCTREE_PROJ,i,t (AR Tool 14) t C/yr]], MATCH(1, (Table1221[[#This Row],[year t]]=Table32[[#All],[year t]])*(Table1221[[#This Row],[stratum i]]=Table32[[#All],[stratum i]]), 0)), 0)</f>
        <v>14233.591050335617</v>
      </c>
      <c r="N96" s="57" cm="1">
        <f t="array" ref="N96">IF(project_aboveground_nontree = "Included", INDEX(#REF!, MATCH(1, (Table1221[[#This Row],[year t]]=Table32[[#All],[year t]])*(Table1221[[#This Row],[stratum i]]=Table32[[#All],[stratum i]]), 0)), 0)</f>
        <v>0</v>
      </c>
      <c r="O96">
        <f>12/44*(Table1221[[#This Row],[ΔCTREE_PROJ,t (AR Tool 14) t CO2e/yr]]+Table1221[[#This Row],[ΔCSHRUB_PROJ,t (AR Tool 14) t CO2e/yr]])</f>
        <v>3881.8884682733496</v>
      </c>
      <c r="P96" cm="1">
        <f t="array" ref="P96">IF(project_aboveground_nontree = "Included", IFERROR(INDEX(Table1322[[#All],[ΔCWPS-herb,i,t (Eq 78)]], MATCH(1, (Table1221[[#This Row],[stratum i]]=Table1322[[#All],[stratum i]])*(Table1221[[#This Row],[year t]]&gt;=#REF!)*(Table1221[[#This Row],[year t]]&lt;=Table1322[[#All],[year t]]), 0)), 0), 0)</f>
        <v>0</v>
      </c>
      <c r="Q96">
        <f>Table1221[[#This Row],[ΔCWPS-tree/shrub,i,t (t C/yr) (Eq 75)]]+Table1221[[#This Row],[ΔCWPS-herb,i,t (t C/yr)]]</f>
        <v>3881.8884682733496</v>
      </c>
      <c r="R96" cm="1">
        <f t="array" ref="R96">INDEX(Table1423[[#All],[GHGWPS-soil,i,t]], MATCH(1, (Table1221[[#This Row],[year t]]=Table1423[[#All],[year t]])*(Table1221[[#This Row],[stratum i]]=Table1423[[#All],[stratum i]]), 0))</f>
        <v>-14952.143030095611</v>
      </c>
      <c r="S96">
        <f>IF(project_ff_CO2 = "Included", Table1221[[#This Row],[ET(FC,I,t) AR-Tool 5 WPS]], 0)</f>
        <v>0</v>
      </c>
      <c r="T96" t="e" cm="1">
        <f t="array" ref="T96">INDEX(#REF!, MATCH(1, (Table1221[[#This Row],[year t]]=Table32[[#All],[year t]])*(Table1221[[#This Row],[stratum i]]=Table32[[#All],[stratum i]]), 0))</f>
        <v>#REF!</v>
      </c>
      <c r="AE96" s="18">
        <v>2036</v>
      </c>
      <c r="AF96">
        <v>3</v>
      </c>
      <c r="AG96" s="18" cm="1">
        <f t="array" ref="AG96">INDEX(Table32[[#All],[Ai,t]], MATCH(1, (Table1423[[#This Row],[year t]]=Table32[[#All],[year t]])*(Table1423[[#This Row],[stratum i]]=Table32[[#All],[stratum i]]), 0))</f>
        <v>2222.8442528571427</v>
      </c>
      <c r="AH96" t="str">
        <f>INDEX(Table31[[#All],[Soil type (t=0)]], MATCH(Table1423[[#This Row],[stratum i]], Table31[[#All],[Stratum i]]))</f>
        <v>Mineral soil</v>
      </c>
      <c r="AI96">
        <f>IF(Emission_reduction_from_stock_loss?, INDEX(Table2[[#All],[End_PDT]], MATCH(Table1423[[#This Row],[stratum i]], Table2[[#All],[stratum i]])), crediting_period)</f>
        <v>40</v>
      </c>
      <c r="AJ96">
        <f>IF(Emission_reduction_from_stock_loss?, INDEX(Table2[[#All],[End_SDT]], MATCH(Table1423[[#This Row],[stratum i]], Table2[[#All],[stratum i]])), crediting_period)</f>
        <v>40</v>
      </c>
      <c r="AK96" cm="1">
        <f t="array" ref="AK9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6" s="30" cm="1">
        <f t="array" ref="AL96">INDEX(Table32[[#All],[%Calloch WPS]], MATCH(1, (Table1423[[#This Row],[year t]]=Table32[[#All],[year t]])*(Table1423[[#This Row],[stratum i]]=Table32[[#All],[stratum i]]), 0))</f>
        <v>23.561573856247001</v>
      </c>
      <c r="AM9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6">
        <f>(Table1423[[#This Row],[GHGWPS-soil-CO2,i,t]]-Table1423[[#This Row],[Deductionalloch WPS (Eq 38)]])*Table1423[[#This Row],[Ai,t]]</f>
        <v>-14952.143030095611</v>
      </c>
      <c r="AO96" cm="1">
        <f t="array" ref="AO96">IF(project_soil_CH4 = "Included", INDEX(Table1830[[#All],[GHGWPS-soil-CH4,i,t (Eq 59)]], MATCH(1, (Table1423[[#This Row],[year t]]=Table1830[[#All],[year t]])*(Table1423[[#This Row],[stratum i]]=Table1830[[#All],[stratum i]]), 0)), 0)</f>
        <v>0</v>
      </c>
      <c r="AP96" cm="1">
        <f t="array" ref="AP96">IF(project_soil_N2O = "Included", INDEX(Table1830[[#All],[GHGWPS-soil-N2O,i,t (Eq 62)]], MATCH(1, (Table1423[[#This Row],[year t]]=Table1830[[#All],[year t]])*(Table1423[[#This Row],[stratum i]]=Table1830[[#All],[stratum i]]), 0)), 0)</f>
        <v>0</v>
      </c>
      <c r="AQ96">
        <f>Table1423[[#This Row],[Ai,t]]*(Table1423[[#This Row],[GHGWPS-soil-CO2,i,t]]-Table1423[[#This Row],[Deductionalloch WPS (Eq 38)]]+Table1423[[#This Row],[GHGWPS-soil-CH4,i,t]]+Table1423[[#This Row],[GHGWPS-soil-N2O,i,t]])</f>
        <v>-14952.143030095611</v>
      </c>
      <c r="AR96" t="e" cm="1">
        <f t="array" ref="AR96">INDEX(#REF!, MATCH(1, (Table1423[[#This Row],[year t]]=Table32[[#All],[year t]])*(Table1423[[#This Row],[stratum i]]=Table32[[#All],[stratum i]]), 0))</f>
        <v>#REF!</v>
      </c>
      <c r="AS96" t="e" cm="1">
        <f t="array" ref="AS96">INDEX(#REF!, MATCH(1, (Table1423[[#This Row],[year t]]=Table32[[#All],[year t]])*(Table1423[[#This Row],[stratum i]]=Table32[[#All],[stratum i]]), 0))</f>
        <v>#REF!</v>
      </c>
      <c r="AT96" t="e" cm="1">
        <f t="array" ref="AT96">INDEX(#REF!, MATCH(1, (Table1423[[#This Row],[year t]]=Table32[[#All],[year t]])*(Table1423[[#This Row],[stratum i]]=Table32[[#All],[stratum i]]), 0))</f>
        <v>#REF!</v>
      </c>
      <c r="AU96" t="e" cm="1">
        <f t="array" ref="AU96">INDEX(#REF!, MATCH(1, (Table1423[[#This Row],[year t]]=Table32[[#All],[year t]])*(Table1423[[#This Row],[stratum i]]=Table32[[#All],[stratum i]]), 0))</f>
        <v>#REF!</v>
      </c>
      <c r="AV96" s="30"/>
      <c r="BB96" s="18">
        <v>2036</v>
      </c>
      <c r="BC96">
        <v>3</v>
      </c>
      <c r="BD96" cm="1">
        <f t="array" ref="BD96">INDEX(Table32[[#All],[∆CWPS-soil,i,t (tC/ha)]], MATCH(1, (Table1329[[#This Row],[year t]]=Table32[[#All],[year t]])*(Table1329[[#This Row],[stratum i]]=Table32[[#All],[stratum i]]), 0))</f>
        <v>2.4</v>
      </c>
      <c r="BE96">
        <f>-44/12*Table1329[[#This Row],[∆CWPS-soil,i,t (tC/ha)]]</f>
        <v>-8.7999999999999989</v>
      </c>
    </row>
    <row r="97" spans="11:57" x14ac:dyDescent="0.2">
      <c r="K97" s="18">
        <v>2037</v>
      </c>
      <c r="L97">
        <v>3</v>
      </c>
      <c r="M97" cm="1">
        <f t="array" ref="M97">IF(project_aboveground_tree = "Included", INDEX(Table32[[#All],[ΔCTREE_PROJ,i,t (AR Tool 14) t C/yr]], MATCH(1, (Table1221[[#This Row],[year t]]=Table32[[#All],[year t]])*(Table1221[[#This Row],[stratum i]]=Table32[[#All],[stratum i]]), 0)), 0)</f>
        <v>17865.884073924979</v>
      </c>
      <c r="N97" s="57" cm="1">
        <f t="array" ref="N97">IF(project_aboveground_nontree = "Included", INDEX(#REF!, MATCH(1, (Table1221[[#This Row],[year t]]=Table32[[#All],[year t]])*(Table1221[[#This Row],[stratum i]]=Table32[[#All],[stratum i]]), 0)), 0)</f>
        <v>0</v>
      </c>
      <c r="O97">
        <f>12/44*(Table1221[[#This Row],[ΔCTREE_PROJ,t (AR Tool 14) t CO2e/yr]]+Table1221[[#This Row],[ΔCSHRUB_PROJ,t (AR Tool 14) t CO2e/yr]])</f>
        <v>4872.5138383431758</v>
      </c>
      <c r="P97" cm="1">
        <f t="array" ref="P97">IF(project_aboveground_nontree = "Included", IFERROR(INDEX(Table1322[[#All],[ΔCWPS-herb,i,t (Eq 78)]], MATCH(1, (Table1221[[#This Row],[stratum i]]=Table1322[[#All],[stratum i]])*(Table1221[[#This Row],[year t]]&gt;=#REF!)*(Table1221[[#This Row],[year t]]&lt;=Table1322[[#All],[year t]]), 0)), 0), 0)</f>
        <v>0</v>
      </c>
      <c r="Q97">
        <f>Table1221[[#This Row],[ΔCWPS-tree/shrub,i,t (t C/yr) (Eq 75)]]+Table1221[[#This Row],[ΔCWPS-herb,i,t (t C/yr)]]</f>
        <v>4872.5138383431758</v>
      </c>
      <c r="R97" cm="1">
        <f t="array" ref="R97">INDEX(Table1423[[#All],[GHGWPS-soil,i,t]], MATCH(1, (Table1221[[#This Row],[year t]]=Table1423[[#All],[year t]])*(Table1221[[#This Row],[stratum i]]=Table1423[[#All],[stratum i]]), 0))</f>
        <v>-14952.143030095611</v>
      </c>
      <c r="S97">
        <f>IF(project_ff_CO2 = "Included", Table1221[[#This Row],[ET(FC,I,t) AR-Tool 5 WPS]], 0)</f>
        <v>0</v>
      </c>
      <c r="T97" t="e" cm="1">
        <f t="array" ref="T97">INDEX(#REF!, MATCH(1, (Table1221[[#This Row],[year t]]=Table32[[#All],[year t]])*(Table1221[[#This Row],[stratum i]]=Table32[[#All],[stratum i]]), 0))</f>
        <v>#REF!</v>
      </c>
      <c r="AE97" s="18">
        <v>2037</v>
      </c>
      <c r="AF97">
        <v>3</v>
      </c>
      <c r="AG97" s="18" cm="1">
        <f t="array" ref="AG97">INDEX(Table32[[#All],[Ai,t]], MATCH(1, (Table1423[[#This Row],[year t]]=Table32[[#All],[year t]])*(Table1423[[#This Row],[stratum i]]=Table32[[#All],[stratum i]]), 0))</f>
        <v>2222.8442528571427</v>
      </c>
      <c r="AH97" t="str">
        <f>INDEX(Table31[[#All],[Soil type (t=0)]], MATCH(Table1423[[#This Row],[stratum i]], Table31[[#All],[Stratum i]]))</f>
        <v>Mineral soil</v>
      </c>
      <c r="AI97">
        <f>IF(Emission_reduction_from_stock_loss?, INDEX(Table2[[#All],[End_PDT]], MATCH(Table1423[[#This Row],[stratum i]], Table2[[#All],[stratum i]])), crediting_period)</f>
        <v>40</v>
      </c>
      <c r="AJ97">
        <f>IF(Emission_reduction_from_stock_loss?, INDEX(Table2[[#All],[End_SDT]], MATCH(Table1423[[#This Row],[stratum i]], Table2[[#All],[stratum i]])), crediting_period)</f>
        <v>40</v>
      </c>
      <c r="AK97" cm="1">
        <f t="array" ref="AK9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7" s="30" cm="1">
        <f t="array" ref="AL97">INDEX(Table32[[#All],[%Calloch WPS]], MATCH(1, (Table1423[[#This Row],[year t]]=Table32[[#All],[year t]])*(Table1423[[#This Row],[stratum i]]=Table32[[#All],[stratum i]]), 0))</f>
        <v>23.561573856247001</v>
      </c>
      <c r="AM9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7">
        <f>(Table1423[[#This Row],[GHGWPS-soil-CO2,i,t]]-Table1423[[#This Row],[Deductionalloch WPS (Eq 38)]])*Table1423[[#This Row],[Ai,t]]</f>
        <v>-14952.143030095611</v>
      </c>
      <c r="AO97" cm="1">
        <f t="array" ref="AO97">IF(project_soil_CH4 = "Included", INDEX(Table1830[[#All],[GHGWPS-soil-CH4,i,t (Eq 59)]], MATCH(1, (Table1423[[#This Row],[year t]]=Table1830[[#All],[year t]])*(Table1423[[#This Row],[stratum i]]=Table1830[[#All],[stratum i]]), 0)), 0)</f>
        <v>0</v>
      </c>
      <c r="AP97" cm="1">
        <f t="array" ref="AP97">IF(project_soil_N2O = "Included", INDEX(Table1830[[#All],[GHGWPS-soil-N2O,i,t (Eq 62)]], MATCH(1, (Table1423[[#This Row],[year t]]=Table1830[[#All],[year t]])*(Table1423[[#This Row],[stratum i]]=Table1830[[#All],[stratum i]]), 0)), 0)</f>
        <v>0</v>
      </c>
      <c r="AQ97">
        <f>Table1423[[#This Row],[Ai,t]]*(Table1423[[#This Row],[GHGWPS-soil-CO2,i,t]]-Table1423[[#This Row],[Deductionalloch WPS (Eq 38)]]+Table1423[[#This Row],[GHGWPS-soil-CH4,i,t]]+Table1423[[#This Row],[GHGWPS-soil-N2O,i,t]])</f>
        <v>-14952.143030095611</v>
      </c>
      <c r="AR97" t="e" cm="1">
        <f t="array" ref="AR97">INDEX(#REF!, MATCH(1, (Table1423[[#This Row],[year t]]=Table32[[#All],[year t]])*(Table1423[[#This Row],[stratum i]]=Table32[[#All],[stratum i]]), 0))</f>
        <v>#REF!</v>
      </c>
      <c r="AS97" t="e" cm="1">
        <f t="array" ref="AS97">INDEX(#REF!, MATCH(1, (Table1423[[#This Row],[year t]]=Table32[[#All],[year t]])*(Table1423[[#This Row],[stratum i]]=Table32[[#All],[stratum i]]), 0))</f>
        <v>#REF!</v>
      </c>
      <c r="AT97" t="e" cm="1">
        <f t="array" ref="AT97">INDEX(#REF!, MATCH(1, (Table1423[[#This Row],[year t]]=Table32[[#All],[year t]])*(Table1423[[#This Row],[stratum i]]=Table32[[#All],[stratum i]]), 0))</f>
        <v>#REF!</v>
      </c>
      <c r="AU97" t="e" cm="1">
        <f t="array" ref="AU97">INDEX(#REF!, MATCH(1, (Table1423[[#This Row],[year t]]=Table32[[#All],[year t]])*(Table1423[[#This Row],[stratum i]]=Table32[[#All],[stratum i]]), 0))</f>
        <v>#REF!</v>
      </c>
      <c r="AV97" s="30"/>
      <c r="BB97" s="18">
        <v>2037</v>
      </c>
      <c r="BC97">
        <v>3</v>
      </c>
      <c r="BD97" cm="1">
        <f t="array" ref="BD97">INDEX(Table32[[#All],[∆CWPS-soil,i,t (tC/ha)]], MATCH(1, (Table1329[[#This Row],[year t]]=Table32[[#All],[year t]])*(Table1329[[#This Row],[stratum i]]=Table32[[#All],[stratum i]]), 0))</f>
        <v>2.4</v>
      </c>
      <c r="BE97">
        <f>-44/12*Table1329[[#This Row],[∆CWPS-soil,i,t (tC/ha)]]</f>
        <v>-8.7999999999999989</v>
      </c>
    </row>
    <row r="98" spans="11:57" x14ac:dyDescent="0.2">
      <c r="K98" s="18">
        <v>2038</v>
      </c>
      <c r="L98">
        <v>3</v>
      </c>
      <c r="M98" cm="1">
        <f t="array" ref="M98">IF(project_aboveground_tree = "Included", INDEX(Table32[[#All],[ΔCTREE_PROJ,i,t (AR Tool 14) t C/yr]], MATCH(1, (Table1221[[#This Row],[year t]]=Table32[[#All],[year t]])*(Table1221[[#This Row],[stratum i]]=Table32[[#All],[stratum i]]), 0)), 0)</f>
        <v>21409.745023575357</v>
      </c>
      <c r="N98" s="57" cm="1">
        <f t="array" ref="N98">IF(project_aboveground_nontree = "Included", INDEX(#REF!, MATCH(1, (Table1221[[#This Row],[year t]]=Table32[[#All],[year t]])*(Table1221[[#This Row],[stratum i]]=Table32[[#All],[stratum i]]), 0)), 0)</f>
        <v>0</v>
      </c>
      <c r="O98">
        <f>12/44*(Table1221[[#This Row],[ΔCTREE_PROJ,t (AR Tool 14) t CO2e/yr]]+Table1221[[#This Row],[ΔCSHRUB_PROJ,t (AR Tool 14) t CO2e/yr]])</f>
        <v>5839.0213700660061</v>
      </c>
      <c r="P98" cm="1">
        <f t="array" ref="P98">IF(project_aboveground_nontree = "Included", IFERROR(INDEX(Table1322[[#All],[ΔCWPS-herb,i,t (Eq 78)]], MATCH(1, (Table1221[[#This Row],[stratum i]]=Table1322[[#All],[stratum i]])*(Table1221[[#This Row],[year t]]&gt;=#REF!)*(Table1221[[#This Row],[year t]]&lt;=Table1322[[#All],[year t]]), 0)), 0), 0)</f>
        <v>0</v>
      </c>
      <c r="Q98">
        <f>Table1221[[#This Row],[ΔCWPS-tree/shrub,i,t (t C/yr) (Eq 75)]]+Table1221[[#This Row],[ΔCWPS-herb,i,t (t C/yr)]]</f>
        <v>5839.0213700660061</v>
      </c>
      <c r="R98" cm="1">
        <f t="array" ref="R98">INDEX(Table1423[[#All],[GHGWPS-soil,i,t]], MATCH(1, (Table1221[[#This Row],[year t]]=Table1423[[#All],[year t]])*(Table1221[[#This Row],[stratum i]]=Table1423[[#All],[stratum i]]), 0))</f>
        <v>-14952.143030095611</v>
      </c>
      <c r="S98">
        <f>IF(project_ff_CO2 = "Included", Table1221[[#This Row],[ET(FC,I,t) AR-Tool 5 WPS]], 0)</f>
        <v>0</v>
      </c>
      <c r="T98" t="e" cm="1">
        <f t="array" ref="T98">INDEX(#REF!, MATCH(1, (Table1221[[#This Row],[year t]]=Table32[[#All],[year t]])*(Table1221[[#This Row],[stratum i]]=Table32[[#All],[stratum i]]), 0))</f>
        <v>#REF!</v>
      </c>
      <c r="AE98" s="18">
        <v>2038</v>
      </c>
      <c r="AF98">
        <v>3</v>
      </c>
      <c r="AG98" s="18" cm="1">
        <f t="array" ref="AG98">INDEX(Table32[[#All],[Ai,t]], MATCH(1, (Table1423[[#This Row],[year t]]=Table32[[#All],[year t]])*(Table1423[[#This Row],[stratum i]]=Table32[[#All],[stratum i]]), 0))</f>
        <v>2222.8442528571427</v>
      </c>
      <c r="AH98" t="str">
        <f>INDEX(Table31[[#All],[Soil type (t=0)]], MATCH(Table1423[[#This Row],[stratum i]], Table31[[#All],[Stratum i]]))</f>
        <v>Mineral soil</v>
      </c>
      <c r="AI98">
        <f>IF(Emission_reduction_from_stock_loss?, INDEX(Table2[[#All],[End_PDT]], MATCH(Table1423[[#This Row],[stratum i]], Table2[[#All],[stratum i]])), crediting_period)</f>
        <v>40</v>
      </c>
      <c r="AJ98">
        <f>IF(Emission_reduction_from_stock_loss?, INDEX(Table2[[#All],[End_SDT]], MATCH(Table1423[[#This Row],[stratum i]], Table2[[#All],[stratum i]])), crediting_period)</f>
        <v>40</v>
      </c>
      <c r="AK98" cm="1">
        <f t="array" ref="AK9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8" s="30" cm="1">
        <f t="array" ref="AL98">INDEX(Table32[[#All],[%Calloch WPS]], MATCH(1, (Table1423[[#This Row],[year t]]=Table32[[#All],[year t]])*(Table1423[[#This Row],[stratum i]]=Table32[[#All],[stratum i]]), 0))</f>
        <v>23.561573856247001</v>
      </c>
      <c r="AM9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8">
        <f>(Table1423[[#This Row],[GHGWPS-soil-CO2,i,t]]-Table1423[[#This Row],[Deductionalloch WPS (Eq 38)]])*Table1423[[#This Row],[Ai,t]]</f>
        <v>-14952.143030095611</v>
      </c>
      <c r="AO98" cm="1">
        <f t="array" ref="AO98">IF(project_soil_CH4 = "Included", INDEX(Table1830[[#All],[GHGWPS-soil-CH4,i,t (Eq 59)]], MATCH(1, (Table1423[[#This Row],[year t]]=Table1830[[#All],[year t]])*(Table1423[[#This Row],[stratum i]]=Table1830[[#All],[stratum i]]), 0)), 0)</f>
        <v>0</v>
      </c>
      <c r="AP98" cm="1">
        <f t="array" ref="AP98">IF(project_soil_N2O = "Included", INDEX(Table1830[[#All],[GHGWPS-soil-N2O,i,t (Eq 62)]], MATCH(1, (Table1423[[#This Row],[year t]]=Table1830[[#All],[year t]])*(Table1423[[#This Row],[stratum i]]=Table1830[[#All],[stratum i]]), 0)), 0)</f>
        <v>0</v>
      </c>
      <c r="AQ98">
        <f>Table1423[[#This Row],[Ai,t]]*(Table1423[[#This Row],[GHGWPS-soil-CO2,i,t]]-Table1423[[#This Row],[Deductionalloch WPS (Eq 38)]]+Table1423[[#This Row],[GHGWPS-soil-CH4,i,t]]+Table1423[[#This Row],[GHGWPS-soil-N2O,i,t]])</f>
        <v>-14952.143030095611</v>
      </c>
      <c r="AR98" t="e" cm="1">
        <f t="array" ref="AR98">INDEX(#REF!, MATCH(1, (Table1423[[#This Row],[year t]]=Table32[[#All],[year t]])*(Table1423[[#This Row],[stratum i]]=Table32[[#All],[stratum i]]), 0))</f>
        <v>#REF!</v>
      </c>
      <c r="AS98" t="e" cm="1">
        <f t="array" ref="AS98">INDEX(#REF!, MATCH(1, (Table1423[[#This Row],[year t]]=Table32[[#All],[year t]])*(Table1423[[#This Row],[stratum i]]=Table32[[#All],[stratum i]]), 0))</f>
        <v>#REF!</v>
      </c>
      <c r="AT98" t="e" cm="1">
        <f t="array" ref="AT98">INDEX(#REF!, MATCH(1, (Table1423[[#This Row],[year t]]=Table32[[#All],[year t]])*(Table1423[[#This Row],[stratum i]]=Table32[[#All],[stratum i]]), 0))</f>
        <v>#REF!</v>
      </c>
      <c r="AU98" t="e" cm="1">
        <f t="array" ref="AU98">INDEX(#REF!, MATCH(1, (Table1423[[#This Row],[year t]]=Table32[[#All],[year t]])*(Table1423[[#This Row],[stratum i]]=Table32[[#All],[stratum i]]), 0))</f>
        <v>#REF!</v>
      </c>
      <c r="AV98" s="30"/>
      <c r="BB98" s="18">
        <v>2038</v>
      </c>
      <c r="BC98">
        <v>3</v>
      </c>
      <c r="BD98" cm="1">
        <f t="array" ref="BD98">INDEX(Table32[[#All],[∆CWPS-soil,i,t (tC/ha)]], MATCH(1, (Table1329[[#This Row],[year t]]=Table32[[#All],[year t]])*(Table1329[[#This Row],[stratum i]]=Table32[[#All],[stratum i]]), 0))</f>
        <v>2.4</v>
      </c>
      <c r="BE98">
        <f>-44/12*Table1329[[#This Row],[∆CWPS-soil,i,t (tC/ha)]]</f>
        <v>-8.7999999999999989</v>
      </c>
    </row>
    <row r="99" spans="11:57" x14ac:dyDescent="0.2">
      <c r="K99" s="18">
        <v>2039</v>
      </c>
      <c r="L99">
        <v>3</v>
      </c>
      <c r="M99" cm="1">
        <f t="array" ref="M99">IF(project_aboveground_tree = "Included", INDEX(Table32[[#All],[ΔCTREE_PROJ,i,t (AR Tool 14) t C/yr]], MATCH(1, (Table1221[[#This Row],[year t]]=Table32[[#All],[year t]])*(Table1221[[#This Row],[stratum i]]=Table32[[#All],[stratum i]]), 0)), 0)</f>
        <v>24674.595744562394</v>
      </c>
      <c r="N99" s="57" cm="1">
        <f t="array" ref="N99">IF(project_aboveground_nontree = "Included", INDEX(#REF!, MATCH(1, (Table1221[[#This Row],[year t]]=Table32[[#All],[year t]])*(Table1221[[#This Row],[stratum i]]=Table32[[#All],[stratum i]]), 0)), 0)</f>
        <v>0</v>
      </c>
      <c r="O99">
        <f>12/44*(Table1221[[#This Row],[ΔCTREE_PROJ,t (AR Tool 14) t CO2e/yr]]+Table1221[[#This Row],[ΔCSHRUB_PROJ,t (AR Tool 14) t CO2e/yr]])</f>
        <v>6729.4352030624705</v>
      </c>
      <c r="P99" cm="1">
        <f t="array" ref="P99">IF(project_aboveground_nontree = "Included", IFERROR(INDEX(Table1322[[#All],[ΔCWPS-herb,i,t (Eq 78)]], MATCH(1, (Table1221[[#This Row],[stratum i]]=Table1322[[#All],[stratum i]])*(Table1221[[#This Row],[year t]]&gt;=#REF!)*(Table1221[[#This Row],[year t]]&lt;=Table1322[[#All],[year t]]), 0)), 0), 0)</f>
        <v>0</v>
      </c>
      <c r="Q99">
        <f>Table1221[[#This Row],[ΔCWPS-tree/shrub,i,t (t C/yr) (Eq 75)]]+Table1221[[#This Row],[ΔCWPS-herb,i,t (t C/yr)]]</f>
        <v>6729.4352030624705</v>
      </c>
      <c r="R99" cm="1">
        <f t="array" ref="R99">INDEX(Table1423[[#All],[GHGWPS-soil,i,t]], MATCH(1, (Table1221[[#This Row],[year t]]=Table1423[[#All],[year t]])*(Table1221[[#This Row],[stratum i]]=Table1423[[#All],[stratum i]]), 0))</f>
        <v>-14952.143030095611</v>
      </c>
      <c r="S99">
        <f>IF(project_ff_CO2 = "Included", Table1221[[#This Row],[ET(FC,I,t) AR-Tool 5 WPS]], 0)</f>
        <v>0</v>
      </c>
      <c r="T99" t="e" cm="1">
        <f t="array" ref="T99">INDEX(#REF!, MATCH(1, (Table1221[[#This Row],[year t]]=Table32[[#All],[year t]])*(Table1221[[#This Row],[stratum i]]=Table32[[#All],[stratum i]]), 0))</f>
        <v>#REF!</v>
      </c>
      <c r="AE99" s="18">
        <v>2039</v>
      </c>
      <c r="AF99">
        <v>3</v>
      </c>
      <c r="AG99" s="18" cm="1">
        <f t="array" ref="AG99">INDEX(Table32[[#All],[Ai,t]], MATCH(1, (Table1423[[#This Row],[year t]]=Table32[[#All],[year t]])*(Table1423[[#This Row],[stratum i]]=Table32[[#All],[stratum i]]), 0))</f>
        <v>2222.8442528571427</v>
      </c>
      <c r="AH99" t="str">
        <f>INDEX(Table31[[#All],[Soil type (t=0)]], MATCH(Table1423[[#This Row],[stratum i]], Table31[[#All],[Stratum i]]))</f>
        <v>Mineral soil</v>
      </c>
      <c r="AI99">
        <f>IF(Emission_reduction_from_stock_loss?, INDEX(Table2[[#All],[End_PDT]], MATCH(Table1423[[#This Row],[stratum i]], Table2[[#All],[stratum i]])), crediting_period)</f>
        <v>40</v>
      </c>
      <c r="AJ99">
        <f>IF(Emission_reduction_from_stock_loss?, INDEX(Table2[[#All],[End_SDT]], MATCH(Table1423[[#This Row],[stratum i]], Table2[[#All],[stratum i]])), crediting_period)</f>
        <v>40</v>
      </c>
      <c r="AK99" cm="1">
        <f t="array" ref="AK9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99" s="30" cm="1">
        <f t="array" ref="AL99">INDEX(Table32[[#All],[%Calloch WPS]], MATCH(1, (Table1423[[#This Row],[year t]]=Table32[[#All],[year t]])*(Table1423[[#This Row],[stratum i]]=Table32[[#All],[stratum i]]), 0))</f>
        <v>23.561573856247001</v>
      </c>
      <c r="AM9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99">
        <f>(Table1423[[#This Row],[GHGWPS-soil-CO2,i,t]]-Table1423[[#This Row],[Deductionalloch WPS (Eq 38)]])*Table1423[[#This Row],[Ai,t]]</f>
        <v>-14952.143030095611</v>
      </c>
      <c r="AO99" cm="1">
        <f t="array" ref="AO99">IF(project_soil_CH4 = "Included", INDEX(Table1830[[#All],[GHGWPS-soil-CH4,i,t (Eq 59)]], MATCH(1, (Table1423[[#This Row],[year t]]=Table1830[[#All],[year t]])*(Table1423[[#This Row],[stratum i]]=Table1830[[#All],[stratum i]]), 0)), 0)</f>
        <v>0</v>
      </c>
      <c r="AP99" cm="1">
        <f t="array" ref="AP99">IF(project_soil_N2O = "Included", INDEX(Table1830[[#All],[GHGWPS-soil-N2O,i,t (Eq 62)]], MATCH(1, (Table1423[[#This Row],[year t]]=Table1830[[#All],[year t]])*(Table1423[[#This Row],[stratum i]]=Table1830[[#All],[stratum i]]), 0)), 0)</f>
        <v>0</v>
      </c>
      <c r="AQ99">
        <f>Table1423[[#This Row],[Ai,t]]*(Table1423[[#This Row],[GHGWPS-soil-CO2,i,t]]-Table1423[[#This Row],[Deductionalloch WPS (Eq 38)]]+Table1423[[#This Row],[GHGWPS-soil-CH4,i,t]]+Table1423[[#This Row],[GHGWPS-soil-N2O,i,t]])</f>
        <v>-14952.143030095611</v>
      </c>
      <c r="AR99" t="e" cm="1">
        <f t="array" ref="AR99">INDEX(#REF!, MATCH(1, (Table1423[[#This Row],[year t]]=Table32[[#All],[year t]])*(Table1423[[#This Row],[stratum i]]=Table32[[#All],[stratum i]]), 0))</f>
        <v>#REF!</v>
      </c>
      <c r="AS99" t="e" cm="1">
        <f t="array" ref="AS99">INDEX(#REF!, MATCH(1, (Table1423[[#This Row],[year t]]=Table32[[#All],[year t]])*(Table1423[[#This Row],[stratum i]]=Table32[[#All],[stratum i]]), 0))</f>
        <v>#REF!</v>
      </c>
      <c r="AT99" t="e" cm="1">
        <f t="array" ref="AT99">INDEX(#REF!, MATCH(1, (Table1423[[#This Row],[year t]]=Table32[[#All],[year t]])*(Table1423[[#This Row],[stratum i]]=Table32[[#All],[stratum i]]), 0))</f>
        <v>#REF!</v>
      </c>
      <c r="AU99" t="e" cm="1">
        <f t="array" ref="AU99">INDEX(#REF!, MATCH(1, (Table1423[[#This Row],[year t]]=Table32[[#All],[year t]])*(Table1423[[#This Row],[stratum i]]=Table32[[#All],[stratum i]]), 0))</f>
        <v>#REF!</v>
      </c>
      <c r="AV99" s="30"/>
      <c r="BB99" s="18">
        <v>2039</v>
      </c>
      <c r="BC99">
        <v>3</v>
      </c>
      <c r="BD99" cm="1">
        <f t="array" ref="BD99">INDEX(Table32[[#All],[∆CWPS-soil,i,t (tC/ha)]], MATCH(1, (Table1329[[#This Row],[year t]]=Table32[[#All],[year t]])*(Table1329[[#This Row],[stratum i]]=Table32[[#All],[stratum i]]), 0))</f>
        <v>2.4</v>
      </c>
      <c r="BE99">
        <f>-44/12*Table1329[[#This Row],[∆CWPS-soil,i,t (tC/ha)]]</f>
        <v>-8.7999999999999989</v>
      </c>
    </row>
    <row r="100" spans="11:57" x14ac:dyDescent="0.2">
      <c r="K100" s="18">
        <v>2040</v>
      </c>
      <c r="L100">
        <v>3</v>
      </c>
      <c r="M100" cm="1">
        <f t="array" ref="M100">IF(project_aboveground_tree = "Included", INDEX(Table32[[#All],[ΔCTREE_PROJ,i,t (AR Tool 14) t C/yr]], MATCH(1, (Table1221[[#This Row],[year t]]=Table32[[#All],[year t]])*(Table1221[[#This Row],[stratum i]]=Table32[[#All],[stratum i]]), 0)), 0)</f>
        <v>27511.072224065429</v>
      </c>
      <c r="N100" s="57" cm="1">
        <f t="array" ref="N100">IF(project_aboveground_nontree = "Included", INDEX(#REF!, MATCH(1, (Table1221[[#This Row],[year t]]=Table32[[#All],[year t]])*(Table1221[[#This Row],[stratum i]]=Table32[[#All],[stratum i]]), 0)), 0)</f>
        <v>0</v>
      </c>
      <c r="O100">
        <f>12/44*(Table1221[[#This Row],[ΔCTREE_PROJ,t (AR Tool 14) t CO2e/yr]]+Table1221[[#This Row],[ΔCSHRUB_PROJ,t (AR Tool 14) t CO2e/yr]])</f>
        <v>7503.0196974723895</v>
      </c>
      <c r="P100" cm="1">
        <f t="array" ref="P100">IF(project_aboveground_nontree = "Included", IFERROR(INDEX(Table1322[[#All],[ΔCWPS-herb,i,t (Eq 78)]], MATCH(1, (Table1221[[#This Row],[stratum i]]=Table1322[[#All],[stratum i]])*(Table1221[[#This Row],[year t]]&gt;=#REF!)*(Table1221[[#This Row],[year t]]&lt;=Table1322[[#All],[year t]]), 0)), 0), 0)</f>
        <v>0</v>
      </c>
      <c r="Q100">
        <f>Table1221[[#This Row],[ΔCWPS-tree/shrub,i,t (t C/yr) (Eq 75)]]+Table1221[[#This Row],[ΔCWPS-herb,i,t (t C/yr)]]</f>
        <v>7503.0196974723895</v>
      </c>
      <c r="R100" cm="1">
        <f t="array" ref="R100">INDEX(Table1423[[#All],[GHGWPS-soil,i,t]], MATCH(1, (Table1221[[#This Row],[year t]]=Table1423[[#All],[year t]])*(Table1221[[#This Row],[stratum i]]=Table1423[[#All],[stratum i]]), 0))</f>
        <v>-14952.143030095611</v>
      </c>
      <c r="S100">
        <f>IF(project_ff_CO2 = "Included", Table1221[[#This Row],[ET(FC,I,t) AR-Tool 5 WPS]], 0)</f>
        <v>0</v>
      </c>
      <c r="T100" t="e" cm="1">
        <f t="array" ref="T100">INDEX(#REF!, MATCH(1, (Table1221[[#This Row],[year t]]=Table32[[#All],[year t]])*(Table1221[[#This Row],[stratum i]]=Table32[[#All],[stratum i]]), 0))</f>
        <v>#REF!</v>
      </c>
      <c r="AE100" s="18">
        <v>2040</v>
      </c>
      <c r="AF100">
        <v>3</v>
      </c>
      <c r="AG100" s="18" cm="1">
        <f t="array" ref="AG100">INDEX(Table32[[#All],[Ai,t]], MATCH(1, (Table1423[[#This Row],[year t]]=Table32[[#All],[year t]])*(Table1423[[#This Row],[stratum i]]=Table32[[#All],[stratum i]]), 0))</f>
        <v>2222.8442528571427</v>
      </c>
      <c r="AH100" t="str">
        <f>INDEX(Table31[[#All],[Soil type (t=0)]], MATCH(Table1423[[#This Row],[stratum i]], Table31[[#All],[Stratum i]]))</f>
        <v>Mineral soil</v>
      </c>
      <c r="AI100">
        <f>IF(Emission_reduction_from_stock_loss?, INDEX(Table2[[#All],[End_PDT]], MATCH(Table1423[[#This Row],[stratum i]], Table2[[#All],[stratum i]])), crediting_period)</f>
        <v>40</v>
      </c>
      <c r="AJ100">
        <f>IF(Emission_reduction_from_stock_loss?, INDEX(Table2[[#All],[End_SDT]], MATCH(Table1423[[#This Row],[stratum i]], Table2[[#All],[stratum i]])), crediting_period)</f>
        <v>40</v>
      </c>
      <c r="AK100" cm="1">
        <f t="array" ref="AK10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0" s="30" cm="1">
        <f t="array" ref="AL100">INDEX(Table32[[#All],[%Calloch WPS]], MATCH(1, (Table1423[[#This Row],[year t]]=Table32[[#All],[year t]])*(Table1423[[#This Row],[stratum i]]=Table32[[#All],[stratum i]]), 0))</f>
        <v>23.561573856247001</v>
      </c>
      <c r="AM10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0">
        <f>(Table1423[[#This Row],[GHGWPS-soil-CO2,i,t]]-Table1423[[#This Row],[Deductionalloch WPS (Eq 38)]])*Table1423[[#This Row],[Ai,t]]</f>
        <v>-14952.143030095611</v>
      </c>
      <c r="AO100" cm="1">
        <f t="array" ref="AO100">IF(project_soil_CH4 = "Included", INDEX(Table1830[[#All],[GHGWPS-soil-CH4,i,t (Eq 59)]], MATCH(1, (Table1423[[#This Row],[year t]]=Table1830[[#All],[year t]])*(Table1423[[#This Row],[stratum i]]=Table1830[[#All],[stratum i]]), 0)), 0)</f>
        <v>0</v>
      </c>
      <c r="AP100" cm="1">
        <f t="array" ref="AP100">IF(project_soil_N2O = "Included", INDEX(Table1830[[#All],[GHGWPS-soil-N2O,i,t (Eq 62)]], MATCH(1, (Table1423[[#This Row],[year t]]=Table1830[[#All],[year t]])*(Table1423[[#This Row],[stratum i]]=Table1830[[#All],[stratum i]]), 0)), 0)</f>
        <v>0</v>
      </c>
      <c r="AQ100">
        <f>Table1423[[#This Row],[Ai,t]]*(Table1423[[#This Row],[GHGWPS-soil-CO2,i,t]]-Table1423[[#This Row],[Deductionalloch WPS (Eq 38)]]+Table1423[[#This Row],[GHGWPS-soil-CH4,i,t]]+Table1423[[#This Row],[GHGWPS-soil-N2O,i,t]])</f>
        <v>-14952.143030095611</v>
      </c>
      <c r="AR100" t="e" cm="1">
        <f t="array" ref="AR100">INDEX(#REF!, MATCH(1, (Table1423[[#This Row],[year t]]=Table32[[#All],[year t]])*(Table1423[[#This Row],[stratum i]]=Table32[[#All],[stratum i]]), 0))</f>
        <v>#REF!</v>
      </c>
      <c r="AS100" t="e" cm="1">
        <f t="array" ref="AS100">INDEX(#REF!, MATCH(1, (Table1423[[#This Row],[year t]]=Table32[[#All],[year t]])*(Table1423[[#This Row],[stratum i]]=Table32[[#All],[stratum i]]), 0))</f>
        <v>#REF!</v>
      </c>
      <c r="AT100" t="e" cm="1">
        <f t="array" ref="AT100">INDEX(#REF!, MATCH(1, (Table1423[[#This Row],[year t]]=Table32[[#All],[year t]])*(Table1423[[#This Row],[stratum i]]=Table32[[#All],[stratum i]]), 0))</f>
        <v>#REF!</v>
      </c>
      <c r="AU100" t="e" cm="1">
        <f t="array" ref="AU100">INDEX(#REF!, MATCH(1, (Table1423[[#This Row],[year t]]=Table32[[#All],[year t]])*(Table1423[[#This Row],[stratum i]]=Table32[[#All],[stratum i]]), 0))</f>
        <v>#REF!</v>
      </c>
      <c r="AV100" s="30"/>
      <c r="BB100" s="18">
        <v>2040</v>
      </c>
      <c r="BC100">
        <v>3</v>
      </c>
      <c r="BD100" cm="1">
        <f t="array" ref="BD100">INDEX(Table32[[#All],[∆CWPS-soil,i,t (tC/ha)]], MATCH(1, (Table1329[[#This Row],[year t]]=Table32[[#All],[year t]])*(Table1329[[#This Row],[stratum i]]=Table32[[#All],[stratum i]]), 0))</f>
        <v>2.4</v>
      </c>
      <c r="BE100">
        <f>-44/12*Table1329[[#This Row],[∆CWPS-soil,i,t (tC/ha)]]</f>
        <v>-8.7999999999999989</v>
      </c>
    </row>
    <row r="101" spans="11:57" x14ac:dyDescent="0.2">
      <c r="K101" s="18">
        <v>2041</v>
      </c>
      <c r="L101">
        <v>3</v>
      </c>
      <c r="M101" cm="1">
        <f t="array" ref="M101">IF(project_aboveground_tree = "Included", INDEX(Table32[[#All],[ΔCTREE_PROJ,i,t (AR Tool 14) t C/yr]], MATCH(1, (Table1221[[#This Row],[year t]]=Table32[[#All],[year t]])*(Table1221[[#This Row],[stratum i]]=Table32[[#All],[stratum i]]), 0)), 0)</f>
        <v>29818.448893045686</v>
      </c>
      <c r="N101" s="57" cm="1">
        <f t="array" ref="N101">IF(project_aboveground_nontree = "Included", INDEX(#REF!, MATCH(1, (Table1221[[#This Row],[year t]]=Table32[[#All],[year t]])*(Table1221[[#This Row],[stratum i]]=Table32[[#All],[stratum i]]), 0)), 0)</f>
        <v>0</v>
      </c>
      <c r="O101">
        <f>12/44*(Table1221[[#This Row],[ΔCTREE_PROJ,t (AR Tool 14) t CO2e/yr]]+Table1221[[#This Row],[ΔCSHRUB_PROJ,t (AR Tool 14) t CO2e/yr]])</f>
        <v>8132.3042435579137</v>
      </c>
      <c r="P101" cm="1">
        <f t="array" ref="P101">IF(project_aboveground_nontree = "Included", IFERROR(INDEX(Table1322[[#All],[ΔCWPS-herb,i,t (Eq 78)]], MATCH(1, (Table1221[[#This Row],[stratum i]]=Table1322[[#All],[stratum i]])*(Table1221[[#This Row],[year t]]&gt;=#REF!)*(Table1221[[#This Row],[year t]]&lt;=Table1322[[#All],[year t]]), 0)), 0), 0)</f>
        <v>0</v>
      </c>
      <c r="Q101">
        <f>Table1221[[#This Row],[ΔCWPS-tree/shrub,i,t (t C/yr) (Eq 75)]]+Table1221[[#This Row],[ΔCWPS-herb,i,t (t C/yr)]]</f>
        <v>8132.3042435579137</v>
      </c>
      <c r="R101" cm="1">
        <f t="array" ref="R101">INDEX(Table1423[[#All],[GHGWPS-soil,i,t]], MATCH(1, (Table1221[[#This Row],[year t]]=Table1423[[#All],[year t]])*(Table1221[[#This Row],[stratum i]]=Table1423[[#All],[stratum i]]), 0))</f>
        <v>-14952.143030095611</v>
      </c>
      <c r="S101">
        <f>IF(project_ff_CO2 = "Included", Table1221[[#This Row],[ET(FC,I,t) AR-Tool 5 WPS]], 0)</f>
        <v>0</v>
      </c>
      <c r="T101" t="e" cm="1">
        <f t="array" ref="T101">INDEX(#REF!, MATCH(1, (Table1221[[#This Row],[year t]]=Table32[[#All],[year t]])*(Table1221[[#This Row],[stratum i]]=Table32[[#All],[stratum i]]), 0))</f>
        <v>#REF!</v>
      </c>
      <c r="AE101" s="18">
        <v>2041</v>
      </c>
      <c r="AF101">
        <v>3</v>
      </c>
      <c r="AG101" s="18" cm="1">
        <f t="array" ref="AG101">INDEX(Table32[[#All],[Ai,t]], MATCH(1, (Table1423[[#This Row],[year t]]=Table32[[#All],[year t]])*(Table1423[[#This Row],[stratum i]]=Table32[[#All],[stratum i]]), 0))</f>
        <v>2222.8442528571427</v>
      </c>
      <c r="AH101" t="str">
        <f>INDEX(Table31[[#All],[Soil type (t=0)]], MATCH(Table1423[[#This Row],[stratum i]], Table31[[#All],[Stratum i]]))</f>
        <v>Mineral soil</v>
      </c>
      <c r="AI101">
        <f>IF(Emission_reduction_from_stock_loss?, INDEX(Table2[[#All],[End_PDT]], MATCH(Table1423[[#This Row],[stratum i]], Table2[[#All],[stratum i]])), crediting_period)</f>
        <v>40</v>
      </c>
      <c r="AJ101">
        <f>IF(Emission_reduction_from_stock_loss?, INDEX(Table2[[#All],[End_SDT]], MATCH(Table1423[[#This Row],[stratum i]], Table2[[#All],[stratum i]])), crediting_period)</f>
        <v>40</v>
      </c>
      <c r="AK101" cm="1">
        <f t="array" ref="AK10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1" s="30" cm="1">
        <f t="array" ref="AL101">INDEX(Table32[[#All],[%Calloch WPS]], MATCH(1, (Table1423[[#This Row],[year t]]=Table32[[#All],[year t]])*(Table1423[[#This Row],[stratum i]]=Table32[[#All],[stratum i]]), 0))</f>
        <v>23.561573856247001</v>
      </c>
      <c r="AM10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1">
        <f>(Table1423[[#This Row],[GHGWPS-soil-CO2,i,t]]-Table1423[[#This Row],[Deductionalloch WPS (Eq 38)]])*Table1423[[#This Row],[Ai,t]]</f>
        <v>-14952.143030095611</v>
      </c>
      <c r="AO101" cm="1">
        <f t="array" ref="AO101">IF(project_soil_CH4 = "Included", INDEX(Table1830[[#All],[GHGWPS-soil-CH4,i,t (Eq 59)]], MATCH(1, (Table1423[[#This Row],[year t]]=Table1830[[#All],[year t]])*(Table1423[[#This Row],[stratum i]]=Table1830[[#All],[stratum i]]), 0)), 0)</f>
        <v>0</v>
      </c>
      <c r="AP101" cm="1">
        <f t="array" ref="AP101">IF(project_soil_N2O = "Included", INDEX(Table1830[[#All],[GHGWPS-soil-N2O,i,t (Eq 62)]], MATCH(1, (Table1423[[#This Row],[year t]]=Table1830[[#All],[year t]])*(Table1423[[#This Row],[stratum i]]=Table1830[[#All],[stratum i]]), 0)), 0)</f>
        <v>0</v>
      </c>
      <c r="AQ101">
        <f>Table1423[[#This Row],[Ai,t]]*(Table1423[[#This Row],[GHGWPS-soil-CO2,i,t]]-Table1423[[#This Row],[Deductionalloch WPS (Eq 38)]]+Table1423[[#This Row],[GHGWPS-soil-CH4,i,t]]+Table1423[[#This Row],[GHGWPS-soil-N2O,i,t]])</f>
        <v>-14952.143030095611</v>
      </c>
      <c r="AR101" t="e" cm="1">
        <f t="array" ref="AR101">INDEX(#REF!, MATCH(1, (Table1423[[#This Row],[year t]]=Table32[[#All],[year t]])*(Table1423[[#This Row],[stratum i]]=Table32[[#All],[stratum i]]), 0))</f>
        <v>#REF!</v>
      </c>
      <c r="AS101" t="e" cm="1">
        <f t="array" ref="AS101">INDEX(#REF!, MATCH(1, (Table1423[[#This Row],[year t]]=Table32[[#All],[year t]])*(Table1423[[#This Row],[stratum i]]=Table32[[#All],[stratum i]]), 0))</f>
        <v>#REF!</v>
      </c>
      <c r="AT101" t="e" cm="1">
        <f t="array" ref="AT101">INDEX(#REF!, MATCH(1, (Table1423[[#This Row],[year t]]=Table32[[#All],[year t]])*(Table1423[[#This Row],[stratum i]]=Table32[[#All],[stratum i]]), 0))</f>
        <v>#REF!</v>
      </c>
      <c r="AU101" t="e" cm="1">
        <f t="array" ref="AU101">INDEX(#REF!, MATCH(1, (Table1423[[#This Row],[year t]]=Table32[[#All],[year t]])*(Table1423[[#This Row],[stratum i]]=Table32[[#All],[stratum i]]), 0))</f>
        <v>#REF!</v>
      </c>
      <c r="AV101" s="30"/>
      <c r="BB101" s="18">
        <v>2041</v>
      </c>
      <c r="BC101">
        <v>3</v>
      </c>
      <c r="BD101" cm="1">
        <f t="array" ref="BD101">INDEX(Table32[[#All],[∆CWPS-soil,i,t (tC/ha)]], MATCH(1, (Table1329[[#This Row],[year t]]=Table32[[#All],[year t]])*(Table1329[[#This Row],[stratum i]]=Table32[[#All],[stratum i]]), 0))</f>
        <v>2.4</v>
      </c>
      <c r="BE101">
        <f>-44/12*Table1329[[#This Row],[∆CWPS-soil,i,t (tC/ha)]]</f>
        <v>-8.7999999999999989</v>
      </c>
    </row>
    <row r="102" spans="11:57" x14ac:dyDescent="0.2">
      <c r="K102" s="18">
        <v>2042</v>
      </c>
      <c r="L102">
        <v>3</v>
      </c>
      <c r="M102" cm="1">
        <f t="array" ref="M102">IF(project_aboveground_tree = "Included", INDEX(Table32[[#All],[ΔCTREE_PROJ,i,t (AR Tool 14) t C/yr]], MATCH(1, (Table1221[[#This Row],[year t]]=Table32[[#All],[year t]])*(Table1221[[#This Row],[stratum i]]=Table32[[#All],[stratum i]]), 0)), 0)</f>
        <v>31544.23539199197</v>
      </c>
      <c r="N102" s="57" cm="1">
        <f t="array" ref="N102">IF(project_aboveground_nontree = "Included", INDEX(#REF!, MATCH(1, (Table1221[[#This Row],[year t]]=Table32[[#All],[year t]])*(Table1221[[#This Row],[stratum i]]=Table32[[#All],[stratum i]]), 0)), 0)</f>
        <v>0</v>
      </c>
      <c r="O102">
        <f>12/44*(Table1221[[#This Row],[ΔCTREE_PROJ,t (AR Tool 14) t CO2e/yr]]+Table1221[[#This Row],[ΔCSHRUB_PROJ,t (AR Tool 14) t CO2e/yr]])</f>
        <v>8602.9732887250811</v>
      </c>
      <c r="P102" cm="1">
        <f t="array" ref="P102">IF(project_aboveground_nontree = "Included", IFERROR(INDEX(Table1322[[#All],[ΔCWPS-herb,i,t (Eq 78)]], MATCH(1, (Table1221[[#This Row],[stratum i]]=Table1322[[#All],[stratum i]])*(Table1221[[#This Row],[year t]]&gt;=#REF!)*(Table1221[[#This Row],[year t]]&lt;=Table1322[[#All],[year t]]), 0)), 0), 0)</f>
        <v>0</v>
      </c>
      <c r="Q102">
        <f>Table1221[[#This Row],[ΔCWPS-tree/shrub,i,t (t C/yr) (Eq 75)]]+Table1221[[#This Row],[ΔCWPS-herb,i,t (t C/yr)]]</f>
        <v>8602.9732887250811</v>
      </c>
      <c r="R102" cm="1">
        <f t="array" ref="R102">INDEX(Table1423[[#All],[GHGWPS-soil,i,t]], MATCH(1, (Table1221[[#This Row],[year t]]=Table1423[[#All],[year t]])*(Table1221[[#This Row],[stratum i]]=Table1423[[#All],[stratum i]]), 0))</f>
        <v>-14952.143030095611</v>
      </c>
      <c r="S102">
        <f>IF(project_ff_CO2 = "Included", Table1221[[#This Row],[ET(FC,I,t) AR-Tool 5 WPS]], 0)</f>
        <v>0</v>
      </c>
      <c r="T102" t="e" cm="1">
        <f t="array" ref="T102">INDEX(#REF!, MATCH(1, (Table1221[[#This Row],[year t]]=Table32[[#All],[year t]])*(Table1221[[#This Row],[stratum i]]=Table32[[#All],[stratum i]]), 0))</f>
        <v>#REF!</v>
      </c>
      <c r="AE102" s="18">
        <v>2042</v>
      </c>
      <c r="AF102">
        <v>3</v>
      </c>
      <c r="AG102" s="18" cm="1">
        <f t="array" ref="AG102">INDEX(Table32[[#All],[Ai,t]], MATCH(1, (Table1423[[#This Row],[year t]]=Table32[[#All],[year t]])*(Table1423[[#This Row],[stratum i]]=Table32[[#All],[stratum i]]), 0))</f>
        <v>2222.8442528571427</v>
      </c>
      <c r="AH102" t="str">
        <f>INDEX(Table31[[#All],[Soil type (t=0)]], MATCH(Table1423[[#This Row],[stratum i]], Table31[[#All],[Stratum i]]))</f>
        <v>Mineral soil</v>
      </c>
      <c r="AI102">
        <f>IF(Emission_reduction_from_stock_loss?, INDEX(Table2[[#All],[End_PDT]], MATCH(Table1423[[#This Row],[stratum i]], Table2[[#All],[stratum i]])), crediting_period)</f>
        <v>40</v>
      </c>
      <c r="AJ102">
        <f>IF(Emission_reduction_from_stock_loss?, INDEX(Table2[[#All],[End_SDT]], MATCH(Table1423[[#This Row],[stratum i]], Table2[[#All],[stratum i]])), crediting_period)</f>
        <v>40</v>
      </c>
      <c r="AK102" cm="1">
        <f t="array" ref="AK10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2" s="30" cm="1">
        <f t="array" ref="AL102">INDEX(Table32[[#All],[%Calloch WPS]], MATCH(1, (Table1423[[#This Row],[year t]]=Table32[[#All],[year t]])*(Table1423[[#This Row],[stratum i]]=Table32[[#All],[stratum i]]), 0))</f>
        <v>23.561573856247001</v>
      </c>
      <c r="AM10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2">
        <f>(Table1423[[#This Row],[GHGWPS-soil-CO2,i,t]]-Table1423[[#This Row],[Deductionalloch WPS (Eq 38)]])*Table1423[[#This Row],[Ai,t]]</f>
        <v>-14952.143030095611</v>
      </c>
      <c r="AO102" cm="1">
        <f t="array" ref="AO102">IF(project_soil_CH4 = "Included", INDEX(Table1830[[#All],[GHGWPS-soil-CH4,i,t (Eq 59)]], MATCH(1, (Table1423[[#This Row],[year t]]=Table1830[[#All],[year t]])*(Table1423[[#This Row],[stratum i]]=Table1830[[#All],[stratum i]]), 0)), 0)</f>
        <v>0</v>
      </c>
      <c r="AP102" cm="1">
        <f t="array" ref="AP102">IF(project_soil_N2O = "Included", INDEX(Table1830[[#All],[GHGWPS-soil-N2O,i,t (Eq 62)]], MATCH(1, (Table1423[[#This Row],[year t]]=Table1830[[#All],[year t]])*(Table1423[[#This Row],[stratum i]]=Table1830[[#All],[stratum i]]), 0)), 0)</f>
        <v>0</v>
      </c>
      <c r="AQ102">
        <f>Table1423[[#This Row],[Ai,t]]*(Table1423[[#This Row],[GHGWPS-soil-CO2,i,t]]-Table1423[[#This Row],[Deductionalloch WPS (Eq 38)]]+Table1423[[#This Row],[GHGWPS-soil-CH4,i,t]]+Table1423[[#This Row],[GHGWPS-soil-N2O,i,t]])</f>
        <v>-14952.143030095611</v>
      </c>
      <c r="AR102" t="e" cm="1">
        <f t="array" ref="AR102">INDEX(#REF!, MATCH(1, (Table1423[[#This Row],[year t]]=Table32[[#All],[year t]])*(Table1423[[#This Row],[stratum i]]=Table32[[#All],[stratum i]]), 0))</f>
        <v>#REF!</v>
      </c>
      <c r="AS102" t="e" cm="1">
        <f t="array" ref="AS102">INDEX(#REF!, MATCH(1, (Table1423[[#This Row],[year t]]=Table32[[#All],[year t]])*(Table1423[[#This Row],[stratum i]]=Table32[[#All],[stratum i]]), 0))</f>
        <v>#REF!</v>
      </c>
      <c r="AT102" t="e" cm="1">
        <f t="array" ref="AT102">INDEX(#REF!, MATCH(1, (Table1423[[#This Row],[year t]]=Table32[[#All],[year t]])*(Table1423[[#This Row],[stratum i]]=Table32[[#All],[stratum i]]), 0))</f>
        <v>#REF!</v>
      </c>
      <c r="AU102" t="e" cm="1">
        <f t="array" ref="AU102">INDEX(#REF!, MATCH(1, (Table1423[[#This Row],[year t]]=Table32[[#All],[year t]])*(Table1423[[#This Row],[stratum i]]=Table32[[#All],[stratum i]]), 0))</f>
        <v>#REF!</v>
      </c>
      <c r="AV102" s="30"/>
      <c r="BB102" s="18">
        <v>2042</v>
      </c>
      <c r="BC102">
        <v>3</v>
      </c>
      <c r="BD102" cm="1">
        <f t="array" ref="BD102">INDEX(Table32[[#All],[∆CWPS-soil,i,t (tC/ha)]], MATCH(1, (Table1329[[#This Row],[year t]]=Table32[[#All],[year t]])*(Table1329[[#This Row],[stratum i]]=Table32[[#All],[stratum i]]), 0))</f>
        <v>2.4</v>
      </c>
      <c r="BE102">
        <f>-44/12*Table1329[[#This Row],[∆CWPS-soil,i,t (tC/ha)]]</f>
        <v>-8.7999999999999989</v>
      </c>
    </row>
    <row r="103" spans="11:57" x14ac:dyDescent="0.2">
      <c r="K103" s="18">
        <v>2043</v>
      </c>
      <c r="L103">
        <v>3</v>
      </c>
      <c r="M103" cm="1">
        <f t="array" ref="M103">IF(project_aboveground_tree = "Included", INDEX(Table32[[#All],[ΔCTREE_PROJ,i,t (AR Tool 14) t C/yr]], MATCH(1, (Table1221[[#This Row],[year t]]=Table32[[#All],[year t]])*(Table1221[[#This Row],[stratum i]]=Table32[[#All],[stratum i]]), 0)), 0)</f>
        <v>32678.478349637211</v>
      </c>
      <c r="N103" s="57" cm="1">
        <f t="array" ref="N103">IF(project_aboveground_nontree = "Included", INDEX(#REF!, MATCH(1, (Table1221[[#This Row],[year t]]=Table32[[#All],[year t]])*(Table1221[[#This Row],[stratum i]]=Table32[[#All],[stratum i]]), 0)), 0)</f>
        <v>0</v>
      </c>
      <c r="O103">
        <f>12/44*(Table1221[[#This Row],[ΔCTREE_PROJ,t (AR Tool 14) t CO2e/yr]]+Table1221[[#This Row],[ΔCSHRUB_PROJ,t (AR Tool 14) t CO2e/yr]])</f>
        <v>8912.3122771737835</v>
      </c>
      <c r="P103" cm="1">
        <f t="array" ref="P103">IF(project_aboveground_nontree = "Included", IFERROR(INDEX(Table1322[[#All],[ΔCWPS-herb,i,t (Eq 78)]], MATCH(1, (Table1221[[#This Row],[stratum i]]=Table1322[[#All],[stratum i]])*(Table1221[[#This Row],[year t]]&gt;=#REF!)*(Table1221[[#This Row],[year t]]&lt;=Table1322[[#All],[year t]]), 0)), 0), 0)</f>
        <v>0</v>
      </c>
      <c r="Q103">
        <f>Table1221[[#This Row],[ΔCWPS-tree/shrub,i,t (t C/yr) (Eq 75)]]+Table1221[[#This Row],[ΔCWPS-herb,i,t (t C/yr)]]</f>
        <v>8912.3122771737835</v>
      </c>
      <c r="R103" cm="1">
        <f t="array" ref="R103">INDEX(Table1423[[#All],[GHGWPS-soil,i,t]], MATCH(1, (Table1221[[#This Row],[year t]]=Table1423[[#All],[year t]])*(Table1221[[#This Row],[stratum i]]=Table1423[[#All],[stratum i]]), 0))</f>
        <v>-14952.143030095611</v>
      </c>
      <c r="S103">
        <f>IF(project_ff_CO2 = "Included", Table1221[[#This Row],[ET(FC,I,t) AR-Tool 5 WPS]], 0)</f>
        <v>0</v>
      </c>
      <c r="T103" t="e" cm="1">
        <f t="array" ref="T103">INDEX(#REF!, MATCH(1, (Table1221[[#This Row],[year t]]=Table32[[#All],[year t]])*(Table1221[[#This Row],[stratum i]]=Table32[[#All],[stratum i]]), 0))</f>
        <v>#REF!</v>
      </c>
      <c r="AE103" s="18">
        <v>2043</v>
      </c>
      <c r="AF103">
        <v>3</v>
      </c>
      <c r="AG103" s="18" cm="1">
        <f t="array" ref="AG103">INDEX(Table32[[#All],[Ai,t]], MATCH(1, (Table1423[[#This Row],[year t]]=Table32[[#All],[year t]])*(Table1423[[#This Row],[stratum i]]=Table32[[#All],[stratum i]]), 0))</f>
        <v>2222.8442528571427</v>
      </c>
      <c r="AH103" t="str">
        <f>INDEX(Table31[[#All],[Soil type (t=0)]], MATCH(Table1423[[#This Row],[stratum i]], Table31[[#All],[Stratum i]]))</f>
        <v>Mineral soil</v>
      </c>
      <c r="AI103">
        <f>IF(Emission_reduction_from_stock_loss?, INDEX(Table2[[#All],[End_PDT]], MATCH(Table1423[[#This Row],[stratum i]], Table2[[#All],[stratum i]])), crediting_period)</f>
        <v>40</v>
      </c>
      <c r="AJ103">
        <f>IF(Emission_reduction_from_stock_loss?, INDEX(Table2[[#All],[End_SDT]], MATCH(Table1423[[#This Row],[stratum i]], Table2[[#All],[stratum i]])), crediting_period)</f>
        <v>40</v>
      </c>
      <c r="AK103" cm="1">
        <f t="array" ref="AK10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3" s="30" cm="1">
        <f t="array" ref="AL103">INDEX(Table32[[#All],[%Calloch WPS]], MATCH(1, (Table1423[[#This Row],[year t]]=Table32[[#All],[year t]])*(Table1423[[#This Row],[stratum i]]=Table32[[#All],[stratum i]]), 0))</f>
        <v>23.561573856247001</v>
      </c>
      <c r="AM10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3">
        <f>(Table1423[[#This Row],[GHGWPS-soil-CO2,i,t]]-Table1423[[#This Row],[Deductionalloch WPS (Eq 38)]])*Table1423[[#This Row],[Ai,t]]</f>
        <v>-14952.143030095611</v>
      </c>
      <c r="AO103" cm="1">
        <f t="array" ref="AO103">IF(project_soil_CH4 = "Included", INDEX(Table1830[[#All],[GHGWPS-soil-CH4,i,t (Eq 59)]], MATCH(1, (Table1423[[#This Row],[year t]]=Table1830[[#All],[year t]])*(Table1423[[#This Row],[stratum i]]=Table1830[[#All],[stratum i]]), 0)), 0)</f>
        <v>0</v>
      </c>
      <c r="AP103" cm="1">
        <f t="array" ref="AP103">IF(project_soil_N2O = "Included", INDEX(Table1830[[#All],[GHGWPS-soil-N2O,i,t (Eq 62)]], MATCH(1, (Table1423[[#This Row],[year t]]=Table1830[[#All],[year t]])*(Table1423[[#This Row],[stratum i]]=Table1830[[#All],[stratum i]]), 0)), 0)</f>
        <v>0</v>
      </c>
      <c r="AQ103">
        <f>Table1423[[#This Row],[Ai,t]]*(Table1423[[#This Row],[GHGWPS-soil-CO2,i,t]]-Table1423[[#This Row],[Deductionalloch WPS (Eq 38)]]+Table1423[[#This Row],[GHGWPS-soil-CH4,i,t]]+Table1423[[#This Row],[GHGWPS-soil-N2O,i,t]])</f>
        <v>-14952.143030095611</v>
      </c>
      <c r="AR103" t="e" cm="1">
        <f t="array" ref="AR103">INDEX(#REF!, MATCH(1, (Table1423[[#This Row],[year t]]=Table32[[#All],[year t]])*(Table1423[[#This Row],[stratum i]]=Table32[[#All],[stratum i]]), 0))</f>
        <v>#REF!</v>
      </c>
      <c r="AS103" t="e" cm="1">
        <f t="array" ref="AS103">INDEX(#REF!, MATCH(1, (Table1423[[#This Row],[year t]]=Table32[[#All],[year t]])*(Table1423[[#This Row],[stratum i]]=Table32[[#All],[stratum i]]), 0))</f>
        <v>#REF!</v>
      </c>
      <c r="AT103" t="e" cm="1">
        <f t="array" ref="AT103">INDEX(#REF!, MATCH(1, (Table1423[[#This Row],[year t]]=Table32[[#All],[year t]])*(Table1423[[#This Row],[stratum i]]=Table32[[#All],[stratum i]]), 0))</f>
        <v>#REF!</v>
      </c>
      <c r="AU103" t="e" cm="1">
        <f t="array" ref="AU103">INDEX(#REF!, MATCH(1, (Table1423[[#This Row],[year t]]=Table32[[#All],[year t]])*(Table1423[[#This Row],[stratum i]]=Table32[[#All],[stratum i]]), 0))</f>
        <v>#REF!</v>
      </c>
      <c r="AV103" s="30"/>
      <c r="BB103" s="18">
        <v>2043</v>
      </c>
      <c r="BC103">
        <v>3</v>
      </c>
      <c r="BD103" cm="1">
        <f t="array" ref="BD103">INDEX(Table32[[#All],[∆CWPS-soil,i,t (tC/ha)]], MATCH(1, (Table1329[[#This Row],[year t]]=Table32[[#All],[year t]])*(Table1329[[#This Row],[stratum i]]=Table32[[#All],[stratum i]]), 0))</f>
        <v>2.4</v>
      </c>
      <c r="BE103">
        <f>-44/12*Table1329[[#This Row],[∆CWPS-soil,i,t (tC/ha)]]</f>
        <v>-8.7999999999999989</v>
      </c>
    </row>
    <row r="104" spans="11:57" x14ac:dyDescent="0.2">
      <c r="K104" s="18">
        <v>2044</v>
      </c>
      <c r="L104">
        <v>3</v>
      </c>
      <c r="M104" cm="1">
        <f t="array" ref="M104">IF(project_aboveground_tree = "Included", INDEX(Table32[[#All],[ΔCTREE_PROJ,i,t (AR Tool 14) t C/yr]], MATCH(1, (Table1221[[#This Row],[year t]]=Table32[[#All],[year t]])*(Table1221[[#This Row],[stratum i]]=Table32[[#All],[stratum i]]), 0)), 0)</f>
        <v>33245.216675463569</v>
      </c>
      <c r="N104" s="57" cm="1">
        <f t="array" ref="N104">IF(project_aboveground_nontree = "Included", INDEX(#REF!, MATCH(1, (Table1221[[#This Row],[year t]]=Table32[[#All],[year t]])*(Table1221[[#This Row],[stratum i]]=Table32[[#All],[stratum i]]), 0)), 0)</f>
        <v>0</v>
      </c>
      <c r="O104">
        <f>12/44*(Table1221[[#This Row],[ΔCTREE_PROJ,t (AR Tool 14) t CO2e/yr]]+Table1221[[#This Row],[ΔCSHRUB_PROJ,t (AR Tool 14) t CO2e/yr]])</f>
        <v>9066.8772751264278</v>
      </c>
      <c r="P104" cm="1">
        <f t="array" ref="P104">IF(project_aboveground_nontree = "Included", IFERROR(INDEX(Table1322[[#All],[ΔCWPS-herb,i,t (Eq 78)]], MATCH(1, (Table1221[[#This Row],[stratum i]]=Table1322[[#All],[stratum i]])*(Table1221[[#This Row],[year t]]&gt;=#REF!)*(Table1221[[#This Row],[year t]]&lt;=Table1322[[#All],[year t]]), 0)), 0), 0)</f>
        <v>0</v>
      </c>
      <c r="Q104">
        <f>Table1221[[#This Row],[ΔCWPS-tree/shrub,i,t (t C/yr) (Eq 75)]]+Table1221[[#This Row],[ΔCWPS-herb,i,t (t C/yr)]]</f>
        <v>9066.8772751264278</v>
      </c>
      <c r="R104" cm="1">
        <f t="array" ref="R104">INDEX(Table1423[[#All],[GHGWPS-soil,i,t]], MATCH(1, (Table1221[[#This Row],[year t]]=Table1423[[#All],[year t]])*(Table1221[[#This Row],[stratum i]]=Table1423[[#All],[stratum i]]), 0))</f>
        <v>-14952.143030095611</v>
      </c>
      <c r="S104">
        <f>IF(project_ff_CO2 = "Included", Table1221[[#This Row],[ET(FC,I,t) AR-Tool 5 WPS]], 0)</f>
        <v>0</v>
      </c>
      <c r="T104" t="e" cm="1">
        <f t="array" ref="T104">INDEX(#REF!, MATCH(1, (Table1221[[#This Row],[year t]]=Table32[[#All],[year t]])*(Table1221[[#This Row],[stratum i]]=Table32[[#All],[stratum i]]), 0))</f>
        <v>#REF!</v>
      </c>
      <c r="AE104" s="18">
        <v>2044</v>
      </c>
      <c r="AF104">
        <v>3</v>
      </c>
      <c r="AG104" s="18" cm="1">
        <f t="array" ref="AG104">INDEX(Table32[[#All],[Ai,t]], MATCH(1, (Table1423[[#This Row],[year t]]=Table32[[#All],[year t]])*(Table1423[[#This Row],[stratum i]]=Table32[[#All],[stratum i]]), 0))</f>
        <v>2222.8442528571427</v>
      </c>
      <c r="AH104" t="str">
        <f>INDEX(Table31[[#All],[Soil type (t=0)]], MATCH(Table1423[[#This Row],[stratum i]], Table31[[#All],[Stratum i]]))</f>
        <v>Mineral soil</v>
      </c>
      <c r="AI104">
        <f>IF(Emission_reduction_from_stock_loss?, INDEX(Table2[[#All],[End_PDT]], MATCH(Table1423[[#This Row],[stratum i]], Table2[[#All],[stratum i]])), crediting_period)</f>
        <v>40</v>
      </c>
      <c r="AJ104">
        <f>IF(Emission_reduction_from_stock_loss?, INDEX(Table2[[#All],[End_SDT]], MATCH(Table1423[[#This Row],[stratum i]], Table2[[#All],[stratum i]])), crediting_period)</f>
        <v>40</v>
      </c>
      <c r="AK104" cm="1">
        <f t="array" ref="AK10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4" s="30" cm="1">
        <f t="array" ref="AL104">INDEX(Table32[[#All],[%Calloch WPS]], MATCH(1, (Table1423[[#This Row],[year t]]=Table32[[#All],[year t]])*(Table1423[[#This Row],[stratum i]]=Table32[[#All],[stratum i]]), 0))</f>
        <v>23.561573856247001</v>
      </c>
      <c r="AM10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4">
        <f>(Table1423[[#This Row],[GHGWPS-soil-CO2,i,t]]-Table1423[[#This Row],[Deductionalloch WPS (Eq 38)]])*Table1423[[#This Row],[Ai,t]]</f>
        <v>-14952.143030095611</v>
      </c>
      <c r="AO104" cm="1">
        <f t="array" ref="AO104">IF(project_soil_CH4 = "Included", INDEX(Table1830[[#All],[GHGWPS-soil-CH4,i,t (Eq 59)]], MATCH(1, (Table1423[[#This Row],[year t]]=Table1830[[#All],[year t]])*(Table1423[[#This Row],[stratum i]]=Table1830[[#All],[stratum i]]), 0)), 0)</f>
        <v>0</v>
      </c>
      <c r="AP104" cm="1">
        <f t="array" ref="AP104">IF(project_soil_N2O = "Included", INDEX(Table1830[[#All],[GHGWPS-soil-N2O,i,t (Eq 62)]], MATCH(1, (Table1423[[#This Row],[year t]]=Table1830[[#All],[year t]])*(Table1423[[#This Row],[stratum i]]=Table1830[[#All],[stratum i]]), 0)), 0)</f>
        <v>0</v>
      </c>
      <c r="AQ104">
        <f>Table1423[[#This Row],[Ai,t]]*(Table1423[[#This Row],[GHGWPS-soil-CO2,i,t]]-Table1423[[#This Row],[Deductionalloch WPS (Eq 38)]]+Table1423[[#This Row],[GHGWPS-soil-CH4,i,t]]+Table1423[[#This Row],[GHGWPS-soil-N2O,i,t]])</f>
        <v>-14952.143030095611</v>
      </c>
      <c r="AR104" t="e" cm="1">
        <f t="array" ref="AR104">INDEX(#REF!, MATCH(1, (Table1423[[#This Row],[year t]]=Table32[[#All],[year t]])*(Table1423[[#This Row],[stratum i]]=Table32[[#All],[stratum i]]), 0))</f>
        <v>#REF!</v>
      </c>
      <c r="AS104" t="e" cm="1">
        <f t="array" ref="AS104">INDEX(#REF!, MATCH(1, (Table1423[[#This Row],[year t]]=Table32[[#All],[year t]])*(Table1423[[#This Row],[stratum i]]=Table32[[#All],[stratum i]]), 0))</f>
        <v>#REF!</v>
      </c>
      <c r="AT104" t="e" cm="1">
        <f t="array" ref="AT104">INDEX(#REF!, MATCH(1, (Table1423[[#This Row],[year t]]=Table32[[#All],[year t]])*(Table1423[[#This Row],[stratum i]]=Table32[[#All],[stratum i]]), 0))</f>
        <v>#REF!</v>
      </c>
      <c r="AU104" t="e" cm="1">
        <f t="array" ref="AU104">INDEX(#REF!, MATCH(1, (Table1423[[#This Row],[year t]]=Table32[[#All],[year t]])*(Table1423[[#This Row],[stratum i]]=Table32[[#All],[stratum i]]), 0))</f>
        <v>#REF!</v>
      </c>
      <c r="AV104" s="30"/>
      <c r="BB104" s="18">
        <v>2044</v>
      </c>
      <c r="BC104">
        <v>3</v>
      </c>
      <c r="BD104" cm="1">
        <f t="array" ref="BD104">INDEX(Table32[[#All],[∆CWPS-soil,i,t (tC/ha)]], MATCH(1, (Table1329[[#This Row],[year t]]=Table32[[#All],[year t]])*(Table1329[[#This Row],[stratum i]]=Table32[[#All],[stratum i]]), 0))</f>
        <v>2.4</v>
      </c>
      <c r="BE104">
        <f>-44/12*Table1329[[#This Row],[∆CWPS-soil,i,t (tC/ha)]]</f>
        <v>-8.7999999999999989</v>
      </c>
    </row>
    <row r="105" spans="11:57" x14ac:dyDescent="0.2">
      <c r="K105" s="18">
        <v>2045</v>
      </c>
      <c r="L105">
        <v>3</v>
      </c>
      <c r="M105" cm="1">
        <f t="array" ref="M105">IF(project_aboveground_tree = "Included", INDEX(Table32[[#All],[ΔCTREE_PROJ,i,t (AR Tool 14) t C/yr]], MATCH(1, (Table1221[[#This Row],[year t]]=Table32[[#All],[year t]])*(Table1221[[#This Row],[stratum i]]=Table32[[#All],[stratum i]]), 0)), 0)</f>
        <v>33293.053323098226</v>
      </c>
      <c r="N105" s="57" cm="1">
        <f t="array" ref="N105">IF(project_aboveground_nontree = "Included", INDEX(#REF!, MATCH(1, (Table1221[[#This Row],[year t]]=Table32[[#All],[year t]])*(Table1221[[#This Row],[stratum i]]=Table32[[#All],[stratum i]]), 0)), 0)</f>
        <v>0</v>
      </c>
      <c r="O105">
        <f>12/44*(Table1221[[#This Row],[ΔCTREE_PROJ,t (AR Tool 14) t CO2e/yr]]+Table1221[[#This Row],[ΔCSHRUB_PROJ,t (AR Tool 14) t CO2e/yr]])</f>
        <v>9079.9236335722435</v>
      </c>
      <c r="P105" cm="1">
        <f t="array" ref="P105">IF(project_aboveground_nontree = "Included", IFERROR(INDEX(Table1322[[#All],[ΔCWPS-herb,i,t (Eq 78)]], MATCH(1, (Table1221[[#This Row],[stratum i]]=Table1322[[#All],[stratum i]])*(Table1221[[#This Row],[year t]]&gt;=#REF!)*(Table1221[[#This Row],[year t]]&lt;=Table1322[[#All],[year t]]), 0)), 0), 0)</f>
        <v>0</v>
      </c>
      <c r="Q105">
        <f>Table1221[[#This Row],[ΔCWPS-tree/shrub,i,t (t C/yr) (Eq 75)]]+Table1221[[#This Row],[ΔCWPS-herb,i,t (t C/yr)]]</f>
        <v>9079.9236335722435</v>
      </c>
      <c r="R105" cm="1">
        <f t="array" ref="R105">INDEX(Table1423[[#All],[GHGWPS-soil,i,t]], MATCH(1, (Table1221[[#This Row],[year t]]=Table1423[[#All],[year t]])*(Table1221[[#This Row],[stratum i]]=Table1423[[#All],[stratum i]]), 0))</f>
        <v>-14952.143030095611</v>
      </c>
      <c r="S105">
        <f>IF(project_ff_CO2 = "Included", Table1221[[#This Row],[ET(FC,I,t) AR-Tool 5 WPS]], 0)</f>
        <v>0</v>
      </c>
      <c r="T105" t="e" cm="1">
        <f t="array" ref="T105">INDEX(#REF!, MATCH(1, (Table1221[[#This Row],[year t]]=Table32[[#All],[year t]])*(Table1221[[#This Row],[stratum i]]=Table32[[#All],[stratum i]]), 0))</f>
        <v>#REF!</v>
      </c>
      <c r="AE105" s="18">
        <v>2045</v>
      </c>
      <c r="AF105">
        <v>3</v>
      </c>
      <c r="AG105" s="18" cm="1">
        <f t="array" ref="AG105">INDEX(Table32[[#All],[Ai,t]], MATCH(1, (Table1423[[#This Row],[year t]]=Table32[[#All],[year t]])*(Table1423[[#This Row],[stratum i]]=Table32[[#All],[stratum i]]), 0))</f>
        <v>2222.8442528571427</v>
      </c>
      <c r="AH105" t="str">
        <f>INDEX(Table31[[#All],[Soil type (t=0)]], MATCH(Table1423[[#This Row],[stratum i]], Table31[[#All],[Stratum i]]))</f>
        <v>Mineral soil</v>
      </c>
      <c r="AI105">
        <f>IF(Emission_reduction_from_stock_loss?, INDEX(Table2[[#All],[End_PDT]], MATCH(Table1423[[#This Row],[stratum i]], Table2[[#All],[stratum i]])), crediting_period)</f>
        <v>40</v>
      </c>
      <c r="AJ105">
        <f>IF(Emission_reduction_from_stock_loss?, INDEX(Table2[[#All],[End_SDT]], MATCH(Table1423[[#This Row],[stratum i]], Table2[[#All],[stratum i]])), crediting_period)</f>
        <v>40</v>
      </c>
      <c r="AK105" cm="1">
        <f t="array" ref="AK10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5" s="30" cm="1">
        <f t="array" ref="AL105">INDEX(Table32[[#All],[%Calloch WPS]], MATCH(1, (Table1423[[#This Row],[year t]]=Table32[[#All],[year t]])*(Table1423[[#This Row],[stratum i]]=Table32[[#All],[stratum i]]), 0))</f>
        <v>23.561573856247001</v>
      </c>
      <c r="AM10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5">
        <f>(Table1423[[#This Row],[GHGWPS-soil-CO2,i,t]]-Table1423[[#This Row],[Deductionalloch WPS (Eq 38)]])*Table1423[[#This Row],[Ai,t]]</f>
        <v>-14952.143030095611</v>
      </c>
      <c r="AO105" cm="1">
        <f t="array" ref="AO105">IF(project_soil_CH4 = "Included", INDEX(Table1830[[#All],[GHGWPS-soil-CH4,i,t (Eq 59)]], MATCH(1, (Table1423[[#This Row],[year t]]=Table1830[[#All],[year t]])*(Table1423[[#This Row],[stratum i]]=Table1830[[#All],[stratum i]]), 0)), 0)</f>
        <v>0</v>
      </c>
      <c r="AP105" cm="1">
        <f t="array" ref="AP105">IF(project_soil_N2O = "Included", INDEX(Table1830[[#All],[GHGWPS-soil-N2O,i,t (Eq 62)]], MATCH(1, (Table1423[[#This Row],[year t]]=Table1830[[#All],[year t]])*(Table1423[[#This Row],[stratum i]]=Table1830[[#All],[stratum i]]), 0)), 0)</f>
        <v>0</v>
      </c>
      <c r="AQ105">
        <f>Table1423[[#This Row],[Ai,t]]*(Table1423[[#This Row],[GHGWPS-soil-CO2,i,t]]-Table1423[[#This Row],[Deductionalloch WPS (Eq 38)]]+Table1423[[#This Row],[GHGWPS-soil-CH4,i,t]]+Table1423[[#This Row],[GHGWPS-soil-N2O,i,t]])</f>
        <v>-14952.143030095611</v>
      </c>
      <c r="AR105" t="e" cm="1">
        <f t="array" ref="AR105">INDEX(#REF!, MATCH(1, (Table1423[[#This Row],[year t]]=Table32[[#All],[year t]])*(Table1423[[#This Row],[stratum i]]=Table32[[#All],[stratum i]]), 0))</f>
        <v>#REF!</v>
      </c>
      <c r="AS105" t="e" cm="1">
        <f t="array" ref="AS105">INDEX(#REF!, MATCH(1, (Table1423[[#This Row],[year t]]=Table32[[#All],[year t]])*(Table1423[[#This Row],[stratum i]]=Table32[[#All],[stratum i]]), 0))</f>
        <v>#REF!</v>
      </c>
      <c r="AT105" t="e" cm="1">
        <f t="array" ref="AT105">INDEX(#REF!, MATCH(1, (Table1423[[#This Row],[year t]]=Table32[[#All],[year t]])*(Table1423[[#This Row],[stratum i]]=Table32[[#All],[stratum i]]), 0))</f>
        <v>#REF!</v>
      </c>
      <c r="AU105" t="e" cm="1">
        <f t="array" ref="AU105">INDEX(#REF!, MATCH(1, (Table1423[[#This Row],[year t]]=Table32[[#All],[year t]])*(Table1423[[#This Row],[stratum i]]=Table32[[#All],[stratum i]]), 0))</f>
        <v>#REF!</v>
      </c>
      <c r="AV105" s="30"/>
      <c r="BB105" s="18">
        <v>2045</v>
      </c>
      <c r="BC105">
        <v>3</v>
      </c>
      <c r="BD105" cm="1">
        <f t="array" ref="BD105">INDEX(Table32[[#All],[∆CWPS-soil,i,t (tC/ha)]], MATCH(1, (Table1329[[#This Row],[year t]]=Table32[[#All],[year t]])*(Table1329[[#This Row],[stratum i]]=Table32[[#All],[stratum i]]), 0))</f>
        <v>2.4</v>
      </c>
      <c r="BE105">
        <f>-44/12*Table1329[[#This Row],[∆CWPS-soil,i,t (tC/ha)]]</f>
        <v>-8.7999999999999989</v>
      </c>
    </row>
    <row r="106" spans="11:57" x14ac:dyDescent="0.2">
      <c r="K106" s="18">
        <v>2046</v>
      </c>
      <c r="L106">
        <v>3</v>
      </c>
      <c r="M106" cm="1">
        <f t="array" ref="M106">IF(project_aboveground_tree = "Included", INDEX(Table32[[#All],[ΔCTREE_PROJ,i,t (AR Tool 14) t C/yr]], MATCH(1, (Table1221[[#This Row],[year t]]=Table32[[#All],[year t]])*(Table1221[[#This Row],[stratum i]]=Table32[[#All],[stratum i]]), 0)), 0)</f>
        <v>32886.197030309122</v>
      </c>
      <c r="N106" s="57" cm="1">
        <f t="array" ref="N106">IF(project_aboveground_nontree = "Included", INDEX(#REF!, MATCH(1, (Table1221[[#This Row],[year t]]=Table32[[#All],[year t]])*(Table1221[[#This Row],[stratum i]]=Table32[[#All],[stratum i]]), 0)), 0)</f>
        <v>0</v>
      </c>
      <c r="O106">
        <f>12/44*(Table1221[[#This Row],[ΔCTREE_PROJ,t (AR Tool 14) t CO2e/yr]]+Table1221[[#This Row],[ΔCSHRUB_PROJ,t (AR Tool 14) t CO2e/yr]])</f>
        <v>8968.9628264479416</v>
      </c>
      <c r="P106" cm="1">
        <f t="array" ref="P106">IF(project_aboveground_nontree = "Included", IFERROR(INDEX(Table1322[[#All],[ΔCWPS-herb,i,t (Eq 78)]], MATCH(1, (Table1221[[#This Row],[stratum i]]=Table1322[[#All],[stratum i]])*(Table1221[[#This Row],[year t]]&gt;=#REF!)*(Table1221[[#This Row],[year t]]&lt;=Table1322[[#All],[year t]]), 0)), 0), 0)</f>
        <v>0</v>
      </c>
      <c r="Q106">
        <f>Table1221[[#This Row],[ΔCWPS-tree/shrub,i,t (t C/yr) (Eq 75)]]+Table1221[[#This Row],[ΔCWPS-herb,i,t (t C/yr)]]</f>
        <v>8968.9628264479416</v>
      </c>
      <c r="R106" cm="1">
        <f t="array" ref="R106">INDEX(Table1423[[#All],[GHGWPS-soil,i,t]], MATCH(1, (Table1221[[#This Row],[year t]]=Table1423[[#All],[year t]])*(Table1221[[#This Row],[stratum i]]=Table1423[[#All],[stratum i]]), 0))</f>
        <v>-14952.143030095611</v>
      </c>
      <c r="S106">
        <f>IF(project_ff_CO2 = "Included", Table1221[[#This Row],[ET(FC,I,t) AR-Tool 5 WPS]], 0)</f>
        <v>0</v>
      </c>
      <c r="T106" t="e" cm="1">
        <f t="array" ref="T106">INDEX(#REF!, MATCH(1, (Table1221[[#This Row],[year t]]=Table32[[#All],[year t]])*(Table1221[[#This Row],[stratum i]]=Table32[[#All],[stratum i]]), 0))</f>
        <v>#REF!</v>
      </c>
      <c r="AE106" s="18">
        <v>2046</v>
      </c>
      <c r="AF106">
        <v>3</v>
      </c>
      <c r="AG106" s="18" cm="1">
        <f t="array" ref="AG106">INDEX(Table32[[#All],[Ai,t]], MATCH(1, (Table1423[[#This Row],[year t]]=Table32[[#All],[year t]])*(Table1423[[#This Row],[stratum i]]=Table32[[#All],[stratum i]]), 0))</f>
        <v>2222.8442528571427</v>
      </c>
      <c r="AH106" t="str">
        <f>INDEX(Table31[[#All],[Soil type (t=0)]], MATCH(Table1423[[#This Row],[stratum i]], Table31[[#All],[Stratum i]]))</f>
        <v>Mineral soil</v>
      </c>
      <c r="AI106">
        <f>IF(Emission_reduction_from_stock_loss?, INDEX(Table2[[#All],[End_PDT]], MATCH(Table1423[[#This Row],[stratum i]], Table2[[#All],[stratum i]])), crediting_period)</f>
        <v>40</v>
      </c>
      <c r="AJ106">
        <f>IF(Emission_reduction_from_stock_loss?, INDEX(Table2[[#All],[End_SDT]], MATCH(Table1423[[#This Row],[stratum i]], Table2[[#All],[stratum i]])), crediting_period)</f>
        <v>40</v>
      </c>
      <c r="AK106" cm="1">
        <f t="array" ref="AK10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6" s="30" cm="1">
        <f t="array" ref="AL106">INDEX(Table32[[#All],[%Calloch WPS]], MATCH(1, (Table1423[[#This Row],[year t]]=Table32[[#All],[year t]])*(Table1423[[#This Row],[stratum i]]=Table32[[#All],[stratum i]]), 0))</f>
        <v>23.561573856247001</v>
      </c>
      <c r="AM10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6">
        <f>(Table1423[[#This Row],[GHGWPS-soil-CO2,i,t]]-Table1423[[#This Row],[Deductionalloch WPS (Eq 38)]])*Table1423[[#This Row],[Ai,t]]</f>
        <v>-14952.143030095611</v>
      </c>
      <c r="AO106" cm="1">
        <f t="array" ref="AO106">IF(project_soil_CH4 = "Included", INDEX(Table1830[[#All],[GHGWPS-soil-CH4,i,t (Eq 59)]], MATCH(1, (Table1423[[#This Row],[year t]]=Table1830[[#All],[year t]])*(Table1423[[#This Row],[stratum i]]=Table1830[[#All],[stratum i]]), 0)), 0)</f>
        <v>0</v>
      </c>
      <c r="AP106" cm="1">
        <f t="array" ref="AP106">IF(project_soil_N2O = "Included", INDEX(Table1830[[#All],[GHGWPS-soil-N2O,i,t (Eq 62)]], MATCH(1, (Table1423[[#This Row],[year t]]=Table1830[[#All],[year t]])*(Table1423[[#This Row],[stratum i]]=Table1830[[#All],[stratum i]]), 0)), 0)</f>
        <v>0</v>
      </c>
      <c r="AQ106">
        <f>Table1423[[#This Row],[Ai,t]]*(Table1423[[#This Row],[GHGWPS-soil-CO2,i,t]]-Table1423[[#This Row],[Deductionalloch WPS (Eq 38)]]+Table1423[[#This Row],[GHGWPS-soil-CH4,i,t]]+Table1423[[#This Row],[GHGWPS-soil-N2O,i,t]])</f>
        <v>-14952.143030095611</v>
      </c>
      <c r="AR106" t="e" cm="1">
        <f t="array" ref="AR106">INDEX(#REF!, MATCH(1, (Table1423[[#This Row],[year t]]=Table32[[#All],[year t]])*(Table1423[[#This Row],[stratum i]]=Table32[[#All],[stratum i]]), 0))</f>
        <v>#REF!</v>
      </c>
      <c r="AS106" t="e" cm="1">
        <f t="array" ref="AS106">INDEX(#REF!, MATCH(1, (Table1423[[#This Row],[year t]]=Table32[[#All],[year t]])*(Table1423[[#This Row],[stratum i]]=Table32[[#All],[stratum i]]), 0))</f>
        <v>#REF!</v>
      </c>
      <c r="AT106" t="e" cm="1">
        <f t="array" ref="AT106">INDEX(#REF!, MATCH(1, (Table1423[[#This Row],[year t]]=Table32[[#All],[year t]])*(Table1423[[#This Row],[stratum i]]=Table32[[#All],[stratum i]]), 0))</f>
        <v>#REF!</v>
      </c>
      <c r="AU106" t="e" cm="1">
        <f t="array" ref="AU106">INDEX(#REF!, MATCH(1, (Table1423[[#This Row],[year t]]=Table32[[#All],[year t]])*(Table1423[[#This Row],[stratum i]]=Table32[[#All],[stratum i]]), 0))</f>
        <v>#REF!</v>
      </c>
      <c r="AV106" s="30"/>
      <c r="BB106" s="18">
        <v>2046</v>
      </c>
      <c r="BC106">
        <v>3</v>
      </c>
      <c r="BD106" cm="1">
        <f t="array" ref="BD106">INDEX(Table32[[#All],[∆CWPS-soil,i,t (tC/ha)]], MATCH(1, (Table1329[[#This Row],[year t]]=Table32[[#All],[year t]])*(Table1329[[#This Row],[stratum i]]=Table32[[#All],[stratum i]]), 0))</f>
        <v>2.4</v>
      </c>
      <c r="BE106">
        <f>-44/12*Table1329[[#This Row],[∆CWPS-soil,i,t (tC/ha)]]</f>
        <v>-8.7999999999999989</v>
      </c>
    </row>
    <row r="107" spans="11:57" x14ac:dyDescent="0.2">
      <c r="K107" s="18">
        <v>2047</v>
      </c>
      <c r="L107">
        <v>3</v>
      </c>
      <c r="M107" cm="1">
        <f t="array" ref="M107">IF(project_aboveground_tree = "Included", INDEX(Table32[[#All],[ΔCTREE_PROJ,i,t (AR Tool 14) t C/yr]], MATCH(1, (Table1221[[#This Row],[year t]]=Table32[[#All],[year t]])*(Table1221[[#This Row],[stratum i]]=Table32[[#All],[stratum i]]), 0)), 0)</f>
        <v>32096.761310448754</v>
      </c>
      <c r="N107" s="57" cm="1">
        <f t="array" ref="N107">IF(project_aboveground_nontree = "Included", INDEX(#REF!, MATCH(1, (Table1221[[#This Row],[year t]]=Table32[[#All],[year t]])*(Table1221[[#This Row],[stratum i]]=Table32[[#All],[stratum i]]), 0)), 0)</f>
        <v>0</v>
      </c>
      <c r="O107">
        <f>12/44*(Table1221[[#This Row],[ΔCTREE_PROJ,t (AR Tool 14) t CO2e/yr]]+Table1221[[#This Row],[ΔCSHRUB_PROJ,t (AR Tool 14) t CO2e/yr]])</f>
        <v>8753.662175576932</v>
      </c>
      <c r="P107" cm="1">
        <f t="array" ref="P107">IF(project_aboveground_nontree = "Included", IFERROR(INDEX(Table1322[[#All],[ΔCWPS-herb,i,t (Eq 78)]], MATCH(1, (Table1221[[#This Row],[stratum i]]=Table1322[[#All],[stratum i]])*(Table1221[[#This Row],[year t]]&gt;=#REF!)*(Table1221[[#This Row],[year t]]&lt;=Table1322[[#All],[year t]]), 0)), 0), 0)</f>
        <v>0</v>
      </c>
      <c r="Q107">
        <f>Table1221[[#This Row],[ΔCWPS-tree/shrub,i,t (t C/yr) (Eq 75)]]+Table1221[[#This Row],[ΔCWPS-herb,i,t (t C/yr)]]</f>
        <v>8753.662175576932</v>
      </c>
      <c r="R107" cm="1">
        <f t="array" ref="R107">INDEX(Table1423[[#All],[GHGWPS-soil,i,t]], MATCH(1, (Table1221[[#This Row],[year t]]=Table1423[[#All],[year t]])*(Table1221[[#This Row],[stratum i]]=Table1423[[#All],[stratum i]]), 0))</f>
        <v>-14952.143030095611</v>
      </c>
      <c r="S107">
        <f>IF(project_ff_CO2 = "Included", Table1221[[#This Row],[ET(FC,I,t) AR-Tool 5 WPS]], 0)</f>
        <v>0</v>
      </c>
      <c r="T107" t="e" cm="1">
        <f t="array" ref="T107">INDEX(#REF!, MATCH(1, (Table1221[[#This Row],[year t]]=Table32[[#All],[year t]])*(Table1221[[#This Row],[stratum i]]=Table32[[#All],[stratum i]]), 0))</f>
        <v>#REF!</v>
      </c>
      <c r="AE107" s="18">
        <v>2047</v>
      </c>
      <c r="AF107">
        <v>3</v>
      </c>
      <c r="AG107" s="18" cm="1">
        <f t="array" ref="AG107">INDEX(Table32[[#All],[Ai,t]], MATCH(1, (Table1423[[#This Row],[year t]]=Table32[[#All],[year t]])*(Table1423[[#This Row],[stratum i]]=Table32[[#All],[stratum i]]), 0))</f>
        <v>2222.8442528571427</v>
      </c>
      <c r="AH107" t="str">
        <f>INDEX(Table31[[#All],[Soil type (t=0)]], MATCH(Table1423[[#This Row],[stratum i]], Table31[[#All],[Stratum i]]))</f>
        <v>Mineral soil</v>
      </c>
      <c r="AI107">
        <f>IF(Emission_reduction_from_stock_loss?, INDEX(Table2[[#All],[End_PDT]], MATCH(Table1423[[#This Row],[stratum i]], Table2[[#All],[stratum i]])), crediting_period)</f>
        <v>40</v>
      </c>
      <c r="AJ107">
        <f>IF(Emission_reduction_from_stock_loss?, INDEX(Table2[[#All],[End_SDT]], MATCH(Table1423[[#This Row],[stratum i]], Table2[[#All],[stratum i]])), crediting_period)</f>
        <v>40</v>
      </c>
      <c r="AK107" cm="1">
        <f t="array" ref="AK10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7" s="30" cm="1">
        <f t="array" ref="AL107">INDEX(Table32[[#All],[%Calloch WPS]], MATCH(1, (Table1423[[#This Row],[year t]]=Table32[[#All],[year t]])*(Table1423[[#This Row],[stratum i]]=Table32[[#All],[stratum i]]), 0))</f>
        <v>23.561573856247001</v>
      </c>
      <c r="AM10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7">
        <f>(Table1423[[#This Row],[GHGWPS-soil-CO2,i,t]]-Table1423[[#This Row],[Deductionalloch WPS (Eq 38)]])*Table1423[[#This Row],[Ai,t]]</f>
        <v>-14952.143030095611</v>
      </c>
      <c r="AO107" cm="1">
        <f t="array" ref="AO107">IF(project_soil_CH4 = "Included", INDEX(Table1830[[#All],[GHGWPS-soil-CH4,i,t (Eq 59)]], MATCH(1, (Table1423[[#This Row],[year t]]=Table1830[[#All],[year t]])*(Table1423[[#This Row],[stratum i]]=Table1830[[#All],[stratum i]]), 0)), 0)</f>
        <v>0</v>
      </c>
      <c r="AP107" cm="1">
        <f t="array" ref="AP107">IF(project_soil_N2O = "Included", INDEX(Table1830[[#All],[GHGWPS-soil-N2O,i,t (Eq 62)]], MATCH(1, (Table1423[[#This Row],[year t]]=Table1830[[#All],[year t]])*(Table1423[[#This Row],[stratum i]]=Table1830[[#All],[stratum i]]), 0)), 0)</f>
        <v>0</v>
      </c>
      <c r="AQ107">
        <f>Table1423[[#This Row],[Ai,t]]*(Table1423[[#This Row],[GHGWPS-soil-CO2,i,t]]-Table1423[[#This Row],[Deductionalloch WPS (Eq 38)]]+Table1423[[#This Row],[GHGWPS-soil-CH4,i,t]]+Table1423[[#This Row],[GHGWPS-soil-N2O,i,t]])</f>
        <v>-14952.143030095611</v>
      </c>
      <c r="AR107" t="e" cm="1">
        <f t="array" ref="AR107">INDEX(#REF!, MATCH(1, (Table1423[[#This Row],[year t]]=Table32[[#All],[year t]])*(Table1423[[#This Row],[stratum i]]=Table32[[#All],[stratum i]]), 0))</f>
        <v>#REF!</v>
      </c>
      <c r="AS107" t="e" cm="1">
        <f t="array" ref="AS107">INDEX(#REF!, MATCH(1, (Table1423[[#This Row],[year t]]=Table32[[#All],[year t]])*(Table1423[[#This Row],[stratum i]]=Table32[[#All],[stratum i]]), 0))</f>
        <v>#REF!</v>
      </c>
      <c r="AT107" t="e" cm="1">
        <f t="array" ref="AT107">INDEX(#REF!, MATCH(1, (Table1423[[#This Row],[year t]]=Table32[[#All],[year t]])*(Table1423[[#This Row],[stratum i]]=Table32[[#All],[stratum i]]), 0))</f>
        <v>#REF!</v>
      </c>
      <c r="AU107" t="e" cm="1">
        <f t="array" ref="AU107">INDEX(#REF!, MATCH(1, (Table1423[[#This Row],[year t]]=Table32[[#All],[year t]])*(Table1423[[#This Row],[stratum i]]=Table32[[#All],[stratum i]]), 0))</f>
        <v>#REF!</v>
      </c>
      <c r="AV107" s="30"/>
      <c r="BB107" s="18">
        <v>2047</v>
      </c>
      <c r="BC107">
        <v>3</v>
      </c>
      <c r="BD107" cm="1">
        <f t="array" ref="BD107">INDEX(Table32[[#All],[∆CWPS-soil,i,t (tC/ha)]], MATCH(1, (Table1329[[#This Row],[year t]]=Table32[[#All],[year t]])*(Table1329[[#This Row],[stratum i]]=Table32[[#All],[stratum i]]), 0))</f>
        <v>2.4</v>
      </c>
      <c r="BE107">
        <f>-44/12*Table1329[[#This Row],[∆CWPS-soil,i,t (tC/ha)]]</f>
        <v>-8.7999999999999989</v>
      </c>
    </row>
    <row r="108" spans="11:57" x14ac:dyDescent="0.2">
      <c r="K108" s="18">
        <v>2048</v>
      </c>
      <c r="L108">
        <v>3</v>
      </c>
      <c r="M108" cm="1">
        <f t="array" ref="M108">IF(project_aboveground_tree = "Included", INDEX(Table32[[#All],[ΔCTREE_PROJ,i,t (AR Tool 14) t C/yr]], MATCH(1, (Table1221[[#This Row],[year t]]=Table32[[#All],[year t]])*(Table1221[[#This Row],[stratum i]]=Table32[[#All],[stratum i]]), 0)), 0)</f>
        <v>30998.661880745029</v>
      </c>
      <c r="N108" s="57" cm="1">
        <f t="array" ref="N108">IF(project_aboveground_nontree = "Included", INDEX(#REF!, MATCH(1, (Table1221[[#This Row],[year t]]=Table32[[#All],[year t]])*(Table1221[[#This Row],[stratum i]]=Table32[[#All],[stratum i]]), 0)), 0)</f>
        <v>0</v>
      </c>
      <c r="O108">
        <f>12/44*(Table1221[[#This Row],[ΔCTREE_PROJ,t (AR Tool 14) t CO2e/yr]]+Table1221[[#This Row],[ΔCSHRUB_PROJ,t (AR Tool 14) t CO2e/yr]])</f>
        <v>8454.1805129304612</v>
      </c>
      <c r="P108" cm="1">
        <f t="array" ref="P108">IF(project_aboveground_nontree = "Included", IFERROR(INDEX(Table1322[[#All],[ΔCWPS-herb,i,t (Eq 78)]], MATCH(1, (Table1221[[#This Row],[stratum i]]=Table1322[[#All],[stratum i]])*(Table1221[[#This Row],[year t]]&gt;=#REF!)*(Table1221[[#This Row],[year t]]&lt;=Table1322[[#All],[year t]]), 0)), 0), 0)</f>
        <v>0</v>
      </c>
      <c r="Q108">
        <f>Table1221[[#This Row],[ΔCWPS-tree/shrub,i,t (t C/yr) (Eq 75)]]+Table1221[[#This Row],[ΔCWPS-herb,i,t (t C/yr)]]</f>
        <v>8454.1805129304612</v>
      </c>
      <c r="R108" cm="1">
        <f t="array" ref="R108">INDEX(Table1423[[#All],[GHGWPS-soil,i,t]], MATCH(1, (Table1221[[#This Row],[year t]]=Table1423[[#All],[year t]])*(Table1221[[#This Row],[stratum i]]=Table1423[[#All],[stratum i]]), 0))</f>
        <v>-14952.143030095611</v>
      </c>
      <c r="S108">
        <f>IF(project_ff_CO2 = "Included", Table1221[[#This Row],[ET(FC,I,t) AR-Tool 5 WPS]], 0)</f>
        <v>0</v>
      </c>
      <c r="T108" t="e" cm="1">
        <f t="array" ref="T108">INDEX(#REF!, MATCH(1, (Table1221[[#This Row],[year t]]=Table32[[#All],[year t]])*(Table1221[[#This Row],[stratum i]]=Table32[[#All],[stratum i]]), 0))</f>
        <v>#REF!</v>
      </c>
      <c r="AE108" s="18">
        <v>2048</v>
      </c>
      <c r="AF108">
        <v>3</v>
      </c>
      <c r="AG108" s="18" cm="1">
        <f t="array" ref="AG108">INDEX(Table32[[#All],[Ai,t]], MATCH(1, (Table1423[[#This Row],[year t]]=Table32[[#All],[year t]])*(Table1423[[#This Row],[stratum i]]=Table32[[#All],[stratum i]]), 0))</f>
        <v>2222.8442528571427</v>
      </c>
      <c r="AH108" t="str">
        <f>INDEX(Table31[[#All],[Soil type (t=0)]], MATCH(Table1423[[#This Row],[stratum i]], Table31[[#All],[Stratum i]]))</f>
        <v>Mineral soil</v>
      </c>
      <c r="AI108">
        <f>IF(Emission_reduction_from_stock_loss?, INDEX(Table2[[#All],[End_PDT]], MATCH(Table1423[[#This Row],[stratum i]], Table2[[#All],[stratum i]])), crediting_period)</f>
        <v>40</v>
      </c>
      <c r="AJ108">
        <f>IF(Emission_reduction_from_stock_loss?, INDEX(Table2[[#All],[End_SDT]], MATCH(Table1423[[#This Row],[stratum i]], Table2[[#All],[stratum i]])), crediting_period)</f>
        <v>40</v>
      </c>
      <c r="AK108" cm="1">
        <f t="array" ref="AK10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8" s="30" cm="1">
        <f t="array" ref="AL108">INDEX(Table32[[#All],[%Calloch WPS]], MATCH(1, (Table1423[[#This Row],[year t]]=Table32[[#All],[year t]])*(Table1423[[#This Row],[stratum i]]=Table32[[#All],[stratum i]]), 0))</f>
        <v>23.561573856247001</v>
      </c>
      <c r="AM10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8">
        <f>(Table1423[[#This Row],[GHGWPS-soil-CO2,i,t]]-Table1423[[#This Row],[Deductionalloch WPS (Eq 38)]])*Table1423[[#This Row],[Ai,t]]</f>
        <v>-14952.143030095611</v>
      </c>
      <c r="AO108" cm="1">
        <f t="array" ref="AO108">IF(project_soil_CH4 = "Included", INDEX(Table1830[[#All],[GHGWPS-soil-CH4,i,t (Eq 59)]], MATCH(1, (Table1423[[#This Row],[year t]]=Table1830[[#All],[year t]])*(Table1423[[#This Row],[stratum i]]=Table1830[[#All],[stratum i]]), 0)), 0)</f>
        <v>0</v>
      </c>
      <c r="AP108" cm="1">
        <f t="array" ref="AP108">IF(project_soil_N2O = "Included", INDEX(Table1830[[#All],[GHGWPS-soil-N2O,i,t (Eq 62)]], MATCH(1, (Table1423[[#This Row],[year t]]=Table1830[[#All],[year t]])*(Table1423[[#This Row],[stratum i]]=Table1830[[#All],[stratum i]]), 0)), 0)</f>
        <v>0</v>
      </c>
      <c r="AQ108">
        <f>Table1423[[#This Row],[Ai,t]]*(Table1423[[#This Row],[GHGWPS-soil-CO2,i,t]]-Table1423[[#This Row],[Deductionalloch WPS (Eq 38)]]+Table1423[[#This Row],[GHGWPS-soil-CH4,i,t]]+Table1423[[#This Row],[GHGWPS-soil-N2O,i,t]])</f>
        <v>-14952.143030095611</v>
      </c>
      <c r="AR108" t="e" cm="1">
        <f t="array" ref="AR108">INDEX(#REF!, MATCH(1, (Table1423[[#This Row],[year t]]=Table32[[#All],[year t]])*(Table1423[[#This Row],[stratum i]]=Table32[[#All],[stratum i]]), 0))</f>
        <v>#REF!</v>
      </c>
      <c r="AS108" t="e" cm="1">
        <f t="array" ref="AS108">INDEX(#REF!, MATCH(1, (Table1423[[#This Row],[year t]]=Table32[[#All],[year t]])*(Table1423[[#This Row],[stratum i]]=Table32[[#All],[stratum i]]), 0))</f>
        <v>#REF!</v>
      </c>
      <c r="AT108" t="e" cm="1">
        <f t="array" ref="AT108">INDEX(#REF!, MATCH(1, (Table1423[[#This Row],[year t]]=Table32[[#All],[year t]])*(Table1423[[#This Row],[stratum i]]=Table32[[#All],[stratum i]]), 0))</f>
        <v>#REF!</v>
      </c>
      <c r="AU108" t="e" cm="1">
        <f t="array" ref="AU108">INDEX(#REF!, MATCH(1, (Table1423[[#This Row],[year t]]=Table32[[#All],[year t]])*(Table1423[[#This Row],[stratum i]]=Table32[[#All],[stratum i]]), 0))</f>
        <v>#REF!</v>
      </c>
      <c r="AV108" s="30"/>
      <c r="BB108" s="18">
        <v>2048</v>
      </c>
      <c r="BC108">
        <v>3</v>
      </c>
      <c r="BD108" cm="1">
        <f t="array" ref="BD108">INDEX(Table32[[#All],[∆CWPS-soil,i,t (tC/ha)]], MATCH(1, (Table1329[[#This Row],[year t]]=Table32[[#All],[year t]])*(Table1329[[#This Row],[stratum i]]=Table32[[#All],[stratum i]]), 0))</f>
        <v>2.4</v>
      </c>
      <c r="BE108">
        <f>-44/12*Table1329[[#This Row],[∆CWPS-soil,i,t (tC/ha)]]</f>
        <v>-8.7999999999999989</v>
      </c>
    </row>
    <row r="109" spans="11:57" x14ac:dyDescent="0.2">
      <c r="K109" s="18">
        <v>2049</v>
      </c>
      <c r="L109">
        <v>3</v>
      </c>
      <c r="M109" cm="1">
        <f t="array" ref="M109">IF(project_aboveground_tree = "Included", INDEX(Table32[[#All],[ΔCTREE_PROJ,i,t (AR Tool 14) t C/yr]], MATCH(1, (Table1221[[#This Row],[year t]]=Table32[[#All],[year t]])*(Table1221[[#This Row],[stratum i]]=Table32[[#All],[stratum i]]), 0)), 0)</f>
        <v>29663.145099302696</v>
      </c>
      <c r="N109" s="57" cm="1">
        <f t="array" ref="N109">IF(project_aboveground_nontree = "Included", INDEX(#REF!, MATCH(1, (Table1221[[#This Row],[year t]]=Table32[[#All],[year t]])*(Table1221[[#This Row],[stratum i]]=Table32[[#All],[stratum i]]), 0)), 0)</f>
        <v>0</v>
      </c>
      <c r="O109">
        <f>12/44*(Table1221[[#This Row],[ΔCTREE_PROJ,t (AR Tool 14) t CO2e/yr]]+Table1221[[#This Row],[ΔCSHRUB_PROJ,t (AR Tool 14) t CO2e/yr]])</f>
        <v>8089.9486634461891</v>
      </c>
      <c r="P109" cm="1">
        <f t="array" ref="P109">IF(project_aboveground_nontree = "Included", IFERROR(INDEX(Table1322[[#All],[ΔCWPS-herb,i,t (Eq 78)]], MATCH(1, (Table1221[[#This Row],[stratum i]]=Table1322[[#All],[stratum i]])*(Table1221[[#This Row],[year t]]&gt;=#REF!)*(Table1221[[#This Row],[year t]]&lt;=Table1322[[#All],[year t]]), 0)), 0), 0)</f>
        <v>0</v>
      </c>
      <c r="Q109">
        <f>Table1221[[#This Row],[ΔCWPS-tree/shrub,i,t (t C/yr) (Eq 75)]]+Table1221[[#This Row],[ΔCWPS-herb,i,t (t C/yr)]]</f>
        <v>8089.9486634461891</v>
      </c>
      <c r="R109" cm="1">
        <f t="array" ref="R109">INDEX(Table1423[[#All],[GHGWPS-soil,i,t]], MATCH(1, (Table1221[[#This Row],[year t]]=Table1423[[#All],[year t]])*(Table1221[[#This Row],[stratum i]]=Table1423[[#All],[stratum i]]), 0))</f>
        <v>-14952.143030095611</v>
      </c>
      <c r="S109">
        <f>IF(project_ff_CO2 = "Included", Table1221[[#This Row],[ET(FC,I,t) AR-Tool 5 WPS]], 0)</f>
        <v>0</v>
      </c>
      <c r="T109" t="e" cm="1">
        <f t="array" ref="T109">INDEX(#REF!, MATCH(1, (Table1221[[#This Row],[year t]]=Table32[[#All],[year t]])*(Table1221[[#This Row],[stratum i]]=Table32[[#All],[stratum i]]), 0))</f>
        <v>#REF!</v>
      </c>
      <c r="AE109" s="18">
        <v>2049</v>
      </c>
      <c r="AF109">
        <v>3</v>
      </c>
      <c r="AG109" s="18" cm="1">
        <f t="array" ref="AG109">INDEX(Table32[[#All],[Ai,t]], MATCH(1, (Table1423[[#This Row],[year t]]=Table32[[#All],[year t]])*(Table1423[[#This Row],[stratum i]]=Table32[[#All],[stratum i]]), 0))</f>
        <v>2222.8442528571427</v>
      </c>
      <c r="AH109" t="str">
        <f>INDEX(Table31[[#All],[Soil type (t=0)]], MATCH(Table1423[[#This Row],[stratum i]], Table31[[#All],[Stratum i]]))</f>
        <v>Mineral soil</v>
      </c>
      <c r="AI109">
        <f>IF(Emission_reduction_from_stock_loss?, INDEX(Table2[[#All],[End_PDT]], MATCH(Table1423[[#This Row],[stratum i]], Table2[[#All],[stratum i]])), crediting_period)</f>
        <v>40</v>
      </c>
      <c r="AJ109">
        <f>IF(Emission_reduction_from_stock_loss?, INDEX(Table2[[#All],[End_SDT]], MATCH(Table1423[[#This Row],[stratum i]], Table2[[#All],[stratum i]])), crediting_period)</f>
        <v>40</v>
      </c>
      <c r="AK109" cm="1">
        <f t="array" ref="AK10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09" s="30" cm="1">
        <f t="array" ref="AL109">INDEX(Table32[[#All],[%Calloch WPS]], MATCH(1, (Table1423[[#This Row],[year t]]=Table32[[#All],[year t]])*(Table1423[[#This Row],[stratum i]]=Table32[[#All],[stratum i]]), 0))</f>
        <v>23.561573856247001</v>
      </c>
      <c r="AM10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09">
        <f>(Table1423[[#This Row],[GHGWPS-soil-CO2,i,t]]-Table1423[[#This Row],[Deductionalloch WPS (Eq 38)]])*Table1423[[#This Row],[Ai,t]]</f>
        <v>-14952.143030095611</v>
      </c>
      <c r="AO109" cm="1">
        <f t="array" ref="AO109">IF(project_soil_CH4 = "Included", INDEX(Table1830[[#All],[GHGWPS-soil-CH4,i,t (Eq 59)]], MATCH(1, (Table1423[[#This Row],[year t]]=Table1830[[#All],[year t]])*(Table1423[[#This Row],[stratum i]]=Table1830[[#All],[stratum i]]), 0)), 0)</f>
        <v>0</v>
      </c>
      <c r="AP109" cm="1">
        <f t="array" ref="AP109">IF(project_soil_N2O = "Included", INDEX(Table1830[[#All],[GHGWPS-soil-N2O,i,t (Eq 62)]], MATCH(1, (Table1423[[#This Row],[year t]]=Table1830[[#All],[year t]])*(Table1423[[#This Row],[stratum i]]=Table1830[[#All],[stratum i]]), 0)), 0)</f>
        <v>0</v>
      </c>
      <c r="AQ109">
        <f>Table1423[[#This Row],[Ai,t]]*(Table1423[[#This Row],[GHGWPS-soil-CO2,i,t]]-Table1423[[#This Row],[Deductionalloch WPS (Eq 38)]]+Table1423[[#This Row],[GHGWPS-soil-CH4,i,t]]+Table1423[[#This Row],[GHGWPS-soil-N2O,i,t]])</f>
        <v>-14952.143030095611</v>
      </c>
      <c r="AR109" t="e" cm="1">
        <f t="array" ref="AR109">INDEX(#REF!, MATCH(1, (Table1423[[#This Row],[year t]]=Table32[[#All],[year t]])*(Table1423[[#This Row],[stratum i]]=Table32[[#All],[stratum i]]), 0))</f>
        <v>#REF!</v>
      </c>
      <c r="AS109" t="e" cm="1">
        <f t="array" ref="AS109">INDEX(#REF!, MATCH(1, (Table1423[[#This Row],[year t]]=Table32[[#All],[year t]])*(Table1423[[#This Row],[stratum i]]=Table32[[#All],[stratum i]]), 0))</f>
        <v>#REF!</v>
      </c>
      <c r="AT109" t="e" cm="1">
        <f t="array" ref="AT109">INDEX(#REF!, MATCH(1, (Table1423[[#This Row],[year t]]=Table32[[#All],[year t]])*(Table1423[[#This Row],[stratum i]]=Table32[[#All],[stratum i]]), 0))</f>
        <v>#REF!</v>
      </c>
      <c r="AU109" t="e" cm="1">
        <f t="array" ref="AU109">INDEX(#REF!, MATCH(1, (Table1423[[#This Row],[year t]]=Table32[[#All],[year t]])*(Table1423[[#This Row],[stratum i]]=Table32[[#All],[stratum i]]), 0))</f>
        <v>#REF!</v>
      </c>
      <c r="AV109" s="30"/>
      <c r="BB109" s="18">
        <v>2049</v>
      </c>
      <c r="BC109">
        <v>3</v>
      </c>
      <c r="BD109" cm="1">
        <f t="array" ref="BD109">INDEX(Table32[[#All],[∆CWPS-soil,i,t (tC/ha)]], MATCH(1, (Table1329[[#This Row],[year t]]=Table32[[#All],[year t]])*(Table1329[[#This Row],[stratum i]]=Table32[[#All],[stratum i]]), 0))</f>
        <v>2.4</v>
      </c>
      <c r="BE109">
        <f>-44/12*Table1329[[#This Row],[∆CWPS-soil,i,t (tC/ha)]]</f>
        <v>-8.7999999999999989</v>
      </c>
    </row>
    <row r="110" spans="11:57" x14ac:dyDescent="0.2">
      <c r="K110" s="18">
        <v>2050</v>
      </c>
      <c r="L110">
        <v>3</v>
      </c>
      <c r="M110" cm="1">
        <f t="array" ref="M110">IF(project_aboveground_tree = "Included", INDEX(Table32[[#All],[ΔCTREE_PROJ,i,t (AR Tool 14) t C/yr]], MATCH(1, (Table1221[[#This Row],[year t]]=Table32[[#All],[year t]])*(Table1221[[#This Row],[stratum i]]=Table32[[#All],[stratum i]]), 0)), 0)</f>
        <v>28155.793858559162</v>
      </c>
      <c r="N110" s="57" cm="1">
        <f t="array" ref="N110">IF(project_aboveground_nontree = "Included", INDEX(#REF!, MATCH(1, (Table1221[[#This Row],[year t]]=Table32[[#All],[year t]])*(Table1221[[#This Row],[stratum i]]=Table32[[#All],[stratum i]]), 0)), 0)</f>
        <v>0</v>
      </c>
      <c r="O110">
        <f>12/44*(Table1221[[#This Row],[ΔCTREE_PROJ,t (AR Tool 14) t CO2e/yr]]+Table1221[[#This Row],[ΔCSHRUB_PROJ,t (AR Tool 14) t CO2e/yr]])</f>
        <v>7678.8528705161343</v>
      </c>
      <c r="P110" cm="1">
        <f t="array" ref="P110">IF(project_aboveground_nontree = "Included", IFERROR(INDEX(Table1322[[#All],[ΔCWPS-herb,i,t (Eq 78)]], MATCH(1, (Table1221[[#This Row],[stratum i]]=Table1322[[#All],[stratum i]])*(Table1221[[#This Row],[year t]]&gt;=#REF!)*(Table1221[[#This Row],[year t]]&lt;=Table1322[[#All],[year t]]), 0)), 0), 0)</f>
        <v>0</v>
      </c>
      <c r="Q110">
        <f>Table1221[[#This Row],[ΔCWPS-tree/shrub,i,t (t C/yr) (Eq 75)]]+Table1221[[#This Row],[ΔCWPS-herb,i,t (t C/yr)]]</f>
        <v>7678.8528705161343</v>
      </c>
      <c r="R110" cm="1">
        <f t="array" ref="R110">INDEX(Table1423[[#All],[GHGWPS-soil,i,t]], MATCH(1, (Table1221[[#This Row],[year t]]=Table1423[[#All],[year t]])*(Table1221[[#This Row],[stratum i]]=Table1423[[#All],[stratum i]]), 0))</f>
        <v>-14952.143030095611</v>
      </c>
      <c r="S110">
        <f>IF(project_ff_CO2 = "Included", Table1221[[#This Row],[ET(FC,I,t) AR-Tool 5 WPS]], 0)</f>
        <v>0</v>
      </c>
      <c r="T110" t="e" cm="1">
        <f t="array" ref="T110">INDEX(#REF!, MATCH(1, (Table1221[[#This Row],[year t]]=Table32[[#All],[year t]])*(Table1221[[#This Row],[stratum i]]=Table32[[#All],[stratum i]]), 0))</f>
        <v>#REF!</v>
      </c>
      <c r="AE110" s="18">
        <v>2050</v>
      </c>
      <c r="AF110">
        <v>3</v>
      </c>
      <c r="AG110" s="18" cm="1">
        <f t="array" ref="AG110">INDEX(Table32[[#All],[Ai,t]], MATCH(1, (Table1423[[#This Row],[year t]]=Table32[[#All],[year t]])*(Table1423[[#This Row],[stratum i]]=Table32[[#All],[stratum i]]), 0))</f>
        <v>2222.8442528571427</v>
      </c>
      <c r="AH110" t="str">
        <f>INDEX(Table31[[#All],[Soil type (t=0)]], MATCH(Table1423[[#This Row],[stratum i]], Table31[[#All],[Stratum i]]))</f>
        <v>Mineral soil</v>
      </c>
      <c r="AI110">
        <f>IF(Emission_reduction_from_stock_loss?, INDEX(Table2[[#All],[End_PDT]], MATCH(Table1423[[#This Row],[stratum i]], Table2[[#All],[stratum i]])), crediting_period)</f>
        <v>40</v>
      </c>
      <c r="AJ110">
        <f>IF(Emission_reduction_from_stock_loss?, INDEX(Table2[[#All],[End_SDT]], MATCH(Table1423[[#This Row],[stratum i]], Table2[[#All],[stratum i]])), crediting_period)</f>
        <v>40</v>
      </c>
      <c r="AK110" cm="1">
        <f t="array" ref="AK11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0" s="30" cm="1">
        <f t="array" ref="AL110">INDEX(Table32[[#All],[%Calloch WPS]], MATCH(1, (Table1423[[#This Row],[year t]]=Table32[[#All],[year t]])*(Table1423[[#This Row],[stratum i]]=Table32[[#All],[stratum i]]), 0))</f>
        <v>23.561573856247001</v>
      </c>
      <c r="AM11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0">
        <f>(Table1423[[#This Row],[GHGWPS-soil-CO2,i,t]]-Table1423[[#This Row],[Deductionalloch WPS (Eq 38)]])*Table1423[[#This Row],[Ai,t]]</f>
        <v>-14952.143030095611</v>
      </c>
      <c r="AO110" cm="1">
        <f t="array" ref="AO110">IF(project_soil_CH4 = "Included", INDEX(Table1830[[#All],[GHGWPS-soil-CH4,i,t (Eq 59)]], MATCH(1, (Table1423[[#This Row],[year t]]=Table1830[[#All],[year t]])*(Table1423[[#This Row],[stratum i]]=Table1830[[#All],[stratum i]]), 0)), 0)</f>
        <v>0</v>
      </c>
      <c r="AP110" cm="1">
        <f t="array" ref="AP110">IF(project_soil_N2O = "Included", INDEX(Table1830[[#All],[GHGWPS-soil-N2O,i,t (Eq 62)]], MATCH(1, (Table1423[[#This Row],[year t]]=Table1830[[#All],[year t]])*(Table1423[[#This Row],[stratum i]]=Table1830[[#All],[stratum i]]), 0)), 0)</f>
        <v>0</v>
      </c>
      <c r="AQ110">
        <f>Table1423[[#This Row],[Ai,t]]*(Table1423[[#This Row],[GHGWPS-soil-CO2,i,t]]-Table1423[[#This Row],[Deductionalloch WPS (Eq 38)]]+Table1423[[#This Row],[GHGWPS-soil-CH4,i,t]]+Table1423[[#This Row],[GHGWPS-soil-N2O,i,t]])</f>
        <v>-14952.143030095611</v>
      </c>
      <c r="AR110" t="e" cm="1">
        <f t="array" ref="AR110">INDEX(#REF!, MATCH(1, (Table1423[[#This Row],[year t]]=Table32[[#All],[year t]])*(Table1423[[#This Row],[stratum i]]=Table32[[#All],[stratum i]]), 0))</f>
        <v>#REF!</v>
      </c>
      <c r="AS110" t="e" cm="1">
        <f t="array" ref="AS110">INDEX(#REF!, MATCH(1, (Table1423[[#This Row],[year t]]=Table32[[#All],[year t]])*(Table1423[[#This Row],[stratum i]]=Table32[[#All],[stratum i]]), 0))</f>
        <v>#REF!</v>
      </c>
      <c r="AT110" t="e" cm="1">
        <f t="array" ref="AT110">INDEX(#REF!, MATCH(1, (Table1423[[#This Row],[year t]]=Table32[[#All],[year t]])*(Table1423[[#This Row],[stratum i]]=Table32[[#All],[stratum i]]), 0))</f>
        <v>#REF!</v>
      </c>
      <c r="AU110" t="e" cm="1">
        <f t="array" ref="AU110">INDEX(#REF!, MATCH(1, (Table1423[[#This Row],[year t]]=Table32[[#All],[year t]])*(Table1423[[#This Row],[stratum i]]=Table32[[#All],[stratum i]]), 0))</f>
        <v>#REF!</v>
      </c>
      <c r="AV110" s="30"/>
      <c r="BB110" s="18">
        <v>2050</v>
      </c>
      <c r="BC110">
        <v>3</v>
      </c>
      <c r="BD110" cm="1">
        <f t="array" ref="BD110">INDEX(Table32[[#All],[∆CWPS-soil,i,t (tC/ha)]], MATCH(1, (Table1329[[#This Row],[year t]]=Table32[[#All],[year t]])*(Table1329[[#This Row],[stratum i]]=Table32[[#All],[stratum i]]), 0))</f>
        <v>2.4</v>
      </c>
      <c r="BE110">
        <f>-44/12*Table1329[[#This Row],[∆CWPS-soil,i,t (tC/ha)]]</f>
        <v>-8.7999999999999989</v>
      </c>
    </row>
    <row r="111" spans="11:57" x14ac:dyDescent="0.2">
      <c r="K111" s="18">
        <v>2051</v>
      </c>
      <c r="L111">
        <v>3</v>
      </c>
      <c r="M111" cm="1">
        <f t="array" ref="M111">IF(project_aboveground_tree = "Included", INDEX(Table32[[#All],[ΔCTREE_PROJ,i,t (AR Tool 14) t C/yr]], MATCH(1, (Table1221[[#This Row],[year t]]=Table32[[#All],[year t]])*(Table1221[[#This Row],[stratum i]]=Table32[[#All],[stratum i]]), 0)), 0)</f>
        <v>26534.765782379254</v>
      </c>
      <c r="N111" s="57" cm="1">
        <f t="array" ref="N111">IF(project_aboveground_nontree = "Included", INDEX(#REF!, MATCH(1, (Table1221[[#This Row],[year t]]=Table32[[#All],[year t]])*(Table1221[[#This Row],[stratum i]]=Table32[[#All],[stratum i]]), 0)), 0)</f>
        <v>0</v>
      </c>
      <c r="O111">
        <f>12/44*(Table1221[[#This Row],[ΔCTREE_PROJ,t (AR Tool 14) t CO2e/yr]]+Table1221[[#This Row],[ΔCSHRUB_PROJ,t (AR Tool 14) t CO2e/yr]])</f>
        <v>7236.7543042852503</v>
      </c>
      <c r="P111" cm="1">
        <f t="array" ref="P111">IF(project_aboveground_nontree = "Included", IFERROR(INDEX(Table1322[[#All],[ΔCWPS-herb,i,t (Eq 78)]], MATCH(1, (Table1221[[#This Row],[stratum i]]=Table1322[[#All],[stratum i]])*(Table1221[[#This Row],[year t]]&gt;=#REF!)*(Table1221[[#This Row],[year t]]&lt;=Table1322[[#All],[year t]]), 0)), 0), 0)</f>
        <v>0</v>
      </c>
      <c r="Q111">
        <f>Table1221[[#This Row],[ΔCWPS-tree/shrub,i,t (t C/yr) (Eq 75)]]+Table1221[[#This Row],[ΔCWPS-herb,i,t (t C/yr)]]</f>
        <v>7236.7543042852503</v>
      </c>
      <c r="R111" cm="1">
        <f t="array" ref="R111">INDEX(Table1423[[#All],[GHGWPS-soil,i,t]], MATCH(1, (Table1221[[#This Row],[year t]]=Table1423[[#All],[year t]])*(Table1221[[#This Row],[stratum i]]=Table1423[[#All],[stratum i]]), 0))</f>
        <v>-14952.143030095611</v>
      </c>
      <c r="S111">
        <f>IF(project_ff_CO2 = "Included", Table1221[[#This Row],[ET(FC,I,t) AR-Tool 5 WPS]], 0)</f>
        <v>0</v>
      </c>
      <c r="T111" t="e" cm="1">
        <f t="array" ref="T111">INDEX(#REF!, MATCH(1, (Table1221[[#This Row],[year t]]=Table32[[#All],[year t]])*(Table1221[[#This Row],[stratum i]]=Table32[[#All],[stratum i]]), 0))</f>
        <v>#REF!</v>
      </c>
      <c r="AE111" s="18">
        <v>2051</v>
      </c>
      <c r="AF111">
        <v>3</v>
      </c>
      <c r="AG111" s="18" cm="1">
        <f t="array" ref="AG111">INDEX(Table32[[#All],[Ai,t]], MATCH(1, (Table1423[[#This Row],[year t]]=Table32[[#All],[year t]])*(Table1423[[#This Row],[stratum i]]=Table32[[#All],[stratum i]]), 0))</f>
        <v>2222.8442528571427</v>
      </c>
      <c r="AH111" t="str">
        <f>INDEX(Table31[[#All],[Soil type (t=0)]], MATCH(Table1423[[#This Row],[stratum i]], Table31[[#All],[Stratum i]]))</f>
        <v>Mineral soil</v>
      </c>
      <c r="AI111">
        <f>IF(Emission_reduction_from_stock_loss?, INDEX(Table2[[#All],[End_PDT]], MATCH(Table1423[[#This Row],[stratum i]], Table2[[#All],[stratum i]])), crediting_period)</f>
        <v>40</v>
      </c>
      <c r="AJ111">
        <f>IF(Emission_reduction_from_stock_loss?, INDEX(Table2[[#All],[End_SDT]], MATCH(Table1423[[#This Row],[stratum i]], Table2[[#All],[stratum i]])), crediting_period)</f>
        <v>40</v>
      </c>
      <c r="AK111" cm="1">
        <f t="array" ref="AK11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1" s="30" cm="1">
        <f t="array" ref="AL111">INDEX(Table32[[#All],[%Calloch WPS]], MATCH(1, (Table1423[[#This Row],[year t]]=Table32[[#All],[year t]])*(Table1423[[#This Row],[stratum i]]=Table32[[#All],[stratum i]]), 0))</f>
        <v>23.561573856247001</v>
      </c>
      <c r="AM11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1">
        <f>(Table1423[[#This Row],[GHGWPS-soil-CO2,i,t]]-Table1423[[#This Row],[Deductionalloch WPS (Eq 38)]])*Table1423[[#This Row],[Ai,t]]</f>
        <v>-14952.143030095611</v>
      </c>
      <c r="AO111" cm="1">
        <f t="array" ref="AO111">IF(project_soil_CH4 = "Included", INDEX(Table1830[[#All],[GHGWPS-soil-CH4,i,t (Eq 59)]], MATCH(1, (Table1423[[#This Row],[year t]]=Table1830[[#All],[year t]])*(Table1423[[#This Row],[stratum i]]=Table1830[[#All],[stratum i]]), 0)), 0)</f>
        <v>0</v>
      </c>
      <c r="AP111" cm="1">
        <f t="array" ref="AP111">IF(project_soil_N2O = "Included", INDEX(Table1830[[#All],[GHGWPS-soil-N2O,i,t (Eq 62)]], MATCH(1, (Table1423[[#This Row],[year t]]=Table1830[[#All],[year t]])*(Table1423[[#This Row],[stratum i]]=Table1830[[#All],[stratum i]]), 0)), 0)</f>
        <v>0</v>
      </c>
      <c r="AQ111">
        <f>Table1423[[#This Row],[Ai,t]]*(Table1423[[#This Row],[GHGWPS-soil-CO2,i,t]]-Table1423[[#This Row],[Deductionalloch WPS (Eq 38)]]+Table1423[[#This Row],[GHGWPS-soil-CH4,i,t]]+Table1423[[#This Row],[GHGWPS-soil-N2O,i,t]])</f>
        <v>-14952.143030095611</v>
      </c>
      <c r="AR111" t="e" cm="1">
        <f t="array" ref="AR111">INDEX(#REF!, MATCH(1, (Table1423[[#This Row],[year t]]=Table32[[#All],[year t]])*(Table1423[[#This Row],[stratum i]]=Table32[[#All],[stratum i]]), 0))</f>
        <v>#REF!</v>
      </c>
      <c r="AS111" t="e" cm="1">
        <f t="array" ref="AS111">INDEX(#REF!, MATCH(1, (Table1423[[#This Row],[year t]]=Table32[[#All],[year t]])*(Table1423[[#This Row],[stratum i]]=Table32[[#All],[stratum i]]), 0))</f>
        <v>#REF!</v>
      </c>
      <c r="AT111" t="e" cm="1">
        <f t="array" ref="AT111">INDEX(#REF!, MATCH(1, (Table1423[[#This Row],[year t]]=Table32[[#All],[year t]])*(Table1423[[#This Row],[stratum i]]=Table32[[#All],[stratum i]]), 0))</f>
        <v>#REF!</v>
      </c>
      <c r="AU111" t="e" cm="1">
        <f t="array" ref="AU111">INDEX(#REF!, MATCH(1, (Table1423[[#This Row],[year t]]=Table32[[#All],[year t]])*(Table1423[[#This Row],[stratum i]]=Table32[[#All],[stratum i]]), 0))</f>
        <v>#REF!</v>
      </c>
      <c r="AV111" s="30"/>
      <c r="BB111" s="18">
        <v>2051</v>
      </c>
      <c r="BC111">
        <v>3</v>
      </c>
      <c r="BD111" cm="1">
        <f t="array" ref="BD111">INDEX(Table32[[#All],[∆CWPS-soil,i,t (tC/ha)]], MATCH(1, (Table1329[[#This Row],[year t]]=Table32[[#All],[year t]])*(Table1329[[#This Row],[stratum i]]=Table32[[#All],[stratum i]]), 0))</f>
        <v>2.4</v>
      </c>
      <c r="BE111">
        <f>-44/12*Table1329[[#This Row],[∆CWPS-soil,i,t (tC/ha)]]</f>
        <v>-8.7999999999999989</v>
      </c>
    </row>
    <row r="112" spans="11:57" x14ac:dyDescent="0.2">
      <c r="K112" s="18">
        <v>2052</v>
      </c>
      <c r="L112">
        <v>3</v>
      </c>
      <c r="M112" cm="1">
        <f t="array" ref="M112">IF(project_aboveground_tree = "Included", INDEX(Table32[[#All],[ΔCTREE_PROJ,i,t (AR Tool 14) t C/yr]], MATCH(1, (Table1221[[#This Row],[year t]]=Table32[[#All],[year t]])*(Table1221[[#This Row],[stratum i]]=Table32[[#All],[stratum i]]), 0)), 0)</f>
        <v>24849.992102981487</v>
      </c>
      <c r="N112" s="57" cm="1">
        <f t="array" ref="N112">IF(project_aboveground_nontree = "Included", INDEX(#REF!, MATCH(1, (Table1221[[#This Row],[year t]]=Table32[[#All],[year t]])*(Table1221[[#This Row],[stratum i]]=Table32[[#All],[stratum i]]), 0)), 0)</f>
        <v>0</v>
      </c>
      <c r="O112">
        <f>12/44*(Table1221[[#This Row],[ΔCTREE_PROJ,t (AR Tool 14) t CO2e/yr]]+Table1221[[#This Row],[ΔCSHRUB_PROJ,t (AR Tool 14) t CO2e/yr]])</f>
        <v>6777.2705735404052</v>
      </c>
      <c r="P112" cm="1">
        <f t="array" ref="P112">IF(project_aboveground_nontree = "Included", IFERROR(INDEX(Table1322[[#All],[ΔCWPS-herb,i,t (Eq 78)]], MATCH(1, (Table1221[[#This Row],[stratum i]]=Table1322[[#All],[stratum i]])*(Table1221[[#This Row],[year t]]&gt;=#REF!)*(Table1221[[#This Row],[year t]]&lt;=Table1322[[#All],[year t]]), 0)), 0), 0)</f>
        <v>0</v>
      </c>
      <c r="Q112">
        <f>Table1221[[#This Row],[ΔCWPS-tree/shrub,i,t (t C/yr) (Eq 75)]]+Table1221[[#This Row],[ΔCWPS-herb,i,t (t C/yr)]]</f>
        <v>6777.2705735404052</v>
      </c>
      <c r="R112" cm="1">
        <f t="array" ref="R112">INDEX(Table1423[[#All],[GHGWPS-soil,i,t]], MATCH(1, (Table1221[[#This Row],[year t]]=Table1423[[#All],[year t]])*(Table1221[[#This Row],[stratum i]]=Table1423[[#All],[stratum i]]), 0))</f>
        <v>-14952.143030095611</v>
      </c>
      <c r="S112">
        <f>IF(project_ff_CO2 = "Included", Table1221[[#This Row],[ET(FC,I,t) AR-Tool 5 WPS]], 0)</f>
        <v>0</v>
      </c>
      <c r="T112" t="e" cm="1">
        <f t="array" ref="T112">INDEX(#REF!, MATCH(1, (Table1221[[#This Row],[year t]]=Table32[[#All],[year t]])*(Table1221[[#This Row],[stratum i]]=Table32[[#All],[stratum i]]), 0))</f>
        <v>#REF!</v>
      </c>
      <c r="AE112" s="18">
        <v>2052</v>
      </c>
      <c r="AF112">
        <v>3</v>
      </c>
      <c r="AG112" s="18" cm="1">
        <f t="array" ref="AG112">INDEX(Table32[[#All],[Ai,t]], MATCH(1, (Table1423[[#This Row],[year t]]=Table32[[#All],[year t]])*(Table1423[[#This Row],[stratum i]]=Table32[[#All],[stratum i]]), 0))</f>
        <v>2222.8442528571427</v>
      </c>
      <c r="AH112" t="str">
        <f>INDEX(Table31[[#All],[Soil type (t=0)]], MATCH(Table1423[[#This Row],[stratum i]], Table31[[#All],[Stratum i]]))</f>
        <v>Mineral soil</v>
      </c>
      <c r="AI112">
        <f>IF(Emission_reduction_from_stock_loss?, INDEX(Table2[[#All],[End_PDT]], MATCH(Table1423[[#This Row],[stratum i]], Table2[[#All],[stratum i]])), crediting_period)</f>
        <v>40</v>
      </c>
      <c r="AJ112">
        <f>IF(Emission_reduction_from_stock_loss?, INDEX(Table2[[#All],[End_SDT]], MATCH(Table1423[[#This Row],[stratum i]], Table2[[#All],[stratum i]])), crediting_period)</f>
        <v>40</v>
      </c>
      <c r="AK112" cm="1">
        <f t="array" ref="AK11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2" s="30" cm="1">
        <f t="array" ref="AL112">INDEX(Table32[[#All],[%Calloch WPS]], MATCH(1, (Table1423[[#This Row],[year t]]=Table32[[#All],[year t]])*(Table1423[[#This Row],[stratum i]]=Table32[[#All],[stratum i]]), 0))</f>
        <v>23.561573856247001</v>
      </c>
      <c r="AM11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2">
        <f>(Table1423[[#This Row],[GHGWPS-soil-CO2,i,t]]-Table1423[[#This Row],[Deductionalloch WPS (Eq 38)]])*Table1423[[#This Row],[Ai,t]]</f>
        <v>-14952.143030095611</v>
      </c>
      <c r="AO112" cm="1">
        <f t="array" ref="AO112">IF(project_soil_CH4 = "Included", INDEX(Table1830[[#All],[GHGWPS-soil-CH4,i,t (Eq 59)]], MATCH(1, (Table1423[[#This Row],[year t]]=Table1830[[#All],[year t]])*(Table1423[[#This Row],[stratum i]]=Table1830[[#All],[stratum i]]), 0)), 0)</f>
        <v>0</v>
      </c>
      <c r="AP112" cm="1">
        <f t="array" ref="AP112">IF(project_soil_N2O = "Included", INDEX(Table1830[[#All],[GHGWPS-soil-N2O,i,t (Eq 62)]], MATCH(1, (Table1423[[#This Row],[year t]]=Table1830[[#All],[year t]])*(Table1423[[#This Row],[stratum i]]=Table1830[[#All],[stratum i]]), 0)), 0)</f>
        <v>0</v>
      </c>
      <c r="AQ112">
        <f>Table1423[[#This Row],[Ai,t]]*(Table1423[[#This Row],[GHGWPS-soil-CO2,i,t]]-Table1423[[#This Row],[Deductionalloch WPS (Eq 38)]]+Table1423[[#This Row],[GHGWPS-soil-CH4,i,t]]+Table1423[[#This Row],[GHGWPS-soil-N2O,i,t]])</f>
        <v>-14952.143030095611</v>
      </c>
      <c r="AR112" t="e" cm="1">
        <f t="array" ref="AR112">INDEX(#REF!, MATCH(1, (Table1423[[#This Row],[year t]]=Table32[[#All],[year t]])*(Table1423[[#This Row],[stratum i]]=Table32[[#All],[stratum i]]), 0))</f>
        <v>#REF!</v>
      </c>
      <c r="AS112" t="e" cm="1">
        <f t="array" ref="AS112">INDEX(#REF!, MATCH(1, (Table1423[[#This Row],[year t]]=Table32[[#All],[year t]])*(Table1423[[#This Row],[stratum i]]=Table32[[#All],[stratum i]]), 0))</f>
        <v>#REF!</v>
      </c>
      <c r="AT112" t="e" cm="1">
        <f t="array" ref="AT112">INDEX(#REF!, MATCH(1, (Table1423[[#This Row],[year t]]=Table32[[#All],[year t]])*(Table1423[[#This Row],[stratum i]]=Table32[[#All],[stratum i]]), 0))</f>
        <v>#REF!</v>
      </c>
      <c r="AU112" t="e" cm="1">
        <f t="array" ref="AU112">INDEX(#REF!, MATCH(1, (Table1423[[#This Row],[year t]]=Table32[[#All],[year t]])*(Table1423[[#This Row],[stratum i]]=Table32[[#All],[stratum i]]), 0))</f>
        <v>#REF!</v>
      </c>
      <c r="AV112" s="30"/>
      <c r="BB112" s="18">
        <v>2052</v>
      </c>
      <c r="BC112">
        <v>3</v>
      </c>
      <c r="BD112" cm="1">
        <f t="array" ref="BD112">INDEX(Table32[[#All],[∆CWPS-soil,i,t (tC/ha)]], MATCH(1, (Table1329[[#This Row],[year t]]=Table32[[#All],[year t]])*(Table1329[[#This Row],[stratum i]]=Table32[[#All],[stratum i]]), 0))</f>
        <v>2.4</v>
      </c>
      <c r="BE112">
        <f>-44/12*Table1329[[#This Row],[∆CWPS-soil,i,t (tC/ha)]]</f>
        <v>-8.7999999999999989</v>
      </c>
    </row>
    <row r="113" spans="11:57" x14ac:dyDescent="0.2">
      <c r="K113" s="18">
        <v>2053</v>
      </c>
      <c r="L113">
        <v>3</v>
      </c>
      <c r="M113" cm="1">
        <f t="array" ref="M113">IF(project_aboveground_tree = "Included", INDEX(Table32[[#All],[ΔCTREE_PROJ,i,t (AR Tool 14) t C/yr]], MATCH(1, (Table1221[[#This Row],[year t]]=Table32[[#All],[year t]])*(Table1221[[#This Row],[stratum i]]=Table32[[#All],[stratum i]]), 0)), 0)</f>
        <v>23143.079102289048</v>
      </c>
      <c r="N113" s="57" cm="1">
        <f t="array" ref="N113">IF(project_aboveground_nontree = "Included", INDEX(#REF!, MATCH(1, (Table1221[[#This Row],[year t]]=Table32[[#All],[year t]])*(Table1221[[#This Row],[stratum i]]=Table32[[#All],[stratum i]]), 0)), 0)</f>
        <v>0</v>
      </c>
      <c r="O113">
        <f>12/44*(Table1221[[#This Row],[ΔCTREE_PROJ,t (AR Tool 14) t CO2e/yr]]+Table1221[[#This Row],[ΔCSHRUB_PROJ,t (AR Tool 14) t CO2e/yr]])</f>
        <v>6311.7488460788309</v>
      </c>
      <c r="P113" cm="1">
        <f t="array" ref="P113">IF(project_aboveground_nontree = "Included", IFERROR(INDEX(Table1322[[#All],[ΔCWPS-herb,i,t (Eq 78)]], MATCH(1, (Table1221[[#This Row],[stratum i]]=Table1322[[#All],[stratum i]])*(Table1221[[#This Row],[year t]]&gt;=#REF!)*(Table1221[[#This Row],[year t]]&lt;=Table1322[[#All],[year t]]), 0)), 0), 0)</f>
        <v>0</v>
      </c>
      <c r="Q113">
        <f>Table1221[[#This Row],[ΔCWPS-tree/shrub,i,t (t C/yr) (Eq 75)]]+Table1221[[#This Row],[ΔCWPS-herb,i,t (t C/yr)]]</f>
        <v>6311.7488460788309</v>
      </c>
      <c r="R113" cm="1">
        <f t="array" ref="R113">INDEX(Table1423[[#All],[GHGWPS-soil,i,t]], MATCH(1, (Table1221[[#This Row],[year t]]=Table1423[[#All],[year t]])*(Table1221[[#This Row],[stratum i]]=Table1423[[#All],[stratum i]]), 0))</f>
        <v>-14952.143030095611</v>
      </c>
      <c r="S113">
        <f>IF(project_ff_CO2 = "Included", Table1221[[#This Row],[ET(FC,I,t) AR-Tool 5 WPS]], 0)</f>
        <v>0</v>
      </c>
      <c r="T113" t="e" cm="1">
        <f t="array" ref="T113">INDEX(#REF!, MATCH(1, (Table1221[[#This Row],[year t]]=Table32[[#All],[year t]])*(Table1221[[#This Row],[stratum i]]=Table32[[#All],[stratum i]]), 0))</f>
        <v>#REF!</v>
      </c>
      <c r="AE113" s="18">
        <v>2053</v>
      </c>
      <c r="AF113">
        <v>3</v>
      </c>
      <c r="AG113" s="18" cm="1">
        <f t="array" ref="AG113">INDEX(Table32[[#All],[Ai,t]], MATCH(1, (Table1423[[#This Row],[year t]]=Table32[[#All],[year t]])*(Table1423[[#This Row],[stratum i]]=Table32[[#All],[stratum i]]), 0))</f>
        <v>2222.8442528571427</v>
      </c>
      <c r="AH113" t="str">
        <f>INDEX(Table31[[#All],[Soil type (t=0)]], MATCH(Table1423[[#This Row],[stratum i]], Table31[[#All],[Stratum i]]))</f>
        <v>Mineral soil</v>
      </c>
      <c r="AI113">
        <f>IF(Emission_reduction_from_stock_loss?, INDEX(Table2[[#All],[End_PDT]], MATCH(Table1423[[#This Row],[stratum i]], Table2[[#All],[stratum i]])), crediting_period)</f>
        <v>40</v>
      </c>
      <c r="AJ113">
        <f>IF(Emission_reduction_from_stock_loss?, INDEX(Table2[[#All],[End_SDT]], MATCH(Table1423[[#This Row],[stratum i]], Table2[[#All],[stratum i]])), crediting_period)</f>
        <v>40</v>
      </c>
      <c r="AK113" cm="1">
        <f t="array" ref="AK11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3" s="30" cm="1">
        <f t="array" ref="AL113">INDEX(Table32[[#All],[%Calloch WPS]], MATCH(1, (Table1423[[#This Row],[year t]]=Table32[[#All],[year t]])*(Table1423[[#This Row],[stratum i]]=Table32[[#All],[stratum i]]), 0))</f>
        <v>23.561573856247001</v>
      </c>
      <c r="AM11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3">
        <f>(Table1423[[#This Row],[GHGWPS-soil-CO2,i,t]]-Table1423[[#This Row],[Deductionalloch WPS (Eq 38)]])*Table1423[[#This Row],[Ai,t]]</f>
        <v>-14952.143030095611</v>
      </c>
      <c r="AO113" cm="1">
        <f t="array" ref="AO113">IF(project_soil_CH4 = "Included", INDEX(Table1830[[#All],[GHGWPS-soil-CH4,i,t (Eq 59)]], MATCH(1, (Table1423[[#This Row],[year t]]=Table1830[[#All],[year t]])*(Table1423[[#This Row],[stratum i]]=Table1830[[#All],[stratum i]]), 0)), 0)</f>
        <v>0</v>
      </c>
      <c r="AP113" cm="1">
        <f t="array" ref="AP113">IF(project_soil_N2O = "Included", INDEX(Table1830[[#All],[GHGWPS-soil-N2O,i,t (Eq 62)]], MATCH(1, (Table1423[[#This Row],[year t]]=Table1830[[#All],[year t]])*(Table1423[[#This Row],[stratum i]]=Table1830[[#All],[stratum i]]), 0)), 0)</f>
        <v>0</v>
      </c>
      <c r="AQ113">
        <f>Table1423[[#This Row],[Ai,t]]*(Table1423[[#This Row],[GHGWPS-soil-CO2,i,t]]-Table1423[[#This Row],[Deductionalloch WPS (Eq 38)]]+Table1423[[#This Row],[GHGWPS-soil-CH4,i,t]]+Table1423[[#This Row],[GHGWPS-soil-N2O,i,t]])</f>
        <v>-14952.143030095611</v>
      </c>
      <c r="AR113" t="e" cm="1">
        <f t="array" ref="AR113">INDEX(#REF!, MATCH(1, (Table1423[[#This Row],[year t]]=Table32[[#All],[year t]])*(Table1423[[#This Row],[stratum i]]=Table32[[#All],[stratum i]]), 0))</f>
        <v>#REF!</v>
      </c>
      <c r="AS113" t="e" cm="1">
        <f t="array" ref="AS113">INDEX(#REF!, MATCH(1, (Table1423[[#This Row],[year t]]=Table32[[#All],[year t]])*(Table1423[[#This Row],[stratum i]]=Table32[[#All],[stratum i]]), 0))</f>
        <v>#REF!</v>
      </c>
      <c r="AT113" t="e" cm="1">
        <f t="array" ref="AT113">INDEX(#REF!, MATCH(1, (Table1423[[#This Row],[year t]]=Table32[[#All],[year t]])*(Table1423[[#This Row],[stratum i]]=Table32[[#All],[stratum i]]), 0))</f>
        <v>#REF!</v>
      </c>
      <c r="AU113" t="e" cm="1">
        <f t="array" ref="AU113">INDEX(#REF!, MATCH(1, (Table1423[[#This Row],[year t]]=Table32[[#All],[year t]])*(Table1423[[#This Row],[stratum i]]=Table32[[#All],[stratum i]]), 0))</f>
        <v>#REF!</v>
      </c>
      <c r="AV113" s="30"/>
      <c r="BB113" s="18">
        <v>2053</v>
      </c>
      <c r="BC113">
        <v>3</v>
      </c>
      <c r="BD113" cm="1">
        <f t="array" ref="BD113">INDEX(Table32[[#All],[∆CWPS-soil,i,t (tC/ha)]], MATCH(1, (Table1329[[#This Row],[year t]]=Table32[[#All],[year t]])*(Table1329[[#This Row],[stratum i]]=Table32[[#All],[stratum i]]), 0))</f>
        <v>2.4</v>
      </c>
      <c r="BE113">
        <f>-44/12*Table1329[[#This Row],[∆CWPS-soil,i,t (tC/ha)]]</f>
        <v>-8.7999999999999989</v>
      </c>
    </row>
    <row r="114" spans="11:57" x14ac:dyDescent="0.2">
      <c r="K114" s="18">
        <v>2054</v>
      </c>
      <c r="L114">
        <v>3</v>
      </c>
      <c r="M114" cm="1">
        <f t="array" ref="M114">IF(project_aboveground_tree = "Included", INDEX(Table32[[#All],[ΔCTREE_PROJ,i,t (AR Tool 14) t C/yr]], MATCH(1, (Table1221[[#This Row],[year t]]=Table32[[#All],[year t]])*(Table1221[[#This Row],[stratum i]]=Table32[[#All],[stratum i]]), 0)), 0)</f>
        <v>21447.688493307622</v>
      </c>
      <c r="N114" s="57" cm="1">
        <f t="array" ref="N114">IF(project_aboveground_nontree = "Included", INDEX(#REF!, MATCH(1, (Table1221[[#This Row],[year t]]=Table32[[#All],[year t]])*(Table1221[[#This Row],[stratum i]]=Table32[[#All],[stratum i]]), 0)), 0)</f>
        <v>0</v>
      </c>
      <c r="O114">
        <f>12/44*(Table1221[[#This Row],[ΔCTREE_PROJ,t (AR Tool 14) t CO2e/yr]]+Table1221[[#This Row],[ΔCSHRUB_PROJ,t (AR Tool 14) t CO2e/yr]])</f>
        <v>5849.3695890838962</v>
      </c>
      <c r="P114" cm="1">
        <f t="array" ref="P114">IF(project_aboveground_nontree = "Included", IFERROR(INDEX(Table1322[[#All],[ΔCWPS-herb,i,t (Eq 78)]], MATCH(1, (Table1221[[#This Row],[stratum i]]=Table1322[[#All],[stratum i]])*(Table1221[[#This Row],[year t]]&gt;=#REF!)*(Table1221[[#This Row],[year t]]&lt;=Table1322[[#All],[year t]]), 0)), 0), 0)</f>
        <v>0</v>
      </c>
      <c r="Q114">
        <f>Table1221[[#This Row],[ΔCWPS-tree/shrub,i,t (t C/yr) (Eq 75)]]+Table1221[[#This Row],[ΔCWPS-herb,i,t (t C/yr)]]</f>
        <v>5849.3695890838962</v>
      </c>
      <c r="R114" cm="1">
        <f t="array" ref="R114">INDEX(Table1423[[#All],[GHGWPS-soil,i,t]], MATCH(1, (Table1221[[#This Row],[year t]]=Table1423[[#All],[year t]])*(Table1221[[#This Row],[stratum i]]=Table1423[[#All],[stratum i]]), 0))</f>
        <v>-14952.143030095611</v>
      </c>
      <c r="S114">
        <f>IF(project_ff_CO2 = "Included", Table1221[[#This Row],[ET(FC,I,t) AR-Tool 5 WPS]], 0)</f>
        <v>0</v>
      </c>
      <c r="T114" t="e" cm="1">
        <f t="array" ref="T114">INDEX(#REF!, MATCH(1, (Table1221[[#This Row],[year t]]=Table32[[#All],[year t]])*(Table1221[[#This Row],[stratum i]]=Table32[[#All],[stratum i]]), 0))</f>
        <v>#REF!</v>
      </c>
      <c r="AE114" s="18">
        <v>2054</v>
      </c>
      <c r="AF114">
        <v>3</v>
      </c>
      <c r="AG114" s="18" cm="1">
        <f t="array" ref="AG114">INDEX(Table32[[#All],[Ai,t]], MATCH(1, (Table1423[[#This Row],[year t]]=Table32[[#All],[year t]])*(Table1423[[#This Row],[stratum i]]=Table32[[#All],[stratum i]]), 0))</f>
        <v>2222.8442528571427</v>
      </c>
      <c r="AH114" t="str">
        <f>INDEX(Table31[[#All],[Soil type (t=0)]], MATCH(Table1423[[#This Row],[stratum i]], Table31[[#All],[Stratum i]]))</f>
        <v>Mineral soil</v>
      </c>
      <c r="AI114">
        <f>IF(Emission_reduction_from_stock_loss?, INDEX(Table2[[#All],[End_PDT]], MATCH(Table1423[[#This Row],[stratum i]], Table2[[#All],[stratum i]])), crediting_period)</f>
        <v>40</v>
      </c>
      <c r="AJ114">
        <f>IF(Emission_reduction_from_stock_loss?, INDEX(Table2[[#All],[End_SDT]], MATCH(Table1423[[#This Row],[stratum i]], Table2[[#All],[stratum i]])), crediting_period)</f>
        <v>40</v>
      </c>
      <c r="AK114" cm="1">
        <f t="array" ref="AK11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4" s="30" cm="1">
        <f t="array" ref="AL114">INDEX(Table32[[#All],[%Calloch WPS]], MATCH(1, (Table1423[[#This Row],[year t]]=Table32[[#All],[year t]])*(Table1423[[#This Row],[stratum i]]=Table32[[#All],[stratum i]]), 0))</f>
        <v>23.561573856247001</v>
      </c>
      <c r="AM11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4">
        <f>(Table1423[[#This Row],[GHGWPS-soil-CO2,i,t]]-Table1423[[#This Row],[Deductionalloch WPS (Eq 38)]])*Table1423[[#This Row],[Ai,t]]</f>
        <v>-14952.143030095611</v>
      </c>
      <c r="AO114" cm="1">
        <f t="array" ref="AO114">IF(project_soil_CH4 = "Included", INDEX(Table1830[[#All],[GHGWPS-soil-CH4,i,t (Eq 59)]], MATCH(1, (Table1423[[#This Row],[year t]]=Table1830[[#All],[year t]])*(Table1423[[#This Row],[stratum i]]=Table1830[[#All],[stratum i]]), 0)), 0)</f>
        <v>0</v>
      </c>
      <c r="AP114" cm="1">
        <f t="array" ref="AP114">IF(project_soil_N2O = "Included", INDEX(Table1830[[#All],[GHGWPS-soil-N2O,i,t (Eq 62)]], MATCH(1, (Table1423[[#This Row],[year t]]=Table1830[[#All],[year t]])*(Table1423[[#This Row],[stratum i]]=Table1830[[#All],[stratum i]]), 0)), 0)</f>
        <v>0</v>
      </c>
      <c r="AQ114">
        <f>Table1423[[#This Row],[Ai,t]]*(Table1423[[#This Row],[GHGWPS-soil-CO2,i,t]]-Table1423[[#This Row],[Deductionalloch WPS (Eq 38)]]+Table1423[[#This Row],[GHGWPS-soil-CH4,i,t]]+Table1423[[#This Row],[GHGWPS-soil-N2O,i,t]])</f>
        <v>-14952.143030095611</v>
      </c>
      <c r="AR114" t="e" cm="1">
        <f t="array" ref="AR114">INDEX(#REF!, MATCH(1, (Table1423[[#This Row],[year t]]=Table32[[#All],[year t]])*(Table1423[[#This Row],[stratum i]]=Table32[[#All],[stratum i]]), 0))</f>
        <v>#REF!</v>
      </c>
      <c r="AS114" t="e" cm="1">
        <f t="array" ref="AS114">INDEX(#REF!, MATCH(1, (Table1423[[#This Row],[year t]]=Table32[[#All],[year t]])*(Table1423[[#This Row],[stratum i]]=Table32[[#All],[stratum i]]), 0))</f>
        <v>#REF!</v>
      </c>
      <c r="AT114" t="e" cm="1">
        <f t="array" ref="AT114">INDEX(#REF!, MATCH(1, (Table1423[[#This Row],[year t]]=Table32[[#All],[year t]])*(Table1423[[#This Row],[stratum i]]=Table32[[#All],[stratum i]]), 0))</f>
        <v>#REF!</v>
      </c>
      <c r="AU114" t="e" cm="1">
        <f t="array" ref="AU114">INDEX(#REF!, MATCH(1, (Table1423[[#This Row],[year t]]=Table32[[#All],[year t]])*(Table1423[[#This Row],[stratum i]]=Table32[[#All],[stratum i]]), 0))</f>
        <v>#REF!</v>
      </c>
      <c r="AV114" s="30"/>
      <c r="BB114" s="18">
        <v>2054</v>
      </c>
      <c r="BC114">
        <v>3</v>
      </c>
      <c r="BD114" cm="1">
        <f t="array" ref="BD114">INDEX(Table32[[#All],[∆CWPS-soil,i,t (tC/ha)]], MATCH(1, (Table1329[[#This Row],[year t]]=Table32[[#All],[year t]])*(Table1329[[#This Row],[stratum i]]=Table32[[#All],[stratum i]]), 0))</f>
        <v>2.4</v>
      </c>
      <c r="BE114">
        <f>-44/12*Table1329[[#This Row],[∆CWPS-soil,i,t (tC/ha)]]</f>
        <v>-8.7999999999999989</v>
      </c>
    </row>
    <row r="115" spans="11:57" x14ac:dyDescent="0.2">
      <c r="K115" s="18">
        <v>2055</v>
      </c>
      <c r="L115">
        <v>3</v>
      </c>
      <c r="M115" cm="1">
        <f t="array" ref="M115">IF(project_aboveground_tree = "Included", INDEX(Table32[[#All],[ΔCTREE_PROJ,i,t (AR Tool 14) t C/yr]], MATCH(1, (Table1221[[#This Row],[year t]]=Table32[[#All],[year t]])*(Table1221[[#This Row],[stratum i]]=Table32[[#All],[stratum i]]), 0)), 0)</f>
        <v>19790.215599659714</v>
      </c>
      <c r="N115" s="57" cm="1">
        <f t="array" ref="N115">IF(project_aboveground_nontree = "Included", INDEX(#REF!, MATCH(1, (Table1221[[#This Row],[year t]]=Table32[[#All],[year t]])*(Table1221[[#This Row],[stratum i]]=Table32[[#All],[stratum i]]), 0)), 0)</f>
        <v>0</v>
      </c>
      <c r="O115">
        <f>12/44*(Table1221[[#This Row],[ΔCTREE_PROJ,t (AR Tool 14) t CO2e/yr]]+Table1221[[#This Row],[ΔCSHRUB_PROJ,t (AR Tool 14) t CO2e/yr]])</f>
        <v>5397.331527179922</v>
      </c>
      <c r="P115" cm="1">
        <f t="array" ref="P115">IF(project_aboveground_nontree = "Included", IFERROR(INDEX(Table1322[[#All],[ΔCWPS-herb,i,t (Eq 78)]], MATCH(1, (Table1221[[#This Row],[stratum i]]=Table1322[[#All],[stratum i]])*(Table1221[[#This Row],[year t]]&gt;=#REF!)*(Table1221[[#This Row],[year t]]&lt;=Table1322[[#All],[year t]]), 0)), 0), 0)</f>
        <v>0</v>
      </c>
      <c r="Q115">
        <f>Table1221[[#This Row],[ΔCWPS-tree/shrub,i,t (t C/yr) (Eq 75)]]+Table1221[[#This Row],[ΔCWPS-herb,i,t (t C/yr)]]</f>
        <v>5397.331527179922</v>
      </c>
      <c r="R115" cm="1">
        <f t="array" ref="R115">INDEX(Table1423[[#All],[GHGWPS-soil,i,t]], MATCH(1, (Table1221[[#This Row],[year t]]=Table1423[[#All],[year t]])*(Table1221[[#This Row],[stratum i]]=Table1423[[#All],[stratum i]]), 0))</f>
        <v>-14952.143030095611</v>
      </c>
      <c r="S115">
        <f>IF(project_ff_CO2 = "Included", Table1221[[#This Row],[ET(FC,I,t) AR-Tool 5 WPS]], 0)</f>
        <v>0</v>
      </c>
      <c r="T115" t="e" cm="1">
        <f t="array" ref="T115">INDEX(#REF!, MATCH(1, (Table1221[[#This Row],[year t]]=Table32[[#All],[year t]])*(Table1221[[#This Row],[stratum i]]=Table32[[#All],[stratum i]]), 0))</f>
        <v>#REF!</v>
      </c>
      <c r="AE115" s="18">
        <v>2055</v>
      </c>
      <c r="AF115">
        <v>3</v>
      </c>
      <c r="AG115" s="18" cm="1">
        <f t="array" ref="AG115">INDEX(Table32[[#All],[Ai,t]], MATCH(1, (Table1423[[#This Row],[year t]]=Table32[[#All],[year t]])*(Table1423[[#This Row],[stratum i]]=Table32[[#All],[stratum i]]), 0))</f>
        <v>2222.8442528571427</v>
      </c>
      <c r="AH115" t="str">
        <f>INDEX(Table31[[#All],[Soil type (t=0)]], MATCH(Table1423[[#This Row],[stratum i]], Table31[[#All],[Stratum i]]))</f>
        <v>Mineral soil</v>
      </c>
      <c r="AI115">
        <f>IF(Emission_reduction_from_stock_loss?, INDEX(Table2[[#All],[End_PDT]], MATCH(Table1423[[#This Row],[stratum i]], Table2[[#All],[stratum i]])), crediting_period)</f>
        <v>40</v>
      </c>
      <c r="AJ115">
        <f>IF(Emission_reduction_from_stock_loss?, INDEX(Table2[[#All],[End_SDT]], MATCH(Table1423[[#This Row],[stratum i]], Table2[[#All],[stratum i]])), crediting_period)</f>
        <v>40</v>
      </c>
      <c r="AK115" cm="1">
        <f t="array" ref="AK11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5" s="30" cm="1">
        <f t="array" ref="AL115">INDEX(Table32[[#All],[%Calloch WPS]], MATCH(1, (Table1423[[#This Row],[year t]]=Table32[[#All],[year t]])*(Table1423[[#This Row],[stratum i]]=Table32[[#All],[stratum i]]), 0))</f>
        <v>23.561573856247001</v>
      </c>
      <c r="AM11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5">
        <f>(Table1423[[#This Row],[GHGWPS-soil-CO2,i,t]]-Table1423[[#This Row],[Deductionalloch WPS (Eq 38)]])*Table1423[[#This Row],[Ai,t]]</f>
        <v>-14952.143030095611</v>
      </c>
      <c r="AO115" cm="1">
        <f t="array" ref="AO115">IF(project_soil_CH4 = "Included", INDEX(Table1830[[#All],[GHGWPS-soil-CH4,i,t (Eq 59)]], MATCH(1, (Table1423[[#This Row],[year t]]=Table1830[[#All],[year t]])*(Table1423[[#This Row],[stratum i]]=Table1830[[#All],[stratum i]]), 0)), 0)</f>
        <v>0</v>
      </c>
      <c r="AP115" cm="1">
        <f t="array" ref="AP115">IF(project_soil_N2O = "Included", INDEX(Table1830[[#All],[GHGWPS-soil-N2O,i,t (Eq 62)]], MATCH(1, (Table1423[[#This Row],[year t]]=Table1830[[#All],[year t]])*(Table1423[[#This Row],[stratum i]]=Table1830[[#All],[stratum i]]), 0)), 0)</f>
        <v>0</v>
      </c>
      <c r="AQ115">
        <f>Table1423[[#This Row],[Ai,t]]*(Table1423[[#This Row],[GHGWPS-soil-CO2,i,t]]-Table1423[[#This Row],[Deductionalloch WPS (Eq 38)]]+Table1423[[#This Row],[GHGWPS-soil-CH4,i,t]]+Table1423[[#This Row],[GHGWPS-soil-N2O,i,t]])</f>
        <v>-14952.143030095611</v>
      </c>
      <c r="AR115" t="e" cm="1">
        <f t="array" ref="AR115">INDEX(#REF!, MATCH(1, (Table1423[[#This Row],[year t]]=Table32[[#All],[year t]])*(Table1423[[#This Row],[stratum i]]=Table32[[#All],[stratum i]]), 0))</f>
        <v>#REF!</v>
      </c>
      <c r="AS115" t="e" cm="1">
        <f t="array" ref="AS115">INDEX(#REF!, MATCH(1, (Table1423[[#This Row],[year t]]=Table32[[#All],[year t]])*(Table1423[[#This Row],[stratum i]]=Table32[[#All],[stratum i]]), 0))</f>
        <v>#REF!</v>
      </c>
      <c r="AT115" t="e" cm="1">
        <f t="array" ref="AT115">INDEX(#REF!, MATCH(1, (Table1423[[#This Row],[year t]]=Table32[[#All],[year t]])*(Table1423[[#This Row],[stratum i]]=Table32[[#All],[stratum i]]), 0))</f>
        <v>#REF!</v>
      </c>
      <c r="AU115" t="e" cm="1">
        <f t="array" ref="AU115">INDEX(#REF!, MATCH(1, (Table1423[[#This Row],[year t]]=Table32[[#All],[year t]])*(Table1423[[#This Row],[stratum i]]=Table32[[#All],[stratum i]]), 0))</f>
        <v>#REF!</v>
      </c>
      <c r="AV115" s="30"/>
      <c r="BB115" s="18">
        <v>2055</v>
      </c>
      <c r="BC115">
        <v>3</v>
      </c>
      <c r="BD115" cm="1">
        <f t="array" ref="BD115">INDEX(Table32[[#All],[∆CWPS-soil,i,t (tC/ha)]], MATCH(1, (Table1329[[#This Row],[year t]]=Table32[[#All],[year t]])*(Table1329[[#This Row],[stratum i]]=Table32[[#All],[stratum i]]), 0))</f>
        <v>2.4</v>
      </c>
      <c r="BE115">
        <f>-44/12*Table1329[[#This Row],[∆CWPS-soil,i,t (tC/ha)]]</f>
        <v>-8.7999999999999989</v>
      </c>
    </row>
    <row r="116" spans="11:57" x14ac:dyDescent="0.2">
      <c r="K116" s="18">
        <v>2056</v>
      </c>
      <c r="L116">
        <v>3</v>
      </c>
      <c r="M116" cm="1">
        <f t="array" ref="M116">IF(project_aboveground_tree = "Included", INDEX(Table32[[#All],[ΔCTREE_PROJ,i,t (AR Tool 14) t C/yr]], MATCH(1, (Table1221[[#This Row],[year t]]=Table32[[#All],[year t]])*(Table1221[[#This Row],[stratum i]]=Table32[[#All],[stratum i]]), 0)), 0)</f>
        <v>18190.626625358709</v>
      </c>
      <c r="N116" s="57" cm="1">
        <f t="array" ref="N116">IF(project_aboveground_nontree = "Included", INDEX(#REF!, MATCH(1, (Table1221[[#This Row],[year t]]=Table32[[#All],[year t]])*(Table1221[[#This Row],[stratum i]]=Table32[[#All],[stratum i]]), 0)), 0)</f>
        <v>0</v>
      </c>
      <c r="O116">
        <f>12/44*(Table1221[[#This Row],[ΔCTREE_PROJ,t (AR Tool 14) t CO2e/yr]]+Table1221[[#This Row],[ΔCSHRUB_PROJ,t (AR Tool 14) t CO2e/yr]])</f>
        <v>4961.0799887341927</v>
      </c>
      <c r="P116" cm="1">
        <f t="array" ref="P116">IF(project_aboveground_nontree = "Included", IFERROR(INDEX(Table1322[[#All],[ΔCWPS-herb,i,t (Eq 78)]], MATCH(1, (Table1221[[#This Row],[stratum i]]=Table1322[[#All],[stratum i]])*(Table1221[[#This Row],[year t]]&gt;=#REF!)*(Table1221[[#This Row],[year t]]&lt;=Table1322[[#All],[year t]]), 0)), 0), 0)</f>
        <v>0</v>
      </c>
      <c r="Q116">
        <f>Table1221[[#This Row],[ΔCWPS-tree/shrub,i,t (t C/yr) (Eq 75)]]+Table1221[[#This Row],[ΔCWPS-herb,i,t (t C/yr)]]</f>
        <v>4961.0799887341927</v>
      </c>
      <c r="R116" cm="1">
        <f t="array" ref="R116">INDEX(Table1423[[#All],[GHGWPS-soil,i,t]], MATCH(1, (Table1221[[#This Row],[year t]]=Table1423[[#All],[year t]])*(Table1221[[#This Row],[stratum i]]=Table1423[[#All],[stratum i]]), 0))</f>
        <v>-14952.143030095611</v>
      </c>
      <c r="S116">
        <f>IF(project_ff_CO2 = "Included", Table1221[[#This Row],[ET(FC,I,t) AR-Tool 5 WPS]], 0)</f>
        <v>0</v>
      </c>
      <c r="T116" t="e" cm="1">
        <f t="array" ref="T116">INDEX(#REF!, MATCH(1, (Table1221[[#This Row],[year t]]=Table32[[#All],[year t]])*(Table1221[[#This Row],[stratum i]]=Table32[[#All],[stratum i]]), 0))</f>
        <v>#REF!</v>
      </c>
      <c r="AE116" s="18">
        <v>2056</v>
      </c>
      <c r="AF116">
        <v>3</v>
      </c>
      <c r="AG116" s="18" cm="1">
        <f t="array" ref="AG116">INDEX(Table32[[#All],[Ai,t]], MATCH(1, (Table1423[[#This Row],[year t]]=Table32[[#All],[year t]])*(Table1423[[#This Row],[stratum i]]=Table32[[#All],[stratum i]]), 0))</f>
        <v>2222.8442528571427</v>
      </c>
      <c r="AH116" t="str">
        <f>INDEX(Table31[[#All],[Soil type (t=0)]], MATCH(Table1423[[#This Row],[stratum i]], Table31[[#All],[Stratum i]]))</f>
        <v>Mineral soil</v>
      </c>
      <c r="AI116">
        <f>IF(Emission_reduction_from_stock_loss?, INDEX(Table2[[#All],[End_PDT]], MATCH(Table1423[[#This Row],[stratum i]], Table2[[#All],[stratum i]])), crediting_period)</f>
        <v>40</v>
      </c>
      <c r="AJ116">
        <f>IF(Emission_reduction_from_stock_loss?, INDEX(Table2[[#All],[End_SDT]], MATCH(Table1423[[#This Row],[stratum i]], Table2[[#All],[stratum i]])), crediting_period)</f>
        <v>40</v>
      </c>
      <c r="AK116" cm="1">
        <f t="array" ref="AK11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6" s="30" cm="1">
        <f t="array" ref="AL116">INDEX(Table32[[#All],[%Calloch WPS]], MATCH(1, (Table1423[[#This Row],[year t]]=Table32[[#All],[year t]])*(Table1423[[#This Row],[stratum i]]=Table32[[#All],[stratum i]]), 0))</f>
        <v>23.561573856247001</v>
      </c>
      <c r="AM11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6">
        <f>(Table1423[[#This Row],[GHGWPS-soil-CO2,i,t]]-Table1423[[#This Row],[Deductionalloch WPS (Eq 38)]])*Table1423[[#This Row],[Ai,t]]</f>
        <v>-14952.143030095611</v>
      </c>
      <c r="AO116" cm="1">
        <f t="array" ref="AO116">IF(project_soil_CH4 = "Included", INDEX(Table1830[[#All],[GHGWPS-soil-CH4,i,t (Eq 59)]], MATCH(1, (Table1423[[#This Row],[year t]]=Table1830[[#All],[year t]])*(Table1423[[#This Row],[stratum i]]=Table1830[[#All],[stratum i]]), 0)), 0)</f>
        <v>0</v>
      </c>
      <c r="AP116" cm="1">
        <f t="array" ref="AP116">IF(project_soil_N2O = "Included", INDEX(Table1830[[#All],[GHGWPS-soil-N2O,i,t (Eq 62)]], MATCH(1, (Table1423[[#This Row],[year t]]=Table1830[[#All],[year t]])*(Table1423[[#This Row],[stratum i]]=Table1830[[#All],[stratum i]]), 0)), 0)</f>
        <v>0</v>
      </c>
      <c r="AQ116">
        <f>Table1423[[#This Row],[Ai,t]]*(Table1423[[#This Row],[GHGWPS-soil-CO2,i,t]]-Table1423[[#This Row],[Deductionalloch WPS (Eq 38)]]+Table1423[[#This Row],[GHGWPS-soil-CH4,i,t]]+Table1423[[#This Row],[GHGWPS-soil-N2O,i,t]])</f>
        <v>-14952.143030095611</v>
      </c>
      <c r="AR116" t="e" cm="1">
        <f t="array" ref="AR116">INDEX(#REF!, MATCH(1, (Table1423[[#This Row],[year t]]=Table32[[#All],[year t]])*(Table1423[[#This Row],[stratum i]]=Table32[[#All],[stratum i]]), 0))</f>
        <v>#REF!</v>
      </c>
      <c r="AS116" t="e" cm="1">
        <f t="array" ref="AS116">INDEX(#REF!, MATCH(1, (Table1423[[#This Row],[year t]]=Table32[[#All],[year t]])*(Table1423[[#This Row],[stratum i]]=Table32[[#All],[stratum i]]), 0))</f>
        <v>#REF!</v>
      </c>
      <c r="AT116" t="e" cm="1">
        <f t="array" ref="AT116">INDEX(#REF!, MATCH(1, (Table1423[[#This Row],[year t]]=Table32[[#All],[year t]])*(Table1423[[#This Row],[stratum i]]=Table32[[#All],[stratum i]]), 0))</f>
        <v>#REF!</v>
      </c>
      <c r="AU116" t="e" cm="1">
        <f t="array" ref="AU116">INDEX(#REF!, MATCH(1, (Table1423[[#This Row],[year t]]=Table32[[#All],[year t]])*(Table1423[[#This Row],[stratum i]]=Table32[[#All],[stratum i]]), 0))</f>
        <v>#REF!</v>
      </c>
      <c r="AV116" s="30"/>
      <c r="BB116" s="18">
        <v>2056</v>
      </c>
      <c r="BC116">
        <v>3</v>
      </c>
      <c r="BD116" cm="1">
        <f t="array" ref="BD116">INDEX(Table32[[#All],[∆CWPS-soil,i,t (tC/ha)]], MATCH(1, (Table1329[[#This Row],[year t]]=Table32[[#All],[year t]])*(Table1329[[#This Row],[stratum i]]=Table32[[#All],[stratum i]]), 0))</f>
        <v>2.4</v>
      </c>
      <c r="BE116">
        <f>-44/12*Table1329[[#This Row],[∆CWPS-soil,i,t (tC/ha)]]</f>
        <v>-8.7999999999999989</v>
      </c>
    </row>
    <row r="117" spans="11:57" x14ac:dyDescent="0.2">
      <c r="K117" s="18">
        <v>2057</v>
      </c>
      <c r="L117">
        <v>3</v>
      </c>
      <c r="M117" cm="1">
        <f t="array" ref="M117">IF(project_aboveground_tree = "Included", INDEX(Table32[[#All],[ΔCTREE_PROJ,i,t (AR Tool 14) t C/yr]], MATCH(1, (Table1221[[#This Row],[year t]]=Table32[[#All],[year t]])*(Table1221[[#This Row],[stratum i]]=Table32[[#All],[stratum i]]), 0)), 0)</f>
        <v>16663.354312952957</v>
      </c>
      <c r="N117" s="57" cm="1">
        <f t="array" ref="N117">IF(project_aboveground_nontree = "Included", INDEX(#REF!, MATCH(1, (Table1221[[#This Row],[year t]]=Table32[[#All],[year t]])*(Table1221[[#This Row],[stratum i]]=Table32[[#All],[stratum i]]), 0)), 0)</f>
        <v>0</v>
      </c>
      <c r="O117">
        <f>12/44*(Table1221[[#This Row],[ΔCTREE_PROJ,t (AR Tool 14) t CO2e/yr]]+Table1221[[#This Row],[ΔCSHRUB_PROJ,t (AR Tool 14) t CO2e/yr]])</f>
        <v>4544.5511762598971</v>
      </c>
      <c r="P117" cm="1">
        <f t="array" ref="P117">IF(project_aboveground_nontree = "Included", IFERROR(INDEX(Table1322[[#All],[ΔCWPS-herb,i,t (Eq 78)]], MATCH(1, (Table1221[[#This Row],[stratum i]]=Table1322[[#All],[stratum i]])*(Table1221[[#This Row],[year t]]&gt;=#REF!)*(Table1221[[#This Row],[year t]]&lt;=Table1322[[#All],[year t]]), 0)), 0), 0)</f>
        <v>0</v>
      </c>
      <c r="Q117">
        <f>Table1221[[#This Row],[ΔCWPS-tree/shrub,i,t (t C/yr) (Eq 75)]]+Table1221[[#This Row],[ΔCWPS-herb,i,t (t C/yr)]]</f>
        <v>4544.5511762598971</v>
      </c>
      <c r="R117" cm="1">
        <f t="array" ref="R117">INDEX(Table1423[[#All],[GHGWPS-soil,i,t]], MATCH(1, (Table1221[[#This Row],[year t]]=Table1423[[#All],[year t]])*(Table1221[[#This Row],[stratum i]]=Table1423[[#All],[stratum i]]), 0))</f>
        <v>-14952.143030095611</v>
      </c>
      <c r="S117">
        <f>IF(project_ff_CO2 = "Included", Table1221[[#This Row],[ET(FC,I,t) AR-Tool 5 WPS]], 0)</f>
        <v>0</v>
      </c>
      <c r="T117" t="e" cm="1">
        <f t="array" ref="T117">INDEX(#REF!, MATCH(1, (Table1221[[#This Row],[year t]]=Table32[[#All],[year t]])*(Table1221[[#This Row],[stratum i]]=Table32[[#All],[stratum i]]), 0))</f>
        <v>#REF!</v>
      </c>
      <c r="AE117" s="18">
        <v>2057</v>
      </c>
      <c r="AF117">
        <v>3</v>
      </c>
      <c r="AG117" s="18" cm="1">
        <f t="array" ref="AG117">INDEX(Table32[[#All],[Ai,t]], MATCH(1, (Table1423[[#This Row],[year t]]=Table32[[#All],[year t]])*(Table1423[[#This Row],[stratum i]]=Table32[[#All],[stratum i]]), 0))</f>
        <v>2222.8442528571427</v>
      </c>
      <c r="AH117" t="str">
        <f>INDEX(Table31[[#All],[Soil type (t=0)]], MATCH(Table1423[[#This Row],[stratum i]], Table31[[#All],[Stratum i]]))</f>
        <v>Mineral soil</v>
      </c>
      <c r="AI117">
        <f>IF(Emission_reduction_from_stock_loss?, INDEX(Table2[[#All],[End_PDT]], MATCH(Table1423[[#This Row],[stratum i]], Table2[[#All],[stratum i]])), crediting_period)</f>
        <v>40</v>
      </c>
      <c r="AJ117">
        <f>IF(Emission_reduction_from_stock_loss?, INDEX(Table2[[#All],[End_SDT]], MATCH(Table1423[[#This Row],[stratum i]], Table2[[#All],[stratum i]])), crediting_period)</f>
        <v>40</v>
      </c>
      <c r="AK117" cm="1">
        <f t="array" ref="AK11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7" s="30" cm="1">
        <f t="array" ref="AL117">INDEX(Table32[[#All],[%Calloch WPS]], MATCH(1, (Table1423[[#This Row],[year t]]=Table32[[#All],[year t]])*(Table1423[[#This Row],[stratum i]]=Table32[[#All],[stratum i]]), 0))</f>
        <v>23.561573856247001</v>
      </c>
      <c r="AM11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7">
        <f>(Table1423[[#This Row],[GHGWPS-soil-CO2,i,t]]-Table1423[[#This Row],[Deductionalloch WPS (Eq 38)]])*Table1423[[#This Row],[Ai,t]]</f>
        <v>-14952.143030095611</v>
      </c>
      <c r="AO117" cm="1">
        <f t="array" ref="AO117">IF(project_soil_CH4 = "Included", INDEX(Table1830[[#All],[GHGWPS-soil-CH4,i,t (Eq 59)]], MATCH(1, (Table1423[[#This Row],[year t]]=Table1830[[#All],[year t]])*(Table1423[[#This Row],[stratum i]]=Table1830[[#All],[stratum i]]), 0)), 0)</f>
        <v>0</v>
      </c>
      <c r="AP117" cm="1">
        <f t="array" ref="AP117">IF(project_soil_N2O = "Included", INDEX(Table1830[[#All],[GHGWPS-soil-N2O,i,t (Eq 62)]], MATCH(1, (Table1423[[#This Row],[year t]]=Table1830[[#All],[year t]])*(Table1423[[#This Row],[stratum i]]=Table1830[[#All],[stratum i]]), 0)), 0)</f>
        <v>0</v>
      </c>
      <c r="AQ117">
        <f>Table1423[[#This Row],[Ai,t]]*(Table1423[[#This Row],[GHGWPS-soil-CO2,i,t]]-Table1423[[#This Row],[Deductionalloch WPS (Eq 38)]]+Table1423[[#This Row],[GHGWPS-soil-CH4,i,t]]+Table1423[[#This Row],[GHGWPS-soil-N2O,i,t]])</f>
        <v>-14952.143030095611</v>
      </c>
      <c r="AR117" t="e" cm="1">
        <f t="array" ref="AR117">INDEX(#REF!, MATCH(1, (Table1423[[#This Row],[year t]]=Table32[[#All],[year t]])*(Table1423[[#This Row],[stratum i]]=Table32[[#All],[stratum i]]), 0))</f>
        <v>#REF!</v>
      </c>
      <c r="AS117" t="e" cm="1">
        <f t="array" ref="AS117">INDEX(#REF!, MATCH(1, (Table1423[[#This Row],[year t]]=Table32[[#All],[year t]])*(Table1423[[#This Row],[stratum i]]=Table32[[#All],[stratum i]]), 0))</f>
        <v>#REF!</v>
      </c>
      <c r="AT117" t="e" cm="1">
        <f t="array" ref="AT117">INDEX(#REF!, MATCH(1, (Table1423[[#This Row],[year t]]=Table32[[#All],[year t]])*(Table1423[[#This Row],[stratum i]]=Table32[[#All],[stratum i]]), 0))</f>
        <v>#REF!</v>
      </c>
      <c r="AU117" t="e" cm="1">
        <f t="array" ref="AU117">INDEX(#REF!, MATCH(1, (Table1423[[#This Row],[year t]]=Table32[[#All],[year t]])*(Table1423[[#This Row],[stratum i]]=Table32[[#All],[stratum i]]), 0))</f>
        <v>#REF!</v>
      </c>
      <c r="AV117" s="30"/>
      <c r="BB117" s="18">
        <v>2057</v>
      </c>
      <c r="BC117">
        <v>3</v>
      </c>
      <c r="BD117" cm="1">
        <f t="array" ref="BD117">INDEX(Table32[[#All],[∆CWPS-soil,i,t (tC/ha)]], MATCH(1, (Table1329[[#This Row],[year t]]=Table32[[#All],[year t]])*(Table1329[[#This Row],[stratum i]]=Table32[[#All],[stratum i]]), 0))</f>
        <v>2.4</v>
      </c>
      <c r="BE117">
        <f>-44/12*Table1329[[#This Row],[∆CWPS-soil,i,t (tC/ha)]]</f>
        <v>-8.7999999999999989</v>
      </c>
    </row>
    <row r="118" spans="11:57" x14ac:dyDescent="0.2">
      <c r="K118" s="18">
        <v>2058</v>
      </c>
      <c r="L118">
        <v>3</v>
      </c>
      <c r="M118" cm="1">
        <f t="array" ref="M118">IF(project_aboveground_tree = "Included", INDEX(Table32[[#All],[ΔCTREE_PROJ,i,t (AR Tool 14) t C/yr]], MATCH(1, (Table1221[[#This Row],[year t]]=Table32[[#All],[year t]])*(Table1221[[#This Row],[stratum i]]=Table32[[#All],[stratum i]]), 0)), 0)</f>
        <v>15218.18296962732</v>
      </c>
      <c r="N118" s="57" cm="1">
        <f t="array" ref="N118">IF(project_aboveground_nontree = "Included", INDEX(#REF!, MATCH(1, (Table1221[[#This Row],[year t]]=Table32[[#All],[year t]])*(Table1221[[#This Row],[stratum i]]=Table32[[#All],[stratum i]]), 0)), 0)</f>
        <v>0</v>
      </c>
      <c r="O118">
        <f>12/44*(Table1221[[#This Row],[ΔCTREE_PROJ,t (AR Tool 14) t CO2e/yr]]+Table1221[[#This Row],[ΔCSHRUB_PROJ,t (AR Tool 14) t CO2e/yr]])</f>
        <v>4150.4135371710872</v>
      </c>
      <c r="P118" cm="1">
        <f t="array" ref="P118">IF(project_aboveground_nontree = "Included", IFERROR(INDEX(Table1322[[#All],[ΔCWPS-herb,i,t (Eq 78)]], MATCH(1, (Table1221[[#This Row],[stratum i]]=Table1322[[#All],[stratum i]])*(Table1221[[#This Row],[year t]]&gt;=#REF!)*(Table1221[[#This Row],[year t]]&lt;=Table1322[[#All],[year t]]), 0)), 0), 0)</f>
        <v>0</v>
      </c>
      <c r="Q118">
        <f>Table1221[[#This Row],[ΔCWPS-tree/shrub,i,t (t C/yr) (Eq 75)]]+Table1221[[#This Row],[ΔCWPS-herb,i,t (t C/yr)]]</f>
        <v>4150.4135371710872</v>
      </c>
      <c r="R118" cm="1">
        <f t="array" ref="R118">INDEX(Table1423[[#All],[GHGWPS-soil,i,t]], MATCH(1, (Table1221[[#This Row],[year t]]=Table1423[[#All],[year t]])*(Table1221[[#This Row],[stratum i]]=Table1423[[#All],[stratum i]]), 0))</f>
        <v>-14952.143030095611</v>
      </c>
      <c r="S118">
        <f>IF(project_ff_CO2 = "Included", Table1221[[#This Row],[ET(FC,I,t) AR-Tool 5 WPS]], 0)</f>
        <v>0</v>
      </c>
      <c r="T118" t="e" cm="1">
        <f t="array" ref="T118">INDEX(#REF!, MATCH(1, (Table1221[[#This Row],[year t]]=Table32[[#All],[year t]])*(Table1221[[#This Row],[stratum i]]=Table32[[#All],[stratum i]]), 0))</f>
        <v>#REF!</v>
      </c>
      <c r="AE118" s="18">
        <v>2058</v>
      </c>
      <c r="AF118">
        <v>3</v>
      </c>
      <c r="AG118" s="18" cm="1">
        <f t="array" ref="AG118">INDEX(Table32[[#All],[Ai,t]], MATCH(1, (Table1423[[#This Row],[year t]]=Table32[[#All],[year t]])*(Table1423[[#This Row],[stratum i]]=Table32[[#All],[stratum i]]), 0))</f>
        <v>2222.8442528571427</v>
      </c>
      <c r="AH118" t="str">
        <f>INDEX(Table31[[#All],[Soil type (t=0)]], MATCH(Table1423[[#This Row],[stratum i]], Table31[[#All],[Stratum i]]))</f>
        <v>Mineral soil</v>
      </c>
      <c r="AI118">
        <f>IF(Emission_reduction_from_stock_loss?, INDEX(Table2[[#All],[End_PDT]], MATCH(Table1423[[#This Row],[stratum i]], Table2[[#All],[stratum i]])), crediting_period)</f>
        <v>40</v>
      </c>
      <c r="AJ118">
        <f>IF(Emission_reduction_from_stock_loss?, INDEX(Table2[[#All],[End_SDT]], MATCH(Table1423[[#This Row],[stratum i]], Table2[[#All],[stratum i]])), crediting_period)</f>
        <v>40</v>
      </c>
      <c r="AK118" cm="1">
        <f t="array" ref="AK11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8" s="30" cm="1">
        <f t="array" ref="AL118">INDEX(Table32[[#All],[%Calloch WPS]], MATCH(1, (Table1423[[#This Row],[year t]]=Table32[[#All],[year t]])*(Table1423[[#This Row],[stratum i]]=Table32[[#All],[stratum i]]), 0))</f>
        <v>23.561573856247001</v>
      </c>
      <c r="AM11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8">
        <f>(Table1423[[#This Row],[GHGWPS-soil-CO2,i,t]]-Table1423[[#This Row],[Deductionalloch WPS (Eq 38)]])*Table1423[[#This Row],[Ai,t]]</f>
        <v>-14952.143030095611</v>
      </c>
      <c r="AO118" cm="1">
        <f t="array" ref="AO118">IF(project_soil_CH4 = "Included", INDEX(Table1830[[#All],[GHGWPS-soil-CH4,i,t (Eq 59)]], MATCH(1, (Table1423[[#This Row],[year t]]=Table1830[[#All],[year t]])*(Table1423[[#This Row],[stratum i]]=Table1830[[#All],[stratum i]]), 0)), 0)</f>
        <v>0</v>
      </c>
      <c r="AP118" cm="1">
        <f t="array" ref="AP118">IF(project_soil_N2O = "Included", INDEX(Table1830[[#All],[GHGWPS-soil-N2O,i,t (Eq 62)]], MATCH(1, (Table1423[[#This Row],[year t]]=Table1830[[#All],[year t]])*(Table1423[[#This Row],[stratum i]]=Table1830[[#All],[stratum i]]), 0)), 0)</f>
        <v>0</v>
      </c>
      <c r="AQ118">
        <f>Table1423[[#This Row],[Ai,t]]*(Table1423[[#This Row],[GHGWPS-soil-CO2,i,t]]-Table1423[[#This Row],[Deductionalloch WPS (Eq 38)]]+Table1423[[#This Row],[GHGWPS-soil-CH4,i,t]]+Table1423[[#This Row],[GHGWPS-soil-N2O,i,t]])</f>
        <v>-14952.143030095611</v>
      </c>
      <c r="AR118" t="e" cm="1">
        <f t="array" ref="AR118">INDEX(#REF!, MATCH(1, (Table1423[[#This Row],[year t]]=Table32[[#All],[year t]])*(Table1423[[#This Row],[stratum i]]=Table32[[#All],[stratum i]]), 0))</f>
        <v>#REF!</v>
      </c>
      <c r="AS118" t="e" cm="1">
        <f t="array" ref="AS118">INDEX(#REF!, MATCH(1, (Table1423[[#This Row],[year t]]=Table32[[#All],[year t]])*(Table1423[[#This Row],[stratum i]]=Table32[[#All],[stratum i]]), 0))</f>
        <v>#REF!</v>
      </c>
      <c r="AT118" t="e" cm="1">
        <f t="array" ref="AT118">INDEX(#REF!, MATCH(1, (Table1423[[#This Row],[year t]]=Table32[[#All],[year t]])*(Table1423[[#This Row],[stratum i]]=Table32[[#All],[stratum i]]), 0))</f>
        <v>#REF!</v>
      </c>
      <c r="AU118" t="e" cm="1">
        <f t="array" ref="AU118">INDEX(#REF!, MATCH(1, (Table1423[[#This Row],[year t]]=Table32[[#All],[year t]])*(Table1423[[#This Row],[stratum i]]=Table32[[#All],[stratum i]]), 0))</f>
        <v>#REF!</v>
      </c>
      <c r="AV118" s="30"/>
      <c r="BB118" s="18">
        <v>2058</v>
      </c>
      <c r="BC118">
        <v>3</v>
      </c>
      <c r="BD118" cm="1">
        <f t="array" ref="BD118">INDEX(Table32[[#All],[∆CWPS-soil,i,t (tC/ha)]], MATCH(1, (Table1329[[#This Row],[year t]]=Table32[[#All],[year t]])*(Table1329[[#This Row],[stratum i]]=Table32[[#All],[stratum i]]), 0))</f>
        <v>2.4</v>
      </c>
      <c r="BE118">
        <f>-44/12*Table1329[[#This Row],[∆CWPS-soil,i,t (tC/ha)]]</f>
        <v>-8.7999999999999989</v>
      </c>
    </row>
    <row r="119" spans="11:57" x14ac:dyDescent="0.2">
      <c r="K119" s="18">
        <v>2059</v>
      </c>
      <c r="L119">
        <v>3</v>
      </c>
      <c r="M119" cm="1">
        <f t="array" ref="M119">IF(project_aboveground_tree = "Included", INDEX(Table32[[#All],[ΔCTREE_PROJ,i,t (AR Tool 14) t C/yr]], MATCH(1, (Table1221[[#This Row],[year t]]=Table32[[#All],[year t]])*(Table1221[[#This Row],[stratum i]]=Table32[[#All],[stratum i]]), 0)), 0)</f>
        <v>13861.078840925824</v>
      </c>
      <c r="N119" s="57" cm="1">
        <f t="array" ref="N119">IF(project_aboveground_nontree = "Included", INDEX(#REF!, MATCH(1, (Table1221[[#This Row],[year t]]=Table32[[#All],[year t]])*(Table1221[[#This Row],[stratum i]]=Table32[[#All],[stratum i]]), 0)), 0)</f>
        <v>0</v>
      </c>
      <c r="O119">
        <f>12/44*(Table1221[[#This Row],[ΔCTREE_PROJ,t (AR Tool 14) t CO2e/yr]]+Table1221[[#This Row],[ΔCSHRUB_PROJ,t (AR Tool 14) t CO2e/yr]])</f>
        <v>3780.2942293434062</v>
      </c>
      <c r="P119" cm="1">
        <f t="array" ref="P119">IF(project_aboveground_nontree = "Included", IFERROR(INDEX(Table1322[[#All],[ΔCWPS-herb,i,t (Eq 78)]], MATCH(1, (Table1221[[#This Row],[stratum i]]=Table1322[[#All],[stratum i]])*(Table1221[[#This Row],[year t]]&gt;=#REF!)*(Table1221[[#This Row],[year t]]&lt;=Table1322[[#All],[year t]]), 0)), 0), 0)</f>
        <v>0</v>
      </c>
      <c r="Q119">
        <f>Table1221[[#This Row],[ΔCWPS-tree/shrub,i,t (t C/yr) (Eq 75)]]+Table1221[[#This Row],[ΔCWPS-herb,i,t (t C/yr)]]</f>
        <v>3780.2942293434062</v>
      </c>
      <c r="R119" cm="1">
        <f t="array" ref="R119">INDEX(Table1423[[#All],[GHGWPS-soil,i,t]], MATCH(1, (Table1221[[#This Row],[year t]]=Table1423[[#All],[year t]])*(Table1221[[#This Row],[stratum i]]=Table1423[[#All],[stratum i]]), 0))</f>
        <v>-14952.143030095611</v>
      </c>
      <c r="S119">
        <f>IF(project_ff_CO2 = "Included", Table1221[[#This Row],[ET(FC,I,t) AR-Tool 5 WPS]], 0)</f>
        <v>0</v>
      </c>
      <c r="T119" t="e" cm="1">
        <f t="array" ref="T119">INDEX(#REF!, MATCH(1, (Table1221[[#This Row],[year t]]=Table32[[#All],[year t]])*(Table1221[[#This Row],[stratum i]]=Table32[[#All],[stratum i]]), 0))</f>
        <v>#REF!</v>
      </c>
      <c r="AE119" s="18">
        <v>2059</v>
      </c>
      <c r="AF119">
        <v>3</v>
      </c>
      <c r="AG119" s="18" cm="1">
        <f t="array" ref="AG119">INDEX(Table32[[#All],[Ai,t]], MATCH(1, (Table1423[[#This Row],[year t]]=Table32[[#All],[year t]])*(Table1423[[#This Row],[stratum i]]=Table32[[#All],[stratum i]]), 0))</f>
        <v>2222.8442528571427</v>
      </c>
      <c r="AH119" t="str">
        <f>INDEX(Table31[[#All],[Soil type (t=0)]], MATCH(Table1423[[#This Row],[stratum i]], Table31[[#All],[Stratum i]]))</f>
        <v>Mineral soil</v>
      </c>
      <c r="AI119">
        <f>IF(Emission_reduction_from_stock_loss?, INDEX(Table2[[#All],[End_PDT]], MATCH(Table1423[[#This Row],[stratum i]], Table2[[#All],[stratum i]])), crediting_period)</f>
        <v>40</v>
      </c>
      <c r="AJ119">
        <f>IF(Emission_reduction_from_stock_loss?, INDEX(Table2[[#All],[End_SDT]], MATCH(Table1423[[#This Row],[stratum i]], Table2[[#All],[stratum i]])), crediting_period)</f>
        <v>40</v>
      </c>
      <c r="AK119" cm="1">
        <f t="array" ref="AK11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19" s="30" cm="1">
        <f t="array" ref="AL119">INDEX(Table32[[#All],[%Calloch WPS]], MATCH(1, (Table1423[[#This Row],[year t]]=Table32[[#All],[year t]])*(Table1423[[#This Row],[stratum i]]=Table32[[#All],[stratum i]]), 0))</f>
        <v>23.561573856247001</v>
      </c>
      <c r="AM11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19">
        <f>(Table1423[[#This Row],[GHGWPS-soil-CO2,i,t]]-Table1423[[#This Row],[Deductionalloch WPS (Eq 38)]])*Table1423[[#This Row],[Ai,t]]</f>
        <v>-14952.143030095611</v>
      </c>
      <c r="AO119" cm="1">
        <f t="array" ref="AO119">IF(project_soil_CH4 = "Included", INDEX(Table1830[[#All],[GHGWPS-soil-CH4,i,t (Eq 59)]], MATCH(1, (Table1423[[#This Row],[year t]]=Table1830[[#All],[year t]])*(Table1423[[#This Row],[stratum i]]=Table1830[[#All],[stratum i]]), 0)), 0)</f>
        <v>0</v>
      </c>
      <c r="AP119" cm="1">
        <f t="array" ref="AP119">IF(project_soil_N2O = "Included", INDEX(Table1830[[#All],[GHGWPS-soil-N2O,i,t (Eq 62)]], MATCH(1, (Table1423[[#This Row],[year t]]=Table1830[[#All],[year t]])*(Table1423[[#This Row],[stratum i]]=Table1830[[#All],[stratum i]]), 0)), 0)</f>
        <v>0</v>
      </c>
      <c r="AQ119">
        <f>Table1423[[#This Row],[Ai,t]]*(Table1423[[#This Row],[GHGWPS-soil-CO2,i,t]]-Table1423[[#This Row],[Deductionalloch WPS (Eq 38)]]+Table1423[[#This Row],[GHGWPS-soil-CH4,i,t]]+Table1423[[#This Row],[GHGWPS-soil-N2O,i,t]])</f>
        <v>-14952.143030095611</v>
      </c>
      <c r="AR119" t="e" cm="1">
        <f t="array" ref="AR119">INDEX(#REF!, MATCH(1, (Table1423[[#This Row],[year t]]=Table32[[#All],[year t]])*(Table1423[[#This Row],[stratum i]]=Table32[[#All],[stratum i]]), 0))</f>
        <v>#REF!</v>
      </c>
      <c r="AS119" t="e" cm="1">
        <f t="array" ref="AS119">INDEX(#REF!, MATCH(1, (Table1423[[#This Row],[year t]]=Table32[[#All],[year t]])*(Table1423[[#This Row],[stratum i]]=Table32[[#All],[stratum i]]), 0))</f>
        <v>#REF!</v>
      </c>
      <c r="AT119" t="e" cm="1">
        <f t="array" ref="AT119">INDEX(#REF!, MATCH(1, (Table1423[[#This Row],[year t]]=Table32[[#All],[year t]])*(Table1423[[#This Row],[stratum i]]=Table32[[#All],[stratum i]]), 0))</f>
        <v>#REF!</v>
      </c>
      <c r="AU119" t="e" cm="1">
        <f t="array" ref="AU119">INDEX(#REF!, MATCH(1, (Table1423[[#This Row],[year t]]=Table32[[#All],[year t]])*(Table1423[[#This Row],[stratum i]]=Table32[[#All],[stratum i]]), 0))</f>
        <v>#REF!</v>
      </c>
      <c r="AV119" s="30"/>
      <c r="BB119" s="18">
        <v>2059</v>
      </c>
      <c r="BC119">
        <v>3</v>
      </c>
      <c r="BD119" cm="1">
        <f t="array" ref="BD119">INDEX(Table32[[#All],[∆CWPS-soil,i,t (tC/ha)]], MATCH(1, (Table1329[[#This Row],[year t]]=Table32[[#All],[year t]])*(Table1329[[#This Row],[stratum i]]=Table32[[#All],[stratum i]]), 0))</f>
        <v>2.4</v>
      </c>
      <c r="BE119">
        <f>-44/12*Table1329[[#This Row],[∆CWPS-soil,i,t (tC/ha)]]</f>
        <v>-8.7999999999999989</v>
      </c>
    </row>
    <row r="120" spans="11:57" x14ac:dyDescent="0.2">
      <c r="K120" s="18">
        <v>2060</v>
      </c>
      <c r="L120">
        <v>3</v>
      </c>
      <c r="M120" cm="1">
        <f t="array" ref="M120">IF(project_aboveground_tree = "Included", INDEX(Table32[[#All],[ΔCTREE_PROJ,i,t (AR Tool 14) t C/yr]], MATCH(1, (Table1221[[#This Row],[year t]]=Table32[[#All],[year t]])*(Table1221[[#This Row],[stratum i]]=Table32[[#All],[stratum i]]), 0)), 0)</f>
        <v>12594.94063229789</v>
      </c>
      <c r="N120" s="57" cm="1">
        <f t="array" ref="N120">IF(project_aboveground_nontree = "Included", INDEX(#REF!, MATCH(1, (Table1221[[#This Row],[year t]]=Table32[[#All],[year t]])*(Table1221[[#This Row],[stratum i]]=Table32[[#All],[stratum i]]), 0)), 0)</f>
        <v>0</v>
      </c>
      <c r="O120">
        <f>12/44*(Table1221[[#This Row],[ΔCTREE_PROJ,t (AR Tool 14) t CO2e/yr]]+Table1221[[#This Row],[ΔCSHRUB_PROJ,t (AR Tool 14) t CO2e/yr]])</f>
        <v>3434.9838088085153</v>
      </c>
      <c r="P120" cm="1">
        <f t="array" ref="P120">IF(project_aboveground_nontree = "Included", IFERROR(INDEX(Table1322[[#All],[ΔCWPS-herb,i,t (Eq 78)]], MATCH(1, (Table1221[[#This Row],[stratum i]]=Table1322[[#All],[stratum i]])*(Table1221[[#This Row],[year t]]&gt;=#REF!)*(Table1221[[#This Row],[year t]]&lt;=Table1322[[#All],[year t]]), 0)), 0), 0)</f>
        <v>0</v>
      </c>
      <c r="Q120">
        <f>Table1221[[#This Row],[ΔCWPS-tree/shrub,i,t (t C/yr) (Eq 75)]]+Table1221[[#This Row],[ΔCWPS-herb,i,t (t C/yr)]]</f>
        <v>3434.9838088085153</v>
      </c>
      <c r="R120" cm="1">
        <f t="array" ref="R120">INDEX(Table1423[[#All],[GHGWPS-soil,i,t]], MATCH(1, (Table1221[[#This Row],[year t]]=Table1423[[#All],[year t]])*(Table1221[[#This Row],[stratum i]]=Table1423[[#All],[stratum i]]), 0))</f>
        <v>-14952.143030095611</v>
      </c>
      <c r="S120">
        <f>IF(project_ff_CO2 = "Included", Table1221[[#This Row],[ET(FC,I,t) AR-Tool 5 WPS]], 0)</f>
        <v>0</v>
      </c>
      <c r="T120" t="e" cm="1">
        <f t="array" ref="T120">INDEX(#REF!, MATCH(1, (Table1221[[#This Row],[year t]]=Table32[[#All],[year t]])*(Table1221[[#This Row],[stratum i]]=Table32[[#All],[stratum i]]), 0))</f>
        <v>#REF!</v>
      </c>
      <c r="AE120" s="18">
        <v>2060</v>
      </c>
      <c r="AF120">
        <v>3</v>
      </c>
      <c r="AG120" s="18" cm="1">
        <f t="array" ref="AG120">INDEX(Table32[[#All],[Ai,t]], MATCH(1, (Table1423[[#This Row],[year t]]=Table32[[#All],[year t]])*(Table1423[[#This Row],[stratum i]]=Table32[[#All],[stratum i]]), 0))</f>
        <v>2222.8442528571427</v>
      </c>
      <c r="AH120" t="str">
        <f>INDEX(Table31[[#All],[Soil type (t=0)]], MATCH(Table1423[[#This Row],[stratum i]], Table31[[#All],[Stratum i]]))</f>
        <v>Mineral soil</v>
      </c>
      <c r="AI120">
        <f>IF(Emission_reduction_from_stock_loss?, INDEX(Table2[[#All],[End_PDT]], MATCH(Table1423[[#This Row],[stratum i]], Table2[[#All],[stratum i]])), crediting_period)</f>
        <v>40</v>
      </c>
      <c r="AJ120">
        <f>IF(Emission_reduction_from_stock_loss?, INDEX(Table2[[#All],[End_SDT]], MATCH(Table1423[[#This Row],[stratum i]], Table2[[#All],[stratum i]])), crediting_period)</f>
        <v>40</v>
      </c>
      <c r="AK120" cm="1">
        <f t="array" ref="AK12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20" s="30" cm="1">
        <f t="array" ref="AL120">INDEX(Table32[[#All],[%Calloch WPS]], MATCH(1, (Table1423[[#This Row],[year t]]=Table32[[#All],[year t]])*(Table1423[[#This Row],[stratum i]]=Table32[[#All],[stratum i]]), 0))</f>
        <v>23.561573856247001</v>
      </c>
      <c r="AM12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20">
        <f>(Table1423[[#This Row],[GHGWPS-soil-CO2,i,t]]-Table1423[[#This Row],[Deductionalloch WPS (Eq 38)]])*Table1423[[#This Row],[Ai,t]]</f>
        <v>-14952.143030095611</v>
      </c>
      <c r="AO120" cm="1">
        <f t="array" ref="AO120">IF(project_soil_CH4 = "Included", INDEX(Table1830[[#All],[GHGWPS-soil-CH4,i,t (Eq 59)]], MATCH(1, (Table1423[[#This Row],[year t]]=Table1830[[#All],[year t]])*(Table1423[[#This Row],[stratum i]]=Table1830[[#All],[stratum i]]), 0)), 0)</f>
        <v>0</v>
      </c>
      <c r="AP120" cm="1">
        <f t="array" ref="AP120">IF(project_soil_N2O = "Included", INDEX(Table1830[[#All],[GHGWPS-soil-N2O,i,t (Eq 62)]], MATCH(1, (Table1423[[#This Row],[year t]]=Table1830[[#All],[year t]])*(Table1423[[#This Row],[stratum i]]=Table1830[[#All],[stratum i]]), 0)), 0)</f>
        <v>0</v>
      </c>
      <c r="AQ120">
        <f>Table1423[[#This Row],[Ai,t]]*(Table1423[[#This Row],[GHGWPS-soil-CO2,i,t]]-Table1423[[#This Row],[Deductionalloch WPS (Eq 38)]]+Table1423[[#This Row],[GHGWPS-soil-CH4,i,t]]+Table1423[[#This Row],[GHGWPS-soil-N2O,i,t]])</f>
        <v>-14952.143030095611</v>
      </c>
      <c r="AR120" t="e" cm="1">
        <f t="array" ref="AR120">INDEX(#REF!, MATCH(1, (Table1423[[#This Row],[year t]]=Table32[[#All],[year t]])*(Table1423[[#This Row],[stratum i]]=Table32[[#All],[stratum i]]), 0))</f>
        <v>#REF!</v>
      </c>
      <c r="AS120" t="e" cm="1">
        <f t="array" ref="AS120">INDEX(#REF!, MATCH(1, (Table1423[[#This Row],[year t]]=Table32[[#All],[year t]])*(Table1423[[#This Row],[stratum i]]=Table32[[#All],[stratum i]]), 0))</f>
        <v>#REF!</v>
      </c>
      <c r="AT120" t="e" cm="1">
        <f t="array" ref="AT120">INDEX(#REF!, MATCH(1, (Table1423[[#This Row],[year t]]=Table32[[#All],[year t]])*(Table1423[[#This Row],[stratum i]]=Table32[[#All],[stratum i]]), 0))</f>
        <v>#REF!</v>
      </c>
      <c r="AU120" t="e" cm="1">
        <f t="array" ref="AU120">INDEX(#REF!, MATCH(1, (Table1423[[#This Row],[year t]]=Table32[[#All],[year t]])*(Table1423[[#This Row],[stratum i]]=Table32[[#All],[stratum i]]), 0))</f>
        <v>#REF!</v>
      </c>
      <c r="AV120" s="30"/>
      <c r="BB120" s="18">
        <v>2060</v>
      </c>
      <c r="BC120">
        <v>3</v>
      </c>
      <c r="BD120" cm="1">
        <f t="array" ref="BD120">INDEX(Table32[[#All],[∆CWPS-soil,i,t (tC/ha)]], MATCH(1, (Table1329[[#This Row],[year t]]=Table32[[#All],[year t]])*(Table1329[[#This Row],[stratum i]]=Table32[[#All],[stratum i]]), 0))</f>
        <v>2.4</v>
      </c>
      <c r="BE120">
        <f>-44/12*Table1329[[#This Row],[∆CWPS-soil,i,t (tC/ha)]]</f>
        <v>-8.7999999999999989</v>
      </c>
    </row>
    <row r="121" spans="11:57" x14ac:dyDescent="0.2">
      <c r="K121" s="18">
        <v>2061</v>
      </c>
      <c r="L121">
        <v>3</v>
      </c>
      <c r="M121" cm="1">
        <f t="array" ref="M121">IF(project_aboveground_tree = "Included", INDEX(Table32[[#All],[ΔCTREE_PROJ,i,t (AR Tool 14) t C/yr]], MATCH(1, (Table1221[[#This Row],[year t]]=Table32[[#All],[year t]])*(Table1221[[#This Row],[stratum i]]=Table32[[#All],[stratum i]]), 0)), 0)</f>
        <v>11420.258521972573</v>
      </c>
      <c r="N121" s="57" cm="1">
        <f t="array" ref="N121">IF(project_aboveground_nontree = "Included", INDEX(#REF!, MATCH(1, (Table1221[[#This Row],[year t]]=Table32[[#All],[year t]])*(Table1221[[#This Row],[stratum i]]=Table32[[#All],[stratum i]]), 0)), 0)</f>
        <v>0</v>
      </c>
      <c r="O121">
        <f>12/44*(Table1221[[#This Row],[ΔCTREE_PROJ,t (AR Tool 14) t CO2e/yr]]+Table1221[[#This Row],[ΔCSHRUB_PROJ,t (AR Tool 14) t CO2e/yr]])</f>
        <v>3114.6159605379744</v>
      </c>
      <c r="P121" cm="1">
        <f t="array" ref="P121">IF(project_aboveground_nontree = "Included", IFERROR(INDEX(Table1322[[#All],[ΔCWPS-herb,i,t (Eq 78)]], MATCH(1, (Table1221[[#This Row],[stratum i]]=Table1322[[#All],[stratum i]])*(Table1221[[#This Row],[year t]]&gt;=#REF!)*(Table1221[[#This Row],[year t]]&lt;=Table1322[[#All],[year t]]), 0)), 0), 0)</f>
        <v>0</v>
      </c>
      <c r="Q121">
        <f>Table1221[[#This Row],[ΔCWPS-tree/shrub,i,t (t C/yr) (Eq 75)]]+Table1221[[#This Row],[ΔCWPS-herb,i,t (t C/yr)]]</f>
        <v>3114.6159605379744</v>
      </c>
      <c r="R121" cm="1">
        <f t="array" ref="R121">INDEX(Table1423[[#All],[GHGWPS-soil,i,t]], MATCH(1, (Table1221[[#This Row],[year t]]=Table1423[[#All],[year t]])*(Table1221[[#This Row],[stratum i]]=Table1423[[#All],[stratum i]]), 0))</f>
        <v>-14952.143030095611</v>
      </c>
      <c r="S121">
        <f>IF(project_ff_CO2 = "Included", Table1221[[#This Row],[ET(FC,I,t) AR-Tool 5 WPS]], 0)</f>
        <v>0</v>
      </c>
      <c r="T121" t="e" cm="1">
        <f t="array" ref="T121">INDEX(#REF!, MATCH(1, (Table1221[[#This Row],[year t]]=Table32[[#All],[year t]])*(Table1221[[#This Row],[stratum i]]=Table32[[#All],[stratum i]]), 0))</f>
        <v>#REF!</v>
      </c>
      <c r="AE121" s="18">
        <v>2061</v>
      </c>
      <c r="AF121">
        <v>3</v>
      </c>
      <c r="AG121" s="18" cm="1">
        <f t="array" ref="AG121">INDEX(Table32[[#All],[Ai,t]], MATCH(1, (Table1423[[#This Row],[year t]]=Table32[[#All],[year t]])*(Table1423[[#This Row],[stratum i]]=Table32[[#All],[stratum i]]), 0))</f>
        <v>2222.8442528571427</v>
      </c>
      <c r="AH121" t="str">
        <f>INDEX(Table31[[#All],[Soil type (t=0)]], MATCH(Table1423[[#This Row],[stratum i]], Table31[[#All],[Stratum i]]))</f>
        <v>Mineral soil</v>
      </c>
      <c r="AI121">
        <f>IF(Emission_reduction_from_stock_loss?, INDEX(Table2[[#All],[End_PDT]], MATCH(Table1423[[#This Row],[stratum i]], Table2[[#All],[stratum i]])), crediting_period)</f>
        <v>40</v>
      </c>
      <c r="AJ121">
        <f>IF(Emission_reduction_from_stock_loss?, INDEX(Table2[[#All],[End_SDT]], MATCH(Table1423[[#This Row],[stratum i]], Table2[[#All],[stratum i]])), crediting_period)</f>
        <v>40</v>
      </c>
      <c r="AK121" cm="1">
        <f t="array" ref="AK12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21" s="30" cm="1">
        <f t="array" ref="AL121">INDEX(Table32[[#All],[%Calloch WPS]], MATCH(1, (Table1423[[#This Row],[year t]]=Table32[[#All],[year t]])*(Table1423[[#This Row],[stratum i]]=Table32[[#All],[stratum i]]), 0))</f>
        <v>23.561573856247001</v>
      </c>
      <c r="AM12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21">
        <f>(Table1423[[#This Row],[GHGWPS-soil-CO2,i,t]]-Table1423[[#This Row],[Deductionalloch WPS (Eq 38)]])*Table1423[[#This Row],[Ai,t]]</f>
        <v>-14952.143030095611</v>
      </c>
      <c r="AO121" cm="1">
        <f t="array" ref="AO121">IF(project_soil_CH4 = "Included", INDEX(Table1830[[#All],[GHGWPS-soil-CH4,i,t (Eq 59)]], MATCH(1, (Table1423[[#This Row],[year t]]=Table1830[[#All],[year t]])*(Table1423[[#This Row],[stratum i]]=Table1830[[#All],[stratum i]]), 0)), 0)</f>
        <v>0</v>
      </c>
      <c r="AP121" cm="1">
        <f t="array" ref="AP121">IF(project_soil_N2O = "Included", INDEX(Table1830[[#All],[GHGWPS-soil-N2O,i,t (Eq 62)]], MATCH(1, (Table1423[[#This Row],[year t]]=Table1830[[#All],[year t]])*(Table1423[[#This Row],[stratum i]]=Table1830[[#All],[stratum i]]), 0)), 0)</f>
        <v>0</v>
      </c>
      <c r="AQ121">
        <f>Table1423[[#This Row],[Ai,t]]*(Table1423[[#This Row],[GHGWPS-soil-CO2,i,t]]-Table1423[[#This Row],[Deductionalloch WPS (Eq 38)]]+Table1423[[#This Row],[GHGWPS-soil-CH4,i,t]]+Table1423[[#This Row],[GHGWPS-soil-N2O,i,t]])</f>
        <v>-14952.143030095611</v>
      </c>
      <c r="AR121" t="e" cm="1">
        <f t="array" ref="AR121">INDEX(#REF!, MATCH(1, (Table1423[[#This Row],[year t]]=Table32[[#All],[year t]])*(Table1423[[#This Row],[stratum i]]=Table32[[#All],[stratum i]]), 0))</f>
        <v>#REF!</v>
      </c>
      <c r="AS121" t="e" cm="1">
        <f t="array" ref="AS121">INDEX(#REF!, MATCH(1, (Table1423[[#This Row],[year t]]=Table32[[#All],[year t]])*(Table1423[[#This Row],[stratum i]]=Table32[[#All],[stratum i]]), 0))</f>
        <v>#REF!</v>
      </c>
      <c r="AT121" t="e" cm="1">
        <f t="array" ref="AT121">INDEX(#REF!, MATCH(1, (Table1423[[#This Row],[year t]]=Table32[[#All],[year t]])*(Table1423[[#This Row],[stratum i]]=Table32[[#All],[stratum i]]), 0))</f>
        <v>#REF!</v>
      </c>
      <c r="AU121" t="e" cm="1">
        <f t="array" ref="AU121">INDEX(#REF!, MATCH(1, (Table1423[[#This Row],[year t]]=Table32[[#All],[year t]])*(Table1423[[#This Row],[stratum i]]=Table32[[#All],[stratum i]]), 0))</f>
        <v>#REF!</v>
      </c>
      <c r="AV121" s="30"/>
      <c r="BB121" s="18">
        <v>2061</v>
      </c>
      <c r="BC121">
        <v>3</v>
      </c>
      <c r="BD121" cm="1">
        <f t="array" ref="BD121">INDEX(Table32[[#All],[∆CWPS-soil,i,t (tC/ha)]], MATCH(1, (Table1329[[#This Row],[year t]]=Table32[[#All],[year t]])*(Table1329[[#This Row],[stratum i]]=Table32[[#All],[stratum i]]), 0))</f>
        <v>2.4</v>
      </c>
      <c r="BE121">
        <f>-44/12*Table1329[[#This Row],[∆CWPS-soil,i,t (tC/ha)]]</f>
        <v>-8.7999999999999989</v>
      </c>
    </row>
    <row r="122" spans="11:57" x14ac:dyDescent="0.2">
      <c r="K122" s="18">
        <v>2025</v>
      </c>
      <c r="L122">
        <v>4</v>
      </c>
      <c r="M122" cm="1">
        <f t="array" ref="M122">IF(project_aboveground_tree = "Included", INDEX(Table32[[#All],[ΔCTREE_PROJ,i,t (AR Tool 14) t C/yr]], MATCH(1, (Table1221[[#This Row],[year t]]=Table32[[#All],[year t]])*(Table1221[[#This Row],[stratum i]]=Table32[[#All],[stratum i]]), 0)), 0)</f>
        <v>5.2868839577444855E-6</v>
      </c>
      <c r="N122" s="57" cm="1">
        <f t="array" ref="N122">IF(project_aboveground_nontree = "Included", INDEX(#REF!, MATCH(1, (Table1221[[#This Row],[year t]]=Table32[[#All],[year t]])*(Table1221[[#This Row],[stratum i]]=Table32[[#All],[stratum i]]), 0)), 0)</f>
        <v>0</v>
      </c>
      <c r="O122">
        <f>12/44*(Table1221[[#This Row],[ΔCTREE_PROJ,t (AR Tool 14) t CO2e/yr]]+Table1221[[#This Row],[ΔCSHRUB_PROJ,t (AR Tool 14) t CO2e/yr]])</f>
        <v>1.4418774430212232E-6</v>
      </c>
      <c r="P122" cm="1">
        <f t="array" ref="P122">IF(project_aboveground_nontree = "Included", IFERROR(INDEX(Table1322[[#All],[ΔCWPS-herb,i,t (Eq 78)]], MATCH(1, (Table1221[[#This Row],[stratum i]]=Table1322[[#All],[stratum i]])*(Table1221[[#This Row],[year t]]&gt;=#REF!)*(Table1221[[#This Row],[year t]]&lt;=Table1322[[#All],[year t]]), 0)), 0), 0)</f>
        <v>0</v>
      </c>
      <c r="Q122">
        <f>Table1221[[#This Row],[ΔCWPS-tree/shrub,i,t (t C/yr) (Eq 75)]]+Table1221[[#This Row],[ΔCWPS-herb,i,t (t C/yr)]]</f>
        <v>1.4418774430212232E-6</v>
      </c>
      <c r="R122" cm="1">
        <f t="array" ref="R122">INDEX(Table1423[[#All],[GHGWPS-soil,i,t]], MATCH(1, (Table1221[[#This Row],[year t]]=Table1423[[#All],[year t]])*(Table1221[[#This Row],[stratum i]]=Table1423[[#All],[stratum i]]), 0))</f>
        <v>0</v>
      </c>
      <c r="S122">
        <f>IF(project_ff_CO2 = "Included", Table1221[[#This Row],[ET(FC,I,t) AR-Tool 5 WPS]], 0)</f>
        <v>0</v>
      </c>
      <c r="T122" t="e" cm="1">
        <f t="array" ref="T122">INDEX(#REF!, MATCH(1, (Table1221[[#This Row],[year t]]=Table32[[#All],[year t]])*(Table1221[[#This Row],[stratum i]]=Table32[[#All],[stratum i]]), 0))</f>
        <v>#REF!</v>
      </c>
      <c r="AE122" s="18">
        <v>2025</v>
      </c>
      <c r="AF122">
        <v>4</v>
      </c>
      <c r="AG122" s="18" cm="1">
        <f t="array" ref="AG122">INDEX(Table32[[#All],[Ai,t]], MATCH(1, (Table1423[[#This Row],[year t]]=Table32[[#All],[year t]])*(Table1423[[#This Row],[stratum i]]=Table32[[#All],[stratum i]]), 0))</f>
        <v>1227.7635314285715</v>
      </c>
      <c r="AH122" t="str">
        <f>INDEX(Table31[[#All],[Soil type (t=0)]], MATCH(Table1423[[#This Row],[stratum i]], Table31[[#All],[Stratum i]]))</f>
        <v>Mineral soil</v>
      </c>
      <c r="AI122">
        <f>IF(Emission_reduction_from_stock_loss?, INDEX(Table2[[#All],[End_PDT]], MATCH(Table1423[[#This Row],[stratum i]], Table2[[#All],[stratum i]])), crediting_period)</f>
        <v>40</v>
      </c>
      <c r="AJ122">
        <f>IF(Emission_reduction_from_stock_loss?, INDEX(Table2[[#All],[End_SDT]], MATCH(Table1423[[#This Row],[stratum i]], Table2[[#All],[stratum i]])), crediting_period)</f>
        <v>40</v>
      </c>
      <c r="AK122" cm="1">
        <f t="array" ref="AK12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122" s="30" cm="1">
        <f t="array" ref="AL122">INDEX(Table32[[#All],[%Calloch WPS]], MATCH(1, (Table1423[[#This Row],[year t]]=Table32[[#All],[year t]])*(Table1423[[#This Row],[stratum i]]=Table32[[#All],[stratum i]]), 0))</f>
        <v>23.561573856247001</v>
      </c>
      <c r="AM122">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122">
        <f>(Table1423[[#This Row],[GHGWPS-soil-CO2,i,t]]-Table1423[[#This Row],[Deductionalloch WPS (Eq 38)]])*Table1423[[#This Row],[Ai,t]]</f>
        <v>0</v>
      </c>
      <c r="AO122" cm="1">
        <f t="array" ref="AO122">IF(project_soil_CH4 = "Included", INDEX(Table1830[[#All],[GHGWPS-soil-CH4,i,t (Eq 59)]], MATCH(1, (Table1423[[#This Row],[year t]]=Table1830[[#All],[year t]])*(Table1423[[#This Row],[stratum i]]=Table1830[[#All],[stratum i]]), 0)), 0)</f>
        <v>0</v>
      </c>
      <c r="AP122" cm="1">
        <f t="array" ref="AP122">IF(project_soil_N2O = "Included", INDEX(Table1830[[#All],[GHGWPS-soil-N2O,i,t (Eq 62)]], MATCH(1, (Table1423[[#This Row],[year t]]=Table1830[[#All],[year t]])*(Table1423[[#This Row],[stratum i]]=Table1830[[#All],[stratum i]]), 0)), 0)</f>
        <v>0</v>
      </c>
      <c r="AQ122">
        <f>Table1423[[#This Row],[Ai,t]]*(Table1423[[#This Row],[GHGWPS-soil-CO2,i,t]]-Table1423[[#This Row],[Deductionalloch WPS (Eq 38)]]+Table1423[[#This Row],[GHGWPS-soil-CH4,i,t]]+Table1423[[#This Row],[GHGWPS-soil-N2O,i,t]])</f>
        <v>0</v>
      </c>
      <c r="AR122" t="e" cm="1">
        <f t="array" ref="AR122">INDEX(#REF!, MATCH(1, (Table1423[[#This Row],[year t]]=Table32[[#All],[year t]])*(Table1423[[#This Row],[stratum i]]=Table32[[#All],[stratum i]]), 0))</f>
        <v>#REF!</v>
      </c>
      <c r="AS122" t="e" cm="1">
        <f t="array" ref="AS122">INDEX(#REF!, MATCH(1, (Table1423[[#This Row],[year t]]=Table32[[#All],[year t]])*(Table1423[[#This Row],[stratum i]]=Table32[[#All],[stratum i]]), 0))</f>
        <v>#REF!</v>
      </c>
      <c r="AT122" t="e" cm="1">
        <f t="array" ref="AT122">INDEX(#REF!, MATCH(1, (Table1423[[#This Row],[year t]]=Table32[[#All],[year t]])*(Table1423[[#This Row],[stratum i]]=Table32[[#All],[stratum i]]), 0))</f>
        <v>#REF!</v>
      </c>
      <c r="AU122" t="e" cm="1">
        <f t="array" ref="AU122">INDEX(#REF!, MATCH(1, (Table1423[[#This Row],[year t]]=Table32[[#All],[year t]])*(Table1423[[#This Row],[stratum i]]=Table32[[#All],[stratum i]]), 0))</f>
        <v>#REF!</v>
      </c>
      <c r="AV122" s="30"/>
      <c r="BB122" s="18">
        <v>2025</v>
      </c>
      <c r="BC122">
        <v>4</v>
      </c>
      <c r="BD122" cm="1">
        <f t="array" ref="BD122">INDEX(Table32[[#All],[∆CWPS-soil,i,t (tC/ha)]], MATCH(1, (Table1329[[#This Row],[year t]]=Table32[[#All],[year t]])*(Table1329[[#This Row],[stratum i]]=Table32[[#All],[stratum i]]), 0))</f>
        <v>0</v>
      </c>
      <c r="BE122">
        <f>-44/12*Table1329[[#This Row],[∆CWPS-soil,i,t (tC/ha)]]</f>
        <v>0</v>
      </c>
    </row>
    <row r="123" spans="11:57" x14ac:dyDescent="0.2">
      <c r="K123" s="18">
        <v>2026</v>
      </c>
      <c r="L123">
        <v>4</v>
      </c>
      <c r="M123" cm="1">
        <f t="array" ref="M123">IF(project_aboveground_tree = "Included", INDEX(Table32[[#All],[ΔCTREE_PROJ,i,t (AR Tool 14) t C/yr]], MATCH(1, (Table1221[[#This Row],[year t]]=Table32[[#All],[year t]])*(Table1221[[#This Row],[stratum i]]=Table32[[#All],[stratum i]]), 0)), 0)</f>
        <v>7.0975803971167779E-3</v>
      </c>
      <c r="N123" s="57" cm="1">
        <f t="array" ref="N123">IF(project_aboveground_nontree = "Included", INDEX(#REF!, MATCH(1, (Table1221[[#This Row],[year t]]=Table32[[#All],[year t]])*(Table1221[[#This Row],[stratum i]]=Table32[[#All],[stratum i]]), 0)), 0)</f>
        <v>0</v>
      </c>
      <c r="O123">
        <f>12/44*(Table1221[[#This Row],[ΔCTREE_PROJ,t (AR Tool 14) t CO2e/yr]]+Table1221[[#This Row],[ΔCSHRUB_PROJ,t (AR Tool 14) t CO2e/yr]])</f>
        <v>1.9357037446682121E-3</v>
      </c>
      <c r="P123" cm="1">
        <f t="array" ref="P123">IF(project_aboveground_nontree = "Included", IFERROR(INDEX(Table1322[[#All],[ΔCWPS-herb,i,t (Eq 78)]], MATCH(1, (Table1221[[#This Row],[stratum i]]=Table1322[[#All],[stratum i]])*(Table1221[[#This Row],[year t]]&gt;=#REF!)*(Table1221[[#This Row],[year t]]&lt;=Table1322[[#All],[year t]]), 0)), 0), 0)</f>
        <v>0</v>
      </c>
      <c r="Q123">
        <f>Table1221[[#This Row],[ΔCWPS-tree/shrub,i,t (t C/yr) (Eq 75)]]+Table1221[[#This Row],[ΔCWPS-herb,i,t (t C/yr)]]</f>
        <v>1.9357037446682121E-3</v>
      </c>
      <c r="R123" cm="1">
        <f t="array" ref="R123">INDEX(Table1423[[#All],[GHGWPS-soil,i,t]], MATCH(1, (Table1221[[#This Row],[year t]]=Table1423[[#All],[year t]])*(Table1221[[#This Row],[stratum i]]=Table1423[[#All],[stratum i]]), 0))</f>
        <v>0</v>
      </c>
      <c r="S123">
        <f>IF(project_ff_CO2 = "Included", Table1221[[#This Row],[ET(FC,I,t) AR-Tool 5 WPS]], 0)</f>
        <v>0</v>
      </c>
      <c r="T123" t="e" cm="1">
        <f t="array" ref="T123">INDEX(#REF!, MATCH(1, (Table1221[[#This Row],[year t]]=Table32[[#All],[year t]])*(Table1221[[#This Row],[stratum i]]=Table32[[#All],[stratum i]]), 0))</f>
        <v>#REF!</v>
      </c>
      <c r="AE123" s="18">
        <v>2026</v>
      </c>
      <c r="AF123">
        <v>4</v>
      </c>
      <c r="AG123" s="18" cm="1">
        <f t="array" ref="AG123">INDEX(Table32[[#All],[Ai,t]], MATCH(1, (Table1423[[#This Row],[year t]]=Table32[[#All],[year t]])*(Table1423[[#This Row],[stratum i]]=Table32[[#All],[stratum i]]), 0))</f>
        <v>1227.7635314285715</v>
      </c>
      <c r="AH123" t="str">
        <f>INDEX(Table31[[#All],[Soil type (t=0)]], MATCH(Table1423[[#This Row],[stratum i]], Table31[[#All],[Stratum i]]))</f>
        <v>Mineral soil</v>
      </c>
      <c r="AI123">
        <f>IF(Emission_reduction_from_stock_loss?, INDEX(Table2[[#All],[End_PDT]], MATCH(Table1423[[#This Row],[stratum i]], Table2[[#All],[stratum i]])), crediting_period)</f>
        <v>40</v>
      </c>
      <c r="AJ123">
        <f>IF(Emission_reduction_from_stock_loss?, INDEX(Table2[[#All],[End_SDT]], MATCH(Table1423[[#This Row],[stratum i]], Table2[[#All],[stratum i]])), crediting_period)</f>
        <v>40</v>
      </c>
      <c r="AK123" cm="1">
        <f t="array" ref="AK12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123" s="30" cm="1">
        <f t="array" ref="AL123">INDEX(Table32[[#All],[%Calloch WPS]], MATCH(1, (Table1423[[#This Row],[year t]]=Table32[[#All],[year t]])*(Table1423[[#This Row],[stratum i]]=Table32[[#All],[stratum i]]), 0))</f>
        <v>23.561573856247001</v>
      </c>
      <c r="AM123">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123">
        <f>(Table1423[[#This Row],[GHGWPS-soil-CO2,i,t]]-Table1423[[#This Row],[Deductionalloch WPS (Eq 38)]])*Table1423[[#This Row],[Ai,t]]</f>
        <v>0</v>
      </c>
      <c r="AO123" cm="1">
        <f t="array" ref="AO123">IF(project_soil_CH4 = "Included", INDEX(Table1830[[#All],[GHGWPS-soil-CH4,i,t (Eq 59)]], MATCH(1, (Table1423[[#This Row],[year t]]=Table1830[[#All],[year t]])*(Table1423[[#This Row],[stratum i]]=Table1830[[#All],[stratum i]]), 0)), 0)</f>
        <v>0</v>
      </c>
      <c r="AP123" cm="1">
        <f t="array" ref="AP123">IF(project_soil_N2O = "Included", INDEX(Table1830[[#All],[GHGWPS-soil-N2O,i,t (Eq 62)]], MATCH(1, (Table1423[[#This Row],[year t]]=Table1830[[#All],[year t]])*(Table1423[[#This Row],[stratum i]]=Table1830[[#All],[stratum i]]), 0)), 0)</f>
        <v>0</v>
      </c>
      <c r="AQ123">
        <f>Table1423[[#This Row],[Ai,t]]*(Table1423[[#This Row],[GHGWPS-soil-CO2,i,t]]-Table1423[[#This Row],[Deductionalloch WPS (Eq 38)]]+Table1423[[#This Row],[GHGWPS-soil-CH4,i,t]]+Table1423[[#This Row],[GHGWPS-soil-N2O,i,t]])</f>
        <v>0</v>
      </c>
      <c r="AR123" t="e" cm="1">
        <f t="array" ref="AR123">INDEX(#REF!, MATCH(1, (Table1423[[#This Row],[year t]]=Table32[[#All],[year t]])*(Table1423[[#This Row],[stratum i]]=Table32[[#All],[stratum i]]), 0))</f>
        <v>#REF!</v>
      </c>
      <c r="AS123" t="e" cm="1">
        <f t="array" ref="AS123">INDEX(#REF!, MATCH(1, (Table1423[[#This Row],[year t]]=Table32[[#All],[year t]])*(Table1423[[#This Row],[stratum i]]=Table32[[#All],[stratum i]]), 0))</f>
        <v>#REF!</v>
      </c>
      <c r="AT123" t="e" cm="1">
        <f t="array" ref="AT123">INDEX(#REF!, MATCH(1, (Table1423[[#This Row],[year t]]=Table32[[#All],[year t]])*(Table1423[[#This Row],[stratum i]]=Table32[[#All],[stratum i]]), 0))</f>
        <v>#REF!</v>
      </c>
      <c r="AU123" t="e" cm="1">
        <f t="array" ref="AU123">INDEX(#REF!, MATCH(1, (Table1423[[#This Row],[year t]]=Table32[[#All],[year t]])*(Table1423[[#This Row],[stratum i]]=Table32[[#All],[stratum i]]), 0))</f>
        <v>#REF!</v>
      </c>
      <c r="AV123" s="30"/>
      <c r="BB123" s="18">
        <v>2026</v>
      </c>
      <c r="BC123">
        <v>4</v>
      </c>
      <c r="BD123" cm="1">
        <f t="array" ref="BD123">INDEX(Table32[[#All],[∆CWPS-soil,i,t (tC/ha)]], MATCH(1, (Table1329[[#This Row],[year t]]=Table32[[#All],[year t]])*(Table1329[[#This Row],[stratum i]]=Table32[[#All],[stratum i]]), 0))</f>
        <v>0</v>
      </c>
      <c r="BE123">
        <f>-44/12*Table1329[[#This Row],[∆CWPS-soil,i,t (tC/ha)]]</f>
        <v>0</v>
      </c>
    </row>
    <row r="124" spans="11:57" x14ac:dyDescent="0.2">
      <c r="K124" s="18">
        <v>2027</v>
      </c>
      <c r="L124">
        <v>4</v>
      </c>
      <c r="M124" cm="1">
        <f t="array" ref="M124">IF(project_aboveground_tree = "Included", INDEX(Table32[[#All],[ΔCTREE_PROJ,i,t (AR Tool 14) t C/yr]], MATCH(1, (Table1221[[#This Row],[year t]]=Table32[[#All],[year t]])*(Table1221[[#This Row],[stratum i]]=Table32[[#All],[stratum i]]), 0)), 0)</f>
        <v>0.36696677652953025</v>
      </c>
      <c r="N124" s="57" cm="1">
        <f t="array" ref="N124">IF(project_aboveground_nontree = "Included", INDEX(#REF!, MATCH(1, (Table1221[[#This Row],[year t]]=Table32[[#All],[year t]])*(Table1221[[#This Row],[stratum i]]=Table32[[#All],[stratum i]]), 0)), 0)</f>
        <v>0</v>
      </c>
      <c r="O124">
        <f>12/44*(Table1221[[#This Row],[ΔCTREE_PROJ,t (AR Tool 14) t CO2e/yr]]+Table1221[[#This Row],[ΔCSHRUB_PROJ,t (AR Tool 14) t CO2e/yr]])</f>
        <v>0.10008184814441733</v>
      </c>
      <c r="P124" cm="1">
        <f t="array" ref="P124">IF(project_aboveground_nontree = "Included", IFERROR(INDEX(Table1322[[#All],[ΔCWPS-herb,i,t (Eq 78)]], MATCH(1, (Table1221[[#This Row],[stratum i]]=Table1322[[#All],[stratum i]])*(Table1221[[#This Row],[year t]]&gt;=#REF!)*(Table1221[[#This Row],[year t]]&lt;=Table1322[[#All],[year t]]), 0)), 0), 0)</f>
        <v>0</v>
      </c>
      <c r="Q124">
        <f>Table1221[[#This Row],[ΔCWPS-tree/shrub,i,t (t C/yr) (Eq 75)]]+Table1221[[#This Row],[ΔCWPS-herb,i,t (t C/yr)]]</f>
        <v>0.10008184814441733</v>
      </c>
      <c r="R124" cm="1">
        <f t="array" ref="R124">INDEX(Table1423[[#All],[GHGWPS-soil,i,t]], MATCH(1, (Table1221[[#This Row],[year t]]=Table1423[[#All],[year t]])*(Table1221[[#This Row],[stratum i]]=Table1423[[#All],[stratum i]]), 0))</f>
        <v>0</v>
      </c>
      <c r="S124">
        <f>IF(project_ff_CO2 = "Included", Table1221[[#This Row],[ET(FC,I,t) AR-Tool 5 WPS]], 0)</f>
        <v>0</v>
      </c>
      <c r="T124" t="e" cm="1">
        <f t="array" ref="T124">INDEX(#REF!, MATCH(1, (Table1221[[#This Row],[year t]]=Table32[[#All],[year t]])*(Table1221[[#This Row],[stratum i]]=Table32[[#All],[stratum i]]), 0))</f>
        <v>#REF!</v>
      </c>
      <c r="AE124" s="18">
        <v>2027</v>
      </c>
      <c r="AF124">
        <v>4</v>
      </c>
      <c r="AG124" s="18" cm="1">
        <f t="array" ref="AG124">INDEX(Table32[[#All],[Ai,t]], MATCH(1, (Table1423[[#This Row],[year t]]=Table32[[#All],[year t]])*(Table1423[[#This Row],[stratum i]]=Table32[[#All],[stratum i]]), 0))</f>
        <v>1227.7635314285715</v>
      </c>
      <c r="AH124" t="str">
        <f>INDEX(Table31[[#All],[Soil type (t=0)]], MATCH(Table1423[[#This Row],[stratum i]], Table31[[#All],[Stratum i]]))</f>
        <v>Mineral soil</v>
      </c>
      <c r="AI124">
        <f>IF(Emission_reduction_from_stock_loss?, INDEX(Table2[[#All],[End_PDT]], MATCH(Table1423[[#This Row],[stratum i]], Table2[[#All],[stratum i]])), crediting_period)</f>
        <v>40</v>
      </c>
      <c r="AJ124">
        <f>IF(Emission_reduction_from_stock_loss?, INDEX(Table2[[#All],[End_SDT]], MATCH(Table1423[[#This Row],[stratum i]], Table2[[#All],[stratum i]])), crediting_period)</f>
        <v>40</v>
      </c>
      <c r="AK124" cm="1">
        <f t="array" ref="AK12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124" s="30" cm="1">
        <f t="array" ref="AL124">INDEX(Table32[[#All],[%Calloch WPS]], MATCH(1, (Table1423[[#This Row],[year t]]=Table32[[#All],[year t]])*(Table1423[[#This Row],[stratum i]]=Table32[[#All],[stratum i]]), 0))</f>
        <v>23.561573856247001</v>
      </c>
      <c r="AM124">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124">
        <f>(Table1423[[#This Row],[GHGWPS-soil-CO2,i,t]]-Table1423[[#This Row],[Deductionalloch WPS (Eq 38)]])*Table1423[[#This Row],[Ai,t]]</f>
        <v>0</v>
      </c>
      <c r="AO124" cm="1">
        <f t="array" ref="AO124">IF(project_soil_CH4 = "Included", INDEX(Table1830[[#All],[GHGWPS-soil-CH4,i,t (Eq 59)]], MATCH(1, (Table1423[[#This Row],[year t]]=Table1830[[#All],[year t]])*(Table1423[[#This Row],[stratum i]]=Table1830[[#All],[stratum i]]), 0)), 0)</f>
        <v>0</v>
      </c>
      <c r="AP124" cm="1">
        <f t="array" ref="AP124">IF(project_soil_N2O = "Included", INDEX(Table1830[[#All],[GHGWPS-soil-N2O,i,t (Eq 62)]], MATCH(1, (Table1423[[#This Row],[year t]]=Table1830[[#All],[year t]])*(Table1423[[#This Row],[stratum i]]=Table1830[[#All],[stratum i]]), 0)), 0)</f>
        <v>0</v>
      </c>
      <c r="AQ124">
        <f>Table1423[[#This Row],[Ai,t]]*(Table1423[[#This Row],[GHGWPS-soil-CO2,i,t]]-Table1423[[#This Row],[Deductionalloch WPS (Eq 38)]]+Table1423[[#This Row],[GHGWPS-soil-CH4,i,t]]+Table1423[[#This Row],[GHGWPS-soil-N2O,i,t]])</f>
        <v>0</v>
      </c>
      <c r="AR124" t="e" cm="1">
        <f t="array" ref="AR124">INDEX(#REF!, MATCH(1, (Table1423[[#This Row],[year t]]=Table32[[#All],[year t]])*(Table1423[[#This Row],[stratum i]]=Table32[[#All],[stratum i]]), 0))</f>
        <v>#REF!</v>
      </c>
      <c r="AS124" t="e" cm="1">
        <f t="array" ref="AS124">INDEX(#REF!, MATCH(1, (Table1423[[#This Row],[year t]]=Table32[[#All],[year t]])*(Table1423[[#This Row],[stratum i]]=Table32[[#All],[stratum i]]), 0))</f>
        <v>#REF!</v>
      </c>
      <c r="AT124" t="e" cm="1">
        <f t="array" ref="AT124">INDEX(#REF!, MATCH(1, (Table1423[[#This Row],[year t]]=Table32[[#All],[year t]])*(Table1423[[#This Row],[stratum i]]=Table32[[#All],[stratum i]]), 0))</f>
        <v>#REF!</v>
      </c>
      <c r="AU124" t="e" cm="1">
        <f t="array" ref="AU124">INDEX(#REF!, MATCH(1, (Table1423[[#This Row],[year t]]=Table32[[#All],[year t]])*(Table1423[[#This Row],[stratum i]]=Table32[[#All],[stratum i]]), 0))</f>
        <v>#REF!</v>
      </c>
      <c r="AV124" s="30"/>
      <c r="BB124" s="18">
        <v>2027</v>
      </c>
      <c r="BC124">
        <v>4</v>
      </c>
      <c r="BD124" cm="1">
        <f t="array" ref="BD124">INDEX(Table32[[#All],[∆CWPS-soil,i,t (tC/ha)]], MATCH(1, (Table1329[[#This Row],[year t]]=Table32[[#All],[year t]])*(Table1329[[#This Row],[stratum i]]=Table32[[#All],[stratum i]]), 0))</f>
        <v>0</v>
      </c>
      <c r="BE124">
        <f>-44/12*Table1329[[#This Row],[∆CWPS-soil,i,t (tC/ha)]]</f>
        <v>0</v>
      </c>
    </row>
    <row r="125" spans="11:57" x14ac:dyDescent="0.2">
      <c r="K125" s="18">
        <v>2028</v>
      </c>
      <c r="L125">
        <v>4</v>
      </c>
      <c r="M125" cm="1">
        <f t="array" ref="M125">IF(project_aboveground_tree = "Included", INDEX(Table32[[#All],[ΔCTREE_PROJ,i,t (AR Tool 14) t C/yr]], MATCH(1, (Table1221[[#This Row],[year t]]=Table32[[#All],[year t]])*(Table1221[[#This Row],[stratum i]]=Table32[[#All],[stratum i]]), 0)), 0)</f>
        <v>4.8946007589698253</v>
      </c>
      <c r="N125" s="57" cm="1">
        <f t="array" ref="N125">IF(project_aboveground_nontree = "Included", INDEX(#REF!, MATCH(1, (Table1221[[#This Row],[year t]]=Table32[[#All],[year t]])*(Table1221[[#This Row],[stratum i]]=Table32[[#All],[stratum i]]), 0)), 0)</f>
        <v>0</v>
      </c>
      <c r="O125">
        <f>12/44*(Table1221[[#This Row],[ΔCTREE_PROJ,t (AR Tool 14) t CO2e/yr]]+Table1221[[#This Row],[ΔCSHRUB_PROJ,t (AR Tool 14) t CO2e/yr]])</f>
        <v>1.3348911160826795</v>
      </c>
      <c r="P125" cm="1">
        <f t="array" ref="P125">IF(project_aboveground_nontree = "Included", IFERROR(INDEX(Table1322[[#All],[ΔCWPS-herb,i,t (Eq 78)]], MATCH(1, (Table1221[[#This Row],[stratum i]]=Table1322[[#All],[stratum i]])*(Table1221[[#This Row],[year t]]&gt;=#REF!)*(Table1221[[#This Row],[year t]]&lt;=Table1322[[#All],[year t]]), 0)), 0), 0)</f>
        <v>0</v>
      </c>
      <c r="Q125">
        <f>Table1221[[#This Row],[ΔCWPS-tree/shrub,i,t (t C/yr) (Eq 75)]]+Table1221[[#This Row],[ΔCWPS-herb,i,t (t C/yr)]]</f>
        <v>1.3348911160826795</v>
      </c>
      <c r="R125" cm="1">
        <f t="array" ref="R125">INDEX(Table1423[[#All],[GHGWPS-soil,i,t]], MATCH(1, (Table1221[[#This Row],[year t]]=Table1423[[#All],[year t]])*(Table1221[[#This Row],[stratum i]]=Table1423[[#All],[stratum i]]), 0))</f>
        <v>0</v>
      </c>
      <c r="S125">
        <f>IF(project_ff_CO2 = "Included", Table1221[[#This Row],[ET(FC,I,t) AR-Tool 5 WPS]], 0)</f>
        <v>0</v>
      </c>
      <c r="T125" t="e" cm="1">
        <f t="array" ref="T125">INDEX(#REF!, MATCH(1, (Table1221[[#This Row],[year t]]=Table32[[#All],[year t]])*(Table1221[[#This Row],[stratum i]]=Table32[[#All],[stratum i]]), 0))</f>
        <v>#REF!</v>
      </c>
      <c r="AE125" s="18">
        <v>2028</v>
      </c>
      <c r="AF125">
        <v>4</v>
      </c>
      <c r="AG125" s="18" cm="1">
        <f t="array" ref="AG125">INDEX(Table32[[#All],[Ai,t]], MATCH(1, (Table1423[[#This Row],[year t]]=Table32[[#All],[year t]])*(Table1423[[#This Row],[stratum i]]=Table32[[#All],[stratum i]]), 0))</f>
        <v>1227.7635314285715</v>
      </c>
      <c r="AH125" t="str">
        <f>INDEX(Table31[[#All],[Soil type (t=0)]], MATCH(Table1423[[#This Row],[stratum i]], Table31[[#All],[Stratum i]]))</f>
        <v>Mineral soil</v>
      </c>
      <c r="AI125">
        <f>IF(Emission_reduction_from_stock_loss?, INDEX(Table2[[#All],[End_PDT]], MATCH(Table1423[[#This Row],[stratum i]], Table2[[#All],[stratum i]])), crediting_period)</f>
        <v>40</v>
      </c>
      <c r="AJ125">
        <f>IF(Emission_reduction_from_stock_loss?, INDEX(Table2[[#All],[End_SDT]], MATCH(Table1423[[#This Row],[stratum i]], Table2[[#All],[stratum i]])), crediting_period)</f>
        <v>40</v>
      </c>
      <c r="AK125" cm="1">
        <f t="array" ref="AK12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0</v>
      </c>
      <c r="AL125" s="30" cm="1">
        <f t="array" ref="AL125">INDEX(Table32[[#All],[%Calloch WPS]], MATCH(1, (Table1423[[#This Row],[year t]]=Table32[[#All],[year t]])*(Table1423[[#This Row],[stratum i]]=Table32[[#All],[stratum i]]), 0))</f>
        <v>23.561573856247001</v>
      </c>
      <c r="AM125">
        <f>IF(project_soil_SOC="Included", IF(Table1423[[#This Row],[Soil]]="Peat soil",0, IF(OR(soil_insitu_approach = "Proxies", soil_insitu_approach = "Field-collected data"), Table1423[[#This Row],[GHGWPS-soil-CO2,i,t]]*(Table1423[[#This Row],[%Calloch WPS]]/100),  Table1423[[#This Row],[GHGWPS-insitu-CO2,i,t]]*(Table1423[[#This Row],[%Calloch WPS]]/100))), 0)</f>
        <v>0</v>
      </c>
      <c r="AN125">
        <f>(Table1423[[#This Row],[GHGWPS-soil-CO2,i,t]]-Table1423[[#This Row],[Deductionalloch WPS (Eq 38)]])*Table1423[[#This Row],[Ai,t]]</f>
        <v>0</v>
      </c>
      <c r="AO125" cm="1">
        <f t="array" ref="AO125">IF(project_soil_CH4 = "Included", INDEX(Table1830[[#All],[GHGWPS-soil-CH4,i,t (Eq 59)]], MATCH(1, (Table1423[[#This Row],[year t]]=Table1830[[#All],[year t]])*(Table1423[[#This Row],[stratum i]]=Table1830[[#All],[stratum i]]), 0)), 0)</f>
        <v>0</v>
      </c>
      <c r="AP125" cm="1">
        <f t="array" ref="AP125">IF(project_soil_N2O = "Included", INDEX(Table1830[[#All],[GHGWPS-soil-N2O,i,t (Eq 62)]], MATCH(1, (Table1423[[#This Row],[year t]]=Table1830[[#All],[year t]])*(Table1423[[#This Row],[stratum i]]=Table1830[[#All],[stratum i]]), 0)), 0)</f>
        <v>0</v>
      </c>
      <c r="AQ125">
        <f>Table1423[[#This Row],[Ai,t]]*(Table1423[[#This Row],[GHGWPS-soil-CO2,i,t]]-Table1423[[#This Row],[Deductionalloch WPS (Eq 38)]]+Table1423[[#This Row],[GHGWPS-soil-CH4,i,t]]+Table1423[[#This Row],[GHGWPS-soil-N2O,i,t]])</f>
        <v>0</v>
      </c>
      <c r="AR125" t="e" cm="1">
        <f t="array" ref="AR125">INDEX(#REF!, MATCH(1, (Table1423[[#This Row],[year t]]=Table32[[#All],[year t]])*(Table1423[[#This Row],[stratum i]]=Table32[[#All],[stratum i]]), 0))</f>
        <v>#REF!</v>
      </c>
      <c r="AS125" t="e" cm="1">
        <f t="array" ref="AS125">INDEX(#REF!, MATCH(1, (Table1423[[#This Row],[year t]]=Table32[[#All],[year t]])*(Table1423[[#This Row],[stratum i]]=Table32[[#All],[stratum i]]), 0))</f>
        <v>#REF!</v>
      </c>
      <c r="AT125" t="e" cm="1">
        <f t="array" ref="AT125">INDEX(#REF!, MATCH(1, (Table1423[[#This Row],[year t]]=Table32[[#All],[year t]])*(Table1423[[#This Row],[stratum i]]=Table32[[#All],[stratum i]]), 0))</f>
        <v>#REF!</v>
      </c>
      <c r="AU125" t="e" cm="1">
        <f t="array" ref="AU125">INDEX(#REF!, MATCH(1, (Table1423[[#This Row],[year t]]=Table32[[#All],[year t]])*(Table1423[[#This Row],[stratum i]]=Table32[[#All],[stratum i]]), 0))</f>
        <v>#REF!</v>
      </c>
      <c r="AV125" s="30"/>
      <c r="BB125" s="18">
        <v>2028</v>
      </c>
      <c r="BC125">
        <v>4</v>
      </c>
      <c r="BD125" cm="1">
        <f t="array" ref="BD125">INDEX(Table32[[#All],[∆CWPS-soil,i,t (tC/ha)]], MATCH(1, (Table1329[[#This Row],[year t]]=Table32[[#All],[year t]])*(Table1329[[#This Row],[stratum i]]=Table32[[#All],[stratum i]]), 0))</f>
        <v>0</v>
      </c>
      <c r="BE125">
        <f>-44/12*Table1329[[#This Row],[∆CWPS-soil,i,t (tC/ha)]]</f>
        <v>0</v>
      </c>
    </row>
    <row r="126" spans="11:57" x14ac:dyDescent="0.2">
      <c r="K126" s="18">
        <v>2029</v>
      </c>
      <c r="L126">
        <v>4</v>
      </c>
      <c r="M126" cm="1">
        <f t="array" ref="M126">IF(project_aboveground_tree = "Included", INDEX(Table32[[#All],[ΔCTREE_PROJ,i,t (AR Tool 14) t C/yr]], MATCH(1, (Table1221[[#This Row],[year t]]=Table32[[#All],[year t]])*(Table1221[[#This Row],[stratum i]]=Table32[[#All],[stratum i]]), 0)), 0)</f>
        <v>30.956426498730472</v>
      </c>
      <c r="N126" s="57" cm="1">
        <f t="array" ref="N126">IF(project_aboveground_nontree = "Included", INDEX(#REF!, MATCH(1, (Table1221[[#This Row],[year t]]=Table32[[#All],[year t]])*(Table1221[[#This Row],[stratum i]]=Table32[[#All],[stratum i]]), 0)), 0)</f>
        <v>0</v>
      </c>
      <c r="O126">
        <f>12/44*(Table1221[[#This Row],[ΔCTREE_PROJ,t (AR Tool 14) t CO2e/yr]]+Table1221[[#This Row],[ΔCSHRUB_PROJ,t (AR Tool 14) t CO2e/yr]])</f>
        <v>8.4426617723810367</v>
      </c>
      <c r="P126" cm="1">
        <f t="array" ref="P126">IF(project_aboveground_nontree = "Included", IFERROR(INDEX(Table1322[[#All],[ΔCWPS-herb,i,t (Eq 78)]], MATCH(1, (Table1221[[#This Row],[stratum i]]=Table1322[[#All],[stratum i]])*(Table1221[[#This Row],[year t]]&gt;=#REF!)*(Table1221[[#This Row],[year t]]&lt;=Table1322[[#All],[year t]]), 0)), 0), 0)</f>
        <v>0</v>
      </c>
      <c r="Q126">
        <f>Table1221[[#This Row],[ΔCWPS-tree/shrub,i,t (t C/yr) (Eq 75)]]+Table1221[[#This Row],[ΔCWPS-herb,i,t (t C/yr)]]</f>
        <v>8.4426617723810367</v>
      </c>
      <c r="R126" cm="1">
        <f t="array" ref="R126">INDEX(Table1423[[#All],[GHGWPS-soil,i,t]], MATCH(1, (Table1221[[#This Row],[year t]]=Table1423[[#All],[year t]])*(Table1221[[#This Row],[stratum i]]=Table1423[[#All],[stratum i]]), 0))</f>
        <v>-1651.7302915360933</v>
      </c>
      <c r="S126">
        <f>IF(project_ff_CO2 = "Included", Table1221[[#This Row],[ET(FC,I,t) AR-Tool 5 WPS]], 0)</f>
        <v>0</v>
      </c>
      <c r="T126" t="e" cm="1">
        <f t="array" ref="T126">INDEX(#REF!, MATCH(1, (Table1221[[#This Row],[year t]]=Table32[[#All],[year t]])*(Table1221[[#This Row],[stratum i]]=Table32[[#All],[stratum i]]), 0))</f>
        <v>#REF!</v>
      </c>
      <c r="AE126" s="18">
        <v>2029</v>
      </c>
      <c r="AF126">
        <v>4</v>
      </c>
      <c r="AG126" s="18" cm="1">
        <f t="array" ref="AG126">INDEX(Table32[[#All],[Ai,t]], MATCH(1, (Table1423[[#This Row],[year t]]=Table32[[#All],[year t]])*(Table1423[[#This Row],[stratum i]]=Table32[[#All],[stratum i]]), 0))</f>
        <v>1227.7635314285715</v>
      </c>
      <c r="AH126" t="str">
        <f>INDEX(Table31[[#All],[Soil type (t=0)]], MATCH(Table1423[[#This Row],[stratum i]], Table31[[#All],[Stratum i]]))</f>
        <v>Mineral soil</v>
      </c>
      <c r="AI126">
        <f>IF(Emission_reduction_from_stock_loss?, INDEX(Table2[[#All],[End_PDT]], MATCH(Table1423[[#This Row],[stratum i]], Table2[[#All],[stratum i]])), crediting_period)</f>
        <v>40</v>
      </c>
      <c r="AJ126">
        <f>IF(Emission_reduction_from_stock_loss?, INDEX(Table2[[#All],[End_SDT]], MATCH(Table1423[[#This Row],[stratum i]], Table2[[#All],[stratum i]])), crediting_period)</f>
        <v>40</v>
      </c>
      <c r="AK126" cm="1">
        <f t="array" ref="AK12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-1.7599999999999998</v>
      </c>
      <c r="AL126" s="30" cm="1">
        <f t="array" ref="AL126">INDEX(Table32[[#All],[%Calloch WPS]], MATCH(1, (Table1423[[#This Row],[year t]]=Table32[[#All],[year t]])*(Table1423[[#This Row],[stratum i]]=Table32[[#All],[stratum i]]), 0))</f>
        <v>23.561573856247001</v>
      </c>
      <c r="AM126">
        <f>IF(project_soil_SOC="Included", IF(Table1423[[#This Row],[Soil]]="Peat soil",0, IF(OR(soil_insitu_approach = "Proxies", soil_insitu_approach = "Field-collected data"), Table1423[[#This Row],[GHGWPS-soil-CO2,i,t]]*(Table1423[[#This Row],[%Calloch WPS]]/100),  Table1423[[#This Row],[GHGWPS-insitu-CO2,i,t]]*(Table1423[[#This Row],[%Calloch WPS]]/100))), 0)</f>
        <v>-0.41468369986994719</v>
      </c>
      <c r="AN126">
        <f>(Table1423[[#This Row],[GHGWPS-soil-CO2,i,t]]-Table1423[[#This Row],[Deductionalloch WPS (Eq 38)]])*Table1423[[#This Row],[Ai,t]]</f>
        <v>-1651.7302915360933</v>
      </c>
      <c r="AO126" cm="1">
        <f t="array" ref="AO126">IF(project_soil_CH4 = "Included", INDEX(Table1830[[#All],[GHGWPS-soil-CH4,i,t (Eq 59)]], MATCH(1, (Table1423[[#This Row],[year t]]=Table1830[[#All],[year t]])*(Table1423[[#This Row],[stratum i]]=Table1830[[#All],[stratum i]]), 0)), 0)</f>
        <v>0</v>
      </c>
      <c r="AP126" cm="1">
        <f t="array" ref="AP126">IF(project_soil_N2O = "Included", INDEX(Table1830[[#All],[GHGWPS-soil-N2O,i,t (Eq 62)]], MATCH(1, (Table1423[[#This Row],[year t]]=Table1830[[#All],[year t]])*(Table1423[[#This Row],[stratum i]]=Table1830[[#All],[stratum i]]), 0)), 0)</f>
        <v>0</v>
      </c>
      <c r="AQ126">
        <f>Table1423[[#This Row],[Ai,t]]*(Table1423[[#This Row],[GHGWPS-soil-CO2,i,t]]-Table1423[[#This Row],[Deductionalloch WPS (Eq 38)]]+Table1423[[#This Row],[GHGWPS-soil-CH4,i,t]]+Table1423[[#This Row],[GHGWPS-soil-N2O,i,t]])</f>
        <v>-1651.7302915360933</v>
      </c>
      <c r="AR126" t="e" cm="1">
        <f t="array" ref="AR126">INDEX(#REF!, MATCH(1, (Table1423[[#This Row],[year t]]=Table32[[#All],[year t]])*(Table1423[[#This Row],[stratum i]]=Table32[[#All],[stratum i]]), 0))</f>
        <v>#REF!</v>
      </c>
      <c r="AS126" t="e" cm="1">
        <f t="array" ref="AS126">INDEX(#REF!, MATCH(1, (Table1423[[#This Row],[year t]]=Table32[[#All],[year t]])*(Table1423[[#This Row],[stratum i]]=Table32[[#All],[stratum i]]), 0))</f>
        <v>#REF!</v>
      </c>
      <c r="AT126" t="e" cm="1">
        <f t="array" ref="AT126">INDEX(#REF!, MATCH(1, (Table1423[[#This Row],[year t]]=Table32[[#All],[year t]])*(Table1423[[#This Row],[stratum i]]=Table32[[#All],[stratum i]]), 0))</f>
        <v>#REF!</v>
      </c>
      <c r="AU126" t="e" cm="1">
        <f t="array" ref="AU126">INDEX(#REF!, MATCH(1, (Table1423[[#This Row],[year t]]=Table32[[#All],[year t]])*(Table1423[[#This Row],[stratum i]]=Table32[[#All],[stratum i]]), 0))</f>
        <v>#REF!</v>
      </c>
      <c r="AV126" s="30"/>
      <c r="BB126" s="18">
        <v>2029</v>
      </c>
      <c r="BC126">
        <v>4</v>
      </c>
      <c r="BD126" cm="1">
        <f t="array" ref="BD126">INDEX(Table32[[#All],[∆CWPS-soil,i,t (tC/ha)]], MATCH(1, (Table1329[[#This Row],[year t]]=Table32[[#All],[year t]])*(Table1329[[#This Row],[stratum i]]=Table32[[#All],[stratum i]]), 0))</f>
        <v>0.48</v>
      </c>
      <c r="BE126">
        <f>-44/12*Table1329[[#This Row],[∆CWPS-soil,i,t (tC/ha)]]</f>
        <v>-1.7599999999999998</v>
      </c>
    </row>
    <row r="127" spans="11:57" x14ac:dyDescent="0.2">
      <c r="K127" s="18">
        <v>2030</v>
      </c>
      <c r="L127">
        <v>4</v>
      </c>
      <c r="M127" cm="1">
        <f t="array" ref="M127">IF(project_aboveground_tree = "Included", INDEX(Table32[[#All],[ΔCTREE_PROJ,i,t (AR Tool 14) t C/yr]], MATCH(1, (Table1221[[#This Row],[year t]]=Table32[[#All],[year t]])*(Table1221[[#This Row],[stratum i]]=Table32[[#All],[stratum i]]), 0)), 0)</f>
        <v>122.72506386121572</v>
      </c>
      <c r="N127" s="57" cm="1">
        <f t="array" ref="N127">IF(project_aboveground_nontree = "Included", INDEX(#REF!, MATCH(1, (Table1221[[#This Row],[year t]]=Table32[[#All],[year t]])*(Table1221[[#This Row],[stratum i]]=Table32[[#All],[stratum i]]), 0)), 0)</f>
        <v>0</v>
      </c>
      <c r="O127">
        <f>12/44*(Table1221[[#This Row],[ΔCTREE_PROJ,t (AR Tool 14) t CO2e/yr]]+Table1221[[#This Row],[ΔCSHRUB_PROJ,t (AR Tool 14) t CO2e/yr]])</f>
        <v>33.470471962149738</v>
      </c>
      <c r="P127" cm="1">
        <f t="array" ref="P127">IF(project_aboveground_nontree = "Included", IFERROR(INDEX(Table1322[[#All],[ΔCWPS-herb,i,t (Eq 78)]], MATCH(1, (Table1221[[#This Row],[stratum i]]=Table1322[[#All],[stratum i]])*(Table1221[[#This Row],[year t]]&gt;=#REF!)*(Table1221[[#This Row],[year t]]&lt;=Table1322[[#All],[year t]]), 0)), 0), 0)</f>
        <v>0</v>
      </c>
      <c r="Q127">
        <f>Table1221[[#This Row],[ΔCWPS-tree/shrub,i,t (t C/yr) (Eq 75)]]+Table1221[[#This Row],[ΔCWPS-herb,i,t (t C/yr)]]</f>
        <v>33.470471962149738</v>
      </c>
      <c r="R127" cm="1">
        <f t="array" ref="R127">INDEX(Table1423[[#All],[GHGWPS-soil,i,t]], MATCH(1, (Table1221[[#This Row],[year t]]=Table1423[[#All],[year t]])*(Table1221[[#This Row],[stratum i]]=Table1423[[#All],[stratum i]]), 0))</f>
        <v>-2147.2493789969217</v>
      </c>
      <c r="S127">
        <f>IF(project_ff_CO2 = "Included", Table1221[[#This Row],[ET(FC,I,t) AR-Tool 5 WPS]], 0)</f>
        <v>0</v>
      </c>
      <c r="T127" t="e" cm="1">
        <f t="array" ref="T127">INDEX(#REF!, MATCH(1, (Table1221[[#This Row],[year t]]=Table32[[#All],[year t]])*(Table1221[[#This Row],[stratum i]]=Table32[[#All],[stratum i]]), 0))</f>
        <v>#REF!</v>
      </c>
      <c r="AE127" s="18">
        <v>2030</v>
      </c>
      <c r="AF127">
        <v>4</v>
      </c>
      <c r="AG127" s="18" cm="1">
        <f t="array" ref="AG127">INDEX(Table32[[#All],[Ai,t]], MATCH(1, (Table1423[[#This Row],[year t]]=Table32[[#All],[year t]])*(Table1423[[#This Row],[stratum i]]=Table32[[#All],[stratum i]]), 0))</f>
        <v>1227.7635314285715</v>
      </c>
      <c r="AH127" t="str">
        <f>INDEX(Table31[[#All],[Soil type (t=0)]], MATCH(Table1423[[#This Row],[stratum i]], Table31[[#All],[Stratum i]]))</f>
        <v>Mineral soil</v>
      </c>
      <c r="AI127">
        <f>IF(Emission_reduction_from_stock_loss?, INDEX(Table2[[#All],[End_PDT]], MATCH(Table1423[[#This Row],[stratum i]], Table2[[#All],[stratum i]])), crediting_period)</f>
        <v>40</v>
      </c>
      <c r="AJ127">
        <f>IF(Emission_reduction_from_stock_loss?, INDEX(Table2[[#All],[End_SDT]], MATCH(Table1423[[#This Row],[stratum i]], Table2[[#All],[stratum i]])), crediting_period)</f>
        <v>40</v>
      </c>
      <c r="AK127" cm="1">
        <f t="array" ref="AK12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-2.2879999999999998</v>
      </c>
      <c r="AL127" s="30" cm="1">
        <f t="array" ref="AL127">INDEX(Table32[[#All],[%Calloch WPS]], MATCH(1, (Table1423[[#This Row],[year t]]=Table32[[#All],[year t]])*(Table1423[[#This Row],[stratum i]]=Table32[[#All],[stratum i]]), 0))</f>
        <v>23.561573856247001</v>
      </c>
      <c r="AM127">
        <f>IF(project_soil_SOC="Included", IF(Table1423[[#This Row],[Soil]]="Peat soil",0, IF(OR(soil_insitu_approach = "Proxies", soil_insitu_approach = "Field-collected data"), Table1423[[#This Row],[GHGWPS-soil-CO2,i,t]]*(Table1423[[#This Row],[%Calloch WPS]]/100),  Table1423[[#This Row],[GHGWPS-insitu-CO2,i,t]]*(Table1423[[#This Row],[%Calloch WPS]]/100))), 0)</f>
        <v>-0.53908880983093133</v>
      </c>
      <c r="AN127">
        <f>(Table1423[[#This Row],[GHGWPS-soil-CO2,i,t]]-Table1423[[#This Row],[Deductionalloch WPS (Eq 38)]])*Table1423[[#This Row],[Ai,t]]</f>
        <v>-2147.2493789969217</v>
      </c>
      <c r="AO127" cm="1">
        <f t="array" ref="AO127">IF(project_soil_CH4 = "Included", INDEX(Table1830[[#All],[GHGWPS-soil-CH4,i,t (Eq 59)]], MATCH(1, (Table1423[[#This Row],[year t]]=Table1830[[#All],[year t]])*(Table1423[[#This Row],[stratum i]]=Table1830[[#All],[stratum i]]), 0)), 0)</f>
        <v>0</v>
      </c>
      <c r="AP127" cm="1">
        <f t="array" ref="AP127">IF(project_soil_N2O = "Included", INDEX(Table1830[[#All],[GHGWPS-soil-N2O,i,t (Eq 62)]], MATCH(1, (Table1423[[#This Row],[year t]]=Table1830[[#All],[year t]])*(Table1423[[#This Row],[stratum i]]=Table1830[[#All],[stratum i]]), 0)), 0)</f>
        <v>0</v>
      </c>
      <c r="AQ127">
        <f>Table1423[[#This Row],[Ai,t]]*(Table1423[[#This Row],[GHGWPS-soil-CO2,i,t]]-Table1423[[#This Row],[Deductionalloch WPS (Eq 38)]]+Table1423[[#This Row],[GHGWPS-soil-CH4,i,t]]+Table1423[[#This Row],[GHGWPS-soil-N2O,i,t]])</f>
        <v>-2147.2493789969217</v>
      </c>
      <c r="AR127" t="e" cm="1">
        <f t="array" ref="AR127">INDEX(#REF!, MATCH(1, (Table1423[[#This Row],[year t]]=Table32[[#All],[year t]])*(Table1423[[#This Row],[stratum i]]=Table32[[#All],[stratum i]]), 0))</f>
        <v>#REF!</v>
      </c>
      <c r="AS127" t="e" cm="1">
        <f t="array" ref="AS127">INDEX(#REF!, MATCH(1, (Table1423[[#This Row],[year t]]=Table32[[#All],[year t]])*(Table1423[[#This Row],[stratum i]]=Table32[[#All],[stratum i]]), 0))</f>
        <v>#REF!</v>
      </c>
      <c r="AT127" t="e" cm="1">
        <f t="array" ref="AT127">INDEX(#REF!, MATCH(1, (Table1423[[#This Row],[year t]]=Table32[[#All],[year t]])*(Table1423[[#This Row],[stratum i]]=Table32[[#All],[stratum i]]), 0))</f>
        <v>#REF!</v>
      </c>
      <c r="AU127" t="e" cm="1">
        <f t="array" ref="AU127">INDEX(#REF!, MATCH(1, (Table1423[[#This Row],[year t]]=Table32[[#All],[year t]])*(Table1423[[#This Row],[stratum i]]=Table32[[#All],[stratum i]]), 0))</f>
        <v>#REF!</v>
      </c>
      <c r="AV127" s="30"/>
      <c r="BB127" s="18">
        <v>2030</v>
      </c>
      <c r="BC127">
        <v>4</v>
      </c>
      <c r="BD127" cm="1">
        <f t="array" ref="BD127">INDEX(Table32[[#All],[∆CWPS-soil,i,t (tC/ha)]], MATCH(1, (Table1329[[#This Row],[year t]]=Table32[[#All],[year t]])*(Table1329[[#This Row],[stratum i]]=Table32[[#All],[stratum i]]), 0))</f>
        <v>0.624</v>
      </c>
      <c r="BE127">
        <f>-44/12*Table1329[[#This Row],[∆CWPS-soil,i,t (tC/ha)]]</f>
        <v>-2.2879999999999998</v>
      </c>
    </row>
    <row r="128" spans="11:57" x14ac:dyDescent="0.2">
      <c r="K128" s="18">
        <v>2031</v>
      </c>
      <c r="L128">
        <v>4</v>
      </c>
      <c r="M128" cm="1">
        <f t="array" ref="M128">IF(project_aboveground_tree = "Included", INDEX(Table32[[#All],[ΔCTREE_PROJ,i,t (AR Tool 14) t C/yr]], MATCH(1, (Table1221[[#This Row],[year t]]=Table32[[#All],[year t]])*(Table1221[[#This Row],[stratum i]]=Table32[[#All],[stratum i]]), 0)), 0)</f>
        <v>354.52114792228707</v>
      </c>
      <c r="N128" s="57" cm="1">
        <f t="array" ref="N128">IF(project_aboveground_nontree = "Included", INDEX(#REF!, MATCH(1, (Table1221[[#This Row],[year t]]=Table32[[#All],[year t]])*(Table1221[[#This Row],[stratum i]]=Table32[[#All],[stratum i]]), 0)), 0)</f>
        <v>0</v>
      </c>
      <c r="O128">
        <f>12/44*(Table1221[[#This Row],[ΔCTREE_PROJ,t (AR Tool 14) t CO2e/yr]]+Table1221[[#This Row],[ΔCSHRUB_PROJ,t (AR Tool 14) t CO2e/yr]])</f>
        <v>96.687585796987378</v>
      </c>
      <c r="P128" cm="1">
        <f t="array" ref="P128">IF(project_aboveground_nontree = "Included", IFERROR(INDEX(Table1322[[#All],[ΔCWPS-herb,i,t (Eq 78)]], MATCH(1, (Table1221[[#This Row],[stratum i]]=Table1322[[#All],[stratum i]])*(Table1221[[#This Row],[year t]]&gt;=#REF!)*(Table1221[[#This Row],[year t]]&lt;=Table1322[[#All],[year t]]), 0)), 0), 0)</f>
        <v>0</v>
      </c>
      <c r="Q128">
        <f>Table1221[[#This Row],[ΔCWPS-tree/shrub,i,t (t C/yr) (Eq 75)]]+Table1221[[#This Row],[ΔCWPS-herb,i,t (t C/yr)]]</f>
        <v>96.687585796987378</v>
      </c>
      <c r="R128" cm="1">
        <f t="array" ref="R128">INDEX(Table1423[[#All],[GHGWPS-soil,i,t]], MATCH(1, (Table1221[[#This Row],[year t]]=Table1423[[#All],[year t]])*(Table1221[[#This Row],[stratum i]]=Table1423[[#All],[stratum i]]), 0))</f>
        <v>-2642.7684664577491</v>
      </c>
      <c r="S128">
        <f>IF(project_ff_CO2 = "Included", Table1221[[#This Row],[ET(FC,I,t) AR-Tool 5 WPS]], 0)</f>
        <v>0</v>
      </c>
      <c r="T128" t="e" cm="1">
        <f t="array" ref="T128">INDEX(#REF!, MATCH(1, (Table1221[[#This Row],[year t]]=Table32[[#All],[year t]])*(Table1221[[#This Row],[stratum i]]=Table32[[#All],[stratum i]]), 0))</f>
        <v>#REF!</v>
      </c>
      <c r="AE128" s="18">
        <v>2031</v>
      </c>
      <c r="AF128">
        <v>4</v>
      </c>
      <c r="AG128" s="18" cm="1">
        <f t="array" ref="AG128">INDEX(Table32[[#All],[Ai,t]], MATCH(1, (Table1423[[#This Row],[year t]]=Table32[[#All],[year t]])*(Table1423[[#This Row],[stratum i]]=Table32[[#All],[stratum i]]), 0))</f>
        <v>1227.7635314285715</v>
      </c>
      <c r="AH128" t="str">
        <f>INDEX(Table31[[#All],[Soil type (t=0)]], MATCH(Table1423[[#This Row],[stratum i]], Table31[[#All],[Stratum i]]))</f>
        <v>Mineral soil</v>
      </c>
      <c r="AI128">
        <f>IF(Emission_reduction_from_stock_loss?, INDEX(Table2[[#All],[End_PDT]], MATCH(Table1423[[#This Row],[stratum i]], Table2[[#All],[stratum i]])), crediting_period)</f>
        <v>40</v>
      </c>
      <c r="AJ128">
        <f>IF(Emission_reduction_from_stock_loss?, INDEX(Table2[[#All],[End_SDT]], MATCH(Table1423[[#This Row],[stratum i]], Table2[[#All],[stratum i]])), crediting_period)</f>
        <v>40</v>
      </c>
      <c r="AK128" cm="1">
        <f t="array" ref="AK12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-2.8159999999999994</v>
      </c>
      <c r="AL128" s="30" cm="1">
        <f t="array" ref="AL128">INDEX(Table32[[#All],[%Calloch WPS]], MATCH(1, (Table1423[[#This Row],[year t]]=Table32[[#All],[year t]])*(Table1423[[#This Row],[stratum i]]=Table32[[#All],[stratum i]]), 0))</f>
        <v>23.561573856247001</v>
      </c>
      <c r="AM128">
        <f>IF(project_soil_SOC="Included", IF(Table1423[[#This Row],[Soil]]="Peat soil",0, IF(OR(soil_insitu_approach = "Proxies", soil_insitu_approach = "Field-collected data"), Table1423[[#This Row],[GHGWPS-soil-CO2,i,t]]*(Table1423[[#This Row],[%Calloch WPS]]/100),  Table1423[[#This Row],[GHGWPS-insitu-CO2,i,t]]*(Table1423[[#This Row],[%Calloch WPS]]/100))), 0)</f>
        <v>-0.66349391979191541</v>
      </c>
      <c r="AN128">
        <f>(Table1423[[#This Row],[GHGWPS-soil-CO2,i,t]]-Table1423[[#This Row],[Deductionalloch WPS (Eq 38)]])*Table1423[[#This Row],[Ai,t]]</f>
        <v>-2642.7684664577491</v>
      </c>
      <c r="AO128" cm="1">
        <f t="array" ref="AO128">IF(project_soil_CH4 = "Included", INDEX(Table1830[[#All],[GHGWPS-soil-CH4,i,t (Eq 59)]], MATCH(1, (Table1423[[#This Row],[year t]]=Table1830[[#All],[year t]])*(Table1423[[#This Row],[stratum i]]=Table1830[[#All],[stratum i]]), 0)), 0)</f>
        <v>0</v>
      </c>
      <c r="AP128" cm="1">
        <f t="array" ref="AP128">IF(project_soil_N2O = "Included", INDEX(Table1830[[#All],[GHGWPS-soil-N2O,i,t (Eq 62)]], MATCH(1, (Table1423[[#This Row],[year t]]=Table1830[[#All],[year t]])*(Table1423[[#This Row],[stratum i]]=Table1830[[#All],[stratum i]]), 0)), 0)</f>
        <v>0</v>
      </c>
      <c r="AQ128">
        <f>Table1423[[#This Row],[Ai,t]]*(Table1423[[#This Row],[GHGWPS-soil-CO2,i,t]]-Table1423[[#This Row],[Deductionalloch WPS (Eq 38)]]+Table1423[[#This Row],[GHGWPS-soil-CH4,i,t]]+Table1423[[#This Row],[GHGWPS-soil-N2O,i,t]])</f>
        <v>-2642.7684664577491</v>
      </c>
      <c r="AR128" t="e" cm="1">
        <f t="array" ref="AR128">INDEX(#REF!, MATCH(1, (Table1423[[#This Row],[year t]]=Table32[[#All],[year t]])*(Table1423[[#This Row],[stratum i]]=Table32[[#All],[stratum i]]), 0))</f>
        <v>#REF!</v>
      </c>
      <c r="AS128" t="e" cm="1">
        <f t="array" ref="AS128">INDEX(#REF!, MATCH(1, (Table1423[[#This Row],[year t]]=Table32[[#All],[year t]])*(Table1423[[#This Row],[stratum i]]=Table32[[#All],[stratum i]]), 0))</f>
        <v>#REF!</v>
      </c>
      <c r="AT128" t="e" cm="1">
        <f t="array" ref="AT128">INDEX(#REF!, MATCH(1, (Table1423[[#This Row],[year t]]=Table32[[#All],[year t]])*(Table1423[[#This Row],[stratum i]]=Table32[[#All],[stratum i]]), 0))</f>
        <v>#REF!</v>
      </c>
      <c r="AU128" t="e" cm="1">
        <f t="array" ref="AU128">INDEX(#REF!, MATCH(1, (Table1423[[#This Row],[year t]]=Table32[[#All],[year t]])*(Table1423[[#This Row],[stratum i]]=Table32[[#All],[stratum i]]), 0))</f>
        <v>#REF!</v>
      </c>
      <c r="AV128" s="30"/>
      <c r="BB128" s="18">
        <v>2031</v>
      </c>
      <c r="BC128">
        <v>4</v>
      </c>
      <c r="BD128" cm="1">
        <f t="array" ref="BD128">INDEX(Table32[[#All],[∆CWPS-soil,i,t (tC/ha)]], MATCH(1, (Table1329[[#This Row],[year t]]=Table32[[#All],[year t]])*(Table1329[[#This Row],[stratum i]]=Table32[[#All],[stratum i]]), 0))</f>
        <v>0.7679999999999999</v>
      </c>
      <c r="BE128">
        <f>-44/12*Table1329[[#This Row],[∆CWPS-soil,i,t (tC/ha)]]</f>
        <v>-2.8159999999999994</v>
      </c>
    </row>
    <row r="129" spans="11:57" x14ac:dyDescent="0.2">
      <c r="K129" s="18">
        <v>2032</v>
      </c>
      <c r="L129">
        <v>4</v>
      </c>
      <c r="M129" cm="1">
        <f t="array" ref="M129">IF(project_aboveground_tree = "Included", INDEX(Table32[[#All],[ΔCTREE_PROJ,i,t (AR Tool 14) t C/yr]], MATCH(1, (Table1221[[#This Row],[year t]]=Table32[[#All],[year t]])*(Table1221[[#This Row],[stratum i]]=Table32[[#All],[stratum i]]), 0)), 0)</f>
        <v>816.36531188336232</v>
      </c>
      <c r="N129" s="57" cm="1">
        <f t="array" ref="N129">IF(project_aboveground_nontree = "Included", INDEX(#REF!, MATCH(1, (Table1221[[#This Row],[year t]]=Table32[[#All],[year t]])*(Table1221[[#This Row],[stratum i]]=Table32[[#All],[stratum i]]), 0)), 0)</f>
        <v>0</v>
      </c>
      <c r="O129">
        <f>12/44*(Table1221[[#This Row],[ΔCTREE_PROJ,t (AR Tool 14) t CO2e/yr]]+Table1221[[#This Row],[ΔCSHRUB_PROJ,t (AR Tool 14) t CO2e/yr]])</f>
        <v>222.64508505909879</v>
      </c>
      <c r="P129" cm="1">
        <f t="array" ref="P129">IF(project_aboveground_nontree = "Included", IFERROR(INDEX(Table1322[[#All],[ΔCWPS-herb,i,t (Eq 78)]], MATCH(1, (Table1221[[#This Row],[stratum i]]=Table1322[[#All],[stratum i]])*(Table1221[[#This Row],[year t]]&gt;=#REF!)*(Table1221[[#This Row],[year t]]&lt;=Table1322[[#All],[year t]]), 0)), 0), 0)</f>
        <v>0</v>
      </c>
      <c r="Q129">
        <f>Table1221[[#This Row],[ΔCWPS-tree/shrub,i,t (t C/yr) (Eq 75)]]+Table1221[[#This Row],[ΔCWPS-herb,i,t (t C/yr)]]</f>
        <v>222.64508505909879</v>
      </c>
      <c r="R129" cm="1">
        <f t="array" ref="R129">INDEX(Table1423[[#All],[GHGWPS-soil,i,t]], MATCH(1, (Table1221[[#This Row],[year t]]=Table1423[[#All],[year t]])*(Table1221[[#This Row],[stratum i]]=Table1423[[#All],[stratum i]]), 0))</f>
        <v>-3138.2875539185775</v>
      </c>
      <c r="S129">
        <f>IF(project_ff_CO2 = "Included", Table1221[[#This Row],[ET(FC,I,t) AR-Tool 5 WPS]], 0)</f>
        <v>0</v>
      </c>
      <c r="T129" t="e" cm="1">
        <f t="array" ref="T129">INDEX(#REF!, MATCH(1, (Table1221[[#This Row],[year t]]=Table32[[#All],[year t]])*(Table1221[[#This Row],[stratum i]]=Table32[[#All],[stratum i]]), 0))</f>
        <v>#REF!</v>
      </c>
      <c r="AE129" s="18">
        <v>2032</v>
      </c>
      <c r="AF129">
        <v>4</v>
      </c>
      <c r="AG129" s="18" cm="1">
        <f t="array" ref="AG129">INDEX(Table32[[#All],[Ai,t]], MATCH(1, (Table1423[[#This Row],[year t]]=Table32[[#All],[year t]])*(Table1423[[#This Row],[stratum i]]=Table32[[#All],[stratum i]]), 0))</f>
        <v>1227.7635314285715</v>
      </c>
      <c r="AH129" t="str">
        <f>INDEX(Table31[[#All],[Soil type (t=0)]], MATCH(Table1423[[#This Row],[stratum i]], Table31[[#All],[Stratum i]]))</f>
        <v>Mineral soil</v>
      </c>
      <c r="AI129">
        <f>IF(Emission_reduction_from_stock_loss?, INDEX(Table2[[#All],[End_PDT]], MATCH(Table1423[[#This Row],[stratum i]], Table2[[#All],[stratum i]])), crediting_period)</f>
        <v>40</v>
      </c>
      <c r="AJ129">
        <f>IF(Emission_reduction_from_stock_loss?, INDEX(Table2[[#All],[End_SDT]], MATCH(Table1423[[#This Row],[stratum i]], Table2[[#All],[stratum i]])), crediting_period)</f>
        <v>40</v>
      </c>
      <c r="AK129" cm="1">
        <f t="array" ref="AK12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-3.3439999999999999</v>
      </c>
      <c r="AL129" s="30" cm="1">
        <f t="array" ref="AL129">INDEX(Table32[[#All],[%Calloch WPS]], MATCH(1, (Table1423[[#This Row],[year t]]=Table32[[#All],[year t]])*(Table1423[[#This Row],[stratum i]]=Table32[[#All],[stratum i]]), 0))</f>
        <v>23.561573856247001</v>
      </c>
      <c r="AM129">
        <f>IF(project_soil_SOC="Included", IF(Table1423[[#This Row],[Soil]]="Peat soil",0, IF(OR(soil_insitu_approach = "Proxies", soil_insitu_approach = "Field-collected data"), Table1423[[#This Row],[GHGWPS-soil-CO2,i,t]]*(Table1423[[#This Row],[%Calloch WPS]]/100),  Table1423[[#This Row],[GHGWPS-insitu-CO2,i,t]]*(Table1423[[#This Row],[%Calloch WPS]]/100))), 0)</f>
        <v>-0.78789902975289972</v>
      </c>
      <c r="AN129">
        <f>(Table1423[[#This Row],[GHGWPS-soil-CO2,i,t]]-Table1423[[#This Row],[Deductionalloch WPS (Eq 38)]])*Table1423[[#This Row],[Ai,t]]</f>
        <v>-3138.2875539185775</v>
      </c>
      <c r="AO129" cm="1">
        <f t="array" ref="AO129">IF(project_soil_CH4 = "Included", INDEX(Table1830[[#All],[GHGWPS-soil-CH4,i,t (Eq 59)]], MATCH(1, (Table1423[[#This Row],[year t]]=Table1830[[#All],[year t]])*(Table1423[[#This Row],[stratum i]]=Table1830[[#All],[stratum i]]), 0)), 0)</f>
        <v>0</v>
      </c>
      <c r="AP129" cm="1">
        <f t="array" ref="AP129">IF(project_soil_N2O = "Included", INDEX(Table1830[[#All],[GHGWPS-soil-N2O,i,t (Eq 62)]], MATCH(1, (Table1423[[#This Row],[year t]]=Table1830[[#All],[year t]])*(Table1423[[#This Row],[stratum i]]=Table1830[[#All],[stratum i]]), 0)), 0)</f>
        <v>0</v>
      </c>
      <c r="AQ129">
        <f>Table1423[[#This Row],[Ai,t]]*(Table1423[[#This Row],[GHGWPS-soil-CO2,i,t]]-Table1423[[#This Row],[Deductionalloch WPS (Eq 38)]]+Table1423[[#This Row],[GHGWPS-soil-CH4,i,t]]+Table1423[[#This Row],[GHGWPS-soil-N2O,i,t]])</f>
        <v>-3138.2875539185775</v>
      </c>
      <c r="AR129" t="e" cm="1">
        <f t="array" ref="AR129">INDEX(#REF!, MATCH(1, (Table1423[[#This Row],[year t]]=Table32[[#All],[year t]])*(Table1423[[#This Row],[stratum i]]=Table32[[#All],[stratum i]]), 0))</f>
        <v>#REF!</v>
      </c>
      <c r="AS129" t="e" cm="1">
        <f t="array" ref="AS129">INDEX(#REF!, MATCH(1, (Table1423[[#This Row],[year t]]=Table32[[#All],[year t]])*(Table1423[[#This Row],[stratum i]]=Table32[[#All],[stratum i]]), 0))</f>
        <v>#REF!</v>
      </c>
      <c r="AT129" t="e" cm="1">
        <f t="array" ref="AT129">INDEX(#REF!, MATCH(1, (Table1423[[#This Row],[year t]]=Table32[[#All],[year t]])*(Table1423[[#This Row],[stratum i]]=Table32[[#All],[stratum i]]), 0))</f>
        <v>#REF!</v>
      </c>
      <c r="AU129" t="e" cm="1">
        <f t="array" ref="AU129">INDEX(#REF!, MATCH(1, (Table1423[[#This Row],[year t]]=Table32[[#All],[year t]])*(Table1423[[#This Row],[stratum i]]=Table32[[#All],[stratum i]]), 0))</f>
        <v>#REF!</v>
      </c>
      <c r="AV129" s="30"/>
      <c r="BB129" s="18">
        <v>2032</v>
      </c>
      <c r="BC129">
        <v>4</v>
      </c>
      <c r="BD129" cm="1">
        <f t="array" ref="BD129">INDEX(Table32[[#All],[∆CWPS-soil,i,t (tC/ha)]], MATCH(1, (Table1329[[#This Row],[year t]]=Table32[[#All],[year t]])*(Table1329[[#This Row],[stratum i]]=Table32[[#All],[stratum i]]), 0))</f>
        <v>0.91200000000000003</v>
      </c>
      <c r="BE129">
        <f>-44/12*Table1329[[#This Row],[∆CWPS-soil,i,t (tC/ha)]]</f>
        <v>-3.3439999999999999</v>
      </c>
    </row>
    <row r="130" spans="11:57" x14ac:dyDescent="0.2">
      <c r="K130" s="18">
        <v>2033</v>
      </c>
      <c r="L130">
        <v>4</v>
      </c>
      <c r="M130" cm="1">
        <f t="array" ref="M130">IF(project_aboveground_tree = "Included", INDEX(Table32[[#All],[ΔCTREE_PROJ,i,t (AR Tool 14) t C/yr]], MATCH(1, (Table1221[[#This Row],[year t]]=Table32[[#All],[year t]])*(Table1221[[#This Row],[stratum i]]=Table32[[#All],[stratum i]]), 0)), 0)</f>
        <v>1587.3624182805161</v>
      </c>
      <c r="N130" s="57" cm="1">
        <f t="array" ref="N130">IF(project_aboveground_nontree = "Included", INDEX(#REF!, MATCH(1, (Table1221[[#This Row],[year t]]=Table32[[#All],[year t]])*(Table1221[[#This Row],[stratum i]]=Table32[[#All],[stratum i]]), 0)), 0)</f>
        <v>0</v>
      </c>
      <c r="O130">
        <f>12/44*(Table1221[[#This Row],[ΔCTREE_PROJ,t (AR Tool 14) t CO2e/yr]]+Table1221[[#This Row],[ΔCSHRUB_PROJ,t (AR Tool 14) t CO2e/yr]])</f>
        <v>432.91702316741345</v>
      </c>
      <c r="P130" cm="1">
        <f t="array" ref="P130">IF(project_aboveground_nontree = "Included", IFERROR(INDEX(Table1322[[#All],[ΔCWPS-herb,i,t (Eq 78)]], MATCH(1, (Table1221[[#This Row],[stratum i]]=Table1322[[#All],[stratum i]])*(Table1221[[#This Row],[year t]]&gt;=#REF!)*(Table1221[[#This Row],[year t]]&lt;=Table1322[[#All],[year t]]), 0)), 0), 0)</f>
        <v>0</v>
      </c>
      <c r="Q130">
        <f>Table1221[[#This Row],[ΔCWPS-tree/shrub,i,t (t C/yr) (Eq 75)]]+Table1221[[#This Row],[ΔCWPS-herb,i,t (t C/yr)]]</f>
        <v>432.91702316741345</v>
      </c>
      <c r="R130" cm="1">
        <f t="array" ref="R130">INDEX(Table1423[[#All],[GHGWPS-soil,i,t]], MATCH(1, (Table1221[[#This Row],[year t]]=Table1423[[#All],[year t]])*(Table1221[[#This Row],[stratum i]]=Table1423[[#All],[stratum i]]), 0))</f>
        <v>-3633.8066413794058</v>
      </c>
      <c r="S130">
        <f>IF(project_ff_CO2 = "Included", Table1221[[#This Row],[ET(FC,I,t) AR-Tool 5 WPS]], 0)</f>
        <v>0</v>
      </c>
      <c r="T130" t="e" cm="1">
        <f t="array" ref="T130">INDEX(#REF!, MATCH(1, (Table1221[[#This Row],[year t]]=Table32[[#All],[year t]])*(Table1221[[#This Row],[stratum i]]=Table32[[#All],[stratum i]]), 0))</f>
        <v>#REF!</v>
      </c>
      <c r="AE130" s="18">
        <v>2033</v>
      </c>
      <c r="AF130">
        <v>4</v>
      </c>
      <c r="AG130" s="18" cm="1">
        <f t="array" ref="AG130">INDEX(Table32[[#All],[Ai,t]], MATCH(1, (Table1423[[#This Row],[year t]]=Table32[[#All],[year t]])*(Table1423[[#This Row],[stratum i]]=Table32[[#All],[stratum i]]), 0))</f>
        <v>1227.7635314285715</v>
      </c>
      <c r="AH130" t="str">
        <f>INDEX(Table31[[#All],[Soil type (t=0)]], MATCH(Table1423[[#This Row],[stratum i]], Table31[[#All],[Stratum i]]))</f>
        <v>Mineral soil</v>
      </c>
      <c r="AI130">
        <f>IF(Emission_reduction_from_stock_loss?, INDEX(Table2[[#All],[End_PDT]], MATCH(Table1423[[#This Row],[stratum i]], Table2[[#All],[stratum i]])), crediting_period)</f>
        <v>40</v>
      </c>
      <c r="AJ130">
        <f>IF(Emission_reduction_from_stock_loss?, INDEX(Table2[[#All],[End_SDT]], MATCH(Table1423[[#This Row],[stratum i]], Table2[[#All],[stratum i]])), crediting_period)</f>
        <v>40</v>
      </c>
      <c r="AK130" cm="1">
        <f t="array" ref="AK13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-3.8719999999999999</v>
      </c>
      <c r="AL130" s="30" cm="1">
        <f t="array" ref="AL130">INDEX(Table32[[#All],[%Calloch WPS]], MATCH(1, (Table1423[[#This Row],[year t]]=Table32[[#All],[year t]])*(Table1423[[#This Row],[stratum i]]=Table32[[#All],[stratum i]]), 0))</f>
        <v>23.561573856247001</v>
      </c>
      <c r="AM130">
        <f>IF(project_soil_SOC="Included", IF(Table1423[[#This Row],[Soil]]="Peat soil",0, IF(OR(soil_insitu_approach = "Proxies", soil_insitu_approach = "Field-collected data"), Table1423[[#This Row],[GHGWPS-soil-CO2,i,t]]*(Table1423[[#This Row],[%Calloch WPS]]/100),  Table1423[[#This Row],[GHGWPS-insitu-CO2,i,t]]*(Table1423[[#This Row],[%Calloch WPS]]/100))), 0)</f>
        <v>-0.9123041397138838</v>
      </c>
      <c r="AN130">
        <f>(Table1423[[#This Row],[GHGWPS-soil-CO2,i,t]]-Table1423[[#This Row],[Deductionalloch WPS (Eq 38)]])*Table1423[[#This Row],[Ai,t]]</f>
        <v>-3633.8066413794058</v>
      </c>
      <c r="AO130" cm="1">
        <f t="array" ref="AO130">IF(project_soil_CH4 = "Included", INDEX(Table1830[[#All],[GHGWPS-soil-CH4,i,t (Eq 59)]], MATCH(1, (Table1423[[#This Row],[year t]]=Table1830[[#All],[year t]])*(Table1423[[#This Row],[stratum i]]=Table1830[[#All],[stratum i]]), 0)), 0)</f>
        <v>0</v>
      </c>
      <c r="AP130" cm="1">
        <f t="array" ref="AP130">IF(project_soil_N2O = "Included", INDEX(Table1830[[#All],[GHGWPS-soil-N2O,i,t (Eq 62)]], MATCH(1, (Table1423[[#This Row],[year t]]=Table1830[[#All],[year t]])*(Table1423[[#This Row],[stratum i]]=Table1830[[#All],[stratum i]]), 0)), 0)</f>
        <v>0</v>
      </c>
      <c r="AQ130">
        <f>Table1423[[#This Row],[Ai,t]]*(Table1423[[#This Row],[GHGWPS-soil-CO2,i,t]]-Table1423[[#This Row],[Deductionalloch WPS (Eq 38)]]+Table1423[[#This Row],[GHGWPS-soil-CH4,i,t]]+Table1423[[#This Row],[GHGWPS-soil-N2O,i,t]])</f>
        <v>-3633.8066413794058</v>
      </c>
      <c r="AR130" t="e" cm="1">
        <f t="array" ref="AR130">INDEX(#REF!, MATCH(1, (Table1423[[#This Row],[year t]]=Table32[[#All],[year t]])*(Table1423[[#This Row],[stratum i]]=Table32[[#All],[stratum i]]), 0))</f>
        <v>#REF!</v>
      </c>
      <c r="AS130" t="e" cm="1">
        <f t="array" ref="AS130">INDEX(#REF!, MATCH(1, (Table1423[[#This Row],[year t]]=Table32[[#All],[year t]])*(Table1423[[#This Row],[stratum i]]=Table32[[#All],[stratum i]]), 0))</f>
        <v>#REF!</v>
      </c>
      <c r="AT130" t="e" cm="1">
        <f t="array" ref="AT130">INDEX(#REF!, MATCH(1, (Table1423[[#This Row],[year t]]=Table32[[#All],[year t]])*(Table1423[[#This Row],[stratum i]]=Table32[[#All],[stratum i]]), 0))</f>
        <v>#REF!</v>
      </c>
      <c r="AU130" t="e" cm="1">
        <f t="array" ref="AU130">INDEX(#REF!, MATCH(1, (Table1423[[#This Row],[year t]]=Table32[[#All],[year t]])*(Table1423[[#This Row],[stratum i]]=Table32[[#All],[stratum i]]), 0))</f>
        <v>#REF!</v>
      </c>
      <c r="AV130" s="30"/>
      <c r="BB130" s="18">
        <v>2033</v>
      </c>
      <c r="BC130">
        <v>4</v>
      </c>
      <c r="BD130" cm="1">
        <f t="array" ref="BD130">INDEX(Table32[[#All],[∆CWPS-soil,i,t (tC/ha)]], MATCH(1, (Table1329[[#This Row],[year t]]=Table32[[#All],[year t]])*(Table1329[[#This Row],[stratum i]]=Table32[[#All],[stratum i]]), 0))</f>
        <v>1.056</v>
      </c>
      <c r="BE130">
        <f>-44/12*Table1329[[#This Row],[∆CWPS-soil,i,t (tC/ha)]]</f>
        <v>-3.8719999999999999</v>
      </c>
    </row>
    <row r="131" spans="11:57" x14ac:dyDescent="0.2">
      <c r="K131" s="18">
        <v>2034</v>
      </c>
      <c r="L131">
        <v>4</v>
      </c>
      <c r="M131" cm="1">
        <f t="array" ref="M131">IF(project_aboveground_tree = "Included", INDEX(Table32[[#All],[ΔCTREE_PROJ,i,t (AR Tool 14) t C/yr]], MATCH(1, (Table1221[[#This Row],[year t]]=Table32[[#All],[year t]])*(Table1221[[#This Row],[stratum i]]=Table32[[#All],[stratum i]]), 0)), 0)</f>
        <v>2709.9478457747937</v>
      </c>
      <c r="N131" s="57" cm="1">
        <f t="array" ref="N131">IF(project_aboveground_nontree = "Included", INDEX(#REF!, MATCH(1, (Table1221[[#This Row],[year t]]=Table32[[#All],[year t]])*(Table1221[[#This Row],[stratum i]]=Table32[[#All],[stratum i]]), 0)), 0)</f>
        <v>0</v>
      </c>
      <c r="O131">
        <f>12/44*(Table1221[[#This Row],[ΔCTREE_PROJ,t (AR Tool 14) t CO2e/yr]]+Table1221[[#This Row],[ΔCSHRUB_PROJ,t (AR Tool 14) t CO2e/yr]])</f>
        <v>739.07668521130734</v>
      </c>
      <c r="P131" cm="1">
        <f t="array" ref="P131">IF(project_aboveground_nontree = "Included", IFERROR(INDEX(Table1322[[#All],[ΔCWPS-herb,i,t (Eq 78)]], MATCH(1, (Table1221[[#This Row],[stratum i]]=Table1322[[#All],[stratum i]])*(Table1221[[#This Row],[year t]]&gt;=#REF!)*(Table1221[[#This Row],[year t]]&lt;=Table1322[[#All],[year t]]), 0)), 0), 0)</f>
        <v>0</v>
      </c>
      <c r="Q131">
        <f>Table1221[[#This Row],[ΔCWPS-tree/shrub,i,t (t C/yr) (Eq 75)]]+Table1221[[#This Row],[ΔCWPS-herb,i,t (t C/yr)]]</f>
        <v>739.07668521130734</v>
      </c>
      <c r="R131" cm="1">
        <f t="array" ref="R131">INDEX(Table1423[[#All],[GHGWPS-soil,i,t]], MATCH(1, (Table1221[[#This Row],[year t]]=Table1423[[#All],[year t]])*(Table1221[[#This Row],[stratum i]]=Table1423[[#All],[stratum i]]), 0))</f>
        <v>-8258.6514576804657</v>
      </c>
      <c r="S131">
        <f>IF(project_ff_CO2 = "Included", Table1221[[#This Row],[ET(FC,I,t) AR-Tool 5 WPS]], 0)</f>
        <v>0</v>
      </c>
      <c r="T131" t="e" cm="1">
        <f t="array" ref="T131">INDEX(#REF!, MATCH(1, (Table1221[[#This Row],[year t]]=Table32[[#All],[year t]])*(Table1221[[#This Row],[stratum i]]=Table32[[#All],[stratum i]]), 0))</f>
        <v>#REF!</v>
      </c>
      <c r="AE131" s="18">
        <v>2034</v>
      </c>
      <c r="AF131">
        <v>4</v>
      </c>
      <c r="AG131" s="18" cm="1">
        <f t="array" ref="AG131">INDEX(Table32[[#All],[Ai,t]], MATCH(1, (Table1423[[#This Row],[year t]]=Table32[[#All],[year t]])*(Table1423[[#This Row],[stratum i]]=Table32[[#All],[stratum i]]), 0))</f>
        <v>1227.7635314285715</v>
      </c>
      <c r="AH131" t="str">
        <f>INDEX(Table31[[#All],[Soil type (t=0)]], MATCH(Table1423[[#This Row],[stratum i]], Table31[[#All],[Stratum i]]))</f>
        <v>Mineral soil</v>
      </c>
      <c r="AI131">
        <f>IF(Emission_reduction_from_stock_loss?, INDEX(Table2[[#All],[End_PDT]], MATCH(Table1423[[#This Row],[stratum i]], Table2[[#All],[stratum i]])), crediting_period)</f>
        <v>40</v>
      </c>
      <c r="AJ131">
        <f>IF(Emission_reduction_from_stock_loss?, INDEX(Table2[[#All],[End_SDT]], MATCH(Table1423[[#This Row],[stratum i]], Table2[[#All],[stratum i]])), crediting_period)</f>
        <v>40</v>
      </c>
      <c r="AK131" cm="1">
        <f t="array" ref="AK13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1" s="30" cm="1">
        <f t="array" ref="AL131">INDEX(Table32[[#All],[%Calloch WPS]], MATCH(1, (Table1423[[#This Row],[year t]]=Table32[[#All],[year t]])*(Table1423[[#This Row],[stratum i]]=Table32[[#All],[stratum i]]), 0))</f>
        <v>23.561573856247001</v>
      </c>
      <c r="AM13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1">
        <f>(Table1423[[#This Row],[GHGWPS-soil-CO2,i,t]]-Table1423[[#This Row],[Deductionalloch WPS (Eq 38)]])*Table1423[[#This Row],[Ai,t]]</f>
        <v>-8258.6514576804657</v>
      </c>
      <c r="AO131" cm="1">
        <f t="array" ref="AO131">IF(project_soil_CH4 = "Included", INDEX(Table1830[[#All],[GHGWPS-soil-CH4,i,t (Eq 59)]], MATCH(1, (Table1423[[#This Row],[year t]]=Table1830[[#All],[year t]])*(Table1423[[#This Row],[stratum i]]=Table1830[[#All],[stratum i]]), 0)), 0)</f>
        <v>0</v>
      </c>
      <c r="AP131" cm="1">
        <f t="array" ref="AP131">IF(project_soil_N2O = "Included", INDEX(Table1830[[#All],[GHGWPS-soil-N2O,i,t (Eq 62)]], MATCH(1, (Table1423[[#This Row],[year t]]=Table1830[[#All],[year t]])*(Table1423[[#This Row],[stratum i]]=Table1830[[#All],[stratum i]]), 0)), 0)</f>
        <v>0</v>
      </c>
      <c r="AQ131">
        <f>Table1423[[#This Row],[Ai,t]]*(Table1423[[#This Row],[GHGWPS-soil-CO2,i,t]]-Table1423[[#This Row],[Deductionalloch WPS (Eq 38)]]+Table1423[[#This Row],[GHGWPS-soil-CH4,i,t]]+Table1423[[#This Row],[GHGWPS-soil-N2O,i,t]])</f>
        <v>-8258.6514576804657</v>
      </c>
      <c r="AR131" t="e" cm="1">
        <f t="array" ref="AR131">INDEX(#REF!, MATCH(1, (Table1423[[#This Row],[year t]]=Table32[[#All],[year t]])*(Table1423[[#This Row],[stratum i]]=Table32[[#All],[stratum i]]), 0))</f>
        <v>#REF!</v>
      </c>
      <c r="AS131" t="e" cm="1">
        <f t="array" ref="AS131">INDEX(#REF!, MATCH(1, (Table1423[[#This Row],[year t]]=Table32[[#All],[year t]])*(Table1423[[#This Row],[stratum i]]=Table32[[#All],[stratum i]]), 0))</f>
        <v>#REF!</v>
      </c>
      <c r="AT131" t="e" cm="1">
        <f t="array" ref="AT131">INDEX(#REF!, MATCH(1, (Table1423[[#This Row],[year t]]=Table32[[#All],[year t]])*(Table1423[[#This Row],[stratum i]]=Table32[[#All],[stratum i]]), 0))</f>
        <v>#REF!</v>
      </c>
      <c r="AU131" t="e" cm="1">
        <f t="array" ref="AU131">INDEX(#REF!, MATCH(1, (Table1423[[#This Row],[year t]]=Table32[[#All],[year t]])*(Table1423[[#This Row],[stratum i]]=Table32[[#All],[stratum i]]), 0))</f>
        <v>#REF!</v>
      </c>
      <c r="AV131" s="30"/>
      <c r="BB131" s="18">
        <v>2034</v>
      </c>
      <c r="BC131">
        <v>4</v>
      </c>
      <c r="BD131" cm="1">
        <f t="array" ref="BD131">INDEX(Table32[[#All],[∆CWPS-soil,i,t (tC/ha)]], MATCH(1, (Table1329[[#This Row],[year t]]=Table32[[#All],[year t]])*(Table1329[[#This Row],[stratum i]]=Table32[[#All],[stratum i]]), 0))</f>
        <v>2.4</v>
      </c>
      <c r="BE131">
        <f>-44/12*Table1329[[#This Row],[∆CWPS-soil,i,t (tC/ha)]]</f>
        <v>-8.7999999999999989</v>
      </c>
    </row>
    <row r="132" spans="11:57" x14ac:dyDescent="0.2">
      <c r="K132" s="18">
        <v>2035</v>
      </c>
      <c r="L132">
        <v>4</v>
      </c>
      <c r="M132" cm="1">
        <f t="array" ref="M132">IF(project_aboveground_tree = "Included", INDEX(Table32[[#All],[ΔCTREE_PROJ,i,t (AR Tool 14) t C/yr]], MATCH(1, (Table1221[[#This Row],[year t]]=Table32[[#All],[year t]])*(Table1221[[#This Row],[stratum i]]=Table32[[#All],[stratum i]]), 0)), 0)</f>
        <v>4175.5831302723145</v>
      </c>
      <c r="N132" s="57" cm="1">
        <f t="array" ref="N132">IF(project_aboveground_nontree = "Included", INDEX(#REF!, MATCH(1, (Table1221[[#This Row],[year t]]=Table32[[#All],[year t]])*(Table1221[[#This Row],[stratum i]]=Table32[[#All],[stratum i]]), 0)), 0)</f>
        <v>0</v>
      </c>
      <c r="O132">
        <f>12/44*(Table1221[[#This Row],[ΔCTREE_PROJ,t (AR Tool 14) t CO2e/yr]]+Table1221[[#This Row],[ΔCSHRUB_PROJ,t (AR Tool 14) t CO2e/yr]])</f>
        <v>1138.7953991651766</v>
      </c>
      <c r="P132" cm="1">
        <f t="array" ref="P132">IF(project_aboveground_nontree = "Included", IFERROR(INDEX(Table1322[[#All],[ΔCWPS-herb,i,t (Eq 78)]], MATCH(1, (Table1221[[#This Row],[stratum i]]=Table1322[[#All],[stratum i]])*(Table1221[[#This Row],[year t]]&gt;=#REF!)*(Table1221[[#This Row],[year t]]&lt;=Table1322[[#All],[year t]]), 0)), 0), 0)</f>
        <v>0</v>
      </c>
      <c r="Q132">
        <f>Table1221[[#This Row],[ΔCWPS-tree/shrub,i,t (t C/yr) (Eq 75)]]+Table1221[[#This Row],[ΔCWPS-herb,i,t (t C/yr)]]</f>
        <v>1138.7953991651766</v>
      </c>
      <c r="R132" cm="1">
        <f t="array" ref="R132">INDEX(Table1423[[#All],[GHGWPS-soil,i,t]], MATCH(1, (Table1221[[#This Row],[year t]]=Table1423[[#All],[year t]])*(Table1221[[#This Row],[stratum i]]=Table1423[[#All],[stratum i]]), 0))</f>
        <v>-8258.6514576804657</v>
      </c>
      <c r="S132">
        <f>IF(project_ff_CO2 = "Included", Table1221[[#This Row],[ET(FC,I,t) AR-Tool 5 WPS]], 0)</f>
        <v>0</v>
      </c>
      <c r="T132" t="e" cm="1">
        <f t="array" ref="T132">INDEX(#REF!, MATCH(1, (Table1221[[#This Row],[year t]]=Table32[[#All],[year t]])*(Table1221[[#This Row],[stratum i]]=Table32[[#All],[stratum i]]), 0))</f>
        <v>#REF!</v>
      </c>
      <c r="AE132" s="18">
        <v>2035</v>
      </c>
      <c r="AF132">
        <v>4</v>
      </c>
      <c r="AG132" s="18" cm="1">
        <f t="array" ref="AG132">INDEX(Table32[[#All],[Ai,t]], MATCH(1, (Table1423[[#This Row],[year t]]=Table32[[#All],[year t]])*(Table1423[[#This Row],[stratum i]]=Table32[[#All],[stratum i]]), 0))</f>
        <v>1227.7635314285715</v>
      </c>
      <c r="AH132" t="str">
        <f>INDEX(Table31[[#All],[Soil type (t=0)]], MATCH(Table1423[[#This Row],[stratum i]], Table31[[#All],[Stratum i]]))</f>
        <v>Mineral soil</v>
      </c>
      <c r="AI132">
        <f>IF(Emission_reduction_from_stock_loss?, INDEX(Table2[[#All],[End_PDT]], MATCH(Table1423[[#This Row],[stratum i]], Table2[[#All],[stratum i]])), crediting_period)</f>
        <v>40</v>
      </c>
      <c r="AJ132">
        <f>IF(Emission_reduction_from_stock_loss?, INDEX(Table2[[#All],[End_SDT]], MATCH(Table1423[[#This Row],[stratum i]], Table2[[#All],[stratum i]])), crediting_period)</f>
        <v>40</v>
      </c>
      <c r="AK132" cm="1">
        <f t="array" ref="AK13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2" s="30" cm="1">
        <f t="array" ref="AL132">INDEX(Table32[[#All],[%Calloch WPS]], MATCH(1, (Table1423[[#This Row],[year t]]=Table32[[#All],[year t]])*(Table1423[[#This Row],[stratum i]]=Table32[[#All],[stratum i]]), 0))</f>
        <v>23.561573856247001</v>
      </c>
      <c r="AM13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2">
        <f>(Table1423[[#This Row],[GHGWPS-soil-CO2,i,t]]-Table1423[[#This Row],[Deductionalloch WPS (Eq 38)]])*Table1423[[#This Row],[Ai,t]]</f>
        <v>-8258.6514576804657</v>
      </c>
      <c r="AO132" cm="1">
        <f t="array" ref="AO132">IF(project_soil_CH4 = "Included", INDEX(Table1830[[#All],[GHGWPS-soil-CH4,i,t (Eq 59)]], MATCH(1, (Table1423[[#This Row],[year t]]=Table1830[[#All],[year t]])*(Table1423[[#This Row],[stratum i]]=Table1830[[#All],[stratum i]]), 0)), 0)</f>
        <v>0</v>
      </c>
      <c r="AP132" cm="1">
        <f t="array" ref="AP132">IF(project_soil_N2O = "Included", INDEX(Table1830[[#All],[GHGWPS-soil-N2O,i,t (Eq 62)]], MATCH(1, (Table1423[[#This Row],[year t]]=Table1830[[#All],[year t]])*(Table1423[[#This Row],[stratum i]]=Table1830[[#All],[stratum i]]), 0)), 0)</f>
        <v>0</v>
      </c>
      <c r="AQ132">
        <f>Table1423[[#This Row],[Ai,t]]*(Table1423[[#This Row],[GHGWPS-soil-CO2,i,t]]-Table1423[[#This Row],[Deductionalloch WPS (Eq 38)]]+Table1423[[#This Row],[GHGWPS-soil-CH4,i,t]]+Table1423[[#This Row],[GHGWPS-soil-N2O,i,t]])</f>
        <v>-8258.6514576804657</v>
      </c>
      <c r="AR132" t="e" cm="1">
        <f t="array" ref="AR132">INDEX(#REF!, MATCH(1, (Table1423[[#This Row],[year t]]=Table32[[#All],[year t]])*(Table1423[[#This Row],[stratum i]]=Table32[[#All],[stratum i]]), 0))</f>
        <v>#REF!</v>
      </c>
      <c r="AS132" t="e" cm="1">
        <f t="array" ref="AS132">INDEX(#REF!, MATCH(1, (Table1423[[#This Row],[year t]]=Table32[[#All],[year t]])*(Table1423[[#This Row],[stratum i]]=Table32[[#All],[stratum i]]), 0))</f>
        <v>#REF!</v>
      </c>
      <c r="AT132" t="e" cm="1">
        <f t="array" ref="AT132">INDEX(#REF!, MATCH(1, (Table1423[[#This Row],[year t]]=Table32[[#All],[year t]])*(Table1423[[#This Row],[stratum i]]=Table32[[#All],[stratum i]]), 0))</f>
        <v>#REF!</v>
      </c>
      <c r="AU132" t="e" cm="1">
        <f t="array" ref="AU132">INDEX(#REF!, MATCH(1, (Table1423[[#This Row],[year t]]=Table32[[#All],[year t]])*(Table1423[[#This Row],[stratum i]]=Table32[[#All],[stratum i]]), 0))</f>
        <v>#REF!</v>
      </c>
      <c r="AV132" s="30"/>
      <c r="BB132" s="18">
        <v>2035</v>
      </c>
      <c r="BC132">
        <v>4</v>
      </c>
      <c r="BD132" cm="1">
        <f t="array" ref="BD132">INDEX(Table32[[#All],[∆CWPS-soil,i,t (tC/ha)]], MATCH(1, (Table1329[[#This Row],[year t]]=Table32[[#All],[year t]])*(Table1329[[#This Row],[stratum i]]=Table32[[#All],[stratum i]]), 0))</f>
        <v>2.4</v>
      </c>
      <c r="BE132">
        <f>-44/12*Table1329[[#This Row],[∆CWPS-soil,i,t (tC/ha)]]</f>
        <v>-8.7999999999999989</v>
      </c>
    </row>
    <row r="133" spans="11:57" x14ac:dyDescent="0.2">
      <c r="K133" s="18">
        <v>2036</v>
      </c>
      <c r="L133">
        <v>4</v>
      </c>
      <c r="M133" cm="1">
        <f t="array" ref="M133">IF(project_aboveground_tree = "Included", INDEX(Table32[[#All],[ΔCTREE_PROJ,i,t (AR Tool 14) t C/yr]], MATCH(1, (Table1221[[#This Row],[year t]]=Table32[[#All],[year t]])*(Table1221[[#This Row],[stratum i]]=Table32[[#All],[stratum i]]), 0)), 0)</f>
        <v>5925.2504642271906</v>
      </c>
      <c r="N133" s="57" cm="1">
        <f t="array" ref="N133">IF(project_aboveground_nontree = "Included", INDEX(#REF!, MATCH(1, (Table1221[[#This Row],[year t]]=Table32[[#All],[year t]])*(Table1221[[#This Row],[stratum i]]=Table32[[#All],[stratum i]]), 0)), 0)</f>
        <v>0</v>
      </c>
      <c r="O133">
        <f>12/44*(Table1221[[#This Row],[ΔCTREE_PROJ,t (AR Tool 14) t CO2e/yr]]+Table1221[[#This Row],[ΔCSHRUB_PROJ,t (AR Tool 14) t CO2e/yr]])</f>
        <v>1615.9773993346882</v>
      </c>
      <c r="P133" cm="1">
        <f t="array" ref="P133">IF(project_aboveground_nontree = "Included", IFERROR(INDEX(Table1322[[#All],[ΔCWPS-herb,i,t (Eq 78)]], MATCH(1, (Table1221[[#This Row],[stratum i]]=Table1322[[#All],[stratum i]])*(Table1221[[#This Row],[year t]]&gt;=#REF!)*(Table1221[[#This Row],[year t]]&lt;=Table1322[[#All],[year t]]), 0)), 0), 0)</f>
        <v>0</v>
      </c>
      <c r="Q133">
        <f>Table1221[[#This Row],[ΔCWPS-tree/shrub,i,t (t C/yr) (Eq 75)]]+Table1221[[#This Row],[ΔCWPS-herb,i,t (t C/yr)]]</f>
        <v>1615.9773993346882</v>
      </c>
      <c r="R133" cm="1">
        <f t="array" ref="R133">INDEX(Table1423[[#All],[GHGWPS-soil,i,t]], MATCH(1, (Table1221[[#This Row],[year t]]=Table1423[[#All],[year t]])*(Table1221[[#This Row],[stratum i]]=Table1423[[#All],[stratum i]]), 0))</f>
        <v>-8258.6514576804657</v>
      </c>
      <c r="S133">
        <f>IF(project_ff_CO2 = "Included", Table1221[[#This Row],[ET(FC,I,t) AR-Tool 5 WPS]], 0)</f>
        <v>0</v>
      </c>
      <c r="T133" t="e" cm="1">
        <f t="array" ref="T133">INDEX(#REF!, MATCH(1, (Table1221[[#This Row],[year t]]=Table32[[#All],[year t]])*(Table1221[[#This Row],[stratum i]]=Table32[[#All],[stratum i]]), 0))</f>
        <v>#REF!</v>
      </c>
      <c r="AE133" s="18">
        <v>2036</v>
      </c>
      <c r="AF133">
        <v>4</v>
      </c>
      <c r="AG133" s="18" cm="1">
        <f t="array" ref="AG133">INDEX(Table32[[#All],[Ai,t]], MATCH(1, (Table1423[[#This Row],[year t]]=Table32[[#All],[year t]])*(Table1423[[#This Row],[stratum i]]=Table32[[#All],[stratum i]]), 0))</f>
        <v>1227.7635314285715</v>
      </c>
      <c r="AH133" t="str">
        <f>INDEX(Table31[[#All],[Soil type (t=0)]], MATCH(Table1423[[#This Row],[stratum i]], Table31[[#All],[Stratum i]]))</f>
        <v>Mineral soil</v>
      </c>
      <c r="AI133">
        <f>IF(Emission_reduction_from_stock_loss?, INDEX(Table2[[#All],[End_PDT]], MATCH(Table1423[[#This Row],[stratum i]], Table2[[#All],[stratum i]])), crediting_period)</f>
        <v>40</v>
      </c>
      <c r="AJ133">
        <f>IF(Emission_reduction_from_stock_loss?, INDEX(Table2[[#All],[End_SDT]], MATCH(Table1423[[#This Row],[stratum i]], Table2[[#All],[stratum i]])), crediting_period)</f>
        <v>40</v>
      </c>
      <c r="AK133" cm="1">
        <f t="array" ref="AK13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3" s="30" cm="1">
        <f t="array" ref="AL133">INDEX(Table32[[#All],[%Calloch WPS]], MATCH(1, (Table1423[[#This Row],[year t]]=Table32[[#All],[year t]])*(Table1423[[#This Row],[stratum i]]=Table32[[#All],[stratum i]]), 0))</f>
        <v>23.561573856247001</v>
      </c>
      <c r="AM13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3">
        <f>(Table1423[[#This Row],[GHGWPS-soil-CO2,i,t]]-Table1423[[#This Row],[Deductionalloch WPS (Eq 38)]])*Table1423[[#This Row],[Ai,t]]</f>
        <v>-8258.6514576804657</v>
      </c>
      <c r="AO133" cm="1">
        <f t="array" ref="AO133">IF(project_soil_CH4 = "Included", INDEX(Table1830[[#All],[GHGWPS-soil-CH4,i,t (Eq 59)]], MATCH(1, (Table1423[[#This Row],[year t]]=Table1830[[#All],[year t]])*(Table1423[[#This Row],[stratum i]]=Table1830[[#All],[stratum i]]), 0)), 0)</f>
        <v>0</v>
      </c>
      <c r="AP133" cm="1">
        <f t="array" ref="AP133">IF(project_soil_N2O = "Included", INDEX(Table1830[[#All],[GHGWPS-soil-N2O,i,t (Eq 62)]], MATCH(1, (Table1423[[#This Row],[year t]]=Table1830[[#All],[year t]])*(Table1423[[#This Row],[stratum i]]=Table1830[[#All],[stratum i]]), 0)), 0)</f>
        <v>0</v>
      </c>
      <c r="AQ133">
        <f>Table1423[[#This Row],[Ai,t]]*(Table1423[[#This Row],[GHGWPS-soil-CO2,i,t]]-Table1423[[#This Row],[Deductionalloch WPS (Eq 38)]]+Table1423[[#This Row],[GHGWPS-soil-CH4,i,t]]+Table1423[[#This Row],[GHGWPS-soil-N2O,i,t]])</f>
        <v>-8258.6514576804657</v>
      </c>
      <c r="AR133" t="e" cm="1">
        <f t="array" ref="AR133">INDEX(#REF!, MATCH(1, (Table1423[[#This Row],[year t]]=Table32[[#All],[year t]])*(Table1423[[#This Row],[stratum i]]=Table32[[#All],[stratum i]]), 0))</f>
        <v>#REF!</v>
      </c>
      <c r="AS133" t="e" cm="1">
        <f t="array" ref="AS133">INDEX(#REF!, MATCH(1, (Table1423[[#This Row],[year t]]=Table32[[#All],[year t]])*(Table1423[[#This Row],[stratum i]]=Table32[[#All],[stratum i]]), 0))</f>
        <v>#REF!</v>
      </c>
      <c r="AT133" t="e" cm="1">
        <f t="array" ref="AT133">INDEX(#REF!, MATCH(1, (Table1423[[#This Row],[year t]]=Table32[[#All],[year t]])*(Table1423[[#This Row],[stratum i]]=Table32[[#All],[stratum i]]), 0))</f>
        <v>#REF!</v>
      </c>
      <c r="AU133" t="e" cm="1">
        <f t="array" ref="AU133">INDEX(#REF!, MATCH(1, (Table1423[[#This Row],[year t]]=Table32[[#All],[year t]])*(Table1423[[#This Row],[stratum i]]=Table32[[#All],[stratum i]]), 0))</f>
        <v>#REF!</v>
      </c>
      <c r="AV133" s="30"/>
      <c r="BB133" s="18">
        <v>2036</v>
      </c>
      <c r="BC133">
        <v>4</v>
      </c>
      <c r="BD133" cm="1">
        <f t="array" ref="BD133">INDEX(Table32[[#All],[∆CWPS-soil,i,t (tC/ha)]], MATCH(1, (Table1329[[#This Row],[year t]]=Table32[[#All],[year t]])*(Table1329[[#This Row],[stratum i]]=Table32[[#All],[stratum i]]), 0))</f>
        <v>2.4</v>
      </c>
      <c r="BE133">
        <f>-44/12*Table1329[[#This Row],[∆CWPS-soil,i,t (tC/ha)]]</f>
        <v>-8.7999999999999989</v>
      </c>
    </row>
    <row r="134" spans="11:57" x14ac:dyDescent="0.2">
      <c r="K134" s="18">
        <v>2037</v>
      </c>
      <c r="L134">
        <v>4</v>
      </c>
      <c r="M134" cm="1">
        <f t="array" ref="M134">IF(project_aboveground_tree = "Included", INDEX(Table32[[#All],[ΔCTREE_PROJ,i,t (AR Tool 14) t C/yr]], MATCH(1, (Table1221[[#This Row],[year t]]=Table32[[#All],[year t]])*(Table1221[[#This Row],[stratum i]]=Table32[[#All],[stratum i]]), 0)), 0)</f>
        <v>7861.7671887753604</v>
      </c>
      <c r="N134" s="57" cm="1">
        <f t="array" ref="N134">IF(project_aboveground_nontree = "Included", INDEX(#REF!, MATCH(1, (Table1221[[#This Row],[year t]]=Table32[[#All],[year t]])*(Table1221[[#This Row],[stratum i]]=Table32[[#All],[stratum i]]), 0)), 0)</f>
        <v>0</v>
      </c>
      <c r="O134">
        <f>12/44*(Table1221[[#This Row],[ΔCTREE_PROJ,t (AR Tool 14) t CO2e/yr]]+Table1221[[#This Row],[ΔCSHRUB_PROJ,t (AR Tool 14) t CO2e/yr]])</f>
        <v>2144.1183242114616</v>
      </c>
      <c r="P134" cm="1">
        <f t="array" ref="P134">IF(project_aboveground_nontree = "Included", IFERROR(INDEX(Table1322[[#All],[ΔCWPS-herb,i,t (Eq 78)]], MATCH(1, (Table1221[[#This Row],[stratum i]]=Table1322[[#All],[stratum i]])*(Table1221[[#This Row],[year t]]&gt;=#REF!)*(Table1221[[#This Row],[year t]]&lt;=Table1322[[#All],[year t]]), 0)), 0), 0)</f>
        <v>0</v>
      </c>
      <c r="Q134">
        <f>Table1221[[#This Row],[ΔCWPS-tree/shrub,i,t (t C/yr) (Eq 75)]]+Table1221[[#This Row],[ΔCWPS-herb,i,t (t C/yr)]]</f>
        <v>2144.1183242114616</v>
      </c>
      <c r="R134" cm="1">
        <f t="array" ref="R134">INDEX(Table1423[[#All],[GHGWPS-soil,i,t]], MATCH(1, (Table1221[[#This Row],[year t]]=Table1423[[#All],[year t]])*(Table1221[[#This Row],[stratum i]]=Table1423[[#All],[stratum i]]), 0))</f>
        <v>-8258.6514576804657</v>
      </c>
      <c r="S134">
        <f>IF(project_ff_CO2 = "Included", Table1221[[#This Row],[ET(FC,I,t) AR-Tool 5 WPS]], 0)</f>
        <v>0</v>
      </c>
      <c r="T134" t="e" cm="1">
        <f t="array" ref="T134">INDEX(#REF!, MATCH(1, (Table1221[[#This Row],[year t]]=Table32[[#All],[year t]])*(Table1221[[#This Row],[stratum i]]=Table32[[#All],[stratum i]]), 0))</f>
        <v>#REF!</v>
      </c>
      <c r="AE134" s="18">
        <v>2037</v>
      </c>
      <c r="AF134">
        <v>4</v>
      </c>
      <c r="AG134" s="18" cm="1">
        <f t="array" ref="AG134">INDEX(Table32[[#All],[Ai,t]], MATCH(1, (Table1423[[#This Row],[year t]]=Table32[[#All],[year t]])*(Table1423[[#This Row],[stratum i]]=Table32[[#All],[stratum i]]), 0))</f>
        <v>1227.7635314285715</v>
      </c>
      <c r="AH134" t="str">
        <f>INDEX(Table31[[#All],[Soil type (t=0)]], MATCH(Table1423[[#This Row],[stratum i]], Table31[[#All],[Stratum i]]))</f>
        <v>Mineral soil</v>
      </c>
      <c r="AI134">
        <f>IF(Emission_reduction_from_stock_loss?, INDEX(Table2[[#All],[End_PDT]], MATCH(Table1423[[#This Row],[stratum i]], Table2[[#All],[stratum i]])), crediting_period)</f>
        <v>40</v>
      </c>
      <c r="AJ134">
        <f>IF(Emission_reduction_from_stock_loss?, INDEX(Table2[[#All],[End_SDT]], MATCH(Table1423[[#This Row],[stratum i]], Table2[[#All],[stratum i]])), crediting_period)</f>
        <v>40</v>
      </c>
      <c r="AK134" cm="1">
        <f t="array" ref="AK13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4" s="30" cm="1">
        <f t="array" ref="AL134">INDEX(Table32[[#All],[%Calloch WPS]], MATCH(1, (Table1423[[#This Row],[year t]]=Table32[[#All],[year t]])*(Table1423[[#This Row],[stratum i]]=Table32[[#All],[stratum i]]), 0))</f>
        <v>23.561573856247001</v>
      </c>
      <c r="AM13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4">
        <f>(Table1423[[#This Row],[GHGWPS-soil-CO2,i,t]]-Table1423[[#This Row],[Deductionalloch WPS (Eq 38)]])*Table1423[[#This Row],[Ai,t]]</f>
        <v>-8258.6514576804657</v>
      </c>
      <c r="AO134" cm="1">
        <f t="array" ref="AO134">IF(project_soil_CH4 = "Included", INDEX(Table1830[[#All],[GHGWPS-soil-CH4,i,t (Eq 59)]], MATCH(1, (Table1423[[#This Row],[year t]]=Table1830[[#All],[year t]])*(Table1423[[#This Row],[stratum i]]=Table1830[[#All],[stratum i]]), 0)), 0)</f>
        <v>0</v>
      </c>
      <c r="AP134" cm="1">
        <f t="array" ref="AP134">IF(project_soil_N2O = "Included", INDEX(Table1830[[#All],[GHGWPS-soil-N2O,i,t (Eq 62)]], MATCH(1, (Table1423[[#This Row],[year t]]=Table1830[[#All],[year t]])*(Table1423[[#This Row],[stratum i]]=Table1830[[#All],[stratum i]]), 0)), 0)</f>
        <v>0</v>
      </c>
      <c r="AQ134">
        <f>Table1423[[#This Row],[Ai,t]]*(Table1423[[#This Row],[GHGWPS-soil-CO2,i,t]]-Table1423[[#This Row],[Deductionalloch WPS (Eq 38)]]+Table1423[[#This Row],[GHGWPS-soil-CH4,i,t]]+Table1423[[#This Row],[GHGWPS-soil-N2O,i,t]])</f>
        <v>-8258.6514576804657</v>
      </c>
      <c r="AR134" t="e" cm="1">
        <f t="array" ref="AR134">INDEX(#REF!, MATCH(1, (Table1423[[#This Row],[year t]]=Table32[[#All],[year t]])*(Table1423[[#This Row],[stratum i]]=Table32[[#All],[stratum i]]), 0))</f>
        <v>#REF!</v>
      </c>
      <c r="AS134" t="e" cm="1">
        <f t="array" ref="AS134">INDEX(#REF!, MATCH(1, (Table1423[[#This Row],[year t]]=Table32[[#All],[year t]])*(Table1423[[#This Row],[stratum i]]=Table32[[#All],[stratum i]]), 0))</f>
        <v>#REF!</v>
      </c>
      <c r="AT134" t="e" cm="1">
        <f t="array" ref="AT134">INDEX(#REF!, MATCH(1, (Table1423[[#This Row],[year t]]=Table32[[#All],[year t]])*(Table1423[[#This Row],[stratum i]]=Table32[[#All],[stratum i]]), 0))</f>
        <v>#REF!</v>
      </c>
      <c r="AU134" t="e" cm="1">
        <f t="array" ref="AU134">INDEX(#REF!, MATCH(1, (Table1423[[#This Row],[year t]]=Table32[[#All],[year t]])*(Table1423[[#This Row],[stratum i]]=Table32[[#All],[stratum i]]), 0))</f>
        <v>#REF!</v>
      </c>
      <c r="AV134" s="30"/>
      <c r="BB134" s="18">
        <v>2037</v>
      </c>
      <c r="BC134">
        <v>4</v>
      </c>
      <c r="BD134" cm="1">
        <f t="array" ref="BD134">INDEX(Table32[[#All],[∆CWPS-soil,i,t (tC/ha)]], MATCH(1, (Table1329[[#This Row],[year t]]=Table32[[#All],[year t]])*(Table1329[[#This Row],[stratum i]]=Table32[[#All],[stratum i]]), 0))</f>
        <v>2.4</v>
      </c>
      <c r="BE134">
        <f>-44/12*Table1329[[#This Row],[∆CWPS-soil,i,t (tC/ha)]]</f>
        <v>-8.7999999999999989</v>
      </c>
    </row>
    <row r="135" spans="11:57" x14ac:dyDescent="0.2">
      <c r="K135" s="18">
        <v>2038</v>
      </c>
      <c r="L135">
        <v>4</v>
      </c>
      <c r="M135" cm="1">
        <f t="array" ref="M135">IF(project_aboveground_tree = "Included", INDEX(Table32[[#All],[ΔCTREE_PROJ,i,t (AR Tool 14) t C/yr]], MATCH(1, (Table1221[[#This Row],[year t]]=Table32[[#All],[year t]])*(Table1221[[#This Row],[stratum i]]=Table32[[#All],[stratum i]]), 0)), 0)</f>
        <v>9868.024219196308</v>
      </c>
      <c r="N135" s="57" cm="1">
        <f t="array" ref="N135">IF(project_aboveground_nontree = "Included", INDEX(#REF!, MATCH(1, (Table1221[[#This Row],[year t]]=Table32[[#All],[year t]])*(Table1221[[#This Row],[stratum i]]=Table32[[#All],[stratum i]]), 0)), 0)</f>
        <v>0</v>
      </c>
      <c r="O135">
        <f>12/44*(Table1221[[#This Row],[ΔCTREE_PROJ,t (AR Tool 14) t CO2e/yr]]+Table1221[[#This Row],[ΔCSHRUB_PROJ,t (AR Tool 14) t CO2e/yr]])</f>
        <v>2691.2793325080838</v>
      </c>
      <c r="P135" cm="1">
        <f t="array" ref="P135">IF(project_aboveground_nontree = "Included", IFERROR(INDEX(Table1322[[#All],[ΔCWPS-herb,i,t (Eq 78)]], MATCH(1, (Table1221[[#This Row],[stratum i]]=Table1322[[#All],[stratum i]])*(Table1221[[#This Row],[year t]]&gt;=#REF!)*(Table1221[[#This Row],[year t]]&lt;=Table1322[[#All],[year t]]), 0)), 0), 0)</f>
        <v>0</v>
      </c>
      <c r="Q135">
        <f>Table1221[[#This Row],[ΔCWPS-tree/shrub,i,t (t C/yr) (Eq 75)]]+Table1221[[#This Row],[ΔCWPS-herb,i,t (t C/yr)]]</f>
        <v>2691.2793325080838</v>
      </c>
      <c r="R135" cm="1">
        <f t="array" ref="R135">INDEX(Table1423[[#All],[GHGWPS-soil,i,t]], MATCH(1, (Table1221[[#This Row],[year t]]=Table1423[[#All],[year t]])*(Table1221[[#This Row],[stratum i]]=Table1423[[#All],[stratum i]]), 0))</f>
        <v>-8258.6514576804657</v>
      </c>
      <c r="S135">
        <f>IF(project_ff_CO2 = "Included", Table1221[[#This Row],[ET(FC,I,t) AR-Tool 5 WPS]], 0)</f>
        <v>0</v>
      </c>
      <c r="T135" t="e" cm="1">
        <f t="array" ref="T135">INDEX(#REF!, MATCH(1, (Table1221[[#This Row],[year t]]=Table32[[#All],[year t]])*(Table1221[[#This Row],[stratum i]]=Table32[[#All],[stratum i]]), 0))</f>
        <v>#REF!</v>
      </c>
      <c r="AE135" s="18">
        <v>2038</v>
      </c>
      <c r="AF135">
        <v>4</v>
      </c>
      <c r="AG135" s="18" cm="1">
        <f t="array" ref="AG135">INDEX(Table32[[#All],[Ai,t]], MATCH(1, (Table1423[[#This Row],[year t]]=Table32[[#All],[year t]])*(Table1423[[#This Row],[stratum i]]=Table32[[#All],[stratum i]]), 0))</f>
        <v>1227.7635314285715</v>
      </c>
      <c r="AH135" t="str">
        <f>INDEX(Table31[[#All],[Soil type (t=0)]], MATCH(Table1423[[#This Row],[stratum i]], Table31[[#All],[Stratum i]]))</f>
        <v>Mineral soil</v>
      </c>
      <c r="AI135">
        <f>IF(Emission_reduction_from_stock_loss?, INDEX(Table2[[#All],[End_PDT]], MATCH(Table1423[[#This Row],[stratum i]], Table2[[#All],[stratum i]])), crediting_period)</f>
        <v>40</v>
      </c>
      <c r="AJ135">
        <f>IF(Emission_reduction_from_stock_loss?, INDEX(Table2[[#All],[End_SDT]], MATCH(Table1423[[#This Row],[stratum i]], Table2[[#All],[stratum i]])), crediting_period)</f>
        <v>40</v>
      </c>
      <c r="AK135" cm="1">
        <f t="array" ref="AK13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5" s="30" cm="1">
        <f t="array" ref="AL135">INDEX(Table32[[#All],[%Calloch WPS]], MATCH(1, (Table1423[[#This Row],[year t]]=Table32[[#All],[year t]])*(Table1423[[#This Row],[stratum i]]=Table32[[#All],[stratum i]]), 0))</f>
        <v>23.561573856247001</v>
      </c>
      <c r="AM13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5">
        <f>(Table1423[[#This Row],[GHGWPS-soil-CO2,i,t]]-Table1423[[#This Row],[Deductionalloch WPS (Eq 38)]])*Table1423[[#This Row],[Ai,t]]</f>
        <v>-8258.6514576804657</v>
      </c>
      <c r="AO135" cm="1">
        <f t="array" ref="AO135">IF(project_soil_CH4 = "Included", INDEX(Table1830[[#All],[GHGWPS-soil-CH4,i,t (Eq 59)]], MATCH(1, (Table1423[[#This Row],[year t]]=Table1830[[#All],[year t]])*(Table1423[[#This Row],[stratum i]]=Table1830[[#All],[stratum i]]), 0)), 0)</f>
        <v>0</v>
      </c>
      <c r="AP135" cm="1">
        <f t="array" ref="AP135">IF(project_soil_N2O = "Included", INDEX(Table1830[[#All],[GHGWPS-soil-N2O,i,t (Eq 62)]], MATCH(1, (Table1423[[#This Row],[year t]]=Table1830[[#All],[year t]])*(Table1423[[#This Row],[stratum i]]=Table1830[[#All],[stratum i]]), 0)), 0)</f>
        <v>0</v>
      </c>
      <c r="AQ135">
        <f>Table1423[[#This Row],[Ai,t]]*(Table1423[[#This Row],[GHGWPS-soil-CO2,i,t]]-Table1423[[#This Row],[Deductionalloch WPS (Eq 38)]]+Table1423[[#This Row],[GHGWPS-soil-CH4,i,t]]+Table1423[[#This Row],[GHGWPS-soil-N2O,i,t]])</f>
        <v>-8258.6514576804657</v>
      </c>
      <c r="AR135" t="e" cm="1">
        <f t="array" ref="AR135">INDEX(#REF!, MATCH(1, (Table1423[[#This Row],[year t]]=Table32[[#All],[year t]])*(Table1423[[#This Row],[stratum i]]=Table32[[#All],[stratum i]]), 0))</f>
        <v>#REF!</v>
      </c>
      <c r="AS135" t="e" cm="1">
        <f t="array" ref="AS135">INDEX(#REF!, MATCH(1, (Table1423[[#This Row],[year t]]=Table32[[#All],[year t]])*(Table1423[[#This Row],[stratum i]]=Table32[[#All],[stratum i]]), 0))</f>
        <v>#REF!</v>
      </c>
      <c r="AT135" t="e" cm="1">
        <f t="array" ref="AT135">INDEX(#REF!, MATCH(1, (Table1423[[#This Row],[year t]]=Table32[[#All],[year t]])*(Table1423[[#This Row],[stratum i]]=Table32[[#All],[stratum i]]), 0))</f>
        <v>#REF!</v>
      </c>
      <c r="AU135" t="e" cm="1">
        <f t="array" ref="AU135">INDEX(#REF!, MATCH(1, (Table1423[[#This Row],[year t]]=Table32[[#All],[year t]])*(Table1423[[#This Row],[stratum i]]=Table32[[#All],[stratum i]]), 0))</f>
        <v>#REF!</v>
      </c>
      <c r="AV135" s="30"/>
      <c r="BB135" s="18">
        <v>2038</v>
      </c>
      <c r="BC135">
        <v>4</v>
      </c>
      <c r="BD135" cm="1">
        <f t="array" ref="BD135">INDEX(Table32[[#All],[∆CWPS-soil,i,t (tC/ha)]], MATCH(1, (Table1329[[#This Row],[year t]]=Table32[[#All],[year t]])*(Table1329[[#This Row],[stratum i]]=Table32[[#All],[stratum i]]), 0))</f>
        <v>2.4</v>
      </c>
      <c r="BE135">
        <f>-44/12*Table1329[[#This Row],[∆CWPS-soil,i,t (tC/ha)]]</f>
        <v>-8.7999999999999989</v>
      </c>
    </row>
    <row r="136" spans="11:57" x14ac:dyDescent="0.2">
      <c r="K136" s="18">
        <v>2039</v>
      </c>
      <c r="L136">
        <v>4</v>
      </c>
      <c r="M136" cm="1">
        <f t="array" ref="M136">IF(project_aboveground_tree = "Included", INDEX(Table32[[#All],[ΔCTREE_PROJ,i,t (AR Tool 14) t C/yr]], MATCH(1, (Table1221[[#This Row],[year t]]=Table32[[#All],[year t]])*(Table1221[[#This Row],[stratum i]]=Table32[[#All],[stratum i]]), 0)), 0)</f>
        <v>11825.436767935134</v>
      </c>
      <c r="N136" s="57" cm="1">
        <f t="array" ref="N136">IF(project_aboveground_nontree = "Included", INDEX(#REF!, MATCH(1, (Table1221[[#This Row],[year t]]=Table32[[#All],[year t]])*(Table1221[[#This Row],[stratum i]]=Table32[[#All],[stratum i]]), 0)), 0)</f>
        <v>0</v>
      </c>
      <c r="O136">
        <f>12/44*(Table1221[[#This Row],[ΔCTREE_PROJ,t (AR Tool 14) t CO2e/yr]]+Table1221[[#This Row],[ΔCSHRUB_PROJ,t (AR Tool 14) t CO2e/yr]])</f>
        <v>3225.1191185277635</v>
      </c>
      <c r="P136" cm="1">
        <f t="array" ref="P136">IF(project_aboveground_nontree = "Included", IFERROR(INDEX(Table1322[[#All],[ΔCWPS-herb,i,t (Eq 78)]], MATCH(1, (Table1221[[#This Row],[stratum i]]=Table1322[[#All],[stratum i]])*(Table1221[[#This Row],[year t]]&gt;=#REF!)*(Table1221[[#This Row],[year t]]&lt;=Table1322[[#All],[year t]]), 0)), 0), 0)</f>
        <v>0</v>
      </c>
      <c r="Q136">
        <f>Table1221[[#This Row],[ΔCWPS-tree/shrub,i,t (t C/yr) (Eq 75)]]+Table1221[[#This Row],[ΔCWPS-herb,i,t (t C/yr)]]</f>
        <v>3225.1191185277635</v>
      </c>
      <c r="R136" cm="1">
        <f t="array" ref="R136">INDEX(Table1423[[#All],[GHGWPS-soil,i,t]], MATCH(1, (Table1221[[#This Row],[year t]]=Table1423[[#All],[year t]])*(Table1221[[#This Row],[stratum i]]=Table1423[[#All],[stratum i]]), 0))</f>
        <v>-8258.6514576804657</v>
      </c>
      <c r="S136">
        <f>IF(project_ff_CO2 = "Included", Table1221[[#This Row],[ET(FC,I,t) AR-Tool 5 WPS]], 0)</f>
        <v>0</v>
      </c>
      <c r="T136" t="e" cm="1">
        <f t="array" ref="T136">INDEX(#REF!, MATCH(1, (Table1221[[#This Row],[year t]]=Table32[[#All],[year t]])*(Table1221[[#This Row],[stratum i]]=Table32[[#All],[stratum i]]), 0))</f>
        <v>#REF!</v>
      </c>
      <c r="AE136" s="18">
        <v>2039</v>
      </c>
      <c r="AF136">
        <v>4</v>
      </c>
      <c r="AG136" s="18" cm="1">
        <f t="array" ref="AG136">INDEX(Table32[[#All],[Ai,t]], MATCH(1, (Table1423[[#This Row],[year t]]=Table32[[#All],[year t]])*(Table1423[[#This Row],[stratum i]]=Table32[[#All],[stratum i]]), 0))</f>
        <v>1227.7635314285715</v>
      </c>
      <c r="AH136" t="str">
        <f>INDEX(Table31[[#All],[Soil type (t=0)]], MATCH(Table1423[[#This Row],[stratum i]], Table31[[#All],[Stratum i]]))</f>
        <v>Mineral soil</v>
      </c>
      <c r="AI136">
        <f>IF(Emission_reduction_from_stock_loss?, INDEX(Table2[[#All],[End_PDT]], MATCH(Table1423[[#This Row],[stratum i]], Table2[[#All],[stratum i]])), crediting_period)</f>
        <v>40</v>
      </c>
      <c r="AJ136">
        <f>IF(Emission_reduction_from_stock_loss?, INDEX(Table2[[#All],[End_SDT]], MATCH(Table1423[[#This Row],[stratum i]], Table2[[#All],[stratum i]])), crediting_period)</f>
        <v>40</v>
      </c>
      <c r="AK136" cm="1">
        <f t="array" ref="AK13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6" s="30" cm="1">
        <f t="array" ref="AL136">INDEX(Table32[[#All],[%Calloch WPS]], MATCH(1, (Table1423[[#This Row],[year t]]=Table32[[#All],[year t]])*(Table1423[[#This Row],[stratum i]]=Table32[[#All],[stratum i]]), 0))</f>
        <v>23.561573856247001</v>
      </c>
      <c r="AM13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6">
        <f>(Table1423[[#This Row],[GHGWPS-soil-CO2,i,t]]-Table1423[[#This Row],[Deductionalloch WPS (Eq 38)]])*Table1423[[#This Row],[Ai,t]]</f>
        <v>-8258.6514576804657</v>
      </c>
      <c r="AO136" cm="1">
        <f t="array" ref="AO136">IF(project_soil_CH4 = "Included", INDEX(Table1830[[#All],[GHGWPS-soil-CH4,i,t (Eq 59)]], MATCH(1, (Table1423[[#This Row],[year t]]=Table1830[[#All],[year t]])*(Table1423[[#This Row],[stratum i]]=Table1830[[#All],[stratum i]]), 0)), 0)</f>
        <v>0</v>
      </c>
      <c r="AP136" cm="1">
        <f t="array" ref="AP136">IF(project_soil_N2O = "Included", INDEX(Table1830[[#All],[GHGWPS-soil-N2O,i,t (Eq 62)]], MATCH(1, (Table1423[[#This Row],[year t]]=Table1830[[#All],[year t]])*(Table1423[[#This Row],[stratum i]]=Table1830[[#All],[stratum i]]), 0)), 0)</f>
        <v>0</v>
      </c>
      <c r="AQ136">
        <f>Table1423[[#This Row],[Ai,t]]*(Table1423[[#This Row],[GHGWPS-soil-CO2,i,t]]-Table1423[[#This Row],[Deductionalloch WPS (Eq 38)]]+Table1423[[#This Row],[GHGWPS-soil-CH4,i,t]]+Table1423[[#This Row],[GHGWPS-soil-N2O,i,t]])</f>
        <v>-8258.6514576804657</v>
      </c>
      <c r="AR136" t="e" cm="1">
        <f t="array" ref="AR136">INDEX(#REF!, MATCH(1, (Table1423[[#This Row],[year t]]=Table32[[#All],[year t]])*(Table1423[[#This Row],[stratum i]]=Table32[[#All],[stratum i]]), 0))</f>
        <v>#REF!</v>
      </c>
      <c r="AS136" t="e" cm="1">
        <f t="array" ref="AS136">INDEX(#REF!, MATCH(1, (Table1423[[#This Row],[year t]]=Table32[[#All],[year t]])*(Table1423[[#This Row],[stratum i]]=Table32[[#All],[stratum i]]), 0))</f>
        <v>#REF!</v>
      </c>
      <c r="AT136" t="e" cm="1">
        <f t="array" ref="AT136">INDEX(#REF!, MATCH(1, (Table1423[[#This Row],[year t]]=Table32[[#All],[year t]])*(Table1423[[#This Row],[stratum i]]=Table32[[#All],[stratum i]]), 0))</f>
        <v>#REF!</v>
      </c>
      <c r="AU136" t="e" cm="1">
        <f t="array" ref="AU136">INDEX(#REF!, MATCH(1, (Table1423[[#This Row],[year t]]=Table32[[#All],[year t]])*(Table1423[[#This Row],[stratum i]]=Table32[[#All],[stratum i]]), 0))</f>
        <v>#REF!</v>
      </c>
      <c r="AV136" s="30"/>
      <c r="BB136" s="18">
        <v>2039</v>
      </c>
      <c r="BC136">
        <v>4</v>
      </c>
      <c r="BD136" cm="1">
        <f t="array" ref="BD136">INDEX(Table32[[#All],[∆CWPS-soil,i,t (tC/ha)]], MATCH(1, (Table1329[[#This Row],[year t]]=Table32[[#All],[year t]])*(Table1329[[#This Row],[stratum i]]=Table32[[#All],[stratum i]]), 0))</f>
        <v>2.4</v>
      </c>
      <c r="BE136">
        <f>-44/12*Table1329[[#This Row],[∆CWPS-soil,i,t (tC/ha)]]</f>
        <v>-8.7999999999999989</v>
      </c>
    </row>
    <row r="137" spans="11:57" x14ac:dyDescent="0.2">
      <c r="K137" s="18">
        <v>2040</v>
      </c>
      <c r="L137">
        <v>4</v>
      </c>
      <c r="M137" cm="1">
        <f t="array" ref="M137">IF(project_aboveground_tree = "Included", INDEX(Table32[[#All],[ΔCTREE_PROJ,i,t (AR Tool 14) t C/yr]], MATCH(1, (Table1221[[#This Row],[year t]]=Table32[[#All],[year t]])*(Table1221[[#This Row],[stratum i]]=Table32[[#All],[stratum i]]), 0)), 0)</f>
        <v>13628.741091049036</v>
      </c>
      <c r="N137" s="57" cm="1">
        <f t="array" ref="N137">IF(project_aboveground_nontree = "Included", INDEX(#REF!, MATCH(1, (Table1221[[#This Row],[year t]]=Table32[[#All],[year t]])*(Table1221[[#This Row],[stratum i]]=Table32[[#All],[stratum i]]), 0)), 0)</f>
        <v>0</v>
      </c>
      <c r="O137">
        <f>12/44*(Table1221[[#This Row],[ΔCTREE_PROJ,t (AR Tool 14) t CO2e/yr]]+Table1221[[#This Row],[ΔCSHRUB_PROJ,t (AR Tool 14) t CO2e/yr]])</f>
        <v>3716.9293884679187</v>
      </c>
      <c r="P137" cm="1">
        <f t="array" ref="P137">IF(project_aboveground_nontree = "Included", IFERROR(INDEX(Table1322[[#All],[ΔCWPS-herb,i,t (Eq 78)]], MATCH(1, (Table1221[[#This Row],[stratum i]]=Table1322[[#All],[stratum i]])*(Table1221[[#This Row],[year t]]&gt;=#REF!)*(Table1221[[#This Row],[year t]]&lt;=Table1322[[#All],[year t]]), 0)), 0), 0)</f>
        <v>0</v>
      </c>
      <c r="Q137">
        <f>Table1221[[#This Row],[ΔCWPS-tree/shrub,i,t (t C/yr) (Eq 75)]]+Table1221[[#This Row],[ΔCWPS-herb,i,t (t C/yr)]]</f>
        <v>3716.9293884679187</v>
      </c>
      <c r="R137" cm="1">
        <f t="array" ref="R137">INDEX(Table1423[[#All],[GHGWPS-soil,i,t]], MATCH(1, (Table1221[[#This Row],[year t]]=Table1423[[#All],[year t]])*(Table1221[[#This Row],[stratum i]]=Table1423[[#All],[stratum i]]), 0))</f>
        <v>-8258.6514576804657</v>
      </c>
      <c r="S137">
        <f>IF(project_ff_CO2 = "Included", Table1221[[#This Row],[ET(FC,I,t) AR-Tool 5 WPS]], 0)</f>
        <v>0</v>
      </c>
      <c r="T137" t="e" cm="1">
        <f t="array" ref="T137">INDEX(#REF!, MATCH(1, (Table1221[[#This Row],[year t]]=Table32[[#All],[year t]])*(Table1221[[#This Row],[stratum i]]=Table32[[#All],[stratum i]]), 0))</f>
        <v>#REF!</v>
      </c>
      <c r="AE137" s="18">
        <v>2040</v>
      </c>
      <c r="AF137">
        <v>4</v>
      </c>
      <c r="AG137" s="18" cm="1">
        <f t="array" ref="AG137">INDEX(Table32[[#All],[Ai,t]], MATCH(1, (Table1423[[#This Row],[year t]]=Table32[[#All],[year t]])*(Table1423[[#This Row],[stratum i]]=Table32[[#All],[stratum i]]), 0))</f>
        <v>1227.7635314285715</v>
      </c>
      <c r="AH137" t="str">
        <f>INDEX(Table31[[#All],[Soil type (t=0)]], MATCH(Table1423[[#This Row],[stratum i]], Table31[[#All],[Stratum i]]))</f>
        <v>Mineral soil</v>
      </c>
      <c r="AI137">
        <f>IF(Emission_reduction_from_stock_loss?, INDEX(Table2[[#All],[End_PDT]], MATCH(Table1423[[#This Row],[stratum i]], Table2[[#All],[stratum i]])), crediting_period)</f>
        <v>40</v>
      </c>
      <c r="AJ137">
        <f>IF(Emission_reduction_from_stock_loss?, INDEX(Table2[[#All],[End_SDT]], MATCH(Table1423[[#This Row],[stratum i]], Table2[[#All],[stratum i]])), crediting_period)</f>
        <v>40</v>
      </c>
      <c r="AK137" cm="1">
        <f t="array" ref="AK13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7" s="30" cm="1">
        <f t="array" ref="AL137">INDEX(Table32[[#All],[%Calloch WPS]], MATCH(1, (Table1423[[#This Row],[year t]]=Table32[[#All],[year t]])*(Table1423[[#This Row],[stratum i]]=Table32[[#All],[stratum i]]), 0))</f>
        <v>23.561573856247001</v>
      </c>
      <c r="AM13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7">
        <f>(Table1423[[#This Row],[GHGWPS-soil-CO2,i,t]]-Table1423[[#This Row],[Deductionalloch WPS (Eq 38)]])*Table1423[[#This Row],[Ai,t]]</f>
        <v>-8258.6514576804657</v>
      </c>
      <c r="AO137" cm="1">
        <f t="array" ref="AO137">IF(project_soil_CH4 = "Included", INDEX(Table1830[[#All],[GHGWPS-soil-CH4,i,t (Eq 59)]], MATCH(1, (Table1423[[#This Row],[year t]]=Table1830[[#All],[year t]])*(Table1423[[#This Row],[stratum i]]=Table1830[[#All],[stratum i]]), 0)), 0)</f>
        <v>0</v>
      </c>
      <c r="AP137" cm="1">
        <f t="array" ref="AP137">IF(project_soil_N2O = "Included", INDEX(Table1830[[#All],[GHGWPS-soil-N2O,i,t (Eq 62)]], MATCH(1, (Table1423[[#This Row],[year t]]=Table1830[[#All],[year t]])*(Table1423[[#This Row],[stratum i]]=Table1830[[#All],[stratum i]]), 0)), 0)</f>
        <v>0</v>
      </c>
      <c r="AQ137">
        <f>Table1423[[#This Row],[Ai,t]]*(Table1423[[#This Row],[GHGWPS-soil-CO2,i,t]]-Table1423[[#This Row],[Deductionalloch WPS (Eq 38)]]+Table1423[[#This Row],[GHGWPS-soil-CH4,i,t]]+Table1423[[#This Row],[GHGWPS-soil-N2O,i,t]])</f>
        <v>-8258.6514576804657</v>
      </c>
      <c r="AR137" t="e" cm="1">
        <f t="array" ref="AR137">INDEX(#REF!, MATCH(1, (Table1423[[#This Row],[year t]]=Table32[[#All],[year t]])*(Table1423[[#This Row],[stratum i]]=Table32[[#All],[stratum i]]), 0))</f>
        <v>#REF!</v>
      </c>
      <c r="AS137" t="e" cm="1">
        <f t="array" ref="AS137">INDEX(#REF!, MATCH(1, (Table1423[[#This Row],[year t]]=Table32[[#All],[year t]])*(Table1423[[#This Row],[stratum i]]=Table32[[#All],[stratum i]]), 0))</f>
        <v>#REF!</v>
      </c>
      <c r="AT137" t="e" cm="1">
        <f t="array" ref="AT137">INDEX(#REF!, MATCH(1, (Table1423[[#This Row],[year t]]=Table32[[#All],[year t]])*(Table1423[[#This Row],[stratum i]]=Table32[[#All],[stratum i]]), 0))</f>
        <v>#REF!</v>
      </c>
      <c r="AU137" t="e" cm="1">
        <f t="array" ref="AU137">INDEX(#REF!, MATCH(1, (Table1423[[#This Row],[year t]]=Table32[[#All],[year t]])*(Table1423[[#This Row],[stratum i]]=Table32[[#All],[stratum i]]), 0))</f>
        <v>#REF!</v>
      </c>
      <c r="AV137" s="30"/>
      <c r="BB137" s="18">
        <v>2040</v>
      </c>
      <c r="BC137">
        <v>4</v>
      </c>
      <c r="BD137" cm="1">
        <f t="array" ref="BD137">INDEX(Table32[[#All],[∆CWPS-soil,i,t (tC/ha)]], MATCH(1, (Table1329[[#This Row],[year t]]=Table32[[#All],[year t]])*(Table1329[[#This Row],[stratum i]]=Table32[[#All],[stratum i]]), 0))</f>
        <v>2.4</v>
      </c>
      <c r="BE137">
        <f>-44/12*Table1329[[#This Row],[∆CWPS-soil,i,t (tC/ha)]]</f>
        <v>-8.7999999999999989</v>
      </c>
    </row>
    <row r="138" spans="11:57" x14ac:dyDescent="0.2">
      <c r="K138" s="18">
        <v>2041</v>
      </c>
      <c r="L138">
        <v>4</v>
      </c>
      <c r="M138" cm="1">
        <f t="array" ref="M138">IF(project_aboveground_tree = "Included", INDEX(Table32[[#All],[ΔCTREE_PROJ,i,t (AR Tool 14) t C/yr]], MATCH(1, (Table1221[[#This Row],[year t]]=Table32[[#All],[year t]])*(Table1221[[#This Row],[stratum i]]=Table32[[#All],[stratum i]]), 0)), 0)</f>
        <v>15195.437621771984</v>
      </c>
      <c r="N138" s="57" cm="1">
        <f t="array" ref="N138">IF(project_aboveground_nontree = "Included", INDEX(#REF!, MATCH(1, (Table1221[[#This Row],[year t]]=Table32[[#All],[year t]])*(Table1221[[#This Row],[stratum i]]=Table32[[#All],[stratum i]]), 0)), 0)</f>
        <v>0</v>
      </c>
      <c r="O138">
        <f>12/44*(Table1221[[#This Row],[ΔCTREE_PROJ,t (AR Tool 14) t CO2e/yr]]+Table1221[[#This Row],[ΔCSHRUB_PROJ,t (AR Tool 14) t CO2e/yr]])</f>
        <v>4144.210260483268</v>
      </c>
      <c r="P138" cm="1">
        <f t="array" ref="P138">IF(project_aboveground_nontree = "Included", IFERROR(INDEX(Table1322[[#All],[ΔCWPS-herb,i,t (Eq 78)]], MATCH(1, (Table1221[[#This Row],[stratum i]]=Table1322[[#All],[stratum i]])*(Table1221[[#This Row],[year t]]&gt;=#REF!)*(Table1221[[#This Row],[year t]]&lt;=Table1322[[#All],[year t]]), 0)), 0), 0)</f>
        <v>0</v>
      </c>
      <c r="Q138">
        <f>Table1221[[#This Row],[ΔCWPS-tree/shrub,i,t (t C/yr) (Eq 75)]]+Table1221[[#This Row],[ΔCWPS-herb,i,t (t C/yr)]]</f>
        <v>4144.210260483268</v>
      </c>
      <c r="R138" cm="1">
        <f t="array" ref="R138">INDEX(Table1423[[#All],[GHGWPS-soil,i,t]], MATCH(1, (Table1221[[#This Row],[year t]]=Table1423[[#All],[year t]])*(Table1221[[#This Row],[stratum i]]=Table1423[[#All],[stratum i]]), 0))</f>
        <v>-8258.6514576804657</v>
      </c>
      <c r="S138">
        <f>IF(project_ff_CO2 = "Included", Table1221[[#This Row],[ET(FC,I,t) AR-Tool 5 WPS]], 0)</f>
        <v>0</v>
      </c>
      <c r="T138" t="e" cm="1">
        <f t="array" ref="T138">INDEX(#REF!, MATCH(1, (Table1221[[#This Row],[year t]]=Table32[[#All],[year t]])*(Table1221[[#This Row],[stratum i]]=Table32[[#All],[stratum i]]), 0))</f>
        <v>#REF!</v>
      </c>
      <c r="AE138" s="18">
        <v>2041</v>
      </c>
      <c r="AF138">
        <v>4</v>
      </c>
      <c r="AG138" s="18" cm="1">
        <f t="array" ref="AG138">INDEX(Table32[[#All],[Ai,t]], MATCH(1, (Table1423[[#This Row],[year t]]=Table32[[#All],[year t]])*(Table1423[[#This Row],[stratum i]]=Table32[[#All],[stratum i]]), 0))</f>
        <v>1227.7635314285715</v>
      </c>
      <c r="AH138" t="str">
        <f>INDEX(Table31[[#All],[Soil type (t=0)]], MATCH(Table1423[[#This Row],[stratum i]], Table31[[#All],[Stratum i]]))</f>
        <v>Mineral soil</v>
      </c>
      <c r="AI138">
        <f>IF(Emission_reduction_from_stock_loss?, INDEX(Table2[[#All],[End_PDT]], MATCH(Table1423[[#This Row],[stratum i]], Table2[[#All],[stratum i]])), crediting_period)</f>
        <v>40</v>
      </c>
      <c r="AJ138">
        <f>IF(Emission_reduction_from_stock_loss?, INDEX(Table2[[#All],[End_SDT]], MATCH(Table1423[[#This Row],[stratum i]], Table2[[#All],[stratum i]])), crediting_period)</f>
        <v>40</v>
      </c>
      <c r="AK138" cm="1">
        <f t="array" ref="AK13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8" s="30" cm="1">
        <f t="array" ref="AL138">INDEX(Table32[[#All],[%Calloch WPS]], MATCH(1, (Table1423[[#This Row],[year t]]=Table32[[#All],[year t]])*(Table1423[[#This Row],[stratum i]]=Table32[[#All],[stratum i]]), 0))</f>
        <v>23.561573856247001</v>
      </c>
      <c r="AM13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8">
        <f>(Table1423[[#This Row],[GHGWPS-soil-CO2,i,t]]-Table1423[[#This Row],[Deductionalloch WPS (Eq 38)]])*Table1423[[#This Row],[Ai,t]]</f>
        <v>-8258.6514576804657</v>
      </c>
      <c r="AO138" cm="1">
        <f t="array" ref="AO138">IF(project_soil_CH4 = "Included", INDEX(Table1830[[#All],[GHGWPS-soil-CH4,i,t (Eq 59)]], MATCH(1, (Table1423[[#This Row],[year t]]=Table1830[[#All],[year t]])*(Table1423[[#This Row],[stratum i]]=Table1830[[#All],[stratum i]]), 0)), 0)</f>
        <v>0</v>
      </c>
      <c r="AP138" cm="1">
        <f t="array" ref="AP138">IF(project_soil_N2O = "Included", INDEX(Table1830[[#All],[GHGWPS-soil-N2O,i,t (Eq 62)]], MATCH(1, (Table1423[[#This Row],[year t]]=Table1830[[#All],[year t]])*(Table1423[[#This Row],[stratum i]]=Table1830[[#All],[stratum i]]), 0)), 0)</f>
        <v>0</v>
      </c>
      <c r="AQ138">
        <f>Table1423[[#This Row],[Ai,t]]*(Table1423[[#This Row],[GHGWPS-soil-CO2,i,t]]-Table1423[[#This Row],[Deductionalloch WPS (Eq 38)]]+Table1423[[#This Row],[GHGWPS-soil-CH4,i,t]]+Table1423[[#This Row],[GHGWPS-soil-N2O,i,t]])</f>
        <v>-8258.6514576804657</v>
      </c>
      <c r="AR138" t="e" cm="1">
        <f t="array" ref="AR138">INDEX(#REF!, MATCH(1, (Table1423[[#This Row],[year t]]=Table32[[#All],[year t]])*(Table1423[[#This Row],[stratum i]]=Table32[[#All],[stratum i]]), 0))</f>
        <v>#REF!</v>
      </c>
      <c r="AS138" t="e" cm="1">
        <f t="array" ref="AS138">INDEX(#REF!, MATCH(1, (Table1423[[#This Row],[year t]]=Table32[[#All],[year t]])*(Table1423[[#This Row],[stratum i]]=Table32[[#All],[stratum i]]), 0))</f>
        <v>#REF!</v>
      </c>
      <c r="AT138" t="e" cm="1">
        <f t="array" ref="AT138">INDEX(#REF!, MATCH(1, (Table1423[[#This Row],[year t]]=Table32[[#All],[year t]])*(Table1423[[#This Row],[stratum i]]=Table32[[#All],[stratum i]]), 0))</f>
        <v>#REF!</v>
      </c>
      <c r="AU138" t="e" cm="1">
        <f t="array" ref="AU138">INDEX(#REF!, MATCH(1, (Table1423[[#This Row],[year t]]=Table32[[#All],[year t]])*(Table1423[[#This Row],[stratum i]]=Table32[[#All],[stratum i]]), 0))</f>
        <v>#REF!</v>
      </c>
      <c r="AV138" s="30"/>
      <c r="BB138" s="18">
        <v>2041</v>
      </c>
      <c r="BC138">
        <v>4</v>
      </c>
      <c r="BD138" cm="1">
        <f t="array" ref="BD138">INDEX(Table32[[#All],[∆CWPS-soil,i,t (tC/ha)]], MATCH(1, (Table1329[[#This Row],[year t]]=Table32[[#All],[year t]])*(Table1329[[#This Row],[stratum i]]=Table32[[#All],[stratum i]]), 0))</f>
        <v>2.4</v>
      </c>
      <c r="BE138">
        <f>-44/12*Table1329[[#This Row],[∆CWPS-soil,i,t (tC/ha)]]</f>
        <v>-8.7999999999999989</v>
      </c>
    </row>
    <row r="139" spans="11:57" x14ac:dyDescent="0.2">
      <c r="K139" s="18">
        <v>2042</v>
      </c>
      <c r="L139">
        <v>4</v>
      </c>
      <c r="M139" cm="1">
        <f t="array" ref="M139">IF(project_aboveground_tree = "Included", INDEX(Table32[[#All],[ΔCTREE_PROJ,i,t (AR Tool 14) t C/yr]], MATCH(1, (Table1221[[#This Row],[year t]]=Table32[[#All],[year t]])*(Table1221[[#This Row],[stratum i]]=Table32[[#All],[stratum i]]), 0)), 0)</f>
        <v>16469.8917018551</v>
      </c>
      <c r="N139" s="57" cm="1">
        <f t="array" ref="N139">IF(project_aboveground_nontree = "Included", INDEX(#REF!, MATCH(1, (Table1221[[#This Row],[year t]]=Table32[[#All],[year t]])*(Table1221[[#This Row],[stratum i]]=Table32[[#All],[stratum i]]), 0)), 0)</f>
        <v>0</v>
      </c>
      <c r="O139">
        <f>12/44*(Table1221[[#This Row],[ΔCTREE_PROJ,t (AR Tool 14) t CO2e/yr]]+Table1221[[#This Row],[ΔCSHRUB_PROJ,t (AR Tool 14) t CO2e/yr]])</f>
        <v>4491.7886459604815</v>
      </c>
      <c r="P139" cm="1">
        <f t="array" ref="P139">IF(project_aboveground_nontree = "Included", IFERROR(INDEX(Table1322[[#All],[ΔCWPS-herb,i,t (Eq 78)]], MATCH(1, (Table1221[[#This Row],[stratum i]]=Table1322[[#All],[stratum i]])*(Table1221[[#This Row],[year t]]&gt;=#REF!)*(Table1221[[#This Row],[year t]]&lt;=Table1322[[#All],[year t]]), 0)), 0), 0)</f>
        <v>0</v>
      </c>
      <c r="Q139">
        <f>Table1221[[#This Row],[ΔCWPS-tree/shrub,i,t (t C/yr) (Eq 75)]]+Table1221[[#This Row],[ΔCWPS-herb,i,t (t C/yr)]]</f>
        <v>4491.7886459604815</v>
      </c>
      <c r="R139" cm="1">
        <f t="array" ref="R139">INDEX(Table1423[[#All],[GHGWPS-soil,i,t]], MATCH(1, (Table1221[[#This Row],[year t]]=Table1423[[#All],[year t]])*(Table1221[[#This Row],[stratum i]]=Table1423[[#All],[stratum i]]), 0))</f>
        <v>-8258.6514576804657</v>
      </c>
      <c r="S139">
        <f>IF(project_ff_CO2 = "Included", Table1221[[#This Row],[ET(FC,I,t) AR-Tool 5 WPS]], 0)</f>
        <v>0</v>
      </c>
      <c r="T139" t="e" cm="1">
        <f t="array" ref="T139">INDEX(#REF!, MATCH(1, (Table1221[[#This Row],[year t]]=Table32[[#All],[year t]])*(Table1221[[#This Row],[stratum i]]=Table32[[#All],[stratum i]]), 0))</f>
        <v>#REF!</v>
      </c>
      <c r="AE139" s="18">
        <v>2042</v>
      </c>
      <c r="AF139">
        <v>4</v>
      </c>
      <c r="AG139" s="18" cm="1">
        <f t="array" ref="AG139">INDEX(Table32[[#All],[Ai,t]], MATCH(1, (Table1423[[#This Row],[year t]]=Table32[[#All],[year t]])*(Table1423[[#This Row],[stratum i]]=Table32[[#All],[stratum i]]), 0))</f>
        <v>1227.7635314285715</v>
      </c>
      <c r="AH139" t="str">
        <f>INDEX(Table31[[#All],[Soil type (t=0)]], MATCH(Table1423[[#This Row],[stratum i]], Table31[[#All],[Stratum i]]))</f>
        <v>Mineral soil</v>
      </c>
      <c r="AI139">
        <f>IF(Emission_reduction_from_stock_loss?, INDEX(Table2[[#All],[End_PDT]], MATCH(Table1423[[#This Row],[stratum i]], Table2[[#All],[stratum i]])), crediting_period)</f>
        <v>40</v>
      </c>
      <c r="AJ139">
        <f>IF(Emission_reduction_from_stock_loss?, INDEX(Table2[[#All],[End_SDT]], MATCH(Table1423[[#This Row],[stratum i]], Table2[[#All],[stratum i]])), crediting_period)</f>
        <v>40</v>
      </c>
      <c r="AK139" cm="1">
        <f t="array" ref="AK13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39" s="30" cm="1">
        <f t="array" ref="AL139">INDEX(Table32[[#All],[%Calloch WPS]], MATCH(1, (Table1423[[#This Row],[year t]]=Table32[[#All],[year t]])*(Table1423[[#This Row],[stratum i]]=Table32[[#All],[stratum i]]), 0))</f>
        <v>23.561573856247001</v>
      </c>
      <c r="AM13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39">
        <f>(Table1423[[#This Row],[GHGWPS-soil-CO2,i,t]]-Table1423[[#This Row],[Deductionalloch WPS (Eq 38)]])*Table1423[[#This Row],[Ai,t]]</f>
        <v>-8258.6514576804657</v>
      </c>
      <c r="AO139" cm="1">
        <f t="array" ref="AO139">IF(project_soil_CH4 = "Included", INDEX(Table1830[[#All],[GHGWPS-soil-CH4,i,t (Eq 59)]], MATCH(1, (Table1423[[#This Row],[year t]]=Table1830[[#All],[year t]])*(Table1423[[#This Row],[stratum i]]=Table1830[[#All],[stratum i]]), 0)), 0)</f>
        <v>0</v>
      </c>
      <c r="AP139" cm="1">
        <f t="array" ref="AP139">IF(project_soil_N2O = "Included", INDEX(Table1830[[#All],[GHGWPS-soil-N2O,i,t (Eq 62)]], MATCH(1, (Table1423[[#This Row],[year t]]=Table1830[[#All],[year t]])*(Table1423[[#This Row],[stratum i]]=Table1830[[#All],[stratum i]]), 0)), 0)</f>
        <v>0</v>
      </c>
      <c r="AQ139">
        <f>Table1423[[#This Row],[Ai,t]]*(Table1423[[#This Row],[GHGWPS-soil-CO2,i,t]]-Table1423[[#This Row],[Deductionalloch WPS (Eq 38)]]+Table1423[[#This Row],[GHGWPS-soil-CH4,i,t]]+Table1423[[#This Row],[GHGWPS-soil-N2O,i,t]])</f>
        <v>-8258.6514576804657</v>
      </c>
      <c r="AR139" t="e" cm="1">
        <f t="array" ref="AR139">INDEX(#REF!, MATCH(1, (Table1423[[#This Row],[year t]]=Table32[[#All],[year t]])*(Table1423[[#This Row],[stratum i]]=Table32[[#All],[stratum i]]), 0))</f>
        <v>#REF!</v>
      </c>
      <c r="AS139" t="e" cm="1">
        <f t="array" ref="AS139">INDEX(#REF!, MATCH(1, (Table1423[[#This Row],[year t]]=Table32[[#All],[year t]])*(Table1423[[#This Row],[stratum i]]=Table32[[#All],[stratum i]]), 0))</f>
        <v>#REF!</v>
      </c>
      <c r="AT139" t="e" cm="1">
        <f t="array" ref="AT139">INDEX(#REF!, MATCH(1, (Table1423[[#This Row],[year t]]=Table32[[#All],[year t]])*(Table1423[[#This Row],[stratum i]]=Table32[[#All],[stratum i]]), 0))</f>
        <v>#REF!</v>
      </c>
      <c r="AU139" t="e" cm="1">
        <f t="array" ref="AU139">INDEX(#REF!, MATCH(1, (Table1423[[#This Row],[year t]]=Table32[[#All],[year t]])*(Table1423[[#This Row],[stratum i]]=Table32[[#All],[stratum i]]), 0))</f>
        <v>#REF!</v>
      </c>
      <c r="AV139" s="30"/>
      <c r="BB139" s="18">
        <v>2042</v>
      </c>
      <c r="BC139">
        <v>4</v>
      </c>
      <c r="BD139" cm="1">
        <f t="array" ref="BD139">INDEX(Table32[[#All],[∆CWPS-soil,i,t (tC/ha)]], MATCH(1, (Table1329[[#This Row],[year t]]=Table32[[#All],[year t]])*(Table1329[[#This Row],[stratum i]]=Table32[[#All],[stratum i]]), 0))</f>
        <v>2.4</v>
      </c>
      <c r="BE139">
        <f>-44/12*Table1329[[#This Row],[∆CWPS-soil,i,t (tC/ha)]]</f>
        <v>-8.7999999999999989</v>
      </c>
    </row>
    <row r="140" spans="11:57" x14ac:dyDescent="0.2">
      <c r="K140" s="18">
        <v>2043</v>
      </c>
      <c r="L140">
        <v>4</v>
      </c>
      <c r="M140" cm="1">
        <f t="array" ref="M140">IF(project_aboveground_tree = "Included", INDEX(Table32[[#All],[ΔCTREE_PROJ,i,t (AR Tool 14) t C/yr]], MATCH(1, (Table1221[[#This Row],[year t]]=Table32[[#All],[year t]])*(Table1221[[#This Row],[stratum i]]=Table32[[#All],[stratum i]]), 0)), 0)</f>
        <v>17423.110859569148</v>
      </c>
      <c r="N140" s="57" cm="1">
        <f t="array" ref="N140">IF(project_aboveground_nontree = "Included", INDEX(#REF!, MATCH(1, (Table1221[[#This Row],[year t]]=Table32[[#All],[year t]])*(Table1221[[#This Row],[stratum i]]=Table32[[#All],[stratum i]]), 0)), 0)</f>
        <v>0</v>
      </c>
      <c r="O140">
        <f>12/44*(Table1221[[#This Row],[ΔCTREE_PROJ,t (AR Tool 14) t CO2e/yr]]+Table1221[[#This Row],[ΔCSHRUB_PROJ,t (AR Tool 14) t CO2e/yr]])</f>
        <v>4751.7575071552219</v>
      </c>
      <c r="P140" cm="1">
        <f t="array" ref="P140">IF(project_aboveground_nontree = "Included", IFERROR(INDEX(Table1322[[#All],[ΔCWPS-herb,i,t (Eq 78)]], MATCH(1, (Table1221[[#This Row],[stratum i]]=Table1322[[#All],[stratum i]])*(Table1221[[#This Row],[year t]]&gt;=#REF!)*(Table1221[[#This Row],[year t]]&lt;=Table1322[[#All],[year t]]), 0)), 0), 0)</f>
        <v>0</v>
      </c>
      <c r="Q140">
        <f>Table1221[[#This Row],[ΔCWPS-tree/shrub,i,t (t C/yr) (Eq 75)]]+Table1221[[#This Row],[ΔCWPS-herb,i,t (t C/yr)]]</f>
        <v>4751.7575071552219</v>
      </c>
      <c r="R140" cm="1">
        <f t="array" ref="R140">INDEX(Table1423[[#All],[GHGWPS-soil,i,t]], MATCH(1, (Table1221[[#This Row],[year t]]=Table1423[[#All],[year t]])*(Table1221[[#This Row],[stratum i]]=Table1423[[#All],[stratum i]]), 0))</f>
        <v>-8258.6514576804657</v>
      </c>
      <c r="S140">
        <f>IF(project_ff_CO2 = "Included", Table1221[[#This Row],[ET(FC,I,t) AR-Tool 5 WPS]], 0)</f>
        <v>0</v>
      </c>
      <c r="T140" t="e" cm="1">
        <f t="array" ref="T140">INDEX(#REF!, MATCH(1, (Table1221[[#This Row],[year t]]=Table32[[#All],[year t]])*(Table1221[[#This Row],[stratum i]]=Table32[[#All],[stratum i]]), 0))</f>
        <v>#REF!</v>
      </c>
      <c r="AE140" s="18">
        <v>2043</v>
      </c>
      <c r="AF140">
        <v>4</v>
      </c>
      <c r="AG140" s="18" cm="1">
        <f t="array" ref="AG140">INDEX(Table32[[#All],[Ai,t]], MATCH(1, (Table1423[[#This Row],[year t]]=Table32[[#All],[year t]])*(Table1423[[#This Row],[stratum i]]=Table32[[#All],[stratum i]]), 0))</f>
        <v>1227.7635314285715</v>
      </c>
      <c r="AH140" t="str">
        <f>INDEX(Table31[[#All],[Soil type (t=0)]], MATCH(Table1423[[#This Row],[stratum i]], Table31[[#All],[Stratum i]]))</f>
        <v>Mineral soil</v>
      </c>
      <c r="AI140">
        <f>IF(Emission_reduction_from_stock_loss?, INDEX(Table2[[#All],[End_PDT]], MATCH(Table1423[[#This Row],[stratum i]], Table2[[#All],[stratum i]])), crediting_period)</f>
        <v>40</v>
      </c>
      <c r="AJ140">
        <f>IF(Emission_reduction_from_stock_loss?, INDEX(Table2[[#All],[End_SDT]], MATCH(Table1423[[#This Row],[stratum i]], Table2[[#All],[stratum i]])), crediting_period)</f>
        <v>40</v>
      </c>
      <c r="AK140" cm="1">
        <f t="array" ref="AK14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0" s="30" cm="1">
        <f t="array" ref="AL140">INDEX(Table32[[#All],[%Calloch WPS]], MATCH(1, (Table1423[[#This Row],[year t]]=Table32[[#All],[year t]])*(Table1423[[#This Row],[stratum i]]=Table32[[#All],[stratum i]]), 0))</f>
        <v>23.561573856247001</v>
      </c>
      <c r="AM14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0">
        <f>(Table1423[[#This Row],[GHGWPS-soil-CO2,i,t]]-Table1423[[#This Row],[Deductionalloch WPS (Eq 38)]])*Table1423[[#This Row],[Ai,t]]</f>
        <v>-8258.6514576804657</v>
      </c>
      <c r="AO140" cm="1">
        <f t="array" ref="AO140">IF(project_soil_CH4 = "Included", INDEX(Table1830[[#All],[GHGWPS-soil-CH4,i,t (Eq 59)]], MATCH(1, (Table1423[[#This Row],[year t]]=Table1830[[#All],[year t]])*(Table1423[[#This Row],[stratum i]]=Table1830[[#All],[stratum i]]), 0)), 0)</f>
        <v>0</v>
      </c>
      <c r="AP140" cm="1">
        <f t="array" ref="AP140">IF(project_soil_N2O = "Included", INDEX(Table1830[[#All],[GHGWPS-soil-N2O,i,t (Eq 62)]], MATCH(1, (Table1423[[#This Row],[year t]]=Table1830[[#All],[year t]])*(Table1423[[#This Row],[stratum i]]=Table1830[[#All],[stratum i]]), 0)), 0)</f>
        <v>0</v>
      </c>
      <c r="AQ140">
        <f>Table1423[[#This Row],[Ai,t]]*(Table1423[[#This Row],[GHGWPS-soil-CO2,i,t]]-Table1423[[#This Row],[Deductionalloch WPS (Eq 38)]]+Table1423[[#This Row],[GHGWPS-soil-CH4,i,t]]+Table1423[[#This Row],[GHGWPS-soil-N2O,i,t]])</f>
        <v>-8258.6514576804657</v>
      </c>
      <c r="AR140" t="e" cm="1">
        <f t="array" ref="AR140">INDEX(#REF!, MATCH(1, (Table1423[[#This Row],[year t]]=Table32[[#All],[year t]])*(Table1423[[#This Row],[stratum i]]=Table32[[#All],[stratum i]]), 0))</f>
        <v>#REF!</v>
      </c>
      <c r="AS140" t="e" cm="1">
        <f t="array" ref="AS140">INDEX(#REF!, MATCH(1, (Table1423[[#This Row],[year t]]=Table32[[#All],[year t]])*(Table1423[[#This Row],[stratum i]]=Table32[[#All],[stratum i]]), 0))</f>
        <v>#REF!</v>
      </c>
      <c r="AT140" t="e" cm="1">
        <f t="array" ref="AT140">INDEX(#REF!, MATCH(1, (Table1423[[#This Row],[year t]]=Table32[[#All],[year t]])*(Table1423[[#This Row],[stratum i]]=Table32[[#All],[stratum i]]), 0))</f>
        <v>#REF!</v>
      </c>
      <c r="AU140" t="e" cm="1">
        <f t="array" ref="AU140">INDEX(#REF!, MATCH(1, (Table1423[[#This Row],[year t]]=Table32[[#All],[year t]])*(Table1423[[#This Row],[stratum i]]=Table32[[#All],[stratum i]]), 0))</f>
        <v>#REF!</v>
      </c>
      <c r="AV140" s="30"/>
      <c r="BB140" s="18">
        <v>2043</v>
      </c>
      <c r="BC140">
        <v>4</v>
      </c>
      <c r="BD140" cm="1">
        <f t="array" ref="BD140">INDEX(Table32[[#All],[∆CWPS-soil,i,t (tC/ha)]], MATCH(1, (Table1329[[#This Row],[year t]]=Table32[[#All],[year t]])*(Table1329[[#This Row],[stratum i]]=Table32[[#All],[stratum i]]), 0))</f>
        <v>2.4</v>
      </c>
      <c r="BE140">
        <f>-44/12*Table1329[[#This Row],[∆CWPS-soil,i,t (tC/ha)]]</f>
        <v>-8.7999999999999989</v>
      </c>
    </row>
    <row r="141" spans="11:57" x14ac:dyDescent="0.2">
      <c r="K141" s="18">
        <v>2044</v>
      </c>
      <c r="L141">
        <v>4</v>
      </c>
      <c r="M141" cm="1">
        <f t="array" ref="M141">IF(project_aboveground_tree = "Included", INDEX(Table32[[#All],[ΔCTREE_PROJ,i,t (AR Tool 14) t C/yr]], MATCH(1, (Table1221[[#This Row],[year t]]=Table32[[#All],[year t]])*(Table1221[[#This Row],[stratum i]]=Table32[[#All],[stratum i]]), 0)), 0)</f>
        <v>18049.597459962577</v>
      </c>
      <c r="N141" s="57" cm="1">
        <f t="array" ref="N141">IF(project_aboveground_nontree = "Included", INDEX(#REF!, MATCH(1, (Table1221[[#This Row],[year t]]=Table32[[#All],[year t]])*(Table1221[[#This Row],[stratum i]]=Table32[[#All],[stratum i]]), 0)), 0)</f>
        <v>0</v>
      </c>
      <c r="O141">
        <f>12/44*(Table1221[[#This Row],[ΔCTREE_PROJ,t (AR Tool 14) t CO2e/yr]]+Table1221[[#This Row],[ΔCSHRUB_PROJ,t (AR Tool 14) t CO2e/yr]])</f>
        <v>4922.6174890807024</v>
      </c>
      <c r="P141" cm="1">
        <f t="array" ref="P141">IF(project_aboveground_nontree = "Included", IFERROR(INDEX(Table1322[[#All],[ΔCWPS-herb,i,t (Eq 78)]], MATCH(1, (Table1221[[#This Row],[stratum i]]=Table1322[[#All],[stratum i]])*(Table1221[[#This Row],[year t]]&gt;=#REF!)*(Table1221[[#This Row],[year t]]&lt;=Table1322[[#All],[year t]]), 0)), 0), 0)</f>
        <v>0</v>
      </c>
      <c r="Q141">
        <f>Table1221[[#This Row],[ΔCWPS-tree/shrub,i,t (t C/yr) (Eq 75)]]+Table1221[[#This Row],[ΔCWPS-herb,i,t (t C/yr)]]</f>
        <v>4922.6174890807024</v>
      </c>
      <c r="R141" cm="1">
        <f t="array" ref="R141">INDEX(Table1423[[#All],[GHGWPS-soil,i,t]], MATCH(1, (Table1221[[#This Row],[year t]]=Table1423[[#All],[year t]])*(Table1221[[#This Row],[stratum i]]=Table1423[[#All],[stratum i]]), 0))</f>
        <v>-8258.6514576804657</v>
      </c>
      <c r="S141">
        <f>IF(project_ff_CO2 = "Included", Table1221[[#This Row],[ET(FC,I,t) AR-Tool 5 WPS]], 0)</f>
        <v>0</v>
      </c>
      <c r="T141" t="e" cm="1">
        <f t="array" ref="T141">INDEX(#REF!, MATCH(1, (Table1221[[#This Row],[year t]]=Table32[[#All],[year t]])*(Table1221[[#This Row],[stratum i]]=Table32[[#All],[stratum i]]), 0))</f>
        <v>#REF!</v>
      </c>
      <c r="AE141" s="18">
        <v>2044</v>
      </c>
      <c r="AF141">
        <v>4</v>
      </c>
      <c r="AG141" s="18" cm="1">
        <f t="array" ref="AG141">INDEX(Table32[[#All],[Ai,t]], MATCH(1, (Table1423[[#This Row],[year t]]=Table32[[#All],[year t]])*(Table1423[[#This Row],[stratum i]]=Table32[[#All],[stratum i]]), 0))</f>
        <v>1227.7635314285715</v>
      </c>
      <c r="AH141" t="str">
        <f>INDEX(Table31[[#All],[Soil type (t=0)]], MATCH(Table1423[[#This Row],[stratum i]], Table31[[#All],[Stratum i]]))</f>
        <v>Mineral soil</v>
      </c>
      <c r="AI141">
        <f>IF(Emission_reduction_from_stock_loss?, INDEX(Table2[[#All],[End_PDT]], MATCH(Table1423[[#This Row],[stratum i]], Table2[[#All],[stratum i]])), crediting_period)</f>
        <v>40</v>
      </c>
      <c r="AJ141">
        <f>IF(Emission_reduction_from_stock_loss?, INDEX(Table2[[#All],[End_SDT]], MATCH(Table1423[[#This Row],[stratum i]], Table2[[#All],[stratum i]])), crediting_period)</f>
        <v>40</v>
      </c>
      <c r="AK141" cm="1">
        <f t="array" ref="AK14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1" s="30" cm="1">
        <f t="array" ref="AL141">INDEX(Table32[[#All],[%Calloch WPS]], MATCH(1, (Table1423[[#This Row],[year t]]=Table32[[#All],[year t]])*(Table1423[[#This Row],[stratum i]]=Table32[[#All],[stratum i]]), 0))</f>
        <v>23.561573856247001</v>
      </c>
      <c r="AM14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1">
        <f>(Table1423[[#This Row],[GHGWPS-soil-CO2,i,t]]-Table1423[[#This Row],[Deductionalloch WPS (Eq 38)]])*Table1423[[#This Row],[Ai,t]]</f>
        <v>-8258.6514576804657</v>
      </c>
      <c r="AO141" cm="1">
        <f t="array" ref="AO141">IF(project_soil_CH4 = "Included", INDEX(Table1830[[#All],[GHGWPS-soil-CH4,i,t (Eq 59)]], MATCH(1, (Table1423[[#This Row],[year t]]=Table1830[[#All],[year t]])*(Table1423[[#This Row],[stratum i]]=Table1830[[#All],[stratum i]]), 0)), 0)</f>
        <v>0</v>
      </c>
      <c r="AP141" cm="1">
        <f t="array" ref="AP141">IF(project_soil_N2O = "Included", INDEX(Table1830[[#All],[GHGWPS-soil-N2O,i,t (Eq 62)]], MATCH(1, (Table1423[[#This Row],[year t]]=Table1830[[#All],[year t]])*(Table1423[[#This Row],[stratum i]]=Table1830[[#All],[stratum i]]), 0)), 0)</f>
        <v>0</v>
      </c>
      <c r="AQ141">
        <f>Table1423[[#This Row],[Ai,t]]*(Table1423[[#This Row],[GHGWPS-soil-CO2,i,t]]-Table1423[[#This Row],[Deductionalloch WPS (Eq 38)]]+Table1423[[#This Row],[GHGWPS-soil-CH4,i,t]]+Table1423[[#This Row],[GHGWPS-soil-N2O,i,t]])</f>
        <v>-8258.6514576804657</v>
      </c>
      <c r="AR141" t="e" cm="1">
        <f t="array" ref="AR141">INDEX(#REF!, MATCH(1, (Table1423[[#This Row],[year t]]=Table32[[#All],[year t]])*(Table1423[[#This Row],[stratum i]]=Table32[[#All],[stratum i]]), 0))</f>
        <v>#REF!</v>
      </c>
      <c r="AS141" t="e" cm="1">
        <f t="array" ref="AS141">INDEX(#REF!, MATCH(1, (Table1423[[#This Row],[year t]]=Table32[[#All],[year t]])*(Table1423[[#This Row],[stratum i]]=Table32[[#All],[stratum i]]), 0))</f>
        <v>#REF!</v>
      </c>
      <c r="AT141" t="e" cm="1">
        <f t="array" ref="AT141">INDEX(#REF!, MATCH(1, (Table1423[[#This Row],[year t]]=Table32[[#All],[year t]])*(Table1423[[#This Row],[stratum i]]=Table32[[#All],[stratum i]]), 0))</f>
        <v>#REF!</v>
      </c>
      <c r="AU141" t="e" cm="1">
        <f t="array" ref="AU141">INDEX(#REF!, MATCH(1, (Table1423[[#This Row],[year t]]=Table32[[#All],[year t]])*(Table1423[[#This Row],[stratum i]]=Table32[[#All],[stratum i]]), 0))</f>
        <v>#REF!</v>
      </c>
      <c r="AV141" s="30"/>
      <c r="BB141" s="18">
        <v>2044</v>
      </c>
      <c r="BC141">
        <v>4</v>
      </c>
      <c r="BD141" cm="1">
        <f t="array" ref="BD141">INDEX(Table32[[#All],[∆CWPS-soil,i,t (tC/ha)]], MATCH(1, (Table1329[[#This Row],[year t]]=Table32[[#All],[year t]])*(Table1329[[#This Row],[stratum i]]=Table32[[#All],[stratum i]]), 0))</f>
        <v>2.4</v>
      </c>
      <c r="BE141">
        <f>-44/12*Table1329[[#This Row],[∆CWPS-soil,i,t (tC/ha)]]</f>
        <v>-8.7999999999999989</v>
      </c>
    </row>
    <row r="142" spans="11:57" x14ac:dyDescent="0.2">
      <c r="K142" s="18">
        <v>2045</v>
      </c>
      <c r="L142">
        <v>4</v>
      </c>
      <c r="M142" cm="1">
        <f t="array" ref="M142">IF(project_aboveground_tree = "Included", INDEX(Table32[[#All],[ΔCTREE_PROJ,i,t (AR Tool 14) t C/yr]], MATCH(1, (Table1221[[#This Row],[year t]]=Table32[[#All],[year t]])*(Table1221[[#This Row],[stratum i]]=Table32[[#All],[stratum i]]), 0)), 0)</f>
        <v>18362.629129823457</v>
      </c>
      <c r="N142" s="57" cm="1">
        <f t="array" ref="N142">IF(project_aboveground_nontree = "Included", INDEX(#REF!, MATCH(1, (Table1221[[#This Row],[year t]]=Table32[[#All],[year t]])*(Table1221[[#This Row],[stratum i]]=Table32[[#All],[stratum i]]), 0)), 0)</f>
        <v>0</v>
      </c>
      <c r="O142">
        <f>12/44*(Table1221[[#This Row],[ΔCTREE_PROJ,t (AR Tool 14) t CO2e/yr]]+Table1221[[#This Row],[ΔCSHRUB_PROJ,t (AR Tool 14) t CO2e/yr]])</f>
        <v>5007.9897626791244</v>
      </c>
      <c r="P142" cm="1">
        <f t="array" ref="P142">IF(project_aboveground_nontree = "Included", IFERROR(INDEX(Table1322[[#All],[ΔCWPS-herb,i,t (Eq 78)]], MATCH(1, (Table1221[[#This Row],[stratum i]]=Table1322[[#All],[stratum i]])*(Table1221[[#This Row],[year t]]&gt;=#REF!)*(Table1221[[#This Row],[year t]]&lt;=Table1322[[#All],[year t]]), 0)), 0), 0)</f>
        <v>0</v>
      </c>
      <c r="Q142">
        <f>Table1221[[#This Row],[ΔCWPS-tree/shrub,i,t (t C/yr) (Eq 75)]]+Table1221[[#This Row],[ΔCWPS-herb,i,t (t C/yr)]]</f>
        <v>5007.9897626791244</v>
      </c>
      <c r="R142" cm="1">
        <f t="array" ref="R142">INDEX(Table1423[[#All],[GHGWPS-soil,i,t]], MATCH(1, (Table1221[[#This Row],[year t]]=Table1423[[#All],[year t]])*(Table1221[[#This Row],[stratum i]]=Table1423[[#All],[stratum i]]), 0))</f>
        <v>-8258.6514576804657</v>
      </c>
      <c r="S142">
        <f>IF(project_ff_CO2 = "Included", Table1221[[#This Row],[ET(FC,I,t) AR-Tool 5 WPS]], 0)</f>
        <v>0</v>
      </c>
      <c r="T142" t="e" cm="1">
        <f t="array" ref="T142">INDEX(#REF!, MATCH(1, (Table1221[[#This Row],[year t]]=Table32[[#All],[year t]])*(Table1221[[#This Row],[stratum i]]=Table32[[#All],[stratum i]]), 0))</f>
        <v>#REF!</v>
      </c>
      <c r="AE142" s="18">
        <v>2045</v>
      </c>
      <c r="AF142">
        <v>4</v>
      </c>
      <c r="AG142" s="18" cm="1">
        <f t="array" ref="AG142">INDEX(Table32[[#All],[Ai,t]], MATCH(1, (Table1423[[#This Row],[year t]]=Table32[[#All],[year t]])*(Table1423[[#This Row],[stratum i]]=Table32[[#All],[stratum i]]), 0))</f>
        <v>1227.7635314285715</v>
      </c>
      <c r="AH142" t="str">
        <f>INDEX(Table31[[#All],[Soil type (t=0)]], MATCH(Table1423[[#This Row],[stratum i]], Table31[[#All],[Stratum i]]))</f>
        <v>Mineral soil</v>
      </c>
      <c r="AI142">
        <f>IF(Emission_reduction_from_stock_loss?, INDEX(Table2[[#All],[End_PDT]], MATCH(Table1423[[#This Row],[stratum i]], Table2[[#All],[stratum i]])), crediting_period)</f>
        <v>40</v>
      </c>
      <c r="AJ142">
        <f>IF(Emission_reduction_from_stock_loss?, INDEX(Table2[[#All],[End_SDT]], MATCH(Table1423[[#This Row],[stratum i]], Table2[[#All],[stratum i]])), crediting_period)</f>
        <v>40</v>
      </c>
      <c r="AK142" cm="1">
        <f t="array" ref="AK14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2" s="30" cm="1">
        <f t="array" ref="AL142">INDEX(Table32[[#All],[%Calloch WPS]], MATCH(1, (Table1423[[#This Row],[year t]]=Table32[[#All],[year t]])*(Table1423[[#This Row],[stratum i]]=Table32[[#All],[stratum i]]), 0))</f>
        <v>23.561573856247001</v>
      </c>
      <c r="AM14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2">
        <f>(Table1423[[#This Row],[GHGWPS-soil-CO2,i,t]]-Table1423[[#This Row],[Deductionalloch WPS (Eq 38)]])*Table1423[[#This Row],[Ai,t]]</f>
        <v>-8258.6514576804657</v>
      </c>
      <c r="AO142" cm="1">
        <f t="array" ref="AO142">IF(project_soil_CH4 = "Included", INDEX(Table1830[[#All],[GHGWPS-soil-CH4,i,t (Eq 59)]], MATCH(1, (Table1423[[#This Row],[year t]]=Table1830[[#All],[year t]])*(Table1423[[#This Row],[stratum i]]=Table1830[[#All],[stratum i]]), 0)), 0)</f>
        <v>0</v>
      </c>
      <c r="AP142" cm="1">
        <f t="array" ref="AP142">IF(project_soil_N2O = "Included", INDEX(Table1830[[#All],[GHGWPS-soil-N2O,i,t (Eq 62)]], MATCH(1, (Table1423[[#This Row],[year t]]=Table1830[[#All],[year t]])*(Table1423[[#This Row],[stratum i]]=Table1830[[#All],[stratum i]]), 0)), 0)</f>
        <v>0</v>
      </c>
      <c r="AQ142">
        <f>Table1423[[#This Row],[Ai,t]]*(Table1423[[#This Row],[GHGWPS-soil-CO2,i,t]]-Table1423[[#This Row],[Deductionalloch WPS (Eq 38)]]+Table1423[[#This Row],[GHGWPS-soil-CH4,i,t]]+Table1423[[#This Row],[GHGWPS-soil-N2O,i,t]])</f>
        <v>-8258.6514576804657</v>
      </c>
      <c r="AR142" t="e" cm="1">
        <f t="array" ref="AR142">INDEX(#REF!, MATCH(1, (Table1423[[#This Row],[year t]]=Table32[[#All],[year t]])*(Table1423[[#This Row],[stratum i]]=Table32[[#All],[stratum i]]), 0))</f>
        <v>#REF!</v>
      </c>
      <c r="AS142" t="e" cm="1">
        <f t="array" ref="AS142">INDEX(#REF!, MATCH(1, (Table1423[[#This Row],[year t]]=Table32[[#All],[year t]])*(Table1423[[#This Row],[stratum i]]=Table32[[#All],[stratum i]]), 0))</f>
        <v>#REF!</v>
      </c>
      <c r="AT142" t="e" cm="1">
        <f t="array" ref="AT142">INDEX(#REF!, MATCH(1, (Table1423[[#This Row],[year t]]=Table32[[#All],[year t]])*(Table1423[[#This Row],[stratum i]]=Table32[[#All],[stratum i]]), 0))</f>
        <v>#REF!</v>
      </c>
      <c r="AU142" t="e" cm="1">
        <f t="array" ref="AU142">INDEX(#REF!, MATCH(1, (Table1423[[#This Row],[year t]]=Table32[[#All],[year t]])*(Table1423[[#This Row],[stratum i]]=Table32[[#All],[stratum i]]), 0))</f>
        <v>#REF!</v>
      </c>
      <c r="AV142" s="30"/>
      <c r="BB142" s="18">
        <v>2045</v>
      </c>
      <c r="BC142">
        <v>4</v>
      </c>
      <c r="BD142" cm="1">
        <f t="array" ref="BD142">INDEX(Table32[[#All],[∆CWPS-soil,i,t (tC/ha)]], MATCH(1, (Table1329[[#This Row],[year t]]=Table32[[#All],[year t]])*(Table1329[[#This Row],[stratum i]]=Table32[[#All],[stratum i]]), 0))</f>
        <v>2.4</v>
      </c>
      <c r="BE142">
        <f>-44/12*Table1329[[#This Row],[∆CWPS-soil,i,t (tC/ha)]]</f>
        <v>-8.7999999999999989</v>
      </c>
    </row>
    <row r="143" spans="11:57" x14ac:dyDescent="0.2">
      <c r="K143" s="18">
        <v>2046</v>
      </c>
      <c r="L143">
        <v>4</v>
      </c>
      <c r="M143" cm="1">
        <f t="array" ref="M143">IF(project_aboveground_tree = "Included", INDEX(Table32[[#All],[ΔCTREE_PROJ,i,t (AR Tool 14) t C/yr]], MATCH(1, (Table1221[[#This Row],[year t]]=Table32[[#All],[year t]])*(Table1221[[#This Row],[stratum i]]=Table32[[#All],[stratum i]]), 0)), 0)</f>
        <v>18389.051175072964</v>
      </c>
      <c r="N143" s="57" cm="1">
        <f t="array" ref="N143">IF(project_aboveground_nontree = "Included", INDEX(#REF!, MATCH(1, (Table1221[[#This Row],[year t]]=Table32[[#All],[year t]])*(Table1221[[#This Row],[stratum i]]=Table32[[#All],[stratum i]]), 0)), 0)</f>
        <v>0</v>
      </c>
      <c r="O143">
        <f>12/44*(Table1221[[#This Row],[ΔCTREE_PROJ,t (AR Tool 14) t CO2e/yr]]+Table1221[[#This Row],[ΔCSHRUB_PROJ,t (AR Tool 14) t CO2e/yr]])</f>
        <v>5015.195775019899</v>
      </c>
      <c r="P143" cm="1">
        <f t="array" ref="P143">IF(project_aboveground_nontree = "Included", IFERROR(INDEX(Table1322[[#All],[ΔCWPS-herb,i,t (Eq 78)]], MATCH(1, (Table1221[[#This Row],[stratum i]]=Table1322[[#All],[stratum i]])*(Table1221[[#This Row],[year t]]&gt;=#REF!)*(Table1221[[#This Row],[year t]]&lt;=Table1322[[#All],[year t]]), 0)), 0), 0)</f>
        <v>0</v>
      </c>
      <c r="Q143">
        <f>Table1221[[#This Row],[ΔCWPS-tree/shrub,i,t (t C/yr) (Eq 75)]]+Table1221[[#This Row],[ΔCWPS-herb,i,t (t C/yr)]]</f>
        <v>5015.195775019899</v>
      </c>
      <c r="R143" cm="1">
        <f t="array" ref="R143">INDEX(Table1423[[#All],[GHGWPS-soil,i,t]], MATCH(1, (Table1221[[#This Row],[year t]]=Table1423[[#All],[year t]])*(Table1221[[#This Row],[stratum i]]=Table1423[[#All],[stratum i]]), 0))</f>
        <v>-8258.6514576804657</v>
      </c>
      <c r="S143">
        <f>IF(project_ff_CO2 = "Included", Table1221[[#This Row],[ET(FC,I,t) AR-Tool 5 WPS]], 0)</f>
        <v>0</v>
      </c>
      <c r="T143" t="e" cm="1">
        <f t="array" ref="T143">INDEX(#REF!, MATCH(1, (Table1221[[#This Row],[year t]]=Table32[[#All],[year t]])*(Table1221[[#This Row],[stratum i]]=Table32[[#All],[stratum i]]), 0))</f>
        <v>#REF!</v>
      </c>
      <c r="AE143" s="18">
        <v>2046</v>
      </c>
      <c r="AF143">
        <v>4</v>
      </c>
      <c r="AG143" s="18" cm="1">
        <f t="array" ref="AG143">INDEX(Table32[[#All],[Ai,t]], MATCH(1, (Table1423[[#This Row],[year t]]=Table32[[#All],[year t]])*(Table1423[[#This Row],[stratum i]]=Table32[[#All],[stratum i]]), 0))</f>
        <v>1227.7635314285715</v>
      </c>
      <c r="AH143" t="str">
        <f>INDEX(Table31[[#All],[Soil type (t=0)]], MATCH(Table1423[[#This Row],[stratum i]], Table31[[#All],[Stratum i]]))</f>
        <v>Mineral soil</v>
      </c>
      <c r="AI143">
        <f>IF(Emission_reduction_from_stock_loss?, INDEX(Table2[[#All],[End_PDT]], MATCH(Table1423[[#This Row],[stratum i]], Table2[[#All],[stratum i]])), crediting_period)</f>
        <v>40</v>
      </c>
      <c r="AJ143">
        <f>IF(Emission_reduction_from_stock_loss?, INDEX(Table2[[#All],[End_SDT]], MATCH(Table1423[[#This Row],[stratum i]], Table2[[#All],[stratum i]])), crediting_period)</f>
        <v>40</v>
      </c>
      <c r="AK143" cm="1">
        <f t="array" ref="AK14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3" s="30" cm="1">
        <f t="array" ref="AL143">INDEX(Table32[[#All],[%Calloch WPS]], MATCH(1, (Table1423[[#This Row],[year t]]=Table32[[#All],[year t]])*(Table1423[[#This Row],[stratum i]]=Table32[[#All],[stratum i]]), 0))</f>
        <v>23.561573856247001</v>
      </c>
      <c r="AM14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3">
        <f>(Table1423[[#This Row],[GHGWPS-soil-CO2,i,t]]-Table1423[[#This Row],[Deductionalloch WPS (Eq 38)]])*Table1423[[#This Row],[Ai,t]]</f>
        <v>-8258.6514576804657</v>
      </c>
      <c r="AO143" cm="1">
        <f t="array" ref="AO143">IF(project_soil_CH4 = "Included", INDEX(Table1830[[#All],[GHGWPS-soil-CH4,i,t (Eq 59)]], MATCH(1, (Table1423[[#This Row],[year t]]=Table1830[[#All],[year t]])*(Table1423[[#This Row],[stratum i]]=Table1830[[#All],[stratum i]]), 0)), 0)</f>
        <v>0</v>
      </c>
      <c r="AP143" cm="1">
        <f t="array" ref="AP143">IF(project_soil_N2O = "Included", INDEX(Table1830[[#All],[GHGWPS-soil-N2O,i,t (Eq 62)]], MATCH(1, (Table1423[[#This Row],[year t]]=Table1830[[#All],[year t]])*(Table1423[[#This Row],[stratum i]]=Table1830[[#All],[stratum i]]), 0)), 0)</f>
        <v>0</v>
      </c>
      <c r="AQ143">
        <f>Table1423[[#This Row],[Ai,t]]*(Table1423[[#This Row],[GHGWPS-soil-CO2,i,t]]-Table1423[[#This Row],[Deductionalloch WPS (Eq 38)]]+Table1423[[#This Row],[GHGWPS-soil-CH4,i,t]]+Table1423[[#This Row],[GHGWPS-soil-N2O,i,t]])</f>
        <v>-8258.6514576804657</v>
      </c>
      <c r="AR143" t="e" cm="1">
        <f t="array" ref="AR143">INDEX(#REF!, MATCH(1, (Table1423[[#This Row],[year t]]=Table32[[#All],[year t]])*(Table1423[[#This Row],[stratum i]]=Table32[[#All],[stratum i]]), 0))</f>
        <v>#REF!</v>
      </c>
      <c r="AS143" t="e" cm="1">
        <f t="array" ref="AS143">INDEX(#REF!, MATCH(1, (Table1423[[#This Row],[year t]]=Table32[[#All],[year t]])*(Table1423[[#This Row],[stratum i]]=Table32[[#All],[stratum i]]), 0))</f>
        <v>#REF!</v>
      </c>
      <c r="AT143" t="e" cm="1">
        <f t="array" ref="AT143">INDEX(#REF!, MATCH(1, (Table1423[[#This Row],[year t]]=Table32[[#All],[year t]])*(Table1423[[#This Row],[stratum i]]=Table32[[#All],[stratum i]]), 0))</f>
        <v>#REF!</v>
      </c>
      <c r="AU143" t="e" cm="1">
        <f t="array" ref="AU143">INDEX(#REF!, MATCH(1, (Table1423[[#This Row],[year t]]=Table32[[#All],[year t]])*(Table1423[[#This Row],[stratum i]]=Table32[[#All],[stratum i]]), 0))</f>
        <v>#REF!</v>
      </c>
      <c r="AV143" s="30"/>
      <c r="BB143" s="18">
        <v>2046</v>
      </c>
      <c r="BC143">
        <v>4</v>
      </c>
      <c r="BD143" cm="1">
        <f t="array" ref="BD143">INDEX(Table32[[#All],[∆CWPS-soil,i,t (tC/ha)]], MATCH(1, (Table1329[[#This Row],[year t]]=Table32[[#All],[year t]])*(Table1329[[#This Row],[stratum i]]=Table32[[#All],[stratum i]]), 0))</f>
        <v>2.4</v>
      </c>
      <c r="BE143">
        <f>-44/12*Table1329[[#This Row],[∆CWPS-soil,i,t (tC/ha)]]</f>
        <v>-8.7999999999999989</v>
      </c>
    </row>
    <row r="144" spans="11:57" x14ac:dyDescent="0.2">
      <c r="K144" s="18">
        <v>2047</v>
      </c>
      <c r="L144">
        <v>4</v>
      </c>
      <c r="M144" cm="1">
        <f t="array" ref="M144">IF(project_aboveground_tree = "Included", INDEX(Table32[[#All],[ΔCTREE_PROJ,i,t (AR Tool 14) t C/yr]], MATCH(1, (Table1221[[#This Row],[year t]]=Table32[[#All],[year t]])*(Table1221[[#This Row],[stratum i]]=Table32[[#All],[stratum i]]), 0)), 0)</f>
        <v>18164.328584555566</v>
      </c>
      <c r="N144" s="57" cm="1">
        <f t="array" ref="N144">IF(project_aboveground_nontree = "Included", INDEX(#REF!, MATCH(1, (Table1221[[#This Row],[year t]]=Table32[[#All],[year t]])*(Table1221[[#This Row],[stratum i]]=Table32[[#All],[stratum i]]), 0)), 0)</f>
        <v>0</v>
      </c>
      <c r="O144">
        <f>12/44*(Table1221[[#This Row],[ΔCTREE_PROJ,t (AR Tool 14) t CO2e/yr]]+Table1221[[#This Row],[ΔCSHRUB_PROJ,t (AR Tool 14) t CO2e/yr]])</f>
        <v>4953.9077957878808</v>
      </c>
      <c r="P144" cm="1">
        <f t="array" ref="P144">IF(project_aboveground_nontree = "Included", IFERROR(INDEX(Table1322[[#All],[ΔCWPS-herb,i,t (Eq 78)]], MATCH(1, (Table1221[[#This Row],[stratum i]]=Table1322[[#All],[stratum i]])*(Table1221[[#This Row],[year t]]&gt;=#REF!)*(Table1221[[#This Row],[year t]]&lt;=Table1322[[#All],[year t]]), 0)), 0), 0)</f>
        <v>0</v>
      </c>
      <c r="Q144">
        <f>Table1221[[#This Row],[ΔCWPS-tree/shrub,i,t (t C/yr) (Eq 75)]]+Table1221[[#This Row],[ΔCWPS-herb,i,t (t C/yr)]]</f>
        <v>4953.9077957878808</v>
      </c>
      <c r="R144" cm="1">
        <f t="array" ref="R144">INDEX(Table1423[[#All],[GHGWPS-soil,i,t]], MATCH(1, (Table1221[[#This Row],[year t]]=Table1423[[#All],[year t]])*(Table1221[[#This Row],[stratum i]]=Table1423[[#All],[stratum i]]), 0))</f>
        <v>-8258.6514576804657</v>
      </c>
      <c r="S144">
        <f>IF(project_ff_CO2 = "Included", Table1221[[#This Row],[ET(FC,I,t) AR-Tool 5 WPS]], 0)</f>
        <v>0</v>
      </c>
      <c r="T144" t="e" cm="1">
        <f t="array" ref="T144">INDEX(#REF!, MATCH(1, (Table1221[[#This Row],[year t]]=Table32[[#All],[year t]])*(Table1221[[#This Row],[stratum i]]=Table32[[#All],[stratum i]]), 0))</f>
        <v>#REF!</v>
      </c>
      <c r="AE144" s="18">
        <v>2047</v>
      </c>
      <c r="AF144">
        <v>4</v>
      </c>
      <c r="AG144" s="18" cm="1">
        <f t="array" ref="AG144">INDEX(Table32[[#All],[Ai,t]], MATCH(1, (Table1423[[#This Row],[year t]]=Table32[[#All],[year t]])*(Table1423[[#This Row],[stratum i]]=Table32[[#All],[stratum i]]), 0))</f>
        <v>1227.7635314285715</v>
      </c>
      <c r="AH144" t="str">
        <f>INDEX(Table31[[#All],[Soil type (t=0)]], MATCH(Table1423[[#This Row],[stratum i]], Table31[[#All],[Stratum i]]))</f>
        <v>Mineral soil</v>
      </c>
      <c r="AI144">
        <f>IF(Emission_reduction_from_stock_loss?, INDEX(Table2[[#All],[End_PDT]], MATCH(Table1423[[#This Row],[stratum i]], Table2[[#All],[stratum i]])), crediting_period)</f>
        <v>40</v>
      </c>
      <c r="AJ144">
        <f>IF(Emission_reduction_from_stock_loss?, INDEX(Table2[[#All],[End_SDT]], MATCH(Table1423[[#This Row],[stratum i]], Table2[[#All],[stratum i]])), crediting_period)</f>
        <v>40</v>
      </c>
      <c r="AK144" cm="1">
        <f t="array" ref="AK14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4" s="30" cm="1">
        <f t="array" ref="AL144">INDEX(Table32[[#All],[%Calloch WPS]], MATCH(1, (Table1423[[#This Row],[year t]]=Table32[[#All],[year t]])*(Table1423[[#This Row],[stratum i]]=Table32[[#All],[stratum i]]), 0))</f>
        <v>23.561573856247001</v>
      </c>
      <c r="AM14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4">
        <f>(Table1423[[#This Row],[GHGWPS-soil-CO2,i,t]]-Table1423[[#This Row],[Deductionalloch WPS (Eq 38)]])*Table1423[[#This Row],[Ai,t]]</f>
        <v>-8258.6514576804657</v>
      </c>
      <c r="AO144" cm="1">
        <f t="array" ref="AO144">IF(project_soil_CH4 = "Included", INDEX(Table1830[[#All],[GHGWPS-soil-CH4,i,t (Eq 59)]], MATCH(1, (Table1423[[#This Row],[year t]]=Table1830[[#All],[year t]])*(Table1423[[#This Row],[stratum i]]=Table1830[[#All],[stratum i]]), 0)), 0)</f>
        <v>0</v>
      </c>
      <c r="AP144" cm="1">
        <f t="array" ref="AP144">IF(project_soil_N2O = "Included", INDEX(Table1830[[#All],[GHGWPS-soil-N2O,i,t (Eq 62)]], MATCH(1, (Table1423[[#This Row],[year t]]=Table1830[[#All],[year t]])*(Table1423[[#This Row],[stratum i]]=Table1830[[#All],[stratum i]]), 0)), 0)</f>
        <v>0</v>
      </c>
      <c r="AQ144">
        <f>Table1423[[#This Row],[Ai,t]]*(Table1423[[#This Row],[GHGWPS-soil-CO2,i,t]]-Table1423[[#This Row],[Deductionalloch WPS (Eq 38)]]+Table1423[[#This Row],[GHGWPS-soil-CH4,i,t]]+Table1423[[#This Row],[GHGWPS-soil-N2O,i,t]])</f>
        <v>-8258.6514576804657</v>
      </c>
      <c r="AR144" t="e" cm="1">
        <f t="array" ref="AR144">INDEX(#REF!, MATCH(1, (Table1423[[#This Row],[year t]]=Table32[[#All],[year t]])*(Table1423[[#This Row],[stratum i]]=Table32[[#All],[stratum i]]), 0))</f>
        <v>#REF!</v>
      </c>
      <c r="AS144" t="e" cm="1">
        <f t="array" ref="AS144">INDEX(#REF!, MATCH(1, (Table1423[[#This Row],[year t]]=Table32[[#All],[year t]])*(Table1423[[#This Row],[stratum i]]=Table32[[#All],[stratum i]]), 0))</f>
        <v>#REF!</v>
      </c>
      <c r="AT144" t="e" cm="1">
        <f t="array" ref="AT144">INDEX(#REF!, MATCH(1, (Table1423[[#This Row],[year t]]=Table32[[#All],[year t]])*(Table1423[[#This Row],[stratum i]]=Table32[[#All],[stratum i]]), 0))</f>
        <v>#REF!</v>
      </c>
      <c r="AU144" t="e" cm="1">
        <f t="array" ref="AU144">INDEX(#REF!, MATCH(1, (Table1423[[#This Row],[year t]]=Table32[[#All],[year t]])*(Table1423[[#This Row],[stratum i]]=Table32[[#All],[stratum i]]), 0))</f>
        <v>#REF!</v>
      </c>
      <c r="AV144" s="30"/>
      <c r="BB144" s="18">
        <v>2047</v>
      </c>
      <c r="BC144">
        <v>4</v>
      </c>
      <c r="BD144" cm="1">
        <f t="array" ref="BD144">INDEX(Table32[[#All],[∆CWPS-soil,i,t (tC/ha)]], MATCH(1, (Table1329[[#This Row],[year t]]=Table32[[#All],[year t]])*(Table1329[[#This Row],[stratum i]]=Table32[[#All],[stratum i]]), 0))</f>
        <v>2.4</v>
      </c>
      <c r="BE144">
        <f>-44/12*Table1329[[#This Row],[∆CWPS-soil,i,t (tC/ha)]]</f>
        <v>-8.7999999999999989</v>
      </c>
    </row>
    <row r="145" spans="11:57" x14ac:dyDescent="0.2">
      <c r="K145" s="18">
        <v>2048</v>
      </c>
      <c r="L145">
        <v>4</v>
      </c>
      <c r="M145" cm="1">
        <f t="array" ref="M145">IF(project_aboveground_tree = "Included", INDEX(Table32[[#All],[ΔCTREE_PROJ,i,t (AR Tool 14) t C/yr]], MATCH(1, (Table1221[[#This Row],[year t]]=Table32[[#All],[year t]])*(Table1221[[#This Row],[stratum i]]=Table32[[#All],[stratum i]]), 0)), 0)</f>
        <v>17728.29246281393</v>
      </c>
      <c r="N145" s="57" cm="1">
        <f t="array" ref="N145">IF(project_aboveground_nontree = "Included", INDEX(#REF!, MATCH(1, (Table1221[[#This Row],[year t]]=Table32[[#All],[year t]])*(Table1221[[#This Row],[stratum i]]=Table32[[#All],[stratum i]]), 0)), 0)</f>
        <v>0</v>
      </c>
      <c r="O145">
        <f>12/44*(Table1221[[#This Row],[ΔCTREE_PROJ,t (AR Tool 14) t CO2e/yr]]+Table1221[[#This Row],[ΔCSHRUB_PROJ,t (AR Tool 14) t CO2e/yr]])</f>
        <v>4834.9888534947077</v>
      </c>
      <c r="P145" cm="1">
        <f t="array" ref="P145">IF(project_aboveground_nontree = "Included", IFERROR(INDEX(Table1322[[#All],[ΔCWPS-herb,i,t (Eq 78)]], MATCH(1, (Table1221[[#This Row],[stratum i]]=Table1322[[#All],[stratum i]])*(Table1221[[#This Row],[year t]]&gt;=#REF!)*(Table1221[[#This Row],[year t]]&lt;=Table1322[[#All],[year t]]), 0)), 0), 0)</f>
        <v>0</v>
      </c>
      <c r="Q145">
        <f>Table1221[[#This Row],[ΔCWPS-tree/shrub,i,t (t C/yr) (Eq 75)]]+Table1221[[#This Row],[ΔCWPS-herb,i,t (t C/yr)]]</f>
        <v>4834.9888534947077</v>
      </c>
      <c r="R145" cm="1">
        <f t="array" ref="R145">INDEX(Table1423[[#All],[GHGWPS-soil,i,t]], MATCH(1, (Table1221[[#This Row],[year t]]=Table1423[[#All],[year t]])*(Table1221[[#This Row],[stratum i]]=Table1423[[#All],[stratum i]]), 0))</f>
        <v>-8258.6514576804657</v>
      </c>
      <c r="S145">
        <f>IF(project_ff_CO2 = "Included", Table1221[[#This Row],[ET(FC,I,t) AR-Tool 5 WPS]], 0)</f>
        <v>0</v>
      </c>
      <c r="T145" t="e" cm="1">
        <f t="array" ref="T145">INDEX(#REF!, MATCH(1, (Table1221[[#This Row],[year t]]=Table32[[#All],[year t]])*(Table1221[[#This Row],[stratum i]]=Table32[[#All],[stratum i]]), 0))</f>
        <v>#REF!</v>
      </c>
      <c r="AE145" s="18">
        <v>2048</v>
      </c>
      <c r="AF145">
        <v>4</v>
      </c>
      <c r="AG145" s="18" cm="1">
        <f t="array" ref="AG145">INDEX(Table32[[#All],[Ai,t]], MATCH(1, (Table1423[[#This Row],[year t]]=Table32[[#All],[year t]])*(Table1423[[#This Row],[stratum i]]=Table32[[#All],[stratum i]]), 0))</f>
        <v>1227.7635314285715</v>
      </c>
      <c r="AH145" t="str">
        <f>INDEX(Table31[[#All],[Soil type (t=0)]], MATCH(Table1423[[#This Row],[stratum i]], Table31[[#All],[Stratum i]]))</f>
        <v>Mineral soil</v>
      </c>
      <c r="AI145">
        <f>IF(Emission_reduction_from_stock_loss?, INDEX(Table2[[#All],[End_PDT]], MATCH(Table1423[[#This Row],[stratum i]], Table2[[#All],[stratum i]])), crediting_period)</f>
        <v>40</v>
      </c>
      <c r="AJ145">
        <f>IF(Emission_reduction_from_stock_loss?, INDEX(Table2[[#All],[End_SDT]], MATCH(Table1423[[#This Row],[stratum i]], Table2[[#All],[stratum i]])), crediting_period)</f>
        <v>40</v>
      </c>
      <c r="AK145" cm="1">
        <f t="array" ref="AK14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5" s="30" cm="1">
        <f t="array" ref="AL145">INDEX(Table32[[#All],[%Calloch WPS]], MATCH(1, (Table1423[[#This Row],[year t]]=Table32[[#All],[year t]])*(Table1423[[#This Row],[stratum i]]=Table32[[#All],[stratum i]]), 0))</f>
        <v>23.561573856247001</v>
      </c>
      <c r="AM14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5">
        <f>(Table1423[[#This Row],[GHGWPS-soil-CO2,i,t]]-Table1423[[#This Row],[Deductionalloch WPS (Eq 38)]])*Table1423[[#This Row],[Ai,t]]</f>
        <v>-8258.6514576804657</v>
      </c>
      <c r="AO145" cm="1">
        <f t="array" ref="AO145">IF(project_soil_CH4 = "Included", INDEX(Table1830[[#All],[GHGWPS-soil-CH4,i,t (Eq 59)]], MATCH(1, (Table1423[[#This Row],[year t]]=Table1830[[#All],[year t]])*(Table1423[[#This Row],[stratum i]]=Table1830[[#All],[stratum i]]), 0)), 0)</f>
        <v>0</v>
      </c>
      <c r="AP145" cm="1">
        <f t="array" ref="AP145">IF(project_soil_N2O = "Included", INDEX(Table1830[[#All],[GHGWPS-soil-N2O,i,t (Eq 62)]], MATCH(1, (Table1423[[#This Row],[year t]]=Table1830[[#All],[year t]])*(Table1423[[#This Row],[stratum i]]=Table1830[[#All],[stratum i]]), 0)), 0)</f>
        <v>0</v>
      </c>
      <c r="AQ145">
        <f>Table1423[[#This Row],[Ai,t]]*(Table1423[[#This Row],[GHGWPS-soil-CO2,i,t]]-Table1423[[#This Row],[Deductionalloch WPS (Eq 38)]]+Table1423[[#This Row],[GHGWPS-soil-CH4,i,t]]+Table1423[[#This Row],[GHGWPS-soil-N2O,i,t]])</f>
        <v>-8258.6514576804657</v>
      </c>
      <c r="AR145" t="e" cm="1">
        <f t="array" ref="AR145">INDEX(#REF!, MATCH(1, (Table1423[[#This Row],[year t]]=Table32[[#All],[year t]])*(Table1423[[#This Row],[stratum i]]=Table32[[#All],[stratum i]]), 0))</f>
        <v>#REF!</v>
      </c>
      <c r="AS145" t="e" cm="1">
        <f t="array" ref="AS145">INDEX(#REF!, MATCH(1, (Table1423[[#This Row],[year t]]=Table32[[#All],[year t]])*(Table1423[[#This Row],[stratum i]]=Table32[[#All],[stratum i]]), 0))</f>
        <v>#REF!</v>
      </c>
      <c r="AT145" t="e" cm="1">
        <f t="array" ref="AT145">INDEX(#REF!, MATCH(1, (Table1423[[#This Row],[year t]]=Table32[[#All],[year t]])*(Table1423[[#This Row],[stratum i]]=Table32[[#All],[stratum i]]), 0))</f>
        <v>#REF!</v>
      </c>
      <c r="AU145" t="e" cm="1">
        <f t="array" ref="AU145">INDEX(#REF!, MATCH(1, (Table1423[[#This Row],[year t]]=Table32[[#All],[year t]])*(Table1423[[#This Row],[stratum i]]=Table32[[#All],[stratum i]]), 0))</f>
        <v>#REF!</v>
      </c>
      <c r="AV145" s="30"/>
      <c r="BB145" s="18">
        <v>2048</v>
      </c>
      <c r="BC145">
        <v>4</v>
      </c>
      <c r="BD145" cm="1">
        <f t="array" ref="BD145">INDEX(Table32[[#All],[∆CWPS-soil,i,t (tC/ha)]], MATCH(1, (Table1329[[#This Row],[year t]]=Table32[[#All],[year t]])*(Table1329[[#This Row],[stratum i]]=Table32[[#All],[stratum i]]), 0))</f>
        <v>2.4</v>
      </c>
      <c r="BE145">
        <f>-44/12*Table1329[[#This Row],[∆CWPS-soil,i,t (tC/ha)]]</f>
        <v>-8.7999999999999989</v>
      </c>
    </row>
    <row r="146" spans="11:57" x14ac:dyDescent="0.2">
      <c r="K146" s="18">
        <v>2049</v>
      </c>
      <c r="L146">
        <v>4</v>
      </c>
      <c r="M146" cm="1">
        <f t="array" ref="M146">IF(project_aboveground_tree = "Included", INDEX(Table32[[#All],[ΔCTREE_PROJ,i,t (AR Tool 14) t C/yr]], MATCH(1, (Table1221[[#This Row],[year t]]=Table32[[#All],[year t]])*(Table1221[[#This Row],[stratum i]]=Table32[[#All],[stratum i]]), 0)), 0)</f>
        <v>17121.769341844105</v>
      </c>
      <c r="N146" s="57" cm="1">
        <f t="array" ref="N146">IF(project_aboveground_nontree = "Included", INDEX(#REF!, MATCH(1, (Table1221[[#This Row],[year t]]=Table32[[#All],[year t]])*(Table1221[[#This Row],[stratum i]]=Table32[[#All],[stratum i]]), 0)), 0)</f>
        <v>0</v>
      </c>
      <c r="O146">
        <f>12/44*(Table1221[[#This Row],[ΔCTREE_PROJ,t (AR Tool 14) t CO2e/yr]]+Table1221[[#This Row],[ΔCSHRUB_PROJ,t (AR Tool 14) t CO2e/yr]])</f>
        <v>4669.5734568665739</v>
      </c>
      <c r="P146" cm="1">
        <f t="array" ref="P146">IF(project_aboveground_nontree = "Included", IFERROR(INDEX(Table1322[[#All],[ΔCWPS-herb,i,t (Eq 78)]], MATCH(1, (Table1221[[#This Row],[stratum i]]=Table1322[[#All],[stratum i]])*(Table1221[[#This Row],[year t]]&gt;=#REF!)*(Table1221[[#This Row],[year t]]&lt;=Table1322[[#All],[year t]]), 0)), 0), 0)</f>
        <v>0</v>
      </c>
      <c r="Q146">
        <f>Table1221[[#This Row],[ΔCWPS-tree/shrub,i,t (t C/yr) (Eq 75)]]+Table1221[[#This Row],[ΔCWPS-herb,i,t (t C/yr)]]</f>
        <v>4669.5734568665739</v>
      </c>
      <c r="R146" cm="1">
        <f t="array" ref="R146">INDEX(Table1423[[#All],[GHGWPS-soil,i,t]], MATCH(1, (Table1221[[#This Row],[year t]]=Table1423[[#All],[year t]])*(Table1221[[#This Row],[stratum i]]=Table1423[[#All],[stratum i]]), 0))</f>
        <v>-8258.6514576804657</v>
      </c>
      <c r="S146">
        <f>IF(project_ff_CO2 = "Included", Table1221[[#This Row],[ET(FC,I,t) AR-Tool 5 WPS]], 0)</f>
        <v>0</v>
      </c>
      <c r="T146" t="e" cm="1">
        <f t="array" ref="T146">INDEX(#REF!, MATCH(1, (Table1221[[#This Row],[year t]]=Table32[[#All],[year t]])*(Table1221[[#This Row],[stratum i]]=Table32[[#All],[stratum i]]), 0))</f>
        <v>#REF!</v>
      </c>
      <c r="AE146" s="18">
        <v>2049</v>
      </c>
      <c r="AF146">
        <v>4</v>
      </c>
      <c r="AG146" s="18" cm="1">
        <f t="array" ref="AG146">INDEX(Table32[[#All],[Ai,t]], MATCH(1, (Table1423[[#This Row],[year t]]=Table32[[#All],[year t]])*(Table1423[[#This Row],[stratum i]]=Table32[[#All],[stratum i]]), 0))</f>
        <v>1227.7635314285715</v>
      </c>
      <c r="AH146" t="str">
        <f>INDEX(Table31[[#All],[Soil type (t=0)]], MATCH(Table1423[[#This Row],[stratum i]], Table31[[#All],[Stratum i]]))</f>
        <v>Mineral soil</v>
      </c>
      <c r="AI146">
        <f>IF(Emission_reduction_from_stock_loss?, INDEX(Table2[[#All],[End_PDT]], MATCH(Table1423[[#This Row],[stratum i]], Table2[[#All],[stratum i]])), crediting_period)</f>
        <v>40</v>
      </c>
      <c r="AJ146">
        <f>IF(Emission_reduction_from_stock_loss?, INDEX(Table2[[#All],[End_SDT]], MATCH(Table1423[[#This Row],[stratum i]], Table2[[#All],[stratum i]])), crediting_period)</f>
        <v>40</v>
      </c>
      <c r="AK146" cm="1">
        <f t="array" ref="AK14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6" s="30" cm="1">
        <f t="array" ref="AL146">INDEX(Table32[[#All],[%Calloch WPS]], MATCH(1, (Table1423[[#This Row],[year t]]=Table32[[#All],[year t]])*(Table1423[[#This Row],[stratum i]]=Table32[[#All],[stratum i]]), 0))</f>
        <v>23.561573856247001</v>
      </c>
      <c r="AM14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6">
        <f>(Table1423[[#This Row],[GHGWPS-soil-CO2,i,t]]-Table1423[[#This Row],[Deductionalloch WPS (Eq 38)]])*Table1423[[#This Row],[Ai,t]]</f>
        <v>-8258.6514576804657</v>
      </c>
      <c r="AO146" cm="1">
        <f t="array" ref="AO146">IF(project_soil_CH4 = "Included", INDEX(Table1830[[#All],[GHGWPS-soil-CH4,i,t (Eq 59)]], MATCH(1, (Table1423[[#This Row],[year t]]=Table1830[[#All],[year t]])*(Table1423[[#This Row],[stratum i]]=Table1830[[#All],[stratum i]]), 0)), 0)</f>
        <v>0</v>
      </c>
      <c r="AP146" cm="1">
        <f t="array" ref="AP146">IF(project_soil_N2O = "Included", INDEX(Table1830[[#All],[GHGWPS-soil-N2O,i,t (Eq 62)]], MATCH(1, (Table1423[[#This Row],[year t]]=Table1830[[#All],[year t]])*(Table1423[[#This Row],[stratum i]]=Table1830[[#All],[stratum i]]), 0)), 0)</f>
        <v>0</v>
      </c>
      <c r="AQ146">
        <f>Table1423[[#This Row],[Ai,t]]*(Table1423[[#This Row],[GHGWPS-soil-CO2,i,t]]-Table1423[[#This Row],[Deductionalloch WPS (Eq 38)]]+Table1423[[#This Row],[GHGWPS-soil-CH4,i,t]]+Table1423[[#This Row],[GHGWPS-soil-N2O,i,t]])</f>
        <v>-8258.6514576804657</v>
      </c>
      <c r="AR146" t="e" cm="1">
        <f t="array" ref="AR146">INDEX(#REF!, MATCH(1, (Table1423[[#This Row],[year t]]=Table32[[#All],[year t]])*(Table1423[[#This Row],[stratum i]]=Table32[[#All],[stratum i]]), 0))</f>
        <v>#REF!</v>
      </c>
      <c r="AS146" t="e" cm="1">
        <f t="array" ref="AS146">INDEX(#REF!, MATCH(1, (Table1423[[#This Row],[year t]]=Table32[[#All],[year t]])*(Table1423[[#This Row],[stratum i]]=Table32[[#All],[stratum i]]), 0))</f>
        <v>#REF!</v>
      </c>
      <c r="AT146" t="e" cm="1">
        <f t="array" ref="AT146">INDEX(#REF!, MATCH(1, (Table1423[[#This Row],[year t]]=Table32[[#All],[year t]])*(Table1423[[#This Row],[stratum i]]=Table32[[#All],[stratum i]]), 0))</f>
        <v>#REF!</v>
      </c>
      <c r="AU146" t="e" cm="1">
        <f t="array" ref="AU146">INDEX(#REF!, MATCH(1, (Table1423[[#This Row],[year t]]=Table32[[#All],[year t]])*(Table1423[[#This Row],[stratum i]]=Table32[[#All],[stratum i]]), 0))</f>
        <v>#REF!</v>
      </c>
      <c r="AV146" s="30"/>
      <c r="BB146" s="18">
        <v>2049</v>
      </c>
      <c r="BC146">
        <v>4</v>
      </c>
      <c r="BD146" cm="1">
        <f t="array" ref="BD146">INDEX(Table32[[#All],[∆CWPS-soil,i,t (tC/ha)]], MATCH(1, (Table1329[[#This Row],[year t]]=Table32[[#All],[year t]])*(Table1329[[#This Row],[stratum i]]=Table32[[#All],[stratum i]]), 0))</f>
        <v>2.4</v>
      </c>
      <c r="BE146">
        <f>-44/12*Table1329[[#This Row],[∆CWPS-soil,i,t (tC/ha)]]</f>
        <v>-8.7999999999999989</v>
      </c>
    </row>
    <row r="147" spans="11:57" x14ac:dyDescent="0.2">
      <c r="K147" s="18">
        <v>2050</v>
      </c>
      <c r="L147">
        <v>4</v>
      </c>
      <c r="M147" cm="1">
        <f t="array" ref="M147">IF(project_aboveground_tree = "Included", INDEX(Table32[[#All],[ΔCTREE_PROJ,i,t (AR Tool 14) t C/yr]], MATCH(1, (Table1221[[#This Row],[year t]]=Table32[[#All],[year t]])*(Table1221[[#This Row],[stratum i]]=Table32[[#All],[stratum i]]), 0)), 0)</f>
        <v>16384.111362542055</v>
      </c>
      <c r="N147" s="57" cm="1">
        <f t="array" ref="N147">IF(project_aboveground_nontree = "Included", INDEX(#REF!, MATCH(1, (Table1221[[#This Row],[year t]]=Table32[[#All],[year t]])*(Table1221[[#This Row],[stratum i]]=Table32[[#All],[stratum i]]), 0)), 0)</f>
        <v>0</v>
      </c>
      <c r="O147">
        <f>12/44*(Table1221[[#This Row],[ΔCTREE_PROJ,t (AR Tool 14) t CO2e/yr]]+Table1221[[#This Row],[ΔCSHRUB_PROJ,t (AR Tool 14) t CO2e/yr]])</f>
        <v>4468.3940079660142</v>
      </c>
      <c r="P147" cm="1">
        <f t="array" ref="P147">IF(project_aboveground_nontree = "Included", IFERROR(INDEX(Table1322[[#All],[ΔCWPS-herb,i,t (Eq 78)]], MATCH(1, (Table1221[[#This Row],[stratum i]]=Table1322[[#All],[stratum i]])*(Table1221[[#This Row],[year t]]&gt;=#REF!)*(Table1221[[#This Row],[year t]]&lt;=Table1322[[#All],[year t]]), 0)), 0), 0)</f>
        <v>0</v>
      </c>
      <c r="Q147">
        <f>Table1221[[#This Row],[ΔCWPS-tree/shrub,i,t (t C/yr) (Eq 75)]]+Table1221[[#This Row],[ΔCWPS-herb,i,t (t C/yr)]]</f>
        <v>4468.3940079660142</v>
      </c>
      <c r="R147" cm="1">
        <f t="array" ref="R147">INDEX(Table1423[[#All],[GHGWPS-soil,i,t]], MATCH(1, (Table1221[[#This Row],[year t]]=Table1423[[#All],[year t]])*(Table1221[[#This Row],[stratum i]]=Table1423[[#All],[stratum i]]), 0))</f>
        <v>-8258.6514576804657</v>
      </c>
      <c r="S147">
        <f>IF(project_ff_CO2 = "Included", Table1221[[#This Row],[ET(FC,I,t) AR-Tool 5 WPS]], 0)</f>
        <v>0</v>
      </c>
      <c r="T147" t="e" cm="1">
        <f t="array" ref="T147">INDEX(#REF!, MATCH(1, (Table1221[[#This Row],[year t]]=Table32[[#All],[year t]])*(Table1221[[#This Row],[stratum i]]=Table32[[#All],[stratum i]]), 0))</f>
        <v>#REF!</v>
      </c>
      <c r="AE147" s="18">
        <v>2050</v>
      </c>
      <c r="AF147">
        <v>4</v>
      </c>
      <c r="AG147" s="18" cm="1">
        <f t="array" ref="AG147">INDEX(Table32[[#All],[Ai,t]], MATCH(1, (Table1423[[#This Row],[year t]]=Table32[[#All],[year t]])*(Table1423[[#This Row],[stratum i]]=Table32[[#All],[stratum i]]), 0))</f>
        <v>1227.7635314285715</v>
      </c>
      <c r="AH147" t="str">
        <f>INDEX(Table31[[#All],[Soil type (t=0)]], MATCH(Table1423[[#This Row],[stratum i]], Table31[[#All],[Stratum i]]))</f>
        <v>Mineral soil</v>
      </c>
      <c r="AI147">
        <f>IF(Emission_reduction_from_stock_loss?, INDEX(Table2[[#All],[End_PDT]], MATCH(Table1423[[#This Row],[stratum i]], Table2[[#All],[stratum i]])), crediting_period)</f>
        <v>40</v>
      </c>
      <c r="AJ147">
        <f>IF(Emission_reduction_from_stock_loss?, INDEX(Table2[[#All],[End_SDT]], MATCH(Table1423[[#This Row],[stratum i]], Table2[[#All],[stratum i]])), crediting_period)</f>
        <v>40</v>
      </c>
      <c r="AK147" cm="1">
        <f t="array" ref="AK14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7" s="30" cm="1">
        <f t="array" ref="AL147">INDEX(Table32[[#All],[%Calloch WPS]], MATCH(1, (Table1423[[#This Row],[year t]]=Table32[[#All],[year t]])*(Table1423[[#This Row],[stratum i]]=Table32[[#All],[stratum i]]), 0))</f>
        <v>23.561573856247001</v>
      </c>
      <c r="AM14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7">
        <f>(Table1423[[#This Row],[GHGWPS-soil-CO2,i,t]]-Table1423[[#This Row],[Deductionalloch WPS (Eq 38)]])*Table1423[[#This Row],[Ai,t]]</f>
        <v>-8258.6514576804657</v>
      </c>
      <c r="AO147" cm="1">
        <f t="array" ref="AO147">IF(project_soil_CH4 = "Included", INDEX(Table1830[[#All],[GHGWPS-soil-CH4,i,t (Eq 59)]], MATCH(1, (Table1423[[#This Row],[year t]]=Table1830[[#All],[year t]])*(Table1423[[#This Row],[stratum i]]=Table1830[[#All],[stratum i]]), 0)), 0)</f>
        <v>0</v>
      </c>
      <c r="AP147" cm="1">
        <f t="array" ref="AP147">IF(project_soil_N2O = "Included", INDEX(Table1830[[#All],[GHGWPS-soil-N2O,i,t (Eq 62)]], MATCH(1, (Table1423[[#This Row],[year t]]=Table1830[[#All],[year t]])*(Table1423[[#This Row],[stratum i]]=Table1830[[#All],[stratum i]]), 0)), 0)</f>
        <v>0</v>
      </c>
      <c r="AQ147">
        <f>Table1423[[#This Row],[Ai,t]]*(Table1423[[#This Row],[GHGWPS-soil-CO2,i,t]]-Table1423[[#This Row],[Deductionalloch WPS (Eq 38)]]+Table1423[[#This Row],[GHGWPS-soil-CH4,i,t]]+Table1423[[#This Row],[GHGWPS-soil-N2O,i,t]])</f>
        <v>-8258.6514576804657</v>
      </c>
      <c r="AR147" t="e" cm="1">
        <f t="array" ref="AR147">INDEX(#REF!, MATCH(1, (Table1423[[#This Row],[year t]]=Table32[[#All],[year t]])*(Table1423[[#This Row],[stratum i]]=Table32[[#All],[stratum i]]), 0))</f>
        <v>#REF!</v>
      </c>
      <c r="AS147" t="e" cm="1">
        <f t="array" ref="AS147">INDEX(#REF!, MATCH(1, (Table1423[[#This Row],[year t]]=Table32[[#All],[year t]])*(Table1423[[#This Row],[stratum i]]=Table32[[#All],[stratum i]]), 0))</f>
        <v>#REF!</v>
      </c>
      <c r="AT147" t="e" cm="1">
        <f t="array" ref="AT147">INDEX(#REF!, MATCH(1, (Table1423[[#This Row],[year t]]=Table32[[#All],[year t]])*(Table1423[[#This Row],[stratum i]]=Table32[[#All],[stratum i]]), 0))</f>
        <v>#REF!</v>
      </c>
      <c r="AU147" t="e" cm="1">
        <f t="array" ref="AU147">INDEX(#REF!, MATCH(1, (Table1423[[#This Row],[year t]]=Table32[[#All],[year t]])*(Table1423[[#This Row],[stratum i]]=Table32[[#All],[stratum i]]), 0))</f>
        <v>#REF!</v>
      </c>
      <c r="AV147" s="30"/>
      <c r="BB147" s="18">
        <v>2050</v>
      </c>
      <c r="BC147">
        <v>4</v>
      </c>
      <c r="BD147" cm="1">
        <f t="array" ref="BD147">INDEX(Table32[[#All],[∆CWPS-soil,i,t (tC/ha)]], MATCH(1, (Table1329[[#This Row],[year t]]=Table32[[#All],[year t]])*(Table1329[[#This Row],[stratum i]]=Table32[[#All],[stratum i]]), 0))</f>
        <v>2.4</v>
      </c>
      <c r="BE147">
        <f>-44/12*Table1329[[#This Row],[∆CWPS-soil,i,t (tC/ha)]]</f>
        <v>-8.7999999999999989</v>
      </c>
    </row>
    <row r="148" spans="11:57" x14ac:dyDescent="0.2">
      <c r="K148" s="18">
        <v>2051</v>
      </c>
      <c r="L148">
        <v>4</v>
      </c>
      <c r="M148" cm="1">
        <f t="array" ref="M148">IF(project_aboveground_tree = "Included", INDEX(Table32[[#All],[ΔCTREE_PROJ,i,t (AR Tool 14) t C/yr]], MATCH(1, (Table1221[[#This Row],[year t]]=Table32[[#All],[year t]])*(Table1221[[#This Row],[stratum i]]=Table32[[#All],[stratum i]]), 0)), 0)</f>
        <v>15551.54251294327</v>
      </c>
      <c r="N148" s="57" cm="1">
        <f t="array" ref="N148">IF(project_aboveground_nontree = "Included", INDEX(#REF!, MATCH(1, (Table1221[[#This Row],[year t]]=Table32[[#All],[year t]])*(Table1221[[#This Row],[stratum i]]=Table32[[#All],[stratum i]]), 0)), 0)</f>
        <v>0</v>
      </c>
      <c r="O148">
        <f>12/44*(Table1221[[#This Row],[ΔCTREE_PROJ,t (AR Tool 14) t CO2e/yr]]+Table1221[[#This Row],[ΔCSHRUB_PROJ,t (AR Tool 14) t CO2e/yr]])</f>
        <v>4241.3297762572547</v>
      </c>
      <c r="P148" cm="1">
        <f t="array" ref="P148">IF(project_aboveground_nontree = "Included", IFERROR(INDEX(Table1322[[#All],[ΔCWPS-herb,i,t (Eq 78)]], MATCH(1, (Table1221[[#This Row],[stratum i]]=Table1322[[#All],[stratum i]])*(Table1221[[#This Row],[year t]]&gt;=#REF!)*(Table1221[[#This Row],[year t]]&lt;=Table1322[[#All],[year t]]), 0)), 0), 0)</f>
        <v>0</v>
      </c>
      <c r="Q148">
        <f>Table1221[[#This Row],[ΔCWPS-tree/shrub,i,t (t C/yr) (Eq 75)]]+Table1221[[#This Row],[ΔCWPS-herb,i,t (t C/yr)]]</f>
        <v>4241.3297762572547</v>
      </c>
      <c r="R148" cm="1">
        <f t="array" ref="R148">INDEX(Table1423[[#All],[GHGWPS-soil,i,t]], MATCH(1, (Table1221[[#This Row],[year t]]=Table1423[[#All],[year t]])*(Table1221[[#This Row],[stratum i]]=Table1423[[#All],[stratum i]]), 0))</f>
        <v>-8258.6514576804657</v>
      </c>
      <c r="S148">
        <f>IF(project_ff_CO2 = "Included", Table1221[[#This Row],[ET(FC,I,t) AR-Tool 5 WPS]], 0)</f>
        <v>0</v>
      </c>
      <c r="T148" t="e" cm="1">
        <f t="array" ref="T148">INDEX(#REF!, MATCH(1, (Table1221[[#This Row],[year t]]=Table32[[#All],[year t]])*(Table1221[[#This Row],[stratum i]]=Table32[[#All],[stratum i]]), 0))</f>
        <v>#REF!</v>
      </c>
      <c r="AE148" s="18">
        <v>2051</v>
      </c>
      <c r="AF148">
        <v>4</v>
      </c>
      <c r="AG148" s="18" cm="1">
        <f t="array" ref="AG148">INDEX(Table32[[#All],[Ai,t]], MATCH(1, (Table1423[[#This Row],[year t]]=Table32[[#All],[year t]])*(Table1423[[#This Row],[stratum i]]=Table32[[#All],[stratum i]]), 0))</f>
        <v>1227.7635314285715</v>
      </c>
      <c r="AH148" t="str">
        <f>INDEX(Table31[[#All],[Soil type (t=0)]], MATCH(Table1423[[#This Row],[stratum i]], Table31[[#All],[Stratum i]]))</f>
        <v>Mineral soil</v>
      </c>
      <c r="AI148">
        <f>IF(Emission_reduction_from_stock_loss?, INDEX(Table2[[#All],[End_PDT]], MATCH(Table1423[[#This Row],[stratum i]], Table2[[#All],[stratum i]])), crediting_period)</f>
        <v>40</v>
      </c>
      <c r="AJ148">
        <f>IF(Emission_reduction_from_stock_loss?, INDEX(Table2[[#All],[End_SDT]], MATCH(Table1423[[#This Row],[stratum i]], Table2[[#All],[stratum i]])), crediting_period)</f>
        <v>40</v>
      </c>
      <c r="AK148" cm="1">
        <f t="array" ref="AK14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8" s="30" cm="1">
        <f t="array" ref="AL148">INDEX(Table32[[#All],[%Calloch WPS]], MATCH(1, (Table1423[[#This Row],[year t]]=Table32[[#All],[year t]])*(Table1423[[#This Row],[stratum i]]=Table32[[#All],[stratum i]]), 0))</f>
        <v>23.561573856247001</v>
      </c>
      <c r="AM14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8">
        <f>(Table1423[[#This Row],[GHGWPS-soil-CO2,i,t]]-Table1423[[#This Row],[Deductionalloch WPS (Eq 38)]])*Table1423[[#This Row],[Ai,t]]</f>
        <v>-8258.6514576804657</v>
      </c>
      <c r="AO148" cm="1">
        <f t="array" ref="AO148">IF(project_soil_CH4 = "Included", INDEX(Table1830[[#All],[GHGWPS-soil-CH4,i,t (Eq 59)]], MATCH(1, (Table1423[[#This Row],[year t]]=Table1830[[#All],[year t]])*(Table1423[[#This Row],[stratum i]]=Table1830[[#All],[stratum i]]), 0)), 0)</f>
        <v>0</v>
      </c>
      <c r="AP148" cm="1">
        <f t="array" ref="AP148">IF(project_soil_N2O = "Included", INDEX(Table1830[[#All],[GHGWPS-soil-N2O,i,t (Eq 62)]], MATCH(1, (Table1423[[#This Row],[year t]]=Table1830[[#All],[year t]])*(Table1423[[#This Row],[stratum i]]=Table1830[[#All],[stratum i]]), 0)), 0)</f>
        <v>0</v>
      </c>
      <c r="AQ148">
        <f>Table1423[[#This Row],[Ai,t]]*(Table1423[[#This Row],[GHGWPS-soil-CO2,i,t]]-Table1423[[#This Row],[Deductionalloch WPS (Eq 38)]]+Table1423[[#This Row],[GHGWPS-soil-CH4,i,t]]+Table1423[[#This Row],[GHGWPS-soil-N2O,i,t]])</f>
        <v>-8258.6514576804657</v>
      </c>
      <c r="AR148" t="e" cm="1">
        <f t="array" ref="AR148">INDEX(#REF!, MATCH(1, (Table1423[[#This Row],[year t]]=Table32[[#All],[year t]])*(Table1423[[#This Row],[stratum i]]=Table32[[#All],[stratum i]]), 0))</f>
        <v>#REF!</v>
      </c>
      <c r="AS148" t="e" cm="1">
        <f t="array" ref="AS148">INDEX(#REF!, MATCH(1, (Table1423[[#This Row],[year t]]=Table32[[#All],[year t]])*(Table1423[[#This Row],[stratum i]]=Table32[[#All],[stratum i]]), 0))</f>
        <v>#REF!</v>
      </c>
      <c r="AT148" t="e" cm="1">
        <f t="array" ref="AT148">INDEX(#REF!, MATCH(1, (Table1423[[#This Row],[year t]]=Table32[[#All],[year t]])*(Table1423[[#This Row],[stratum i]]=Table32[[#All],[stratum i]]), 0))</f>
        <v>#REF!</v>
      </c>
      <c r="AU148" t="e" cm="1">
        <f t="array" ref="AU148">INDEX(#REF!, MATCH(1, (Table1423[[#This Row],[year t]]=Table32[[#All],[year t]])*(Table1423[[#This Row],[stratum i]]=Table32[[#All],[stratum i]]), 0))</f>
        <v>#REF!</v>
      </c>
      <c r="AV148" s="30"/>
      <c r="BB148" s="18">
        <v>2051</v>
      </c>
      <c r="BC148">
        <v>4</v>
      </c>
      <c r="BD148" cm="1">
        <f t="array" ref="BD148">INDEX(Table32[[#All],[∆CWPS-soil,i,t (tC/ha)]], MATCH(1, (Table1329[[#This Row],[year t]]=Table32[[#All],[year t]])*(Table1329[[#This Row],[stratum i]]=Table32[[#All],[stratum i]]), 0))</f>
        <v>2.4</v>
      </c>
      <c r="BE148">
        <f>-44/12*Table1329[[#This Row],[∆CWPS-soil,i,t (tC/ha)]]</f>
        <v>-8.7999999999999989</v>
      </c>
    </row>
    <row r="149" spans="11:57" x14ac:dyDescent="0.2">
      <c r="K149" s="18">
        <v>2052</v>
      </c>
      <c r="L149">
        <v>4</v>
      </c>
      <c r="M149" cm="1">
        <f t="array" ref="M149">IF(project_aboveground_tree = "Included", INDEX(Table32[[#All],[ΔCTREE_PROJ,i,t (AR Tool 14) t C/yr]], MATCH(1, (Table1221[[#This Row],[year t]]=Table32[[#All],[year t]])*(Table1221[[#This Row],[stratum i]]=Table32[[#All],[stratum i]]), 0)), 0)</f>
        <v>14656.185515799938</v>
      </c>
      <c r="N149" s="57" cm="1">
        <f t="array" ref="N149">IF(project_aboveground_nontree = "Included", INDEX(#REF!, MATCH(1, (Table1221[[#This Row],[year t]]=Table32[[#All],[year t]])*(Table1221[[#This Row],[stratum i]]=Table32[[#All],[stratum i]]), 0)), 0)</f>
        <v>0</v>
      </c>
      <c r="O149">
        <f>12/44*(Table1221[[#This Row],[ΔCTREE_PROJ,t (AR Tool 14) t CO2e/yr]]+Table1221[[#This Row],[ΔCSHRUB_PROJ,t (AR Tool 14) t CO2e/yr]])</f>
        <v>3997.1415043090738</v>
      </c>
      <c r="P149" cm="1">
        <f t="array" ref="P149">IF(project_aboveground_nontree = "Included", IFERROR(INDEX(Table1322[[#All],[ΔCWPS-herb,i,t (Eq 78)]], MATCH(1, (Table1221[[#This Row],[stratum i]]=Table1322[[#All],[stratum i]])*(Table1221[[#This Row],[year t]]&gt;=#REF!)*(Table1221[[#This Row],[year t]]&lt;=Table1322[[#All],[year t]]), 0)), 0), 0)</f>
        <v>0</v>
      </c>
      <c r="Q149">
        <f>Table1221[[#This Row],[ΔCWPS-tree/shrub,i,t (t C/yr) (Eq 75)]]+Table1221[[#This Row],[ΔCWPS-herb,i,t (t C/yr)]]</f>
        <v>3997.1415043090738</v>
      </c>
      <c r="R149" cm="1">
        <f t="array" ref="R149">INDEX(Table1423[[#All],[GHGWPS-soil,i,t]], MATCH(1, (Table1221[[#This Row],[year t]]=Table1423[[#All],[year t]])*(Table1221[[#This Row],[stratum i]]=Table1423[[#All],[stratum i]]), 0))</f>
        <v>-8258.6514576804657</v>
      </c>
      <c r="S149">
        <f>IF(project_ff_CO2 = "Included", Table1221[[#This Row],[ET(FC,I,t) AR-Tool 5 WPS]], 0)</f>
        <v>0</v>
      </c>
      <c r="T149" t="e" cm="1">
        <f t="array" ref="T149">INDEX(#REF!, MATCH(1, (Table1221[[#This Row],[year t]]=Table32[[#All],[year t]])*(Table1221[[#This Row],[stratum i]]=Table32[[#All],[stratum i]]), 0))</f>
        <v>#REF!</v>
      </c>
      <c r="AE149" s="18">
        <v>2052</v>
      </c>
      <c r="AF149">
        <v>4</v>
      </c>
      <c r="AG149" s="18" cm="1">
        <f t="array" ref="AG149">INDEX(Table32[[#All],[Ai,t]], MATCH(1, (Table1423[[#This Row],[year t]]=Table32[[#All],[year t]])*(Table1423[[#This Row],[stratum i]]=Table32[[#All],[stratum i]]), 0))</f>
        <v>1227.7635314285715</v>
      </c>
      <c r="AH149" t="str">
        <f>INDEX(Table31[[#All],[Soil type (t=0)]], MATCH(Table1423[[#This Row],[stratum i]], Table31[[#All],[Stratum i]]))</f>
        <v>Mineral soil</v>
      </c>
      <c r="AI149">
        <f>IF(Emission_reduction_from_stock_loss?, INDEX(Table2[[#All],[End_PDT]], MATCH(Table1423[[#This Row],[stratum i]], Table2[[#All],[stratum i]])), crediting_period)</f>
        <v>40</v>
      </c>
      <c r="AJ149">
        <f>IF(Emission_reduction_from_stock_loss?, INDEX(Table2[[#All],[End_SDT]], MATCH(Table1423[[#This Row],[stratum i]], Table2[[#All],[stratum i]])), crediting_period)</f>
        <v>40</v>
      </c>
      <c r="AK149" cm="1">
        <f t="array" ref="AK149">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49" s="30" cm="1">
        <f t="array" ref="AL149">INDEX(Table32[[#All],[%Calloch WPS]], MATCH(1, (Table1423[[#This Row],[year t]]=Table32[[#All],[year t]])*(Table1423[[#This Row],[stratum i]]=Table32[[#All],[stratum i]]), 0))</f>
        <v>23.561573856247001</v>
      </c>
      <c r="AM149">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49">
        <f>(Table1423[[#This Row],[GHGWPS-soil-CO2,i,t]]-Table1423[[#This Row],[Deductionalloch WPS (Eq 38)]])*Table1423[[#This Row],[Ai,t]]</f>
        <v>-8258.6514576804657</v>
      </c>
      <c r="AO149" cm="1">
        <f t="array" ref="AO149">IF(project_soil_CH4 = "Included", INDEX(Table1830[[#All],[GHGWPS-soil-CH4,i,t (Eq 59)]], MATCH(1, (Table1423[[#This Row],[year t]]=Table1830[[#All],[year t]])*(Table1423[[#This Row],[stratum i]]=Table1830[[#All],[stratum i]]), 0)), 0)</f>
        <v>0</v>
      </c>
      <c r="AP149" cm="1">
        <f t="array" ref="AP149">IF(project_soil_N2O = "Included", INDEX(Table1830[[#All],[GHGWPS-soil-N2O,i,t (Eq 62)]], MATCH(1, (Table1423[[#This Row],[year t]]=Table1830[[#All],[year t]])*(Table1423[[#This Row],[stratum i]]=Table1830[[#All],[stratum i]]), 0)), 0)</f>
        <v>0</v>
      </c>
      <c r="AQ149">
        <f>Table1423[[#This Row],[Ai,t]]*(Table1423[[#This Row],[GHGWPS-soil-CO2,i,t]]-Table1423[[#This Row],[Deductionalloch WPS (Eq 38)]]+Table1423[[#This Row],[GHGWPS-soil-CH4,i,t]]+Table1423[[#This Row],[GHGWPS-soil-N2O,i,t]])</f>
        <v>-8258.6514576804657</v>
      </c>
      <c r="AR149" t="e" cm="1">
        <f t="array" ref="AR149">INDEX(#REF!, MATCH(1, (Table1423[[#This Row],[year t]]=Table32[[#All],[year t]])*(Table1423[[#This Row],[stratum i]]=Table32[[#All],[stratum i]]), 0))</f>
        <v>#REF!</v>
      </c>
      <c r="AS149" t="e" cm="1">
        <f t="array" ref="AS149">INDEX(#REF!, MATCH(1, (Table1423[[#This Row],[year t]]=Table32[[#All],[year t]])*(Table1423[[#This Row],[stratum i]]=Table32[[#All],[stratum i]]), 0))</f>
        <v>#REF!</v>
      </c>
      <c r="AT149" t="e" cm="1">
        <f t="array" ref="AT149">INDEX(#REF!, MATCH(1, (Table1423[[#This Row],[year t]]=Table32[[#All],[year t]])*(Table1423[[#This Row],[stratum i]]=Table32[[#All],[stratum i]]), 0))</f>
        <v>#REF!</v>
      </c>
      <c r="AU149" t="e" cm="1">
        <f t="array" ref="AU149">INDEX(#REF!, MATCH(1, (Table1423[[#This Row],[year t]]=Table32[[#All],[year t]])*(Table1423[[#This Row],[stratum i]]=Table32[[#All],[stratum i]]), 0))</f>
        <v>#REF!</v>
      </c>
      <c r="AV149" s="30"/>
      <c r="BB149" s="18">
        <v>2052</v>
      </c>
      <c r="BC149">
        <v>4</v>
      </c>
      <c r="BD149" cm="1">
        <f t="array" ref="BD149">INDEX(Table32[[#All],[∆CWPS-soil,i,t (tC/ha)]], MATCH(1, (Table1329[[#This Row],[year t]]=Table32[[#All],[year t]])*(Table1329[[#This Row],[stratum i]]=Table32[[#All],[stratum i]]), 0))</f>
        <v>2.4</v>
      </c>
      <c r="BE149">
        <f>-44/12*Table1329[[#This Row],[∆CWPS-soil,i,t (tC/ha)]]</f>
        <v>-8.7999999999999989</v>
      </c>
    </row>
    <row r="150" spans="11:57" x14ac:dyDescent="0.2">
      <c r="K150" s="18">
        <v>2053</v>
      </c>
      <c r="L150">
        <v>4</v>
      </c>
      <c r="M150" cm="1">
        <f t="array" ref="M150">IF(project_aboveground_tree = "Included", INDEX(Table32[[#All],[ΔCTREE_PROJ,i,t (AR Tool 14) t C/yr]], MATCH(1, (Table1221[[#This Row],[year t]]=Table32[[#All],[year t]])*(Table1221[[#This Row],[stratum i]]=Table32[[#All],[stratum i]]), 0)), 0)</f>
        <v>13725.619337077951</v>
      </c>
      <c r="N150" s="57" cm="1">
        <f t="array" ref="N150">IF(project_aboveground_nontree = "Included", INDEX(#REF!, MATCH(1, (Table1221[[#This Row],[year t]]=Table32[[#All],[year t]])*(Table1221[[#This Row],[stratum i]]=Table32[[#All],[stratum i]]), 0)), 0)</f>
        <v>0</v>
      </c>
      <c r="O150">
        <f>12/44*(Table1221[[#This Row],[ΔCTREE_PROJ,t (AR Tool 14) t CO2e/yr]]+Table1221[[#This Row],[ΔCSHRUB_PROJ,t (AR Tool 14) t CO2e/yr]])</f>
        <v>3743.3507282939863</v>
      </c>
      <c r="P150" cm="1">
        <f t="array" ref="P150">IF(project_aboveground_nontree = "Included", IFERROR(INDEX(Table1322[[#All],[ΔCWPS-herb,i,t (Eq 78)]], MATCH(1, (Table1221[[#This Row],[stratum i]]=Table1322[[#All],[stratum i]])*(Table1221[[#This Row],[year t]]&gt;=#REF!)*(Table1221[[#This Row],[year t]]&lt;=Table1322[[#All],[year t]]), 0)), 0), 0)</f>
        <v>0</v>
      </c>
      <c r="Q150">
        <f>Table1221[[#This Row],[ΔCWPS-tree/shrub,i,t (t C/yr) (Eq 75)]]+Table1221[[#This Row],[ΔCWPS-herb,i,t (t C/yr)]]</f>
        <v>3743.3507282939863</v>
      </c>
      <c r="R150" cm="1">
        <f t="array" ref="R150">INDEX(Table1423[[#All],[GHGWPS-soil,i,t]], MATCH(1, (Table1221[[#This Row],[year t]]=Table1423[[#All],[year t]])*(Table1221[[#This Row],[stratum i]]=Table1423[[#All],[stratum i]]), 0))</f>
        <v>-8258.6514576804657</v>
      </c>
      <c r="S150">
        <f>IF(project_ff_CO2 = "Included", Table1221[[#This Row],[ET(FC,I,t) AR-Tool 5 WPS]], 0)</f>
        <v>0</v>
      </c>
      <c r="T150" t="e" cm="1">
        <f t="array" ref="T150">INDEX(#REF!, MATCH(1, (Table1221[[#This Row],[year t]]=Table32[[#All],[year t]])*(Table1221[[#This Row],[stratum i]]=Table32[[#All],[stratum i]]), 0))</f>
        <v>#REF!</v>
      </c>
      <c r="AE150" s="18">
        <v>2053</v>
      </c>
      <c r="AF150">
        <v>4</v>
      </c>
      <c r="AG150" s="18" cm="1">
        <f t="array" ref="AG150">INDEX(Table32[[#All],[Ai,t]], MATCH(1, (Table1423[[#This Row],[year t]]=Table32[[#All],[year t]])*(Table1423[[#This Row],[stratum i]]=Table32[[#All],[stratum i]]), 0))</f>
        <v>1227.7635314285715</v>
      </c>
      <c r="AH150" t="str">
        <f>INDEX(Table31[[#All],[Soil type (t=0)]], MATCH(Table1423[[#This Row],[stratum i]], Table31[[#All],[Stratum i]]))</f>
        <v>Mineral soil</v>
      </c>
      <c r="AI150">
        <f>IF(Emission_reduction_from_stock_loss?, INDEX(Table2[[#All],[End_PDT]], MATCH(Table1423[[#This Row],[stratum i]], Table2[[#All],[stratum i]])), crediting_period)</f>
        <v>40</v>
      </c>
      <c r="AJ150">
        <f>IF(Emission_reduction_from_stock_loss?, INDEX(Table2[[#All],[End_SDT]], MATCH(Table1423[[#This Row],[stratum i]], Table2[[#All],[stratum i]])), crediting_period)</f>
        <v>40</v>
      </c>
      <c r="AK150" cm="1">
        <f t="array" ref="AK150">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0" s="30" cm="1">
        <f t="array" ref="AL150">INDEX(Table32[[#All],[%Calloch WPS]], MATCH(1, (Table1423[[#This Row],[year t]]=Table32[[#All],[year t]])*(Table1423[[#This Row],[stratum i]]=Table32[[#All],[stratum i]]), 0))</f>
        <v>23.561573856247001</v>
      </c>
      <c r="AM150">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0">
        <f>(Table1423[[#This Row],[GHGWPS-soil-CO2,i,t]]-Table1423[[#This Row],[Deductionalloch WPS (Eq 38)]])*Table1423[[#This Row],[Ai,t]]</f>
        <v>-8258.6514576804657</v>
      </c>
      <c r="AO150" cm="1">
        <f t="array" ref="AO150">IF(project_soil_CH4 = "Included", INDEX(Table1830[[#All],[GHGWPS-soil-CH4,i,t (Eq 59)]], MATCH(1, (Table1423[[#This Row],[year t]]=Table1830[[#All],[year t]])*(Table1423[[#This Row],[stratum i]]=Table1830[[#All],[stratum i]]), 0)), 0)</f>
        <v>0</v>
      </c>
      <c r="AP150" cm="1">
        <f t="array" ref="AP150">IF(project_soil_N2O = "Included", INDEX(Table1830[[#All],[GHGWPS-soil-N2O,i,t (Eq 62)]], MATCH(1, (Table1423[[#This Row],[year t]]=Table1830[[#All],[year t]])*(Table1423[[#This Row],[stratum i]]=Table1830[[#All],[stratum i]]), 0)), 0)</f>
        <v>0</v>
      </c>
      <c r="AQ150">
        <f>Table1423[[#This Row],[Ai,t]]*(Table1423[[#This Row],[GHGWPS-soil-CO2,i,t]]-Table1423[[#This Row],[Deductionalloch WPS (Eq 38)]]+Table1423[[#This Row],[GHGWPS-soil-CH4,i,t]]+Table1423[[#This Row],[GHGWPS-soil-N2O,i,t]])</f>
        <v>-8258.6514576804657</v>
      </c>
      <c r="AR150" t="e" cm="1">
        <f t="array" ref="AR150">INDEX(#REF!, MATCH(1, (Table1423[[#This Row],[year t]]=Table32[[#All],[year t]])*(Table1423[[#This Row],[stratum i]]=Table32[[#All],[stratum i]]), 0))</f>
        <v>#REF!</v>
      </c>
      <c r="AS150" t="e" cm="1">
        <f t="array" ref="AS150">INDEX(#REF!, MATCH(1, (Table1423[[#This Row],[year t]]=Table32[[#All],[year t]])*(Table1423[[#This Row],[stratum i]]=Table32[[#All],[stratum i]]), 0))</f>
        <v>#REF!</v>
      </c>
      <c r="AT150" t="e" cm="1">
        <f t="array" ref="AT150">INDEX(#REF!, MATCH(1, (Table1423[[#This Row],[year t]]=Table32[[#All],[year t]])*(Table1423[[#This Row],[stratum i]]=Table32[[#All],[stratum i]]), 0))</f>
        <v>#REF!</v>
      </c>
      <c r="AU150" t="e" cm="1">
        <f t="array" ref="AU150">INDEX(#REF!, MATCH(1, (Table1423[[#This Row],[year t]]=Table32[[#All],[year t]])*(Table1423[[#This Row],[stratum i]]=Table32[[#All],[stratum i]]), 0))</f>
        <v>#REF!</v>
      </c>
      <c r="AV150" s="30"/>
      <c r="BB150" s="18">
        <v>2053</v>
      </c>
      <c r="BC150">
        <v>4</v>
      </c>
      <c r="BD150" cm="1">
        <f t="array" ref="BD150">INDEX(Table32[[#All],[∆CWPS-soil,i,t (tC/ha)]], MATCH(1, (Table1329[[#This Row],[year t]]=Table32[[#All],[year t]])*(Table1329[[#This Row],[stratum i]]=Table32[[#All],[stratum i]]), 0))</f>
        <v>2.4</v>
      </c>
      <c r="BE150">
        <f>-44/12*Table1329[[#This Row],[∆CWPS-soil,i,t (tC/ha)]]</f>
        <v>-8.7999999999999989</v>
      </c>
    </row>
    <row r="151" spans="11:57" x14ac:dyDescent="0.2">
      <c r="K151" s="18">
        <v>2054</v>
      </c>
      <c r="L151">
        <v>4</v>
      </c>
      <c r="M151" cm="1">
        <f t="array" ref="M151">IF(project_aboveground_tree = "Included", INDEX(Table32[[#All],[ΔCTREE_PROJ,i,t (AR Tool 14) t C/yr]], MATCH(1, (Table1221[[#This Row],[year t]]=Table32[[#All],[year t]])*(Table1221[[#This Row],[stratum i]]=Table32[[#All],[stratum i]]), 0)), 0)</f>
        <v>12782.824748173356</v>
      </c>
      <c r="N151" s="57" cm="1">
        <f t="array" ref="N151">IF(project_aboveground_nontree = "Included", INDEX(#REF!, MATCH(1, (Table1221[[#This Row],[year t]]=Table32[[#All],[year t]])*(Table1221[[#This Row],[stratum i]]=Table32[[#All],[stratum i]]), 0)), 0)</f>
        <v>0</v>
      </c>
      <c r="O151">
        <f>12/44*(Table1221[[#This Row],[ΔCTREE_PROJ,t (AR Tool 14) t CO2e/yr]]+Table1221[[#This Row],[ΔCSHRUB_PROJ,t (AR Tool 14) t CO2e/yr]])</f>
        <v>3486.2249313200059</v>
      </c>
      <c r="P151" cm="1">
        <f t="array" ref="P151">IF(project_aboveground_nontree = "Included", IFERROR(INDEX(Table1322[[#All],[ΔCWPS-herb,i,t (Eq 78)]], MATCH(1, (Table1221[[#This Row],[stratum i]]=Table1322[[#All],[stratum i]])*(Table1221[[#This Row],[year t]]&gt;=#REF!)*(Table1221[[#This Row],[year t]]&lt;=Table1322[[#All],[year t]]), 0)), 0), 0)</f>
        <v>0</v>
      </c>
      <c r="Q151">
        <f>Table1221[[#This Row],[ΔCWPS-tree/shrub,i,t (t C/yr) (Eq 75)]]+Table1221[[#This Row],[ΔCWPS-herb,i,t (t C/yr)]]</f>
        <v>3486.2249313200059</v>
      </c>
      <c r="R151" cm="1">
        <f t="array" ref="R151">INDEX(Table1423[[#All],[GHGWPS-soil,i,t]], MATCH(1, (Table1221[[#This Row],[year t]]=Table1423[[#All],[year t]])*(Table1221[[#This Row],[stratum i]]=Table1423[[#All],[stratum i]]), 0))</f>
        <v>-8258.6514576804657</v>
      </c>
      <c r="S151">
        <f>IF(project_ff_CO2 = "Included", Table1221[[#This Row],[ET(FC,I,t) AR-Tool 5 WPS]], 0)</f>
        <v>0</v>
      </c>
      <c r="T151" t="e" cm="1">
        <f t="array" ref="T151">INDEX(#REF!, MATCH(1, (Table1221[[#This Row],[year t]]=Table32[[#All],[year t]])*(Table1221[[#This Row],[stratum i]]=Table32[[#All],[stratum i]]), 0))</f>
        <v>#REF!</v>
      </c>
      <c r="AE151" s="18">
        <v>2054</v>
      </c>
      <c r="AF151">
        <v>4</v>
      </c>
      <c r="AG151" s="18" cm="1">
        <f t="array" ref="AG151">INDEX(Table32[[#All],[Ai,t]], MATCH(1, (Table1423[[#This Row],[year t]]=Table32[[#All],[year t]])*(Table1423[[#This Row],[stratum i]]=Table32[[#All],[stratum i]]), 0))</f>
        <v>1227.7635314285715</v>
      </c>
      <c r="AH151" t="str">
        <f>INDEX(Table31[[#All],[Soil type (t=0)]], MATCH(Table1423[[#This Row],[stratum i]], Table31[[#All],[Stratum i]]))</f>
        <v>Mineral soil</v>
      </c>
      <c r="AI151">
        <f>IF(Emission_reduction_from_stock_loss?, INDEX(Table2[[#All],[End_PDT]], MATCH(Table1423[[#This Row],[stratum i]], Table2[[#All],[stratum i]])), crediting_period)</f>
        <v>40</v>
      </c>
      <c r="AJ151">
        <f>IF(Emission_reduction_from_stock_loss?, INDEX(Table2[[#All],[End_SDT]], MATCH(Table1423[[#This Row],[stratum i]], Table2[[#All],[stratum i]])), crediting_period)</f>
        <v>40</v>
      </c>
      <c r="AK151" cm="1">
        <f t="array" ref="AK151">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1" s="30" cm="1">
        <f t="array" ref="AL151">INDEX(Table32[[#All],[%Calloch WPS]], MATCH(1, (Table1423[[#This Row],[year t]]=Table32[[#All],[year t]])*(Table1423[[#This Row],[stratum i]]=Table32[[#All],[stratum i]]), 0))</f>
        <v>23.561573856247001</v>
      </c>
      <c r="AM151">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1">
        <f>(Table1423[[#This Row],[GHGWPS-soil-CO2,i,t]]-Table1423[[#This Row],[Deductionalloch WPS (Eq 38)]])*Table1423[[#This Row],[Ai,t]]</f>
        <v>-8258.6514576804657</v>
      </c>
      <c r="AO151" cm="1">
        <f t="array" ref="AO151">IF(project_soil_CH4 = "Included", INDEX(Table1830[[#All],[GHGWPS-soil-CH4,i,t (Eq 59)]], MATCH(1, (Table1423[[#This Row],[year t]]=Table1830[[#All],[year t]])*(Table1423[[#This Row],[stratum i]]=Table1830[[#All],[stratum i]]), 0)), 0)</f>
        <v>0</v>
      </c>
      <c r="AP151" cm="1">
        <f t="array" ref="AP151">IF(project_soil_N2O = "Included", INDEX(Table1830[[#All],[GHGWPS-soil-N2O,i,t (Eq 62)]], MATCH(1, (Table1423[[#This Row],[year t]]=Table1830[[#All],[year t]])*(Table1423[[#This Row],[stratum i]]=Table1830[[#All],[stratum i]]), 0)), 0)</f>
        <v>0</v>
      </c>
      <c r="AQ151">
        <f>Table1423[[#This Row],[Ai,t]]*(Table1423[[#This Row],[GHGWPS-soil-CO2,i,t]]-Table1423[[#This Row],[Deductionalloch WPS (Eq 38)]]+Table1423[[#This Row],[GHGWPS-soil-CH4,i,t]]+Table1423[[#This Row],[GHGWPS-soil-N2O,i,t]])</f>
        <v>-8258.6514576804657</v>
      </c>
      <c r="AR151" t="e" cm="1">
        <f t="array" ref="AR151">INDEX(#REF!, MATCH(1, (Table1423[[#This Row],[year t]]=Table32[[#All],[year t]])*(Table1423[[#This Row],[stratum i]]=Table32[[#All],[stratum i]]), 0))</f>
        <v>#REF!</v>
      </c>
      <c r="AS151" t="e" cm="1">
        <f t="array" ref="AS151">INDEX(#REF!, MATCH(1, (Table1423[[#This Row],[year t]]=Table32[[#All],[year t]])*(Table1423[[#This Row],[stratum i]]=Table32[[#All],[stratum i]]), 0))</f>
        <v>#REF!</v>
      </c>
      <c r="AT151" t="e" cm="1">
        <f t="array" ref="AT151">INDEX(#REF!, MATCH(1, (Table1423[[#This Row],[year t]]=Table32[[#All],[year t]])*(Table1423[[#This Row],[stratum i]]=Table32[[#All],[stratum i]]), 0))</f>
        <v>#REF!</v>
      </c>
      <c r="AU151" t="e" cm="1">
        <f t="array" ref="AU151">INDEX(#REF!, MATCH(1, (Table1423[[#This Row],[year t]]=Table32[[#All],[year t]])*(Table1423[[#This Row],[stratum i]]=Table32[[#All],[stratum i]]), 0))</f>
        <v>#REF!</v>
      </c>
      <c r="AV151" s="30"/>
      <c r="BB151" s="18">
        <v>2054</v>
      </c>
      <c r="BC151">
        <v>4</v>
      </c>
      <c r="BD151" cm="1">
        <f t="array" ref="BD151">INDEX(Table32[[#All],[∆CWPS-soil,i,t (tC/ha)]], MATCH(1, (Table1329[[#This Row],[year t]]=Table32[[#All],[year t]])*(Table1329[[#This Row],[stratum i]]=Table32[[#All],[stratum i]]), 0))</f>
        <v>2.4</v>
      </c>
      <c r="BE151">
        <f>-44/12*Table1329[[#This Row],[∆CWPS-soil,i,t (tC/ha)]]</f>
        <v>-8.7999999999999989</v>
      </c>
    </row>
    <row r="152" spans="11:57" x14ac:dyDescent="0.2">
      <c r="K152" s="18">
        <v>2055</v>
      </c>
      <c r="L152">
        <v>4</v>
      </c>
      <c r="M152" cm="1">
        <f t="array" ref="M152">IF(project_aboveground_tree = "Included", INDEX(Table32[[#All],[ΔCTREE_PROJ,i,t (AR Tool 14) t C/yr]], MATCH(1, (Table1221[[#This Row],[year t]]=Table32[[#All],[year t]])*(Table1221[[#This Row],[stratum i]]=Table32[[#All],[stratum i]]), 0)), 0)</f>
        <v>11846.394425374863</v>
      </c>
      <c r="N152" s="57" cm="1">
        <f t="array" ref="N152">IF(project_aboveground_nontree = "Included", INDEX(#REF!, MATCH(1, (Table1221[[#This Row],[year t]]=Table32[[#All],[year t]])*(Table1221[[#This Row],[stratum i]]=Table32[[#All],[stratum i]]), 0)), 0)</f>
        <v>0</v>
      </c>
      <c r="O152">
        <f>12/44*(Table1221[[#This Row],[ΔCTREE_PROJ,t (AR Tool 14) t CO2e/yr]]+Table1221[[#This Row],[ΔCSHRUB_PROJ,t (AR Tool 14) t CO2e/yr]])</f>
        <v>3230.8348432840535</v>
      </c>
      <c r="P152" cm="1">
        <f t="array" ref="P152">IF(project_aboveground_nontree = "Included", IFERROR(INDEX(Table1322[[#All],[ΔCWPS-herb,i,t (Eq 78)]], MATCH(1, (Table1221[[#This Row],[stratum i]]=Table1322[[#All],[stratum i]])*(Table1221[[#This Row],[year t]]&gt;=#REF!)*(Table1221[[#This Row],[year t]]&lt;=Table1322[[#All],[year t]]), 0)), 0), 0)</f>
        <v>0</v>
      </c>
      <c r="Q152">
        <f>Table1221[[#This Row],[ΔCWPS-tree/shrub,i,t (t C/yr) (Eq 75)]]+Table1221[[#This Row],[ΔCWPS-herb,i,t (t C/yr)]]</f>
        <v>3230.8348432840535</v>
      </c>
      <c r="R152" cm="1">
        <f t="array" ref="R152">INDEX(Table1423[[#All],[GHGWPS-soil,i,t]], MATCH(1, (Table1221[[#This Row],[year t]]=Table1423[[#All],[year t]])*(Table1221[[#This Row],[stratum i]]=Table1423[[#All],[stratum i]]), 0))</f>
        <v>-8258.6514576804657</v>
      </c>
      <c r="S152">
        <f>IF(project_ff_CO2 = "Included", Table1221[[#This Row],[ET(FC,I,t) AR-Tool 5 WPS]], 0)</f>
        <v>0</v>
      </c>
      <c r="T152" t="e" cm="1">
        <f t="array" ref="T152">INDEX(#REF!, MATCH(1, (Table1221[[#This Row],[year t]]=Table32[[#All],[year t]])*(Table1221[[#This Row],[stratum i]]=Table32[[#All],[stratum i]]), 0))</f>
        <v>#REF!</v>
      </c>
      <c r="AE152" s="18">
        <v>2055</v>
      </c>
      <c r="AF152">
        <v>4</v>
      </c>
      <c r="AG152" s="18" cm="1">
        <f t="array" ref="AG152">INDEX(Table32[[#All],[Ai,t]], MATCH(1, (Table1423[[#This Row],[year t]]=Table32[[#All],[year t]])*(Table1423[[#This Row],[stratum i]]=Table32[[#All],[stratum i]]), 0))</f>
        <v>1227.7635314285715</v>
      </c>
      <c r="AH152" t="str">
        <f>INDEX(Table31[[#All],[Soil type (t=0)]], MATCH(Table1423[[#This Row],[stratum i]], Table31[[#All],[Stratum i]]))</f>
        <v>Mineral soil</v>
      </c>
      <c r="AI152">
        <f>IF(Emission_reduction_from_stock_loss?, INDEX(Table2[[#All],[End_PDT]], MATCH(Table1423[[#This Row],[stratum i]], Table2[[#All],[stratum i]])), crediting_period)</f>
        <v>40</v>
      </c>
      <c r="AJ152">
        <f>IF(Emission_reduction_from_stock_loss?, INDEX(Table2[[#All],[End_SDT]], MATCH(Table1423[[#This Row],[stratum i]], Table2[[#All],[stratum i]])), crediting_period)</f>
        <v>40</v>
      </c>
      <c r="AK152" cm="1">
        <f t="array" ref="AK152">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2" s="30" cm="1">
        <f t="array" ref="AL152">INDEX(Table32[[#All],[%Calloch WPS]], MATCH(1, (Table1423[[#This Row],[year t]]=Table32[[#All],[year t]])*(Table1423[[#This Row],[stratum i]]=Table32[[#All],[stratum i]]), 0))</f>
        <v>23.561573856247001</v>
      </c>
      <c r="AM152">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2">
        <f>(Table1423[[#This Row],[GHGWPS-soil-CO2,i,t]]-Table1423[[#This Row],[Deductionalloch WPS (Eq 38)]])*Table1423[[#This Row],[Ai,t]]</f>
        <v>-8258.6514576804657</v>
      </c>
      <c r="AO152" cm="1">
        <f t="array" ref="AO152">IF(project_soil_CH4 = "Included", INDEX(Table1830[[#All],[GHGWPS-soil-CH4,i,t (Eq 59)]], MATCH(1, (Table1423[[#This Row],[year t]]=Table1830[[#All],[year t]])*(Table1423[[#This Row],[stratum i]]=Table1830[[#All],[stratum i]]), 0)), 0)</f>
        <v>0</v>
      </c>
      <c r="AP152" cm="1">
        <f t="array" ref="AP152">IF(project_soil_N2O = "Included", INDEX(Table1830[[#All],[GHGWPS-soil-N2O,i,t (Eq 62)]], MATCH(1, (Table1423[[#This Row],[year t]]=Table1830[[#All],[year t]])*(Table1423[[#This Row],[stratum i]]=Table1830[[#All],[stratum i]]), 0)), 0)</f>
        <v>0</v>
      </c>
      <c r="AQ152">
        <f>Table1423[[#This Row],[Ai,t]]*(Table1423[[#This Row],[GHGWPS-soil-CO2,i,t]]-Table1423[[#This Row],[Deductionalloch WPS (Eq 38)]]+Table1423[[#This Row],[GHGWPS-soil-CH4,i,t]]+Table1423[[#This Row],[GHGWPS-soil-N2O,i,t]])</f>
        <v>-8258.6514576804657</v>
      </c>
      <c r="AR152" t="e" cm="1">
        <f t="array" ref="AR152">INDEX(#REF!, MATCH(1, (Table1423[[#This Row],[year t]]=Table32[[#All],[year t]])*(Table1423[[#This Row],[stratum i]]=Table32[[#All],[stratum i]]), 0))</f>
        <v>#REF!</v>
      </c>
      <c r="AS152" t="e" cm="1">
        <f t="array" ref="AS152">INDEX(#REF!, MATCH(1, (Table1423[[#This Row],[year t]]=Table32[[#All],[year t]])*(Table1423[[#This Row],[stratum i]]=Table32[[#All],[stratum i]]), 0))</f>
        <v>#REF!</v>
      </c>
      <c r="AT152" t="e" cm="1">
        <f t="array" ref="AT152">INDEX(#REF!, MATCH(1, (Table1423[[#This Row],[year t]]=Table32[[#All],[year t]])*(Table1423[[#This Row],[stratum i]]=Table32[[#All],[stratum i]]), 0))</f>
        <v>#REF!</v>
      </c>
      <c r="AU152" t="e" cm="1">
        <f t="array" ref="AU152">INDEX(#REF!, MATCH(1, (Table1423[[#This Row],[year t]]=Table32[[#All],[year t]])*(Table1423[[#This Row],[stratum i]]=Table32[[#All],[stratum i]]), 0))</f>
        <v>#REF!</v>
      </c>
      <c r="AV152" s="30"/>
      <c r="BB152" s="18">
        <v>2055</v>
      </c>
      <c r="BC152">
        <v>4</v>
      </c>
      <c r="BD152" cm="1">
        <f t="array" ref="BD152">INDEX(Table32[[#All],[∆CWPS-soil,i,t (tC/ha)]], MATCH(1, (Table1329[[#This Row],[year t]]=Table32[[#All],[year t]])*(Table1329[[#This Row],[stratum i]]=Table32[[#All],[stratum i]]), 0))</f>
        <v>2.4</v>
      </c>
      <c r="BE152">
        <f>-44/12*Table1329[[#This Row],[∆CWPS-soil,i,t (tC/ha)]]</f>
        <v>-8.7999999999999989</v>
      </c>
    </row>
    <row r="153" spans="11:57" x14ac:dyDescent="0.2">
      <c r="K153" s="18">
        <v>2056</v>
      </c>
      <c r="L153">
        <v>4</v>
      </c>
      <c r="M153" cm="1">
        <f t="array" ref="M153">IF(project_aboveground_tree = "Included", INDEX(Table32[[#All],[ΔCTREE_PROJ,i,t (AR Tool 14) t C/yr]], MATCH(1, (Table1221[[#This Row],[year t]]=Table32[[#All],[year t]])*(Table1221[[#This Row],[stratum i]]=Table32[[#All],[stratum i]]), 0)), 0)</f>
        <v>10930.907534857513</v>
      </c>
      <c r="N153" s="57" cm="1">
        <f t="array" ref="N153">IF(project_aboveground_nontree = "Included", INDEX(#REF!, MATCH(1, (Table1221[[#This Row],[year t]]=Table32[[#All],[year t]])*(Table1221[[#This Row],[stratum i]]=Table32[[#All],[stratum i]]), 0)), 0)</f>
        <v>0</v>
      </c>
      <c r="O153">
        <f>12/44*(Table1221[[#This Row],[ΔCTREE_PROJ,t (AR Tool 14) t CO2e/yr]]+Table1221[[#This Row],[ΔCSHRUB_PROJ,t (AR Tool 14) t CO2e/yr]])</f>
        <v>2981.1566004156853</v>
      </c>
      <c r="P153" cm="1">
        <f t="array" ref="P153">IF(project_aboveground_nontree = "Included", IFERROR(INDEX(Table1322[[#All],[ΔCWPS-herb,i,t (Eq 78)]], MATCH(1, (Table1221[[#This Row],[stratum i]]=Table1322[[#All],[stratum i]])*(Table1221[[#This Row],[year t]]&gt;=#REF!)*(Table1221[[#This Row],[year t]]&lt;=Table1322[[#All],[year t]]), 0)), 0), 0)</f>
        <v>0</v>
      </c>
      <c r="Q153">
        <f>Table1221[[#This Row],[ΔCWPS-tree/shrub,i,t (t C/yr) (Eq 75)]]+Table1221[[#This Row],[ΔCWPS-herb,i,t (t C/yr)]]</f>
        <v>2981.1566004156853</v>
      </c>
      <c r="R153" cm="1">
        <f t="array" ref="R153">INDEX(Table1423[[#All],[GHGWPS-soil,i,t]], MATCH(1, (Table1221[[#This Row],[year t]]=Table1423[[#All],[year t]])*(Table1221[[#This Row],[stratum i]]=Table1423[[#All],[stratum i]]), 0))</f>
        <v>-8258.6514576804657</v>
      </c>
      <c r="S153">
        <f>IF(project_ff_CO2 = "Included", Table1221[[#This Row],[ET(FC,I,t) AR-Tool 5 WPS]], 0)</f>
        <v>0</v>
      </c>
      <c r="T153" t="e" cm="1">
        <f t="array" ref="T153">INDEX(#REF!, MATCH(1, (Table1221[[#This Row],[year t]]=Table32[[#All],[year t]])*(Table1221[[#This Row],[stratum i]]=Table32[[#All],[stratum i]]), 0))</f>
        <v>#REF!</v>
      </c>
      <c r="AE153" s="18">
        <v>2056</v>
      </c>
      <c r="AF153">
        <v>4</v>
      </c>
      <c r="AG153" s="18" cm="1">
        <f t="array" ref="AG153">INDEX(Table32[[#All],[Ai,t]], MATCH(1, (Table1423[[#This Row],[year t]]=Table32[[#All],[year t]])*(Table1423[[#This Row],[stratum i]]=Table32[[#All],[stratum i]]), 0))</f>
        <v>1227.7635314285715</v>
      </c>
      <c r="AH153" t="str">
        <f>INDEX(Table31[[#All],[Soil type (t=0)]], MATCH(Table1423[[#This Row],[stratum i]], Table31[[#All],[Stratum i]]))</f>
        <v>Mineral soil</v>
      </c>
      <c r="AI153">
        <f>IF(Emission_reduction_from_stock_loss?, INDEX(Table2[[#All],[End_PDT]], MATCH(Table1423[[#This Row],[stratum i]], Table2[[#All],[stratum i]])), crediting_period)</f>
        <v>40</v>
      </c>
      <c r="AJ153">
        <f>IF(Emission_reduction_from_stock_loss?, INDEX(Table2[[#All],[End_SDT]], MATCH(Table1423[[#This Row],[stratum i]], Table2[[#All],[stratum i]])), crediting_period)</f>
        <v>40</v>
      </c>
      <c r="AK153" cm="1">
        <f t="array" ref="AK153">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3" s="30" cm="1">
        <f t="array" ref="AL153">INDEX(Table32[[#All],[%Calloch WPS]], MATCH(1, (Table1423[[#This Row],[year t]]=Table32[[#All],[year t]])*(Table1423[[#This Row],[stratum i]]=Table32[[#All],[stratum i]]), 0))</f>
        <v>23.561573856247001</v>
      </c>
      <c r="AM153">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3">
        <f>(Table1423[[#This Row],[GHGWPS-soil-CO2,i,t]]-Table1423[[#This Row],[Deductionalloch WPS (Eq 38)]])*Table1423[[#This Row],[Ai,t]]</f>
        <v>-8258.6514576804657</v>
      </c>
      <c r="AO153" cm="1">
        <f t="array" ref="AO153">IF(project_soil_CH4 = "Included", INDEX(Table1830[[#All],[GHGWPS-soil-CH4,i,t (Eq 59)]], MATCH(1, (Table1423[[#This Row],[year t]]=Table1830[[#All],[year t]])*(Table1423[[#This Row],[stratum i]]=Table1830[[#All],[stratum i]]), 0)), 0)</f>
        <v>0</v>
      </c>
      <c r="AP153" cm="1">
        <f t="array" ref="AP153">IF(project_soil_N2O = "Included", INDEX(Table1830[[#All],[GHGWPS-soil-N2O,i,t (Eq 62)]], MATCH(1, (Table1423[[#This Row],[year t]]=Table1830[[#All],[year t]])*(Table1423[[#This Row],[stratum i]]=Table1830[[#All],[stratum i]]), 0)), 0)</f>
        <v>0</v>
      </c>
      <c r="AQ153">
        <f>Table1423[[#This Row],[Ai,t]]*(Table1423[[#This Row],[GHGWPS-soil-CO2,i,t]]-Table1423[[#This Row],[Deductionalloch WPS (Eq 38)]]+Table1423[[#This Row],[GHGWPS-soil-CH4,i,t]]+Table1423[[#This Row],[GHGWPS-soil-N2O,i,t]])</f>
        <v>-8258.6514576804657</v>
      </c>
      <c r="AR153" t="e" cm="1">
        <f t="array" ref="AR153">INDEX(#REF!, MATCH(1, (Table1423[[#This Row],[year t]]=Table32[[#All],[year t]])*(Table1423[[#This Row],[stratum i]]=Table32[[#All],[stratum i]]), 0))</f>
        <v>#REF!</v>
      </c>
      <c r="AS153" t="e" cm="1">
        <f t="array" ref="AS153">INDEX(#REF!, MATCH(1, (Table1423[[#This Row],[year t]]=Table32[[#All],[year t]])*(Table1423[[#This Row],[stratum i]]=Table32[[#All],[stratum i]]), 0))</f>
        <v>#REF!</v>
      </c>
      <c r="AT153" t="e" cm="1">
        <f t="array" ref="AT153">INDEX(#REF!, MATCH(1, (Table1423[[#This Row],[year t]]=Table32[[#All],[year t]])*(Table1423[[#This Row],[stratum i]]=Table32[[#All],[stratum i]]), 0))</f>
        <v>#REF!</v>
      </c>
      <c r="AU153" t="e" cm="1">
        <f t="array" ref="AU153">INDEX(#REF!, MATCH(1, (Table1423[[#This Row],[year t]]=Table32[[#All],[year t]])*(Table1423[[#This Row],[stratum i]]=Table32[[#All],[stratum i]]), 0))</f>
        <v>#REF!</v>
      </c>
      <c r="AV153" s="30"/>
      <c r="BB153" s="18">
        <v>2056</v>
      </c>
      <c r="BC153">
        <v>4</v>
      </c>
      <c r="BD153" cm="1">
        <f t="array" ref="BD153">INDEX(Table32[[#All],[∆CWPS-soil,i,t (tC/ha)]], MATCH(1, (Table1329[[#This Row],[year t]]=Table32[[#All],[year t]])*(Table1329[[#This Row],[stratum i]]=Table32[[#All],[stratum i]]), 0))</f>
        <v>2.4</v>
      </c>
      <c r="BE153">
        <f>-44/12*Table1329[[#This Row],[∆CWPS-soil,i,t (tC/ha)]]</f>
        <v>-8.7999999999999989</v>
      </c>
    </row>
    <row r="154" spans="11:57" x14ac:dyDescent="0.2">
      <c r="K154" s="18">
        <v>2057</v>
      </c>
      <c r="L154">
        <v>4</v>
      </c>
      <c r="M154" cm="1">
        <f t="array" ref="M154">IF(project_aboveground_tree = "Included", INDEX(Table32[[#All],[ΔCTREE_PROJ,i,t (AR Tool 14) t C/yr]], MATCH(1, (Table1221[[#This Row],[year t]]=Table32[[#All],[year t]])*(Table1221[[#This Row],[stratum i]]=Table32[[#All],[stratum i]]), 0)), 0)</f>
        <v>10047.392189417791</v>
      </c>
      <c r="N154" s="57" cm="1">
        <f t="array" ref="N154">IF(project_aboveground_nontree = "Included", INDEX(#REF!, MATCH(1, (Table1221[[#This Row],[year t]]=Table32[[#All],[year t]])*(Table1221[[#This Row],[stratum i]]=Table32[[#All],[stratum i]]), 0)), 0)</f>
        <v>0</v>
      </c>
      <c r="O154">
        <f>12/44*(Table1221[[#This Row],[ΔCTREE_PROJ,t (AR Tool 14) t CO2e/yr]]+Table1221[[#This Row],[ΔCSHRUB_PROJ,t (AR Tool 14) t CO2e/yr]])</f>
        <v>2740.1978698412154</v>
      </c>
      <c r="P154" cm="1">
        <f t="array" ref="P154">IF(project_aboveground_nontree = "Included", IFERROR(INDEX(Table1322[[#All],[ΔCWPS-herb,i,t (Eq 78)]], MATCH(1, (Table1221[[#This Row],[stratum i]]=Table1322[[#All],[stratum i]])*(Table1221[[#This Row],[year t]]&gt;=#REF!)*(Table1221[[#This Row],[year t]]&lt;=Table1322[[#All],[year t]]), 0)), 0), 0)</f>
        <v>0</v>
      </c>
      <c r="Q154">
        <f>Table1221[[#This Row],[ΔCWPS-tree/shrub,i,t (t C/yr) (Eq 75)]]+Table1221[[#This Row],[ΔCWPS-herb,i,t (t C/yr)]]</f>
        <v>2740.1978698412154</v>
      </c>
      <c r="R154" cm="1">
        <f t="array" ref="R154">INDEX(Table1423[[#All],[GHGWPS-soil,i,t]], MATCH(1, (Table1221[[#This Row],[year t]]=Table1423[[#All],[year t]])*(Table1221[[#This Row],[stratum i]]=Table1423[[#All],[stratum i]]), 0))</f>
        <v>-8258.6514576804657</v>
      </c>
      <c r="S154">
        <f>IF(project_ff_CO2 = "Included", Table1221[[#This Row],[ET(FC,I,t) AR-Tool 5 WPS]], 0)</f>
        <v>0</v>
      </c>
      <c r="T154" t="e" cm="1">
        <f t="array" ref="T154">INDEX(#REF!, MATCH(1, (Table1221[[#This Row],[year t]]=Table32[[#All],[year t]])*(Table1221[[#This Row],[stratum i]]=Table32[[#All],[stratum i]]), 0))</f>
        <v>#REF!</v>
      </c>
      <c r="AE154" s="18">
        <v>2057</v>
      </c>
      <c r="AF154">
        <v>4</v>
      </c>
      <c r="AG154" s="18" cm="1">
        <f t="array" ref="AG154">INDEX(Table32[[#All],[Ai,t]], MATCH(1, (Table1423[[#This Row],[year t]]=Table32[[#All],[year t]])*(Table1423[[#This Row],[stratum i]]=Table32[[#All],[stratum i]]), 0))</f>
        <v>1227.7635314285715</v>
      </c>
      <c r="AH154" t="str">
        <f>INDEX(Table31[[#All],[Soil type (t=0)]], MATCH(Table1423[[#This Row],[stratum i]], Table31[[#All],[Stratum i]]))</f>
        <v>Mineral soil</v>
      </c>
      <c r="AI154">
        <f>IF(Emission_reduction_from_stock_loss?, INDEX(Table2[[#All],[End_PDT]], MATCH(Table1423[[#This Row],[stratum i]], Table2[[#All],[stratum i]])), crediting_period)</f>
        <v>40</v>
      </c>
      <c r="AJ154">
        <f>IF(Emission_reduction_from_stock_loss?, INDEX(Table2[[#All],[End_SDT]], MATCH(Table1423[[#This Row],[stratum i]], Table2[[#All],[stratum i]])), crediting_period)</f>
        <v>40</v>
      </c>
      <c r="AK154" cm="1">
        <f t="array" ref="AK154">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4" s="30" cm="1">
        <f t="array" ref="AL154">INDEX(Table32[[#All],[%Calloch WPS]], MATCH(1, (Table1423[[#This Row],[year t]]=Table32[[#All],[year t]])*(Table1423[[#This Row],[stratum i]]=Table32[[#All],[stratum i]]), 0))</f>
        <v>23.561573856247001</v>
      </c>
      <c r="AM154">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4">
        <f>(Table1423[[#This Row],[GHGWPS-soil-CO2,i,t]]-Table1423[[#This Row],[Deductionalloch WPS (Eq 38)]])*Table1423[[#This Row],[Ai,t]]</f>
        <v>-8258.6514576804657</v>
      </c>
      <c r="AO154" cm="1">
        <f t="array" ref="AO154">IF(project_soil_CH4 = "Included", INDEX(Table1830[[#All],[GHGWPS-soil-CH4,i,t (Eq 59)]], MATCH(1, (Table1423[[#This Row],[year t]]=Table1830[[#All],[year t]])*(Table1423[[#This Row],[stratum i]]=Table1830[[#All],[stratum i]]), 0)), 0)</f>
        <v>0</v>
      </c>
      <c r="AP154" cm="1">
        <f t="array" ref="AP154">IF(project_soil_N2O = "Included", INDEX(Table1830[[#All],[GHGWPS-soil-N2O,i,t (Eq 62)]], MATCH(1, (Table1423[[#This Row],[year t]]=Table1830[[#All],[year t]])*(Table1423[[#This Row],[stratum i]]=Table1830[[#All],[stratum i]]), 0)), 0)</f>
        <v>0</v>
      </c>
      <c r="AQ154">
        <f>Table1423[[#This Row],[Ai,t]]*(Table1423[[#This Row],[GHGWPS-soil-CO2,i,t]]-Table1423[[#This Row],[Deductionalloch WPS (Eq 38)]]+Table1423[[#This Row],[GHGWPS-soil-CH4,i,t]]+Table1423[[#This Row],[GHGWPS-soil-N2O,i,t]])</f>
        <v>-8258.6514576804657</v>
      </c>
      <c r="AR154" t="e" cm="1">
        <f t="array" ref="AR154">INDEX(#REF!, MATCH(1, (Table1423[[#This Row],[year t]]=Table32[[#All],[year t]])*(Table1423[[#This Row],[stratum i]]=Table32[[#All],[stratum i]]), 0))</f>
        <v>#REF!</v>
      </c>
      <c r="AS154" t="e" cm="1">
        <f t="array" ref="AS154">INDEX(#REF!, MATCH(1, (Table1423[[#This Row],[year t]]=Table32[[#All],[year t]])*(Table1423[[#This Row],[stratum i]]=Table32[[#All],[stratum i]]), 0))</f>
        <v>#REF!</v>
      </c>
      <c r="AT154" t="e" cm="1">
        <f t="array" ref="AT154">INDEX(#REF!, MATCH(1, (Table1423[[#This Row],[year t]]=Table32[[#All],[year t]])*(Table1423[[#This Row],[stratum i]]=Table32[[#All],[stratum i]]), 0))</f>
        <v>#REF!</v>
      </c>
      <c r="AU154" t="e" cm="1">
        <f t="array" ref="AU154">INDEX(#REF!, MATCH(1, (Table1423[[#This Row],[year t]]=Table32[[#All],[year t]])*(Table1423[[#This Row],[stratum i]]=Table32[[#All],[stratum i]]), 0))</f>
        <v>#REF!</v>
      </c>
      <c r="AV154" s="30"/>
      <c r="BB154" s="18">
        <v>2057</v>
      </c>
      <c r="BC154">
        <v>4</v>
      </c>
      <c r="BD154" cm="1">
        <f t="array" ref="BD154">INDEX(Table32[[#All],[∆CWPS-soil,i,t (tC/ha)]], MATCH(1, (Table1329[[#This Row],[year t]]=Table32[[#All],[year t]])*(Table1329[[#This Row],[stratum i]]=Table32[[#All],[stratum i]]), 0))</f>
        <v>2.4</v>
      </c>
      <c r="BE154">
        <f>-44/12*Table1329[[#This Row],[∆CWPS-soil,i,t (tC/ha)]]</f>
        <v>-8.7999999999999989</v>
      </c>
    </row>
    <row r="155" spans="11:57" x14ac:dyDescent="0.2">
      <c r="K155" s="18">
        <v>2058</v>
      </c>
      <c r="L155">
        <v>4</v>
      </c>
      <c r="M155" cm="1">
        <f t="array" ref="M155">IF(project_aboveground_tree = "Included", INDEX(Table32[[#All],[ΔCTREE_PROJ,i,t (AR Tool 14) t C/yr]], MATCH(1, (Table1221[[#This Row],[year t]]=Table32[[#All],[year t]])*(Table1221[[#This Row],[stratum i]]=Table32[[#All],[stratum i]]), 0)), 0)</f>
        <v>9203.8201553797117</v>
      </c>
      <c r="N155" s="57" cm="1">
        <f t="array" ref="N155">IF(project_aboveground_nontree = "Included", INDEX(#REF!, MATCH(1, (Table1221[[#This Row],[year t]]=Table32[[#All],[year t]])*(Table1221[[#This Row],[stratum i]]=Table32[[#All],[stratum i]]), 0)), 0)</f>
        <v>0</v>
      </c>
      <c r="O155">
        <f>12/44*(Table1221[[#This Row],[ΔCTREE_PROJ,t (AR Tool 14) t CO2e/yr]]+Table1221[[#This Row],[ΔCSHRUB_PROJ,t (AR Tool 14) t CO2e/yr]])</f>
        <v>2510.1327696490121</v>
      </c>
      <c r="P155" cm="1">
        <f t="array" ref="P155">IF(project_aboveground_nontree = "Included", IFERROR(INDEX(Table1322[[#All],[ΔCWPS-herb,i,t (Eq 78)]], MATCH(1, (Table1221[[#This Row],[stratum i]]=Table1322[[#All],[stratum i]])*(Table1221[[#This Row],[year t]]&gt;=#REF!)*(Table1221[[#This Row],[year t]]&lt;=Table1322[[#All],[year t]]), 0)), 0), 0)</f>
        <v>0</v>
      </c>
      <c r="Q155">
        <f>Table1221[[#This Row],[ΔCWPS-tree/shrub,i,t (t C/yr) (Eq 75)]]+Table1221[[#This Row],[ΔCWPS-herb,i,t (t C/yr)]]</f>
        <v>2510.1327696490121</v>
      </c>
      <c r="R155" cm="1">
        <f t="array" ref="R155">INDEX(Table1423[[#All],[GHGWPS-soil,i,t]], MATCH(1, (Table1221[[#This Row],[year t]]=Table1423[[#All],[year t]])*(Table1221[[#This Row],[stratum i]]=Table1423[[#All],[stratum i]]), 0))</f>
        <v>-8258.6514576804657</v>
      </c>
      <c r="S155">
        <f>IF(project_ff_CO2 = "Included", Table1221[[#This Row],[ET(FC,I,t) AR-Tool 5 WPS]], 0)</f>
        <v>0</v>
      </c>
      <c r="T155" t="e" cm="1">
        <f t="array" ref="T155">INDEX(#REF!, MATCH(1, (Table1221[[#This Row],[year t]]=Table32[[#All],[year t]])*(Table1221[[#This Row],[stratum i]]=Table32[[#All],[stratum i]]), 0))</f>
        <v>#REF!</v>
      </c>
      <c r="AE155" s="18">
        <v>2058</v>
      </c>
      <c r="AF155">
        <v>4</v>
      </c>
      <c r="AG155" s="18" cm="1">
        <f t="array" ref="AG155">INDEX(Table32[[#All],[Ai,t]], MATCH(1, (Table1423[[#This Row],[year t]]=Table32[[#All],[year t]])*(Table1423[[#This Row],[stratum i]]=Table32[[#All],[stratum i]]), 0))</f>
        <v>1227.7635314285715</v>
      </c>
      <c r="AH155" t="str">
        <f>INDEX(Table31[[#All],[Soil type (t=0)]], MATCH(Table1423[[#This Row],[stratum i]], Table31[[#All],[Stratum i]]))</f>
        <v>Mineral soil</v>
      </c>
      <c r="AI155">
        <f>IF(Emission_reduction_from_stock_loss?, INDEX(Table2[[#All],[End_PDT]], MATCH(Table1423[[#This Row],[stratum i]], Table2[[#All],[stratum i]])), crediting_period)</f>
        <v>40</v>
      </c>
      <c r="AJ155">
        <f>IF(Emission_reduction_from_stock_loss?, INDEX(Table2[[#All],[End_SDT]], MATCH(Table1423[[#This Row],[stratum i]], Table2[[#All],[stratum i]])), crediting_period)</f>
        <v>40</v>
      </c>
      <c r="AK155" cm="1">
        <f t="array" ref="AK155">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5" s="30" cm="1">
        <f t="array" ref="AL155">INDEX(Table32[[#All],[%Calloch WPS]], MATCH(1, (Table1423[[#This Row],[year t]]=Table32[[#All],[year t]])*(Table1423[[#This Row],[stratum i]]=Table32[[#All],[stratum i]]), 0))</f>
        <v>23.561573856247001</v>
      </c>
      <c r="AM155">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5">
        <f>(Table1423[[#This Row],[GHGWPS-soil-CO2,i,t]]-Table1423[[#This Row],[Deductionalloch WPS (Eq 38)]])*Table1423[[#This Row],[Ai,t]]</f>
        <v>-8258.6514576804657</v>
      </c>
      <c r="AO155" cm="1">
        <f t="array" ref="AO155">IF(project_soil_CH4 = "Included", INDEX(Table1830[[#All],[GHGWPS-soil-CH4,i,t (Eq 59)]], MATCH(1, (Table1423[[#This Row],[year t]]=Table1830[[#All],[year t]])*(Table1423[[#This Row],[stratum i]]=Table1830[[#All],[stratum i]]), 0)), 0)</f>
        <v>0</v>
      </c>
      <c r="AP155" cm="1">
        <f t="array" ref="AP155">IF(project_soil_N2O = "Included", INDEX(Table1830[[#All],[GHGWPS-soil-N2O,i,t (Eq 62)]], MATCH(1, (Table1423[[#This Row],[year t]]=Table1830[[#All],[year t]])*(Table1423[[#This Row],[stratum i]]=Table1830[[#All],[stratum i]]), 0)), 0)</f>
        <v>0</v>
      </c>
      <c r="AQ155">
        <f>Table1423[[#This Row],[Ai,t]]*(Table1423[[#This Row],[GHGWPS-soil-CO2,i,t]]-Table1423[[#This Row],[Deductionalloch WPS (Eq 38)]]+Table1423[[#This Row],[GHGWPS-soil-CH4,i,t]]+Table1423[[#This Row],[GHGWPS-soil-N2O,i,t]])</f>
        <v>-8258.6514576804657</v>
      </c>
      <c r="AR155" t="e" cm="1">
        <f t="array" ref="AR155">INDEX(#REF!, MATCH(1, (Table1423[[#This Row],[year t]]=Table32[[#All],[year t]])*(Table1423[[#This Row],[stratum i]]=Table32[[#All],[stratum i]]), 0))</f>
        <v>#REF!</v>
      </c>
      <c r="AS155" t="e" cm="1">
        <f t="array" ref="AS155">INDEX(#REF!, MATCH(1, (Table1423[[#This Row],[year t]]=Table32[[#All],[year t]])*(Table1423[[#This Row],[stratum i]]=Table32[[#All],[stratum i]]), 0))</f>
        <v>#REF!</v>
      </c>
      <c r="AT155" t="e" cm="1">
        <f t="array" ref="AT155">INDEX(#REF!, MATCH(1, (Table1423[[#This Row],[year t]]=Table32[[#All],[year t]])*(Table1423[[#This Row],[stratum i]]=Table32[[#All],[stratum i]]), 0))</f>
        <v>#REF!</v>
      </c>
      <c r="AU155" t="e" cm="1">
        <f t="array" ref="AU155">INDEX(#REF!, MATCH(1, (Table1423[[#This Row],[year t]]=Table32[[#All],[year t]])*(Table1423[[#This Row],[stratum i]]=Table32[[#All],[stratum i]]), 0))</f>
        <v>#REF!</v>
      </c>
      <c r="AV155" s="30"/>
      <c r="BB155" s="18">
        <v>2058</v>
      </c>
      <c r="BC155">
        <v>4</v>
      </c>
      <c r="BD155" cm="1">
        <f t="array" ref="BD155">INDEX(Table32[[#All],[∆CWPS-soil,i,t (tC/ha)]], MATCH(1, (Table1329[[#This Row],[year t]]=Table32[[#All],[year t]])*(Table1329[[#This Row],[stratum i]]=Table32[[#All],[stratum i]]), 0))</f>
        <v>2.4</v>
      </c>
      <c r="BE155">
        <f>-44/12*Table1329[[#This Row],[∆CWPS-soil,i,t (tC/ha)]]</f>
        <v>-8.7999999999999989</v>
      </c>
    </row>
    <row r="156" spans="11:57" x14ac:dyDescent="0.2">
      <c r="K156" s="18">
        <v>2059</v>
      </c>
      <c r="L156">
        <v>4</v>
      </c>
      <c r="M156" cm="1">
        <f t="array" ref="M156">IF(project_aboveground_tree = "Included", INDEX(Table32[[#All],[ΔCTREE_PROJ,i,t (AR Tool 14) t C/yr]], MATCH(1, (Table1221[[#This Row],[year t]]=Table32[[#All],[year t]])*(Table1221[[#This Row],[stratum i]]=Table32[[#All],[stratum i]]), 0)), 0)</f>
        <v>8405.5956870121881</v>
      </c>
      <c r="N156" s="57" cm="1">
        <f t="array" ref="N156">IF(project_aboveground_nontree = "Included", INDEX(#REF!, MATCH(1, (Table1221[[#This Row],[year t]]=Table32[[#All],[year t]])*(Table1221[[#This Row],[stratum i]]=Table32[[#All],[stratum i]]), 0)), 0)</f>
        <v>0</v>
      </c>
      <c r="O156">
        <f>12/44*(Table1221[[#This Row],[ΔCTREE_PROJ,t (AR Tool 14) t CO2e/yr]]+Table1221[[#This Row],[ΔCSHRUB_PROJ,t (AR Tool 14) t CO2e/yr]])</f>
        <v>2292.4351873669602</v>
      </c>
      <c r="P156" cm="1">
        <f t="array" ref="P156">IF(project_aboveground_nontree = "Included", IFERROR(INDEX(Table1322[[#All],[ΔCWPS-herb,i,t (Eq 78)]], MATCH(1, (Table1221[[#This Row],[stratum i]]=Table1322[[#All],[stratum i]])*(Table1221[[#This Row],[year t]]&gt;=#REF!)*(Table1221[[#This Row],[year t]]&lt;=Table1322[[#All],[year t]]), 0)), 0), 0)</f>
        <v>0</v>
      </c>
      <c r="Q156">
        <f>Table1221[[#This Row],[ΔCWPS-tree/shrub,i,t (t C/yr) (Eq 75)]]+Table1221[[#This Row],[ΔCWPS-herb,i,t (t C/yr)]]</f>
        <v>2292.4351873669602</v>
      </c>
      <c r="R156" cm="1">
        <f t="array" ref="R156">INDEX(Table1423[[#All],[GHGWPS-soil,i,t]], MATCH(1, (Table1221[[#This Row],[year t]]=Table1423[[#All],[year t]])*(Table1221[[#This Row],[stratum i]]=Table1423[[#All],[stratum i]]), 0))</f>
        <v>-8258.6514576804657</v>
      </c>
      <c r="S156">
        <f>IF(project_ff_CO2 = "Included", Table1221[[#This Row],[ET(FC,I,t) AR-Tool 5 WPS]], 0)</f>
        <v>0</v>
      </c>
      <c r="T156" t="e" cm="1">
        <f t="array" ref="T156">INDEX(#REF!, MATCH(1, (Table1221[[#This Row],[year t]]=Table32[[#All],[year t]])*(Table1221[[#This Row],[stratum i]]=Table32[[#All],[stratum i]]), 0))</f>
        <v>#REF!</v>
      </c>
      <c r="AE156" s="18">
        <v>2059</v>
      </c>
      <c r="AF156">
        <v>4</v>
      </c>
      <c r="AG156" s="18" cm="1">
        <f t="array" ref="AG156">INDEX(Table32[[#All],[Ai,t]], MATCH(1, (Table1423[[#This Row],[year t]]=Table32[[#All],[year t]])*(Table1423[[#This Row],[stratum i]]=Table32[[#All],[stratum i]]), 0))</f>
        <v>1227.7635314285715</v>
      </c>
      <c r="AH156" t="str">
        <f>INDEX(Table31[[#All],[Soil type (t=0)]], MATCH(Table1423[[#This Row],[stratum i]], Table31[[#All],[Stratum i]]))</f>
        <v>Mineral soil</v>
      </c>
      <c r="AI156">
        <f>IF(Emission_reduction_from_stock_loss?, INDEX(Table2[[#All],[End_PDT]], MATCH(Table1423[[#This Row],[stratum i]], Table2[[#All],[stratum i]])), crediting_period)</f>
        <v>40</v>
      </c>
      <c r="AJ156">
        <f>IF(Emission_reduction_from_stock_loss?, INDEX(Table2[[#All],[End_SDT]], MATCH(Table1423[[#This Row],[stratum i]], Table2[[#All],[stratum i]])), crediting_period)</f>
        <v>40</v>
      </c>
      <c r="AK156" cm="1">
        <f t="array" ref="AK156">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6" s="30" cm="1">
        <f t="array" ref="AL156">INDEX(Table32[[#All],[%Calloch WPS]], MATCH(1, (Table1423[[#This Row],[year t]]=Table32[[#All],[year t]])*(Table1423[[#This Row],[stratum i]]=Table32[[#All],[stratum i]]), 0))</f>
        <v>23.561573856247001</v>
      </c>
      <c r="AM156">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6">
        <f>(Table1423[[#This Row],[GHGWPS-soil-CO2,i,t]]-Table1423[[#This Row],[Deductionalloch WPS (Eq 38)]])*Table1423[[#This Row],[Ai,t]]</f>
        <v>-8258.6514576804657</v>
      </c>
      <c r="AO156" cm="1">
        <f t="array" ref="AO156">IF(project_soil_CH4 = "Included", INDEX(Table1830[[#All],[GHGWPS-soil-CH4,i,t (Eq 59)]], MATCH(1, (Table1423[[#This Row],[year t]]=Table1830[[#All],[year t]])*(Table1423[[#This Row],[stratum i]]=Table1830[[#All],[stratum i]]), 0)), 0)</f>
        <v>0</v>
      </c>
      <c r="AP156" cm="1">
        <f t="array" ref="AP156">IF(project_soil_N2O = "Included", INDEX(Table1830[[#All],[GHGWPS-soil-N2O,i,t (Eq 62)]], MATCH(1, (Table1423[[#This Row],[year t]]=Table1830[[#All],[year t]])*(Table1423[[#This Row],[stratum i]]=Table1830[[#All],[stratum i]]), 0)), 0)</f>
        <v>0</v>
      </c>
      <c r="AQ156">
        <f>Table1423[[#This Row],[Ai,t]]*(Table1423[[#This Row],[GHGWPS-soil-CO2,i,t]]-Table1423[[#This Row],[Deductionalloch WPS (Eq 38)]]+Table1423[[#This Row],[GHGWPS-soil-CH4,i,t]]+Table1423[[#This Row],[GHGWPS-soil-N2O,i,t]])</f>
        <v>-8258.6514576804657</v>
      </c>
      <c r="AR156" t="e" cm="1">
        <f t="array" ref="AR156">INDEX(#REF!, MATCH(1, (Table1423[[#This Row],[year t]]=Table32[[#All],[year t]])*(Table1423[[#This Row],[stratum i]]=Table32[[#All],[stratum i]]), 0))</f>
        <v>#REF!</v>
      </c>
      <c r="AS156" t="e" cm="1">
        <f t="array" ref="AS156">INDEX(#REF!, MATCH(1, (Table1423[[#This Row],[year t]]=Table32[[#All],[year t]])*(Table1423[[#This Row],[stratum i]]=Table32[[#All],[stratum i]]), 0))</f>
        <v>#REF!</v>
      </c>
      <c r="AT156" t="e" cm="1">
        <f t="array" ref="AT156">INDEX(#REF!, MATCH(1, (Table1423[[#This Row],[year t]]=Table32[[#All],[year t]])*(Table1423[[#This Row],[stratum i]]=Table32[[#All],[stratum i]]), 0))</f>
        <v>#REF!</v>
      </c>
      <c r="AU156" t="e" cm="1">
        <f t="array" ref="AU156">INDEX(#REF!, MATCH(1, (Table1423[[#This Row],[year t]]=Table32[[#All],[year t]])*(Table1423[[#This Row],[stratum i]]=Table32[[#All],[stratum i]]), 0))</f>
        <v>#REF!</v>
      </c>
      <c r="AV156" s="30"/>
      <c r="BB156" s="18">
        <v>2059</v>
      </c>
      <c r="BC156">
        <v>4</v>
      </c>
      <c r="BD156" cm="1">
        <f t="array" ref="BD156">INDEX(Table32[[#All],[∆CWPS-soil,i,t (tC/ha)]], MATCH(1, (Table1329[[#This Row],[year t]]=Table32[[#All],[year t]])*(Table1329[[#This Row],[stratum i]]=Table32[[#All],[stratum i]]), 0))</f>
        <v>2.4</v>
      </c>
      <c r="BE156">
        <f>-44/12*Table1329[[#This Row],[∆CWPS-soil,i,t (tC/ha)]]</f>
        <v>-8.7999999999999989</v>
      </c>
    </row>
    <row r="157" spans="11:57" x14ac:dyDescent="0.2">
      <c r="K157" s="18">
        <v>2060</v>
      </c>
      <c r="L157">
        <v>4</v>
      </c>
      <c r="M157" cm="1">
        <f t="array" ref="M157">IF(project_aboveground_tree = "Included", INDEX(Table32[[#All],[ΔCTREE_PROJ,i,t (AR Tool 14) t C/yr]], MATCH(1, (Table1221[[#This Row],[year t]]=Table32[[#All],[year t]])*(Table1221[[#This Row],[stratum i]]=Table32[[#All],[stratum i]]), 0)), 0)</f>
        <v>7656.0141743042623</v>
      </c>
      <c r="N157" s="57" cm="1">
        <f t="array" ref="N157">IF(project_aboveground_nontree = "Included", INDEX(#REF!, MATCH(1, (Table1221[[#This Row],[year t]]=Table32[[#All],[year t]])*(Table1221[[#This Row],[stratum i]]=Table32[[#All],[stratum i]]), 0)), 0)</f>
        <v>0</v>
      </c>
      <c r="O157">
        <f>12/44*(Table1221[[#This Row],[ΔCTREE_PROJ,t (AR Tool 14) t CO2e/yr]]+Table1221[[#This Row],[ΔCSHRUB_PROJ,t (AR Tool 14) t CO2e/yr]])</f>
        <v>2088.003865719344</v>
      </c>
      <c r="P157" cm="1">
        <f t="array" ref="P157">IF(project_aboveground_nontree = "Included", IFERROR(INDEX(Table1322[[#All],[ΔCWPS-herb,i,t (Eq 78)]], MATCH(1, (Table1221[[#This Row],[stratum i]]=Table1322[[#All],[stratum i]])*(Table1221[[#This Row],[year t]]&gt;=#REF!)*(Table1221[[#This Row],[year t]]&lt;=Table1322[[#All],[year t]]), 0)), 0), 0)</f>
        <v>0</v>
      </c>
      <c r="Q157">
        <f>Table1221[[#This Row],[ΔCWPS-tree/shrub,i,t (t C/yr) (Eq 75)]]+Table1221[[#This Row],[ΔCWPS-herb,i,t (t C/yr)]]</f>
        <v>2088.003865719344</v>
      </c>
      <c r="R157" cm="1">
        <f t="array" ref="R157">INDEX(Table1423[[#All],[GHGWPS-soil,i,t]], MATCH(1, (Table1221[[#This Row],[year t]]=Table1423[[#All],[year t]])*(Table1221[[#This Row],[stratum i]]=Table1423[[#All],[stratum i]]), 0))</f>
        <v>-8258.6514576804657</v>
      </c>
      <c r="S157">
        <f>IF(project_ff_CO2 = "Included", Table1221[[#This Row],[ET(FC,I,t) AR-Tool 5 WPS]], 0)</f>
        <v>0</v>
      </c>
      <c r="T157" t="e" cm="1">
        <f t="array" ref="T157">INDEX(#REF!, MATCH(1, (Table1221[[#This Row],[year t]]=Table32[[#All],[year t]])*(Table1221[[#This Row],[stratum i]]=Table32[[#All],[stratum i]]), 0))</f>
        <v>#REF!</v>
      </c>
      <c r="AE157" s="18">
        <v>2060</v>
      </c>
      <c r="AF157">
        <v>4</v>
      </c>
      <c r="AG157" s="18" cm="1">
        <f t="array" ref="AG157">INDEX(Table32[[#All],[Ai,t]], MATCH(1, (Table1423[[#This Row],[year t]]=Table32[[#All],[year t]])*(Table1423[[#This Row],[stratum i]]=Table32[[#All],[stratum i]]), 0))</f>
        <v>1227.7635314285715</v>
      </c>
      <c r="AH157" t="str">
        <f>INDEX(Table31[[#All],[Soil type (t=0)]], MATCH(Table1423[[#This Row],[stratum i]], Table31[[#All],[Stratum i]]))</f>
        <v>Mineral soil</v>
      </c>
      <c r="AI157">
        <f>IF(Emission_reduction_from_stock_loss?, INDEX(Table2[[#All],[End_PDT]], MATCH(Table1423[[#This Row],[stratum i]], Table2[[#All],[stratum i]])), crediting_period)</f>
        <v>40</v>
      </c>
      <c r="AJ157">
        <f>IF(Emission_reduction_from_stock_loss?, INDEX(Table2[[#All],[End_SDT]], MATCH(Table1423[[#This Row],[stratum i]], Table2[[#All],[stratum i]])), crediting_period)</f>
        <v>40</v>
      </c>
      <c r="AK157" cm="1">
        <f t="array" ref="AK157">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7" s="30" cm="1">
        <f t="array" ref="AL157">INDEX(Table32[[#All],[%Calloch WPS]], MATCH(1, (Table1423[[#This Row],[year t]]=Table32[[#All],[year t]])*(Table1423[[#This Row],[stratum i]]=Table32[[#All],[stratum i]]), 0))</f>
        <v>23.561573856247001</v>
      </c>
      <c r="AM157">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7">
        <f>(Table1423[[#This Row],[GHGWPS-soil-CO2,i,t]]-Table1423[[#This Row],[Deductionalloch WPS (Eq 38)]])*Table1423[[#This Row],[Ai,t]]</f>
        <v>-8258.6514576804657</v>
      </c>
      <c r="AO157" cm="1">
        <f t="array" ref="AO157">IF(project_soil_CH4 = "Included", INDEX(Table1830[[#All],[GHGWPS-soil-CH4,i,t (Eq 59)]], MATCH(1, (Table1423[[#This Row],[year t]]=Table1830[[#All],[year t]])*(Table1423[[#This Row],[stratum i]]=Table1830[[#All],[stratum i]]), 0)), 0)</f>
        <v>0</v>
      </c>
      <c r="AP157" cm="1">
        <f t="array" ref="AP157">IF(project_soil_N2O = "Included", INDEX(Table1830[[#All],[GHGWPS-soil-N2O,i,t (Eq 62)]], MATCH(1, (Table1423[[#This Row],[year t]]=Table1830[[#All],[year t]])*(Table1423[[#This Row],[stratum i]]=Table1830[[#All],[stratum i]]), 0)), 0)</f>
        <v>0</v>
      </c>
      <c r="AQ157">
        <f>Table1423[[#This Row],[Ai,t]]*(Table1423[[#This Row],[GHGWPS-soil-CO2,i,t]]-Table1423[[#This Row],[Deductionalloch WPS (Eq 38)]]+Table1423[[#This Row],[GHGWPS-soil-CH4,i,t]]+Table1423[[#This Row],[GHGWPS-soil-N2O,i,t]])</f>
        <v>-8258.6514576804657</v>
      </c>
      <c r="AR157" t="e" cm="1">
        <f t="array" ref="AR157">INDEX(#REF!, MATCH(1, (Table1423[[#This Row],[year t]]=Table32[[#All],[year t]])*(Table1423[[#This Row],[stratum i]]=Table32[[#All],[stratum i]]), 0))</f>
        <v>#REF!</v>
      </c>
      <c r="AS157" t="e" cm="1">
        <f t="array" ref="AS157">INDEX(#REF!, MATCH(1, (Table1423[[#This Row],[year t]]=Table32[[#All],[year t]])*(Table1423[[#This Row],[stratum i]]=Table32[[#All],[stratum i]]), 0))</f>
        <v>#REF!</v>
      </c>
      <c r="AT157" t="e" cm="1">
        <f t="array" ref="AT157">INDEX(#REF!, MATCH(1, (Table1423[[#This Row],[year t]]=Table32[[#All],[year t]])*(Table1423[[#This Row],[stratum i]]=Table32[[#All],[stratum i]]), 0))</f>
        <v>#REF!</v>
      </c>
      <c r="AU157" t="e" cm="1">
        <f t="array" ref="AU157">INDEX(#REF!, MATCH(1, (Table1423[[#This Row],[year t]]=Table32[[#All],[year t]])*(Table1423[[#This Row],[stratum i]]=Table32[[#All],[stratum i]]), 0))</f>
        <v>#REF!</v>
      </c>
      <c r="AV157" s="30"/>
      <c r="BB157" s="18">
        <v>2060</v>
      </c>
      <c r="BC157">
        <v>4</v>
      </c>
      <c r="BD157" cm="1">
        <f t="array" ref="BD157">INDEX(Table32[[#All],[∆CWPS-soil,i,t (tC/ha)]], MATCH(1, (Table1329[[#This Row],[year t]]=Table32[[#All],[year t]])*(Table1329[[#This Row],[stratum i]]=Table32[[#All],[stratum i]]), 0))</f>
        <v>2.4</v>
      </c>
      <c r="BE157">
        <f>-44/12*Table1329[[#This Row],[∆CWPS-soil,i,t (tC/ha)]]</f>
        <v>-8.7999999999999989</v>
      </c>
    </row>
    <row r="158" spans="11:57" x14ac:dyDescent="0.2">
      <c r="K158" s="18">
        <v>2061</v>
      </c>
      <c r="L158">
        <v>4</v>
      </c>
      <c r="M158" cm="1">
        <f t="array" ref="M158">IF(project_aboveground_tree = "Included", INDEX(Table32[[#All],[ΔCTREE_PROJ,i,t (AR Tool 14) t C/yr]], MATCH(1, (Table1221[[#This Row],[year t]]=Table32[[#All],[year t]])*(Table1221[[#This Row],[stratum i]]=Table32[[#All],[stratum i]]), 0)), 0)</f>
        <v>6956.6766852724832</v>
      </c>
      <c r="N158" s="57" cm="1">
        <f t="array" ref="N158">IF(project_aboveground_nontree = "Included", INDEX(#REF!, MATCH(1, (Table1221[[#This Row],[year t]]=Table32[[#All],[year t]])*(Table1221[[#This Row],[stratum i]]=Table32[[#All],[stratum i]]), 0)), 0)</f>
        <v>0</v>
      </c>
      <c r="O158">
        <f>12/44*(Table1221[[#This Row],[ΔCTREE_PROJ,t (AR Tool 14) t CO2e/yr]]+Table1221[[#This Row],[ΔCSHRUB_PROJ,t (AR Tool 14) t CO2e/yr]])</f>
        <v>1897.2754596197681</v>
      </c>
      <c r="P158" cm="1">
        <f t="array" ref="P158">IF(project_aboveground_nontree = "Included", IFERROR(INDEX(Table1322[[#All],[ΔCWPS-herb,i,t (Eq 78)]], MATCH(1, (Table1221[[#This Row],[stratum i]]=Table1322[[#All],[stratum i]])*(Table1221[[#This Row],[year t]]&gt;=#REF!)*(Table1221[[#This Row],[year t]]&lt;=Table1322[[#All],[year t]]), 0)), 0), 0)</f>
        <v>0</v>
      </c>
      <c r="Q158">
        <f>Table1221[[#This Row],[ΔCWPS-tree/shrub,i,t (t C/yr) (Eq 75)]]+Table1221[[#This Row],[ΔCWPS-herb,i,t (t C/yr)]]</f>
        <v>1897.2754596197681</v>
      </c>
      <c r="R158" cm="1">
        <f t="array" ref="R158">INDEX(Table1423[[#All],[GHGWPS-soil,i,t]], MATCH(1, (Table1221[[#This Row],[year t]]=Table1423[[#All],[year t]])*(Table1221[[#This Row],[stratum i]]=Table1423[[#All],[stratum i]]), 0))</f>
        <v>-8258.6514576804657</v>
      </c>
      <c r="S158">
        <f>IF(project_ff_CO2 = "Included", Table1221[[#This Row],[ET(FC,I,t) AR-Tool 5 WPS]], 0)</f>
        <v>0</v>
      </c>
      <c r="T158" t="e" cm="1">
        <f t="array" ref="T158">INDEX(#REF!, MATCH(1, (Table1221[[#This Row],[year t]]=Table32[[#All],[year t]])*(Table1221[[#This Row],[stratum i]]=Table32[[#All],[stratum i]]), 0))</f>
        <v>#REF!</v>
      </c>
      <c r="AE158" s="18">
        <v>2061</v>
      </c>
      <c r="AF158">
        <v>4</v>
      </c>
      <c r="AG158" s="18" cm="1">
        <f t="array" ref="AG158">INDEX(Table32[[#All],[Ai,t]], MATCH(1, (Table1423[[#This Row],[year t]]=Table32[[#All],[year t]])*(Table1423[[#This Row],[stratum i]]=Table32[[#All],[stratum i]]), 0))</f>
        <v>1227.7635314285715</v>
      </c>
      <c r="AH158" t="str">
        <f>INDEX(Table31[[#All],[Soil type (t=0)]], MATCH(Table1423[[#This Row],[stratum i]], Table31[[#All],[Stratum i]]))</f>
        <v>Mineral soil</v>
      </c>
      <c r="AI158">
        <f>IF(Emission_reduction_from_stock_loss?, INDEX(Table2[[#All],[End_PDT]], MATCH(Table1423[[#This Row],[stratum i]], Table2[[#All],[stratum i]])), crediting_period)</f>
        <v>40</v>
      </c>
      <c r="AJ158">
        <f>IF(Emission_reduction_from_stock_loss?, INDEX(Table2[[#All],[End_SDT]], MATCH(Table1423[[#This Row],[stratum i]], Table2[[#All],[stratum i]])), crediting_period)</f>
        <v>40</v>
      </c>
      <c r="AK158" cm="1">
        <f t="array" ref="AK158">IF(project_soil_SOC= "Included", IF(soil_insitu_approach = "Field-collected data", IFERROR(INDEX(Table1329[[#All],[GHGWPS-soil-CO2,i,t (Eq 36)]], MATCH(1, (Table1423[[#This Row],[year t]]&gt;=Table1329[[#All],[year t]])*(Table1423[[#This Row],[year t]]&lt;=Table1329[[#All],[year t]])*(Table1423[[#This Row],[stratum i]]=Table1329[[#All],[stratum i]]), 0)), 0), IF(soil_insitu_approach = "Proxies", Table1423[[#This Row],[ƒ (GHG emission proxy) WPS]], Table1423[[#This Row],[GHGWPS-insitu-CO2,i,t]]+Table1423[[#This Row],[GHGWPS-eroded-CO2,i,t]]+Table1423[[#This Row],[GHGWPS-excav-CO2,i,t]])), 0)</f>
        <v>-8.7999999999999989</v>
      </c>
      <c r="AL158" s="30" cm="1">
        <f t="array" ref="AL158">INDEX(Table32[[#All],[%Calloch WPS]], MATCH(1, (Table1423[[#This Row],[year t]]=Table32[[#All],[year t]])*(Table1423[[#This Row],[stratum i]]=Table32[[#All],[stratum i]]), 0))</f>
        <v>23.561573856247001</v>
      </c>
      <c r="AM158">
        <f>IF(project_soil_SOC="Included", IF(Table1423[[#This Row],[Soil]]="Peat soil",0, IF(OR(soil_insitu_approach = "Proxies", soil_insitu_approach = "Field-collected data"), Table1423[[#This Row],[GHGWPS-soil-CO2,i,t]]*(Table1423[[#This Row],[%Calloch WPS]]/100),  Table1423[[#This Row],[GHGWPS-insitu-CO2,i,t]]*(Table1423[[#This Row],[%Calloch WPS]]/100))), 0)</f>
        <v>-2.073418499349736</v>
      </c>
      <c r="AN158">
        <f>(Table1423[[#This Row],[GHGWPS-soil-CO2,i,t]]-Table1423[[#This Row],[Deductionalloch WPS (Eq 38)]])*Table1423[[#This Row],[Ai,t]]</f>
        <v>-8258.6514576804657</v>
      </c>
      <c r="AO158" cm="1">
        <f t="array" ref="AO158">IF(project_soil_CH4 = "Included", INDEX(Table1830[[#All],[GHGWPS-soil-CH4,i,t (Eq 59)]], MATCH(1, (Table1423[[#This Row],[year t]]=Table1830[[#All],[year t]])*(Table1423[[#This Row],[stratum i]]=Table1830[[#All],[stratum i]]), 0)), 0)</f>
        <v>0</v>
      </c>
      <c r="AP158" cm="1">
        <f t="array" ref="AP158">IF(project_soil_N2O = "Included", INDEX(Table1830[[#All],[GHGWPS-soil-N2O,i,t (Eq 62)]], MATCH(1, (Table1423[[#This Row],[year t]]=Table1830[[#All],[year t]])*(Table1423[[#This Row],[stratum i]]=Table1830[[#All],[stratum i]]), 0)), 0)</f>
        <v>0</v>
      </c>
      <c r="AQ158">
        <f>Table1423[[#This Row],[Ai,t]]*(Table1423[[#This Row],[GHGWPS-soil-CO2,i,t]]-Table1423[[#This Row],[Deductionalloch WPS (Eq 38)]]+Table1423[[#This Row],[GHGWPS-soil-CH4,i,t]]+Table1423[[#This Row],[GHGWPS-soil-N2O,i,t]])</f>
        <v>-8258.6514576804657</v>
      </c>
      <c r="AR158" t="e" cm="1">
        <f t="array" ref="AR158">INDEX(#REF!, MATCH(1, (Table1423[[#This Row],[year t]]=Table32[[#All],[year t]])*(Table1423[[#This Row],[stratum i]]=Table32[[#All],[stratum i]]), 0))</f>
        <v>#REF!</v>
      </c>
      <c r="AS158" t="e" cm="1">
        <f t="array" ref="AS158">INDEX(#REF!, MATCH(1, (Table1423[[#This Row],[year t]]=Table32[[#All],[year t]])*(Table1423[[#This Row],[stratum i]]=Table32[[#All],[stratum i]]), 0))</f>
        <v>#REF!</v>
      </c>
      <c r="AT158" t="e" cm="1">
        <f t="array" ref="AT158">INDEX(#REF!, MATCH(1, (Table1423[[#This Row],[year t]]=Table32[[#All],[year t]])*(Table1423[[#This Row],[stratum i]]=Table32[[#All],[stratum i]]), 0))</f>
        <v>#REF!</v>
      </c>
      <c r="AU158" t="e" cm="1">
        <f t="array" ref="AU158">INDEX(#REF!, MATCH(1, (Table1423[[#This Row],[year t]]=Table32[[#All],[year t]])*(Table1423[[#This Row],[stratum i]]=Table32[[#All],[stratum i]]), 0))</f>
        <v>#REF!</v>
      </c>
      <c r="AV158" s="30"/>
      <c r="BB158" s="18">
        <v>2061</v>
      </c>
      <c r="BC158">
        <v>4</v>
      </c>
      <c r="BD158" cm="1">
        <f t="array" ref="BD158">INDEX(Table32[[#All],[∆CWPS-soil,i,t (tC/ha)]], MATCH(1, (Table1329[[#This Row],[year t]]=Table32[[#All],[year t]])*(Table1329[[#This Row],[stratum i]]=Table32[[#All],[stratum i]]), 0))</f>
        <v>2.4</v>
      </c>
      <c r="BE158">
        <f>-44/12*Table1329[[#This Row],[∆CWPS-soil,i,t (tC/ha)]]</f>
        <v>-8.7999999999999989</v>
      </c>
    </row>
  </sheetData>
  <pageMargins left="0.7" right="0.7" top="0.75" bottom="0.75" header="0.3" footer="0.3"/>
  <drawing r:id="rId1"/>
  <legacyDrawing r:id="rId2"/>
  <tableParts count="7">
    <tablePart r:id="rId3"/>
    <tablePart r:id="rId4"/>
    <tablePart r:id="rId5"/>
    <tablePart r:id="rId6"/>
    <tablePart r:id="rId7"/>
    <tablePart r:id="rId8"/>
    <tablePart r:id="rId9"/>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39CE-2FA8-4184-9E91-27B1DC42A663}">
  <sheetPr>
    <tabColor theme="8" tint="0.59999389629810485"/>
  </sheetPr>
  <dimension ref="C1:CF158"/>
  <sheetViews>
    <sheetView topLeftCell="A31" workbookViewId="0">
      <selection activeCell="AV1" sqref="AV1:AV1048576"/>
    </sheetView>
  </sheetViews>
  <sheetFormatPr baseColWidth="10" defaultColWidth="8.83203125" defaultRowHeight="15" x14ac:dyDescent="0.2"/>
  <cols>
    <col min="4" max="4" width="22.33203125" customWidth="1"/>
    <col min="5" max="5" width="22.1640625" customWidth="1"/>
    <col min="6" max="6" width="18.6640625" customWidth="1"/>
    <col min="7" max="7" width="16.33203125" customWidth="1"/>
    <col min="8" max="8" width="7" customWidth="1"/>
    <col min="9" max="9" width="13.6640625" customWidth="1"/>
    <col min="11" max="11" width="13.6640625" customWidth="1"/>
    <col min="12" max="12" width="21" customWidth="1"/>
    <col min="13" max="13" width="31.6640625" customWidth="1"/>
    <col min="14" max="14" width="37" customWidth="1"/>
    <col min="15" max="15" width="30.1640625" customWidth="1"/>
    <col min="16" max="16" width="30.6640625" customWidth="1"/>
    <col min="17" max="17" width="26.33203125" customWidth="1"/>
    <col min="18" max="18" width="25" customWidth="1"/>
    <col min="19" max="19" width="18.6640625" customWidth="1"/>
    <col min="20" max="20" width="47" customWidth="1"/>
    <col min="21" max="21" width="34.6640625" customWidth="1"/>
    <col min="22" max="23" width="12.33203125" customWidth="1"/>
    <col min="24" max="24" width="15.6640625" customWidth="1"/>
    <col min="25" max="25" width="17" customWidth="1"/>
    <col min="26" max="26" width="27.6640625" customWidth="1"/>
    <col min="27" max="27" width="31.6640625" customWidth="1"/>
    <col min="28" max="28" width="36.33203125" customWidth="1"/>
    <col min="29" max="29" width="44.83203125" customWidth="1"/>
    <col min="30" max="30" width="9" customWidth="1"/>
    <col min="33" max="33" width="9.6640625" customWidth="1"/>
    <col min="34" max="34" width="11.6640625" customWidth="1"/>
    <col min="35" max="35" width="19.33203125" customWidth="1"/>
    <col min="36" max="36" width="31.83203125" customWidth="1"/>
    <col min="42" max="42" width="9.6640625" customWidth="1"/>
    <col min="43" max="43" width="10.83203125" customWidth="1"/>
    <col min="44" max="44" width="19.6640625" customWidth="1"/>
    <col min="45" max="45" width="15.83203125" customWidth="1"/>
    <col min="46" max="46" width="17.6640625" customWidth="1"/>
    <col min="47" max="47" width="27.6640625" customWidth="1"/>
    <col min="48" max="48" width="25.6640625" customWidth="1"/>
    <col min="49" max="49" width="23.33203125" customWidth="1"/>
    <col min="50" max="50" width="29.6640625" style="145" customWidth="1"/>
    <col min="51" max="51" width="22.33203125" customWidth="1"/>
    <col min="52" max="52" width="22.6640625" customWidth="1"/>
    <col min="53" max="53" width="24.83203125" customWidth="1"/>
    <col min="54" max="54" width="30" customWidth="1"/>
    <col min="55" max="55" width="23.1640625" customWidth="1"/>
    <col min="56" max="56" width="22.33203125" customWidth="1"/>
    <col min="57" max="57" width="28" customWidth="1"/>
    <col min="58" max="58" width="19.1640625" customWidth="1"/>
    <col min="59" max="59" width="10.6640625" customWidth="1"/>
    <col min="60" max="60" width="16.83203125" customWidth="1"/>
    <col min="61" max="61" width="23.33203125" customWidth="1"/>
    <col min="62" max="62" width="30.33203125" customWidth="1"/>
    <col min="63" max="63" width="16.83203125" customWidth="1"/>
    <col min="64" max="64" width="18.6640625" customWidth="1"/>
    <col min="67" max="67" width="31" customWidth="1"/>
    <col min="68" max="68" width="30" customWidth="1"/>
    <col min="75" max="75" width="9.6640625" customWidth="1"/>
    <col min="76" max="76" width="15" customWidth="1"/>
    <col min="77" max="77" width="29.1640625" customWidth="1"/>
    <col min="78" max="78" width="23.6640625" customWidth="1"/>
    <col min="79" max="79" width="32.6640625" customWidth="1"/>
    <col min="80" max="80" width="29.33203125" customWidth="1"/>
    <col min="81" max="81" width="31.83203125" customWidth="1"/>
    <col min="82" max="82" width="23.33203125" customWidth="1"/>
    <col min="83" max="83" width="27.83203125" customWidth="1"/>
    <col min="84" max="84" width="28.6640625" customWidth="1"/>
  </cols>
  <sheetData>
    <row r="1" spans="3:84" x14ac:dyDescent="0.2">
      <c r="M1" s="5" t="s">
        <v>522</v>
      </c>
      <c r="N1" s="5"/>
      <c r="O1" s="5" t="s">
        <v>523</v>
      </c>
      <c r="AI1" s="5" t="s">
        <v>527</v>
      </c>
      <c r="AJ1" s="5" t="s">
        <v>527</v>
      </c>
      <c r="AO1" t="s">
        <v>367</v>
      </c>
      <c r="AX1" s="145" t="s">
        <v>523</v>
      </c>
      <c r="BB1" t="s">
        <v>368</v>
      </c>
      <c r="BC1" t="s">
        <v>125</v>
      </c>
      <c r="BD1" t="s">
        <v>128</v>
      </c>
      <c r="BO1" s="5" t="s">
        <v>527</v>
      </c>
      <c r="BP1" s="5" t="s">
        <v>527</v>
      </c>
      <c r="BV1" t="s">
        <v>56</v>
      </c>
      <c r="CC1" t="s">
        <v>58</v>
      </c>
    </row>
    <row r="2" spans="3:84" x14ac:dyDescent="0.2">
      <c r="D2" t="s">
        <v>369</v>
      </c>
      <c r="E2" t="s">
        <v>369</v>
      </c>
      <c r="F2" t="s">
        <v>369</v>
      </c>
      <c r="G2" t="s">
        <v>369</v>
      </c>
      <c r="V2" t="s">
        <v>370</v>
      </c>
      <c r="AG2" t="s">
        <v>175</v>
      </c>
      <c r="AW2" s="5"/>
    </row>
    <row r="3" spans="3:84" ht="81.75" customHeight="1" x14ac:dyDescent="0.2">
      <c r="C3" s="19" t="s">
        <v>371</v>
      </c>
      <c r="D3" s="19" t="s">
        <v>372</v>
      </c>
      <c r="E3" s="19" t="s">
        <v>373</v>
      </c>
      <c r="F3" s="19" t="s">
        <v>374</v>
      </c>
      <c r="G3" s="19" t="s">
        <v>375</v>
      </c>
      <c r="J3" s="19" t="s">
        <v>376</v>
      </c>
      <c r="L3" t="s">
        <v>377</v>
      </c>
      <c r="M3" t="s">
        <v>377</v>
      </c>
      <c r="N3" s="19" t="s">
        <v>378</v>
      </c>
      <c r="O3" s="19" t="s">
        <v>379</v>
      </c>
      <c r="P3" s="19" t="s">
        <v>380</v>
      </c>
      <c r="Q3" s="19" t="s">
        <v>381</v>
      </c>
      <c r="R3" s="19" t="s">
        <v>382</v>
      </c>
      <c r="T3" s="19" t="s">
        <v>383</v>
      </c>
      <c r="V3" s="19" t="s">
        <v>384</v>
      </c>
      <c r="AC3" s="19" t="s">
        <v>385</v>
      </c>
      <c r="AG3" s="19" t="s">
        <v>386</v>
      </c>
      <c r="AI3" t="s">
        <v>530</v>
      </c>
      <c r="AJ3" s="19" t="s">
        <v>379</v>
      </c>
      <c r="AO3" s="19" t="s">
        <v>387</v>
      </c>
      <c r="AR3" s="1" t="s">
        <v>388</v>
      </c>
      <c r="AS3" t="s">
        <v>389</v>
      </c>
      <c r="AT3" s="1" t="s">
        <v>389</v>
      </c>
      <c r="AU3" s="19" t="s">
        <v>390</v>
      </c>
      <c r="AV3" t="s">
        <v>391</v>
      </c>
      <c r="AW3" s="121" t="s">
        <v>392</v>
      </c>
      <c r="AY3" s="19" t="s">
        <v>393</v>
      </c>
      <c r="AZ3" s="19" t="s">
        <v>394</v>
      </c>
      <c r="BA3" s="19" t="s">
        <v>381</v>
      </c>
      <c r="BB3" t="s">
        <v>395</v>
      </c>
      <c r="BC3" t="s">
        <v>396</v>
      </c>
      <c r="BD3" t="s">
        <v>397</v>
      </c>
      <c r="BE3" t="s">
        <v>398</v>
      </c>
      <c r="BM3" s="19" t="s">
        <v>59</v>
      </c>
      <c r="BO3" t="s">
        <v>530</v>
      </c>
      <c r="BP3" s="70" t="s">
        <v>399</v>
      </c>
      <c r="CB3" s="19" t="s">
        <v>393</v>
      </c>
      <c r="CF3" s="19" t="s">
        <v>394</v>
      </c>
    </row>
    <row r="4" spans="3:84" ht="31.5" customHeight="1" x14ac:dyDescent="0.2">
      <c r="C4" t="s">
        <v>158</v>
      </c>
      <c r="D4" t="s">
        <v>400</v>
      </c>
      <c r="E4" t="s">
        <v>401</v>
      </c>
      <c r="F4" t="s">
        <v>402</v>
      </c>
      <c r="G4" t="s">
        <v>403</v>
      </c>
      <c r="J4" t="s">
        <v>158</v>
      </c>
      <c r="K4" t="s">
        <v>166</v>
      </c>
      <c r="L4" t="s">
        <v>404</v>
      </c>
      <c r="M4" s="128" t="s">
        <v>405</v>
      </c>
      <c r="N4" t="s">
        <v>406</v>
      </c>
      <c r="O4" s="128" t="s">
        <v>407</v>
      </c>
      <c r="P4" t="s">
        <v>408</v>
      </c>
      <c r="Q4" t="s">
        <v>409</v>
      </c>
      <c r="R4" s="47" t="s">
        <v>410</v>
      </c>
      <c r="S4" t="s">
        <v>411</v>
      </c>
      <c r="T4" s="46" t="s">
        <v>412</v>
      </c>
      <c r="V4" t="s">
        <v>97</v>
      </c>
      <c r="W4" t="s">
        <v>176</v>
      </c>
      <c r="X4" s="16" t="s">
        <v>413</v>
      </c>
      <c r="Y4" s="16" t="s">
        <v>414</v>
      </c>
      <c r="Z4" s="16" t="s">
        <v>415</v>
      </c>
      <c r="AA4" s="46" t="s">
        <v>179</v>
      </c>
      <c r="AB4" s="46" t="s">
        <v>180</v>
      </c>
      <c r="AC4" s="16" t="s">
        <v>416</v>
      </c>
      <c r="AG4" s="29" t="s">
        <v>158</v>
      </c>
      <c r="AH4" s="16" t="s">
        <v>166</v>
      </c>
      <c r="AI4" s="16" t="s">
        <v>518</v>
      </c>
      <c r="AJ4" s="16" t="s">
        <v>417</v>
      </c>
      <c r="AO4" s="16" t="s">
        <v>158</v>
      </c>
      <c r="AP4" s="16" t="s">
        <v>166</v>
      </c>
      <c r="AQ4" s="31" t="s">
        <v>182</v>
      </c>
      <c r="AR4" s="31" t="s">
        <v>418</v>
      </c>
      <c r="AS4" s="47" t="s">
        <v>291</v>
      </c>
      <c r="AT4" s="47" t="s">
        <v>297</v>
      </c>
      <c r="AU4" s="47" t="s">
        <v>419</v>
      </c>
      <c r="AV4" t="s">
        <v>185</v>
      </c>
      <c r="AW4" t="s">
        <v>420</v>
      </c>
      <c r="AX4" s="163" t="s">
        <v>526</v>
      </c>
      <c r="AY4" s="47" t="s">
        <v>421</v>
      </c>
      <c r="AZ4" s="47" t="s">
        <v>422</v>
      </c>
      <c r="BA4" s="47" t="s">
        <v>423</v>
      </c>
      <c r="BB4" t="s">
        <v>424</v>
      </c>
      <c r="BC4" t="s">
        <v>425</v>
      </c>
      <c r="BD4" t="s">
        <v>426</v>
      </c>
      <c r="BE4" t="s">
        <v>427</v>
      </c>
      <c r="BF4" t="s">
        <v>104</v>
      </c>
      <c r="BG4" t="s">
        <v>428</v>
      </c>
      <c r="BH4" t="s">
        <v>429</v>
      </c>
      <c r="BI4" t="s">
        <v>430</v>
      </c>
      <c r="BJ4" t="s">
        <v>431</v>
      </c>
      <c r="BM4" s="29" t="s">
        <v>158</v>
      </c>
      <c r="BN4" s="16" t="s">
        <v>166</v>
      </c>
      <c r="BO4" s="16" t="s">
        <v>516</v>
      </c>
      <c r="BP4" s="16" t="s">
        <v>528</v>
      </c>
      <c r="BV4" s="16" t="s">
        <v>158</v>
      </c>
      <c r="BW4" s="16" t="s">
        <v>166</v>
      </c>
      <c r="BX4" t="s">
        <v>182</v>
      </c>
      <c r="BY4" t="s">
        <v>259</v>
      </c>
      <c r="BZ4" t="s">
        <v>209</v>
      </c>
      <c r="CA4" t="s">
        <v>433</v>
      </c>
      <c r="CB4" s="47" t="s">
        <v>434</v>
      </c>
      <c r="CC4" t="s">
        <v>260</v>
      </c>
      <c r="CD4" t="s">
        <v>215</v>
      </c>
      <c r="CE4" t="s">
        <v>261</v>
      </c>
      <c r="CF4" s="47" t="s">
        <v>435</v>
      </c>
    </row>
    <row r="5" spans="3:84" x14ac:dyDescent="0.2">
      <c r="C5" s="18">
        <v>2022</v>
      </c>
      <c r="D5">
        <f>-SUMIF(Table12[[#All],[year t]], "&lt;="&amp;Table11[[#This Row],[year t]], Table12[[#All],[∆𝐶𝐵𝑆𝐿−𝑏𝑖𝑜𝑚𝑎𝑠𝑠,𝑖,t (equation 23)]])*44/12</f>
        <v>0</v>
      </c>
      <c r="E5">
        <f>SUMIF(Table12[[#All],[year t]], "&lt;="&amp;Table11[[#This Row],[year t]], Table12[[#All],[𝐺𝐻𝐺𝐵𝑆𝐿−𝑠𝑜𝑖𝑙,𝑖,t]])</f>
        <v>0</v>
      </c>
      <c r="F5">
        <f>SUMIF(Table12[[#All],[year t]], "&lt;="&amp;Table11[[#This Row],[year t]], Table12[[#All],[𝐺𝐻𝐺𝐵𝑆𝐿−𝑓𝑢𝑒𝑙,𝑖,t]])</f>
        <v>0</v>
      </c>
      <c r="G5">
        <f>Table11[[#This Row],[GHG(BSL-biomass)]]+Table11[[#This Row],[GHG(BSL-soil)]]+Table11[[#This Row],[GHG(BSL-fuel)]]</f>
        <v>0</v>
      </c>
      <c r="J5" s="18">
        <v>2022</v>
      </c>
      <c r="K5" s="17">
        <v>1</v>
      </c>
      <c r="L5" cm="1">
        <f t="array" ref="L5">INDEX(Table32[[#All],[ΔCTREE_BSL,i,t (AR Tool 14) t C/yr]], MATCH(1, (Table12[[#This Row],[year t]]=Table32[[#All],[year t]])*(Table12[[#This Row],[stratum i]]=Table32[[#All],[stratum i]]), 0))</f>
        <v>0</v>
      </c>
      <c r="M5" cm="1">
        <f t="array" ref="M5">IF(baseline_abground_nontree = "Included", INDEX(#REF!, MATCH(1, (Table12[[#This Row],[year t]]=Table32[[#All],[year t]])*(Table12[[#This Row],[stratum i]]=Table32[[#All],[stratum i]]), 0)), 0)</f>
        <v>0</v>
      </c>
      <c r="N5">
        <f>12/44*(Table12[[#This Row],[ΔCTREE_BSL,i,t (AR Tool 14) t CO2e/yr]]+Table12[[#This Row],[ΔCSHRUB_BSL,i,t (AR Tool 14) t CO2e/yr]])</f>
        <v>0</v>
      </c>
      <c r="O5" cm="1">
        <f t="array" ref="O5">IF(baseline_abground_nontree = "Included", IFERROR(INDEX(Table13[[#All],[ΔCBSL-herb,i,t (Eq 25)]], MATCH(1, (Table12[[#This Row],[stratum i]]=Table13[[#All],[stratum i]])*(Table12[[#This Row],[year t]]&gt;=#REF!)*(Table12[[#This Row],[year t]]&lt;=Table13[[#All],[year t]]), 0)), 0), 0)</f>
        <v>0</v>
      </c>
      <c r="P5">
        <f>Table12[[#This Row],[ΔCBSL-tree/shrub,i,t (t C/yr) (Eq 24)]]+Table12[[#This Row],[ΔCBSL-herb,i,t (t C/yr)]]-Table12[[#This Row],[ΔCBSL-agbiomass,i,t; t C yr-1 (submergence)]]</f>
        <v>0</v>
      </c>
      <c r="Q5" cm="1">
        <f t="array" ref="Q5">IFERROR(INDEX(Table14[[#All],[GHGBSL-soil,i,t (Eq 26)]], MATCH(1, (Table12[[#This Row],[year t]]=Table14[[#All],[year t]])*(Table12[[#This Row],[stratum i]]=Table14[[#All],[stratum i]]), 0)), 0)</f>
        <v>0</v>
      </c>
      <c r="R5">
        <f>IF(baseline_ff_CO2 = "Included", Table12[[#This Row],[ET(FC,I,t) AR-Tool 5]], 0)</f>
        <v>0</v>
      </c>
      <c r="S5" t="e" cm="1">
        <f t="array" ref="S5">INDEX(#REF!, MATCH(1, (Table12[[#This Row],[year t]]=Table32[[#All],[year t]])*(Table12[[#This Row],[stratum i]]=Table32[[#All],[stratum i]]), 0))</f>
        <v>#REF!</v>
      </c>
      <c r="T5" cm="1">
        <f t="array" ref="T5">IFERROR(INDEX(Table30[[#All],[ΔCBSL-agbiomass,i,t (equation 22) t C yr-1]], MATCH(1, (Table12[[#This Row],[stratum i]]=Table30[[#All],[Stratum i]])*(Table12[[#This Row],[year t]]&lt;Table30[[#All],[Year of reporting]]), 0)), 0)</f>
        <v>0</v>
      </c>
      <c r="V5" s="17">
        <v>1</v>
      </c>
      <c r="W5" s="17" t="e" cm="1">
        <f t="array" ref="W5">INDEX(Table34[[#All],[Submergence]], MATCH(1, (Table30[[#This Row],[Stratum i]]=Table34[[#All],[stratum i]])*(Table30[[#This Row],[Year of reporting]]=Table34[[#All],[year t]]), 0))</f>
        <v>#N/A</v>
      </c>
      <c r="X5" s="17" t="e" cm="1">
        <f t="array" ref="X5">INDEX(Table34[[#All],[Submergence_T]], MATCH(1, (Table30[[#This Row],[Stratum i]]=Table34[[#All],[stratum i]])*(Table30[[#This Row],[Year of reporting]]=Table34[[#All],[year t]]), 0))</f>
        <v>#N/A</v>
      </c>
      <c r="Y5" s="17">
        <v>5</v>
      </c>
      <c r="Z5" s="17" t="e" cm="1">
        <f t="array" ref="Z5">INDEX(Table34[[#All],[Area submerged %]], MATCH(1, (Table30[[#This Row],[Stratum i]]=Table34[[#All],[stratum i]])*(Table30[[#This Row],[Year of reporting]]=Table34[[#All],[year t]]), 0))</f>
        <v>#N/A</v>
      </c>
      <c r="AA5" s="18" t="e" cm="1">
        <f t="array" ref="AA5">INDEX(Table34[[#All],[CBSL-agbiomass,i,t (AR tool 14, tC)]], MATCH(1, (Table30[[#This Row],[Stratum i]]=Table34[[#All],[stratum i]])*(Table30[[#This Row],[Year of reporting]]=Table34[[#All],[year t]]), 0))</f>
        <v>#N/A</v>
      </c>
      <c r="AB5" s="18" t="e" cm="1">
        <f t="array" ref="AB5">INDEX(Table34[[#All],[CBSL-agbiomass,i,t-T (AR tool 14, tC)]], MATCH(1, (Table30[[#This Row],[Stratum i]]=Table34[[#All],[stratum i]])*(Table30[[#This Row],[Year of reporting]]=Table34[[#All],[year t]]), 0))</f>
        <v>#N/A</v>
      </c>
      <c r="AC5"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5" s="18">
        <v>2022</v>
      </c>
      <c r="AH5" s="17">
        <v>1</v>
      </c>
      <c r="AI5" s="49" t="e" cm="1">
        <f t="array" ref="AI5">INDEX(#REF!, MATCH(1, (Table13[[#This Row],[year t]]=Table32[[#All],[year t]])*(Table13[[#This Row],[stratum i]]=Table32[[#All],[stratum i]]), 0))</f>
        <v>#REF!</v>
      </c>
      <c r="AJ5" s="49" t="e">
        <f>Table13[[#This Row],[ΔCBSL-herb,i,t (tC/ha)]]</f>
        <v>#REF!</v>
      </c>
      <c r="AO5" s="18">
        <v>2022</v>
      </c>
      <c r="AP5" s="17">
        <v>1</v>
      </c>
      <c r="AQ5" s="17" cm="1">
        <f t="array" ref="AQ5">INDEX(Table32[[#All],[Ai,t]], MATCH(1, (Table14[[#This Row],[year t]]=Table32[[#All],[year t]])*(Table14[[#This Row],[stratum i]]=Table32[[#All],[stratum i]]), 0))</f>
        <v>1090.4420357142858</v>
      </c>
      <c r="AR5" t="str">
        <f>IF(AND(INDEX(Table31[[#All],[Soil type (t=0)]], MATCH(Table14[[#This Row],[stratum i]], Table31[[#All],[Stratum i]]))="Peat soil", Table14[[#This Row],[year t]]&lt;=Table14[[#This Row],[End_PDT]]), "Peat soil", "Non-peat soil")</f>
        <v>Non-peat soil</v>
      </c>
      <c r="AS5">
        <f>IF(Emission_reduction_from_stock_loss?, INDEX(Table2[[#All],[End_PDT]], MATCH(Table14[[#This Row],[stratum i]], Table2[[#All],[stratum i]])), crediting_period)</f>
        <v>40</v>
      </c>
      <c r="AT5">
        <f>IF(Emission_reduction_from_stock_loss?, INDEX(Table2[[#All],[End_SDT]], MATCH(Table14[[#This Row],[stratum i]], Table2[[#All],[stratum i]])), crediting_period)</f>
        <v>40</v>
      </c>
      <c r="AU5" cm="1">
        <f t="array" ref="AU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 t="e" cm="1">
        <f t="array" ref="AV5">INDEX(#REF!, MATCH(1, (Table14[[#This Row],[year t]]=Table32[[#All],[year t]])*(Table14[[#This Row],[stratum i]]=Table32[[#All],[stratum i]]), 0))</f>
        <v>#REF!</v>
      </c>
      <c r="AW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 s="57">
        <f>(Table14[[#This Row],[GHGBSL-soil-CO2,i,t (Eq 27)]]-Table14[[#This Row],[Deductionalloch (Eq 38)]])*Table14[[#This Row],[Ai,t]]</f>
        <v>0</v>
      </c>
      <c r="AY5" cm="1">
        <f t="array" ref="AY5">IF(baseline_soil_CH4 = "Included", INDEX(Table18[[#All],[GHGBSL-soil-CH4,i,t (Eq 59)]], MATCH(1, (Table14[[#This Row],[year t]]=Table18[[#All],[year t]])*(Table14[[#This Row],[stratum i]]=Table18[[#All],[stratum i]]), 0)), 0)</f>
        <v>0</v>
      </c>
      <c r="AZ5" cm="1">
        <f t="array" ref="AZ5">IF(baseline_soil_N2O = "Included", INDEX(Table18[[#All],[GHGBSL-soil-N2O,i,t (Eq 62)]], MATCH(1, (Table14[[#This Row],[year t]]=Table18[[#All],[year t]])*(Table14[[#This Row],[stratum i]]=Table18[[#All],[stratum i]]), 0)), 0)</f>
        <v>0</v>
      </c>
      <c r="BA5">
        <f>IF(AND(Table14[[#This Row],[year t]]&gt;Table14[[#This Row],[End_PDT]],Table14[[#This Row],[year t]]&gt;Table14[[#This Row],[End_SDT]]), 0, Table14[[#This Row],[Ai,t]]*(Table14[[#This Row],[GHGBSL-soil-CO2,i,t (Eq 27)]]-Table14[[#This Row],[Deductionalloch (Eq 38)]]+Table14[[#This Row],[GHGBSL-soil-CH4,i,t]]+Table14[[#This Row],[GHGBSL-soil-N2O,i,t]]))</f>
        <v>0</v>
      </c>
      <c r="BB5" t="e" cm="1">
        <f t="array" ref="BB5">INDEX(#REF!, MATCH(1, (Table14[[#This Row],[year t]]=Table32[[#All],[year t]])*(Table14[[#This Row],[stratum i]]=Table32[[#All],[stratum i]]), 0))</f>
        <v>#REF!</v>
      </c>
      <c r="BC5" t="e" cm="1">
        <f t="array" ref="BC5">INDEX(#REF!, MATCH(1, (Table14[[#This Row],[year t]]=Table32[[#All],[year t]])*(Table14[[#This Row],[stratum i]]=Table32[[#All],[stratum i]]), 0))</f>
        <v>#REF!</v>
      </c>
      <c r="BD5" t="e" cm="1">
        <f t="array" ref="BD5">INDEX(#REF!, MATCH(1, (Table14[[#This Row],[year t]]=Table32[[#All],[year t]])*(Table14[[#This Row],[stratum i]]=Table32[[#All],[stratum i]]), 0))</f>
        <v>#REF!</v>
      </c>
      <c r="BE5" t="e" cm="1">
        <f t="array" ref="BE5">INDEX(#REF!, MATCH(1, (Table14[[#This Row],[year t]]=Table32[[#All],[year t]])*(Table14[[#This Row],[stratum i]]=Table32[[#All],[stratum i]]), 0))</f>
        <v>#REF!</v>
      </c>
      <c r="BM5" s="18">
        <v>2022</v>
      </c>
      <c r="BN5" s="17">
        <v>1</v>
      </c>
      <c r="BO5" t="e" cm="1">
        <f t="array" ref="BO5">INDEX(#REF!, MATCH(1, (Table132926[[#This Row],[year t]]=Table32[year t])*(Table132926[[#This Row],[stratum i]]=Table32[[#All],[stratum i]]), 0))</f>
        <v>#REF!</v>
      </c>
      <c r="BP5" t="e">
        <f>-44/12*Table132926[[#This Row],[∆CBSL-soil,i,t (tC/ha)]]</f>
        <v>#REF!</v>
      </c>
      <c r="BV5" s="17">
        <v>1</v>
      </c>
      <c r="BW5" s="17">
        <v>1</v>
      </c>
      <c r="BX5" s="32" t="e" cm="1">
        <f t="array" ref="BX5">INDEX(Table32[[#All],[Ai,t]], MATCH(1, (Table18[[#This Row],[year t]]=Table32[[#All],[year t]])*(Table18[[#This Row],[stratum i]]=Table32[[#All],[stratum i]]), 0))</f>
        <v>#N/A</v>
      </c>
      <c r="BY5" t="e" cm="1">
        <f t="array" ref="BY5">INDEX(#REF!, MATCH(1, (Table18[[#This Row],[year t]]=Table32[[#All],[year t]])*(Table18[[#This Row],[stratum i]]=Table32[[#All],[stratum i]]), 0))</f>
        <v>#REF!</v>
      </c>
      <c r="BZ5" t="e" cm="1">
        <f t="array" ref="BZ5">INDEX(#REF!, MATCH(1, (Table18[[#This Row],[year t]]=Table32[[#All],[year t]])*(Table18[[#This Row],[stratum i]]=Table32[[#All],[stratum i]]), 0))</f>
        <v>#REF!</v>
      </c>
      <c r="CA5" t="e" cm="1">
        <f t="array" ref="CA5">INDEX(#REF!, MATCH(1, (Table18[[#This Row],[year t]]=Table32[[#All],[year t]])*(Table18[[#This Row],[stratum i]]=Table32[[#All],[stratum i]]), 0))</f>
        <v>#REF!</v>
      </c>
      <c r="CB5" t="e">
        <f>IF(soil_CH4_approach = "Proxies", Table18[[#This Row],[ƒ (GHG emission proxy: CH4)]]*GWP_CH4, IF(soil_CH4_approach = "IPCC emission factors", Table18[[#This Row],[IPCC Emission factor EF(CH4)]]*Table18[[#This Row],[Ai,t]]*GWP_CH4, Table18[[#This Row],[CH4(BSL-soil,I,t)]]*GWP_CH4))</f>
        <v>#REF!</v>
      </c>
      <c r="CC5" t="e" cm="1">
        <f t="array" ref="CC5">INDEX(#REF!, MATCH(1, (Table18[[#This Row],[year t]]=Table32[[#All],[year t]])*(Table18[[#This Row],[stratum i]]=Table32[[#All],[stratum i]]), 0))</f>
        <v>#REF!</v>
      </c>
      <c r="CD5" t="e" cm="1">
        <f t="array" ref="CD5">INDEX(#REF!, MATCH(1, (Table18[[#This Row],[year t]]=Table32[[#All],[year t]])*(Table18[[#This Row],[stratum i]]=Table32[[#All],[stratum i]]), 0))</f>
        <v>#REF!</v>
      </c>
      <c r="CE5" t="e" cm="1">
        <f t="array" ref="CE5">INDEX(#REF!, MATCH(1, (Table18[[#This Row],[year t]]=Table32[[#All],[year t]])*(Table18[[#This Row],[stratum i]]=Table32[[#All],[stratum i]]), 0))</f>
        <v>#REF!</v>
      </c>
      <c r="CF5" t="e">
        <f>IF(soil_N2O_approach = "Proxies", Table18[[#This Row],[ƒ (N2O emission proxy: N2O)]]*GWP_N2O, IF(soil_N2O_approach = "IPCC emission factors", Table18[[#This Row],[IPCC Emission factor EF(N2O)]]*Table18[[#This Row],[Ai,t]]*GWP_N2O, Table18[[#This Row],[N2O (BSL-soil,I,t)]]*GWP_N2O))</f>
        <v>#REF!</v>
      </c>
    </row>
    <row r="6" spans="3:84" x14ac:dyDescent="0.2">
      <c r="C6" s="18">
        <v>2023</v>
      </c>
      <c r="D6">
        <f>-SUMIF(Table12[[#All],[year t]], "&lt;="&amp;Table11[[#This Row],[year t]], Table12[[#All],[∆𝐶𝐵𝑆𝐿−𝑏𝑖𝑜𝑚𝑎𝑠𝑠,𝑖,t (equation 23)]])*44/12</f>
        <v>0</v>
      </c>
      <c r="E6">
        <f>SUMIF(Table12[[#All],[year t]], "&lt;="&amp;Table11[[#This Row],[year t]], Table12[[#All],[𝐺𝐻𝐺𝐵𝑆𝐿−𝑠𝑜𝑖𝑙,𝑖,t]])</f>
        <v>0</v>
      </c>
      <c r="F6">
        <f>SUMIF(Table12[[#All],[year t]], "&lt;="&amp;Table11[[#This Row],[year t]], Table12[[#All],[𝐺𝐻𝐺𝐵𝑆𝐿−𝑓𝑢𝑒𝑙,𝑖,t]])</f>
        <v>0</v>
      </c>
      <c r="G6">
        <f>Table11[[#This Row],[GHG(BSL-biomass)]]+Table11[[#This Row],[GHG(BSL-soil)]]+Table11[[#This Row],[GHG(BSL-fuel)]]</f>
        <v>0</v>
      </c>
      <c r="J6" s="18">
        <v>2023</v>
      </c>
      <c r="K6" s="18">
        <v>1</v>
      </c>
      <c r="L6" cm="1">
        <f t="array" ref="L6">INDEX(Table32[[#All],[ΔCTREE_BSL,i,t (AR Tool 14) t C/yr]], MATCH(1, (Table12[[#This Row],[year t]]=Table32[[#All],[year t]])*(Table12[[#This Row],[stratum i]]=Table32[[#All],[stratum i]]), 0))</f>
        <v>0</v>
      </c>
      <c r="M6" cm="1">
        <f t="array" ref="M6">IF(baseline_abground_nontree = "Included", INDEX(#REF!, MATCH(1, (Table12[[#This Row],[year t]]=Table32[[#All],[year t]])*(Table12[[#This Row],[stratum i]]=Table32[[#All],[stratum i]]), 0)), 0)</f>
        <v>0</v>
      </c>
      <c r="N6">
        <f>12/44*(Table12[[#This Row],[ΔCTREE_BSL,i,t (AR Tool 14) t CO2e/yr]]+Table12[[#This Row],[ΔCSHRUB_BSL,i,t (AR Tool 14) t CO2e/yr]])</f>
        <v>0</v>
      </c>
      <c r="O6" cm="1">
        <f t="array" ref="O6">IF(baseline_abground_nontree = "Included", IFERROR(INDEX(Table13[[#All],[ΔCBSL-herb,i,t (Eq 25)]], MATCH(1, (Table12[[#This Row],[stratum i]]=Table13[[#All],[stratum i]])*(Table12[[#This Row],[year t]]&gt;=#REF!)*(Table12[[#This Row],[year t]]&lt;=Table13[[#All],[year t]]), 0)), 0), 0)</f>
        <v>0</v>
      </c>
      <c r="P6">
        <f>Table12[[#This Row],[ΔCBSL-tree/shrub,i,t (t C/yr) (Eq 24)]]+Table12[[#This Row],[ΔCBSL-herb,i,t (t C/yr)]]-Table12[[#This Row],[ΔCBSL-agbiomass,i,t; t C yr-1 (submergence)]]</f>
        <v>0</v>
      </c>
      <c r="Q6" cm="1">
        <f t="array" ref="Q6">IFERROR(INDEX(Table14[[#All],[GHGBSL-soil,i,t (Eq 26)]], MATCH(1, (Table12[[#This Row],[year t]]=Table14[[#All],[year t]])*(Table12[[#This Row],[stratum i]]=Table14[[#All],[stratum i]]), 0)), 0)</f>
        <v>0</v>
      </c>
      <c r="R6">
        <f>IF(baseline_ff_CO2 = "Included", Table12[[#This Row],[ET(FC,I,t) AR-Tool 5]], 0)</f>
        <v>0</v>
      </c>
      <c r="S6" t="e" cm="1">
        <f t="array" ref="S6">INDEX(#REF!, MATCH(1, (Table12[[#This Row],[year t]]=Table32[[#All],[year t]])*(Table12[[#This Row],[stratum i]]=Table32[[#All],[stratum i]]), 0))</f>
        <v>#REF!</v>
      </c>
      <c r="T6" cm="1">
        <f t="array" ref="T6">IFERROR(INDEX(Table30[[#All],[ΔCBSL-agbiomass,i,t (equation 22) t C yr-1]], MATCH(1, (Table12[[#This Row],[stratum i]]=Table30[[#All],[Stratum i]])*(Table12[[#This Row],[year t]]&lt;Table30[[#All],[Year of reporting]]), 0)), 0)</f>
        <v>0</v>
      </c>
      <c r="V6" s="18">
        <v>2</v>
      </c>
      <c r="W6" s="18" t="e" cm="1">
        <f t="array" ref="W6">INDEX(Table34[[#All],[Submergence]], MATCH(1, (Table30[[#This Row],[Stratum i]]=Table34[[#All],[stratum i]])*(Table30[[#This Row],[Year of reporting]]=Table34[[#All],[year t]]), 0))</f>
        <v>#N/A</v>
      </c>
      <c r="X6" s="18" t="e" cm="1">
        <f t="array" ref="X6">INDEX(Table34[[#All],[Submergence_T]], MATCH(1, (Table30[[#This Row],[Stratum i]]=Table34[[#All],[stratum i]])*(Table30[[#This Row],[Year of reporting]]=Table34[[#All],[year t]]), 0))</f>
        <v>#N/A</v>
      </c>
      <c r="Y6" s="18">
        <v>6</v>
      </c>
      <c r="Z6" s="18" t="e" cm="1">
        <f t="array" ref="Z6">INDEX(Table34[[#All],[Area submerged %]], MATCH(1, (Table30[[#This Row],[Stratum i]]=Table34[[#All],[stratum i]])*(Table30[[#This Row],[Year of reporting]]=Table34[[#All],[year t]]), 0))</f>
        <v>#N/A</v>
      </c>
      <c r="AA6" s="18" t="e" cm="1">
        <f t="array" ref="AA6">INDEX(Table34[[#All],[CBSL-agbiomass,i,t (AR tool 14, tC)]], MATCH(1, (Table30[[#This Row],[Stratum i]]=Table34[[#All],[stratum i]])*(Table30[[#This Row],[Year of reporting]]=Table34[[#All],[year t]]), 0))</f>
        <v>#N/A</v>
      </c>
      <c r="AB6" s="18" t="e" cm="1">
        <f t="array" ref="AB6">INDEX(Table34[[#All],[CBSL-agbiomass,i,t-T (AR tool 14, tC)]], MATCH(1, (Table30[[#This Row],[Stratum i]]=Table34[[#All],[stratum i]])*(Table30[[#This Row],[Year of reporting]]=Table34[[#All],[year t]]), 0))</f>
        <v>#N/A</v>
      </c>
      <c r="AC6"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6" s="18">
        <v>2023</v>
      </c>
      <c r="AH6" s="18">
        <v>1</v>
      </c>
      <c r="AI6" s="49" t="e" cm="1">
        <f t="array" ref="AI6">INDEX(#REF!, MATCH(1, (Table13[[#This Row],[year t]]=Table32[[#All],[year t]])*(Table13[[#This Row],[stratum i]]=Table32[[#All],[stratum i]]), 0))</f>
        <v>#REF!</v>
      </c>
      <c r="AJ6" s="49" t="e">
        <f>Table13[[#This Row],[ΔCBSL-herb,i,t (tC/ha)]]</f>
        <v>#REF!</v>
      </c>
      <c r="AO6" s="18">
        <v>2023</v>
      </c>
      <c r="AP6" s="18">
        <v>1</v>
      </c>
      <c r="AQ6" s="18" cm="1">
        <f t="array" ref="AQ6">INDEX(Table32[[#All],[Ai,t]], MATCH(1, (Table14[[#This Row],[year t]]=Table32[[#All],[year t]])*(Table14[[#This Row],[stratum i]]=Table32[[#All],[stratum i]]), 0))</f>
        <v>1090.4420357142858</v>
      </c>
      <c r="AR6" t="str">
        <f>IF(AND(INDEX(Table31[[#All],[Soil type (t=0)]], MATCH(Table14[[#This Row],[stratum i]], Table31[[#All],[Stratum i]]))="Peat soil", Table14[[#This Row],[year t]]&lt;=Table14[[#This Row],[End_PDT]]), "Peat soil", "Non-peat soil")</f>
        <v>Non-peat soil</v>
      </c>
      <c r="AS6">
        <f>IF(Emission_reduction_from_stock_loss?, INDEX(Table2[[#All],[End_PDT]], MATCH(Table14[[#This Row],[stratum i]], Table2[[#All],[stratum i]])), crediting_period)</f>
        <v>40</v>
      </c>
      <c r="AT6">
        <f>IF(Emission_reduction_from_stock_loss?, INDEX(Table2[[#All],[End_SDT]], MATCH(Table14[[#This Row],[stratum i]], Table2[[#All],[stratum i]])), crediting_period)</f>
        <v>40</v>
      </c>
      <c r="AU6" cm="1">
        <f t="array" ref="AU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 t="e" cm="1">
        <f t="array" ref="AV6">INDEX(#REF!, MATCH(1, (Table14[[#This Row],[year t]]=Table32[[#All],[year t]])*(Table14[[#This Row],[stratum i]]=Table32[[#All],[stratum i]]), 0))</f>
        <v>#REF!</v>
      </c>
      <c r="AW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 s="57">
        <f>(Table14[[#This Row],[GHGBSL-soil-CO2,i,t (Eq 27)]]-Table14[[#This Row],[Deductionalloch (Eq 38)]])*Table14[[#This Row],[Ai,t]]</f>
        <v>0</v>
      </c>
      <c r="AY6" cm="1">
        <f t="array" ref="AY6">IF(baseline_soil_CH4 = "Included", INDEX(Table18[[#All],[GHGBSL-soil-CH4,i,t (Eq 59)]], MATCH(1, (Table14[[#This Row],[year t]]=Table18[[#All],[year t]])*(Table14[[#This Row],[stratum i]]=Table18[[#All],[stratum i]]), 0)), 0)</f>
        <v>0</v>
      </c>
      <c r="AZ6" cm="1">
        <f t="array" ref="AZ6">IF(baseline_soil_N2O = "Included", INDEX(Table18[[#All],[GHGBSL-soil-N2O,i,t (Eq 62)]], MATCH(1, (Table14[[#This Row],[year t]]=Table18[[#All],[year t]])*(Table14[[#This Row],[stratum i]]=Table18[[#All],[stratum i]]), 0)), 0)</f>
        <v>0</v>
      </c>
      <c r="BA6">
        <f>IF(AND(Table14[[#This Row],[year t]]&gt;Table14[[#This Row],[End_PDT]],Table14[[#This Row],[year t]]&gt;Table14[[#This Row],[End_SDT]]), 0, Table14[[#This Row],[Ai,t]]*(Table14[[#This Row],[GHGBSL-soil-CO2,i,t (Eq 27)]]-Table14[[#This Row],[Deductionalloch (Eq 38)]]+Table14[[#This Row],[GHGBSL-soil-CH4,i,t]]+Table14[[#This Row],[GHGBSL-soil-N2O,i,t]]))</f>
        <v>0</v>
      </c>
      <c r="BB6" t="e" cm="1">
        <f t="array" ref="BB6">INDEX(#REF!, MATCH(1, (Table14[[#This Row],[year t]]=Table32[[#All],[year t]])*(Table14[[#This Row],[stratum i]]=Table32[[#All],[stratum i]]), 0))</f>
        <v>#REF!</v>
      </c>
      <c r="BC6" t="e" cm="1">
        <f t="array" ref="BC6">INDEX(#REF!, MATCH(1, (Table14[[#This Row],[year t]]=Table32[[#All],[year t]])*(Table14[[#This Row],[stratum i]]=Table32[[#All],[stratum i]]), 0))</f>
        <v>#REF!</v>
      </c>
      <c r="BD6" t="e" cm="1">
        <f t="array" ref="BD6">INDEX(#REF!, MATCH(1, (Table14[[#This Row],[year t]]=Table32[[#All],[year t]])*(Table14[[#This Row],[stratum i]]=Table32[[#All],[stratum i]]), 0))</f>
        <v>#REF!</v>
      </c>
      <c r="BE6" t="e" cm="1">
        <f t="array" ref="BE6">INDEX(#REF!, MATCH(1, (Table14[[#This Row],[year t]]=Table32[[#All],[year t]])*(Table14[[#This Row],[stratum i]]=Table32[[#All],[stratum i]]), 0))</f>
        <v>#REF!</v>
      </c>
      <c r="BM6" s="18">
        <v>2023</v>
      </c>
      <c r="BN6" s="18">
        <v>1</v>
      </c>
      <c r="BO6" t="e" cm="1">
        <f t="array" ref="BO6">INDEX(#REF!, MATCH(1, (Table132926[[#This Row],[year t]]=Table32[year t])*(Table132926[[#This Row],[stratum i]]=Table32[[#All],[stratum i]]), 0))</f>
        <v>#REF!</v>
      </c>
      <c r="BP6" t="e">
        <f>-44/12*Table132926[[#This Row],[∆CBSL-soil,i,t (tC/ha)]]</f>
        <v>#REF!</v>
      </c>
      <c r="BV6" s="18">
        <v>2</v>
      </c>
      <c r="BW6" s="18">
        <v>1</v>
      </c>
      <c r="BX6" t="e" cm="1">
        <f t="array" ref="BX6">INDEX(Table32[[#All],[Ai,t]], MATCH(1, (Table18[[#This Row],[year t]]=Table32[[#All],[year t]])*(Table18[[#This Row],[stratum i]]=Table32[[#All],[stratum i]]), 0))</f>
        <v>#N/A</v>
      </c>
      <c r="BY6" t="e" cm="1">
        <f t="array" ref="BY6">INDEX(#REF!, MATCH(1, (Table18[[#This Row],[year t]]=Table32[[#All],[year t]])*(Table18[[#This Row],[stratum i]]=Table32[[#All],[stratum i]]), 0))</f>
        <v>#REF!</v>
      </c>
      <c r="BZ6" t="e" cm="1">
        <f t="array" ref="BZ6">INDEX(#REF!, MATCH(1, (Table18[[#This Row],[year t]]=Table32[[#All],[year t]])*(Table18[[#This Row],[stratum i]]=Table32[[#All],[stratum i]]), 0))</f>
        <v>#REF!</v>
      </c>
      <c r="CA6" t="e" cm="1">
        <f t="array" ref="CA6">INDEX(#REF!, MATCH(1, (Table18[[#This Row],[year t]]=Table32[[#All],[year t]])*(Table18[[#This Row],[stratum i]]=Table32[[#All],[stratum i]]), 0))</f>
        <v>#REF!</v>
      </c>
      <c r="CB6" t="e">
        <f>IF(soil_CH4_approach = "Proxies", Table18[[#This Row],[ƒ (GHG emission proxy: CH4)]]*GWP_CH4, IF(soil_CH4_approach = "IPCC emission factors", Table18[[#This Row],[IPCC Emission factor EF(CH4)]]*Table18[[#This Row],[Ai,t]]*GWP_CH4, Table18[[#This Row],[CH4(BSL-soil,I,t)]]*GWP_CH4))</f>
        <v>#REF!</v>
      </c>
      <c r="CC6" t="e" cm="1">
        <f t="array" ref="CC6">INDEX(#REF!, MATCH(1, (Table18[[#This Row],[year t]]=Table32[[#All],[year t]])*(Table18[[#This Row],[stratum i]]=Table32[[#All],[stratum i]]), 0))</f>
        <v>#REF!</v>
      </c>
      <c r="CD6" t="e" cm="1">
        <f t="array" ref="CD6">INDEX(#REF!, MATCH(1, (Table18[[#This Row],[year t]]=Table32[[#All],[year t]])*(Table18[[#This Row],[stratum i]]=Table32[[#All],[stratum i]]), 0))</f>
        <v>#REF!</v>
      </c>
      <c r="CE6" t="e" cm="1">
        <f t="array" ref="CE6">INDEX(#REF!, MATCH(1, (Table18[[#This Row],[year t]]=Table32[[#All],[year t]])*(Table18[[#This Row],[stratum i]]=Table32[[#All],[stratum i]]), 0))</f>
        <v>#REF!</v>
      </c>
      <c r="CF6" t="e">
        <f>IF(soil_N2O_approach = "Proxies", Table18[[#This Row],[ƒ (N2O emission proxy: N2O)]]*GWP_N2O, IF(soil_N2O_approach = "IPCC emission factors", Table18[[#This Row],[IPCC Emission factor EF(N2O)]]*Table18[[#This Row],[Ai,t]]*GWP_N2O, Table18[[#This Row],[N2O (BSL-soil,I,t)]]*GWP_N2O))</f>
        <v>#REF!</v>
      </c>
    </row>
    <row r="7" spans="3:84" x14ac:dyDescent="0.2">
      <c r="C7" s="18">
        <v>2024</v>
      </c>
      <c r="D7">
        <f>-SUMIF(Table12[[#All],[year t]], "&lt;="&amp;Table11[[#This Row],[year t]], Table12[[#All],[∆𝐶𝐵𝑆𝐿−𝑏𝑖𝑜𝑚𝑎𝑠𝑠,𝑖,t (equation 23)]])*44/12</f>
        <v>0</v>
      </c>
      <c r="E7">
        <f>SUMIF(Table12[[#All],[year t]], "&lt;="&amp;Table11[[#This Row],[year t]], Table12[[#All],[𝐺𝐻𝐺𝐵𝑆𝐿−𝑠𝑜𝑖𝑙,𝑖,t]])</f>
        <v>0</v>
      </c>
      <c r="F7">
        <f>SUMIF(Table12[[#All],[year t]], "&lt;="&amp;Table11[[#This Row],[year t]], Table12[[#All],[𝐺𝐻𝐺𝐵𝑆𝐿−𝑓𝑢𝑒𝑙,𝑖,t]])</f>
        <v>0</v>
      </c>
      <c r="G7">
        <f>Table11[[#This Row],[GHG(BSL-biomass)]]+Table11[[#This Row],[GHG(BSL-soil)]]+Table11[[#This Row],[GHG(BSL-fuel)]]</f>
        <v>0</v>
      </c>
      <c r="J7" s="18">
        <v>2024</v>
      </c>
      <c r="K7" s="17">
        <v>1</v>
      </c>
      <c r="L7" cm="1">
        <f t="array" ref="L7">INDEX(Table32[[#All],[ΔCTREE_BSL,i,t (AR Tool 14) t C/yr]], MATCH(1, (Table12[[#This Row],[year t]]=Table32[[#All],[year t]])*(Table12[[#This Row],[stratum i]]=Table32[[#All],[stratum i]]), 0))</f>
        <v>0</v>
      </c>
      <c r="M7" cm="1">
        <f t="array" ref="M7">IF(baseline_abground_nontree = "Included", INDEX(#REF!, MATCH(1, (Table12[[#This Row],[year t]]=Table32[[#All],[year t]])*(Table12[[#This Row],[stratum i]]=Table32[[#All],[stratum i]]), 0)), 0)</f>
        <v>0</v>
      </c>
      <c r="N7">
        <f>12/44*(Table12[[#This Row],[ΔCTREE_BSL,i,t (AR Tool 14) t CO2e/yr]]+Table12[[#This Row],[ΔCSHRUB_BSL,i,t (AR Tool 14) t CO2e/yr]])</f>
        <v>0</v>
      </c>
      <c r="O7" cm="1">
        <f t="array" ref="O7">IF(baseline_abground_nontree = "Included", IFERROR(INDEX(Table13[[#All],[ΔCBSL-herb,i,t (Eq 25)]], MATCH(1, (Table12[[#This Row],[stratum i]]=Table13[[#All],[stratum i]])*(Table12[[#This Row],[year t]]&gt;=#REF!)*(Table12[[#This Row],[year t]]&lt;=Table13[[#All],[year t]]), 0)), 0), 0)</f>
        <v>0</v>
      </c>
      <c r="P7">
        <f>Table12[[#This Row],[ΔCBSL-tree/shrub,i,t (t C/yr) (Eq 24)]]+Table12[[#This Row],[ΔCBSL-herb,i,t (t C/yr)]]-Table12[[#This Row],[ΔCBSL-agbiomass,i,t; t C yr-1 (submergence)]]</f>
        <v>0</v>
      </c>
      <c r="Q7" cm="1">
        <f t="array" ref="Q7">IFERROR(INDEX(Table14[[#All],[GHGBSL-soil,i,t (Eq 26)]], MATCH(1, (Table12[[#This Row],[year t]]=Table14[[#All],[year t]])*(Table12[[#This Row],[stratum i]]=Table14[[#All],[stratum i]]), 0)), 0)</f>
        <v>0</v>
      </c>
      <c r="R7">
        <f>IF(baseline_ff_CO2 = "Included", Table12[[#This Row],[ET(FC,I,t) AR-Tool 5]], 0)</f>
        <v>0</v>
      </c>
      <c r="S7" t="e" cm="1">
        <f t="array" ref="S7">INDEX(#REF!, MATCH(1, (Table12[[#This Row],[year t]]=Table32[[#All],[year t]])*(Table12[[#This Row],[stratum i]]=Table32[[#All],[stratum i]]), 0))</f>
        <v>#REF!</v>
      </c>
      <c r="T7" cm="1">
        <f t="array" ref="T7">IFERROR(INDEX(Table30[[#All],[ΔCBSL-agbiomass,i,t (equation 22) t C yr-1]], MATCH(1, (Table12[[#This Row],[stratum i]]=Table30[[#All],[Stratum i]])*(Table12[[#This Row],[year t]]&lt;Table30[[#All],[Year of reporting]]), 0)), 0)</f>
        <v>0</v>
      </c>
      <c r="V7" s="17">
        <v>3</v>
      </c>
      <c r="W7" s="17" t="e" cm="1">
        <f t="array" ref="W7">INDEX(Table34[[#All],[Submergence]], MATCH(1, (Table30[[#This Row],[Stratum i]]=Table34[[#All],[stratum i]])*(Table30[[#This Row],[Year of reporting]]=Table34[[#All],[year t]]), 0))</f>
        <v>#N/A</v>
      </c>
      <c r="X7" s="17" t="e" cm="1">
        <f t="array" ref="X7">INDEX(Table34[[#All],[Submergence_T]], MATCH(1, (Table30[[#This Row],[Stratum i]]=Table34[[#All],[stratum i]])*(Table30[[#This Row],[Year of reporting]]=Table34[[#All],[year t]]), 0))</f>
        <v>#N/A</v>
      </c>
      <c r="Y7" s="17">
        <v>5</v>
      </c>
      <c r="Z7" s="17" t="e" cm="1">
        <f t="array" ref="Z7">INDEX(Table34[[#All],[Area submerged %]], MATCH(1, (Table30[[#This Row],[Stratum i]]=Table34[[#All],[stratum i]])*(Table30[[#This Row],[Year of reporting]]=Table34[[#All],[year t]]), 0))</f>
        <v>#N/A</v>
      </c>
      <c r="AA7" s="18" t="e" cm="1">
        <f t="array" ref="AA7">INDEX(Table34[[#All],[CBSL-agbiomass,i,t (AR tool 14, tC)]], MATCH(1, (Table30[[#This Row],[Stratum i]]=Table34[[#All],[stratum i]])*(Table30[[#This Row],[Year of reporting]]=Table34[[#All],[year t]]), 0))</f>
        <v>#N/A</v>
      </c>
      <c r="AB7" s="18" t="e" cm="1">
        <f t="array" ref="AB7">INDEX(Table34[[#All],[CBSL-agbiomass,i,t-T (AR tool 14, tC)]], MATCH(1, (Table30[[#This Row],[Stratum i]]=Table34[[#All],[stratum i]])*(Table30[[#This Row],[Year of reporting]]=Table34[[#All],[year t]]), 0))</f>
        <v>#N/A</v>
      </c>
      <c r="AC7"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7" s="18">
        <v>2024</v>
      </c>
      <c r="AH7" s="17">
        <v>1</v>
      </c>
      <c r="AI7" s="49" t="e" cm="1">
        <f t="array" ref="AI7">INDEX(#REF!, MATCH(1, (Table13[[#This Row],[year t]]=Table32[[#All],[year t]])*(Table13[[#This Row],[stratum i]]=Table32[[#All],[stratum i]]), 0))</f>
        <v>#REF!</v>
      </c>
      <c r="AJ7" s="49" t="e">
        <f>Table13[[#This Row],[ΔCBSL-herb,i,t (tC/ha)]]</f>
        <v>#REF!</v>
      </c>
      <c r="AO7" s="18">
        <v>2024</v>
      </c>
      <c r="AP7" s="17">
        <v>1</v>
      </c>
      <c r="AQ7" s="17" cm="1">
        <f t="array" ref="AQ7">INDEX(Table32[[#All],[Ai,t]], MATCH(1, (Table14[[#This Row],[year t]]=Table32[[#All],[year t]])*(Table14[[#This Row],[stratum i]]=Table32[[#All],[stratum i]]), 0))</f>
        <v>1090.4420357142858</v>
      </c>
      <c r="AR7" t="str">
        <f>IF(AND(INDEX(Table31[[#All],[Soil type (t=0)]], MATCH(Table14[[#This Row],[stratum i]], Table31[[#All],[Stratum i]]))="Peat soil", Table14[[#This Row],[year t]]&lt;=Table14[[#This Row],[End_PDT]]), "Peat soil", "Non-peat soil")</f>
        <v>Non-peat soil</v>
      </c>
      <c r="AS7">
        <f>IF(Emission_reduction_from_stock_loss?, INDEX(Table2[[#All],[End_PDT]], MATCH(Table14[[#This Row],[stratum i]], Table2[[#All],[stratum i]])), crediting_period)</f>
        <v>40</v>
      </c>
      <c r="AT7">
        <f>IF(Emission_reduction_from_stock_loss?, INDEX(Table2[[#All],[End_SDT]], MATCH(Table14[[#This Row],[stratum i]], Table2[[#All],[stratum i]])), crediting_period)</f>
        <v>40</v>
      </c>
      <c r="AU7" cm="1">
        <f t="array" ref="AU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 t="e" cm="1">
        <f t="array" ref="AV7">INDEX(#REF!, MATCH(1, (Table14[[#This Row],[year t]]=Table32[[#All],[year t]])*(Table14[[#This Row],[stratum i]]=Table32[[#All],[stratum i]]), 0))</f>
        <v>#REF!</v>
      </c>
      <c r="AW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 s="57">
        <f>(Table14[[#This Row],[GHGBSL-soil-CO2,i,t (Eq 27)]]-Table14[[#This Row],[Deductionalloch (Eq 38)]])*Table14[[#This Row],[Ai,t]]</f>
        <v>0</v>
      </c>
      <c r="AY7" cm="1">
        <f t="array" ref="AY7">IF(baseline_soil_CH4 = "Included", INDEX(Table18[[#All],[GHGBSL-soil-CH4,i,t (Eq 59)]], MATCH(1, (Table14[[#This Row],[year t]]=Table18[[#All],[year t]])*(Table14[[#This Row],[stratum i]]=Table18[[#All],[stratum i]]), 0)), 0)</f>
        <v>0</v>
      </c>
      <c r="AZ7" cm="1">
        <f t="array" ref="AZ7">IF(baseline_soil_N2O = "Included", INDEX(Table18[[#All],[GHGBSL-soil-N2O,i,t (Eq 62)]], MATCH(1, (Table14[[#This Row],[year t]]=Table18[[#All],[year t]])*(Table14[[#This Row],[stratum i]]=Table18[[#All],[stratum i]]), 0)), 0)</f>
        <v>0</v>
      </c>
      <c r="BA7">
        <f>IF(AND(Table14[[#This Row],[year t]]&gt;Table14[[#This Row],[End_PDT]],Table14[[#This Row],[year t]]&gt;Table14[[#This Row],[End_SDT]]), 0, Table14[[#This Row],[Ai,t]]*(Table14[[#This Row],[GHGBSL-soil-CO2,i,t (Eq 27)]]-Table14[[#This Row],[Deductionalloch (Eq 38)]]+Table14[[#This Row],[GHGBSL-soil-CH4,i,t]]+Table14[[#This Row],[GHGBSL-soil-N2O,i,t]]))</f>
        <v>0</v>
      </c>
      <c r="BB7" t="e" cm="1">
        <f t="array" ref="BB7">INDEX(#REF!, MATCH(1, (Table14[[#This Row],[year t]]=Table32[[#All],[year t]])*(Table14[[#This Row],[stratum i]]=Table32[[#All],[stratum i]]), 0))</f>
        <v>#REF!</v>
      </c>
      <c r="BC7" t="e" cm="1">
        <f t="array" ref="BC7">INDEX(#REF!, MATCH(1, (Table14[[#This Row],[year t]]=Table32[[#All],[year t]])*(Table14[[#This Row],[stratum i]]=Table32[[#All],[stratum i]]), 0))</f>
        <v>#REF!</v>
      </c>
      <c r="BD7" t="e" cm="1">
        <f t="array" ref="BD7">INDEX(#REF!, MATCH(1, (Table14[[#This Row],[year t]]=Table32[[#All],[year t]])*(Table14[[#This Row],[stratum i]]=Table32[[#All],[stratum i]]), 0))</f>
        <v>#REF!</v>
      </c>
      <c r="BE7" t="e" cm="1">
        <f t="array" ref="BE7">INDEX(#REF!, MATCH(1, (Table14[[#This Row],[year t]]=Table32[[#All],[year t]])*(Table14[[#This Row],[stratum i]]=Table32[[#All],[stratum i]]), 0))</f>
        <v>#REF!</v>
      </c>
      <c r="BM7" s="18">
        <v>2024</v>
      </c>
      <c r="BN7" s="17">
        <v>1</v>
      </c>
      <c r="BO7" t="e" cm="1">
        <f t="array" ref="BO7">INDEX(#REF!, MATCH(1, (Table132926[[#This Row],[year t]]=Table32[year t])*(Table132926[[#This Row],[stratum i]]=Table32[[#All],[stratum i]]), 0))</f>
        <v>#REF!</v>
      </c>
      <c r="BP7" t="e">
        <f>-44/12*Table132926[[#This Row],[∆CBSL-soil,i,t (tC/ha)]]</f>
        <v>#REF!</v>
      </c>
      <c r="BV7" s="17">
        <v>3</v>
      </c>
      <c r="BW7" s="17">
        <v>1</v>
      </c>
      <c r="BX7" s="32" t="e" cm="1">
        <f t="array" ref="BX7">INDEX(Table32[[#All],[Ai,t]], MATCH(1, (Table18[[#This Row],[year t]]=Table32[[#All],[year t]])*(Table18[[#This Row],[stratum i]]=Table32[[#All],[stratum i]]), 0))</f>
        <v>#N/A</v>
      </c>
      <c r="BY7" t="e" cm="1">
        <f t="array" ref="BY7">INDEX(#REF!, MATCH(1, (Table18[[#This Row],[year t]]=Table32[[#All],[year t]])*(Table18[[#This Row],[stratum i]]=Table32[[#All],[stratum i]]), 0))</f>
        <v>#REF!</v>
      </c>
      <c r="BZ7" t="e" cm="1">
        <f t="array" ref="BZ7">INDEX(#REF!, MATCH(1, (Table18[[#This Row],[year t]]=Table32[[#All],[year t]])*(Table18[[#This Row],[stratum i]]=Table32[[#All],[stratum i]]), 0))</f>
        <v>#REF!</v>
      </c>
      <c r="CA7" t="e" cm="1">
        <f t="array" ref="CA7">INDEX(#REF!, MATCH(1, (Table18[[#This Row],[year t]]=Table32[[#All],[year t]])*(Table18[[#This Row],[stratum i]]=Table32[[#All],[stratum i]]), 0))</f>
        <v>#REF!</v>
      </c>
      <c r="CB7" t="e">
        <f>IF(soil_CH4_approach = "Proxies", Table18[[#This Row],[ƒ (GHG emission proxy: CH4)]]*GWP_CH4, IF(soil_CH4_approach = "IPCC emission factors", Table18[[#This Row],[IPCC Emission factor EF(CH4)]]*Table18[[#This Row],[Ai,t]]*GWP_CH4, Table18[[#This Row],[CH4(BSL-soil,I,t)]]*GWP_CH4))</f>
        <v>#REF!</v>
      </c>
      <c r="CC7" t="e" cm="1">
        <f t="array" ref="CC7">INDEX(#REF!, MATCH(1, (Table18[[#This Row],[year t]]=Table32[[#All],[year t]])*(Table18[[#This Row],[stratum i]]=Table32[[#All],[stratum i]]), 0))</f>
        <v>#REF!</v>
      </c>
      <c r="CD7" t="e" cm="1">
        <f t="array" ref="CD7">INDEX(#REF!, MATCH(1, (Table18[[#This Row],[year t]]=Table32[[#All],[year t]])*(Table18[[#This Row],[stratum i]]=Table32[[#All],[stratum i]]), 0))</f>
        <v>#REF!</v>
      </c>
      <c r="CE7" t="e" cm="1">
        <f t="array" ref="CE7">INDEX(#REF!, MATCH(1, (Table18[[#This Row],[year t]]=Table32[[#All],[year t]])*(Table18[[#This Row],[stratum i]]=Table32[[#All],[stratum i]]), 0))</f>
        <v>#REF!</v>
      </c>
      <c r="CF7" t="e">
        <f>IF(soil_N2O_approach = "Proxies", Table18[[#This Row],[ƒ (N2O emission proxy: N2O)]]*GWP_N2O, IF(soil_N2O_approach = "IPCC emission factors", Table18[[#This Row],[IPCC Emission factor EF(N2O)]]*Table18[[#This Row],[Ai,t]]*GWP_N2O, Table18[[#This Row],[N2O (BSL-soil,I,t)]]*GWP_N2O))</f>
        <v>#REF!</v>
      </c>
    </row>
    <row r="8" spans="3:84" x14ac:dyDescent="0.2">
      <c r="C8" s="18">
        <v>2025</v>
      </c>
      <c r="D8">
        <f>-SUMIF(Table12[[#All],[year t]], "&lt;="&amp;Table11[[#This Row],[year t]], Table12[[#All],[∆𝐶𝐵𝑆𝐿−𝑏𝑖𝑜𝑚𝑎𝑠𝑠,𝑖,t (equation 23)]])*44/12</f>
        <v>0</v>
      </c>
      <c r="E8">
        <f>SUMIF(Table12[[#All],[year t]], "&lt;="&amp;Table11[[#This Row],[year t]], Table12[[#All],[𝐺𝐻𝐺𝐵𝑆𝐿−𝑠𝑜𝑖𝑙,𝑖,t]])</f>
        <v>0</v>
      </c>
      <c r="F8">
        <f>SUMIF(Table12[[#All],[year t]], "&lt;="&amp;Table11[[#This Row],[year t]], Table12[[#All],[𝐺𝐻𝐺𝐵𝑆𝐿−𝑓𝑢𝑒𝑙,𝑖,t]])</f>
        <v>0</v>
      </c>
      <c r="G8">
        <f>Table11[[#This Row],[GHG(BSL-biomass)]]+Table11[[#This Row],[GHG(BSL-soil)]]+Table11[[#This Row],[GHG(BSL-fuel)]]</f>
        <v>0</v>
      </c>
      <c r="J8" s="18">
        <v>2025</v>
      </c>
      <c r="K8" s="18">
        <v>1</v>
      </c>
      <c r="L8" cm="1">
        <f t="array" ref="L8">INDEX(Table32[[#All],[ΔCTREE_BSL,i,t (AR Tool 14) t C/yr]], MATCH(1, (Table12[[#This Row],[year t]]=Table32[[#All],[year t]])*(Table12[[#This Row],[stratum i]]=Table32[[#All],[stratum i]]), 0))</f>
        <v>0</v>
      </c>
      <c r="M8" cm="1">
        <f t="array" ref="M8">IF(baseline_abground_nontree = "Included", INDEX(#REF!, MATCH(1, (Table12[[#This Row],[year t]]=Table32[[#All],[year t]])*(Table12[[#This Row],[stratum i]]=Table32[[#All],[stratum i]]), 0)), 0)</f>
        <v>0</v>
      </c>
      <c r="N8">
        <f>12/44*(Table12[[#This Row],[ΔCTREE_BSL,i,t (AR Tool 14) t CO2e/yr]]+Table12[[#This Row],[ΔCSHRUB_BSL,i,t (AR Tool 14) t CO2e/yr]])</f>
        <v>0</v>
      </c>
      <c r="O8" cm="1">
        <f t="array" ref="O8">IF(baseline_abground_nontree = "Included", IFERROR(INDEX(Table13[[#All],[ΔCBSL-herb,i,t (Eq 25)]], MATCH(1, (Table12[[#This Row],[stratum i]]=Table13[[#All],[stratum i]])*(Table12[[#This Row],[year t]]&gt;=#REF!)*(Table12[[#This Row],[year t]]&lt;=Table13[[#All],[year t]]), 0)), 0), 0)</f>
        <v>0</v>
      </c>
      <c r="P8">
        <f>Table12[[#This Row],[ΔCBSL-tree/shrub,i,t (t C/yr) (Eq 24)]]+Table12[[#This Row],[ΔCBSL-herb,i,t (t C/yr)]]-Table12[[#This Row],[ΔCBSL-agbiomass,i,t; t C yr-1 (submergence)]]</f>
        <v>0</v>
      </c>
      <c r="Q8" cm="1">
        <f t="array" ref="Q8">IFERROR(INDEX(Table14[[#All],[GHGBSL-soil,i,t (Eq 26)]], MATCH(1, (Table12[[#This Row],[year t]]=Table14[[#All],[year t]])*(Table12[[#This Row],[stratum i]]=Table14[[#All],[stratum i]]), 0)), 0)</f>
        <v>0</v>
      </c>
      <c r="R8">
        <f>IF(baseline_ff_CO2 = "Included", Table12[[#This Row],[ET(FC,I,t) AR-Tool 5]], 0)</f>
        <v>0</v>
      </c>
      <c r="S8" t="e" cm="1">
        <f t="array" ref="S8">INDEX(#REF!, MATCH(1, (Table12[[#This Row],[year t]]=Table32[[#All],[year t]])*(Table12[[#This Row],[stratum i]]=Table32[[#All],[stratum i]]), 0))</f>
        <v>#REF!</v>
      </c>
      <c r="T8" cm="1">
        <f t="array" ref="T8">IFERROR(INDEX(Table30[[#All],[ΔCBSL-agbiomass,i,t (equation 22) t C yr-1]], MATCH(1, (Table12[[#This Row],[stratum i]]=Table30[[#All],[Stratum i]])*(Table12[[#This Row],[year t]]&lt;Table30[[#All],[Year of reporting]]), 0)), 0)</f>
        <v>0</v>
      </c>
      <c r="V8" s="18">
        <v>4</v>
      </c>
      <c r="W8" s="18" t="e" cm="1">
        <f t="array" ref="W8">INDEX(Table34[[#All],[Submergence]], MATCH(1, (Table30[[#This Row],[Stratum i]]=Table34[[#All],[stratum i]])*(Table30[[#This Row],[Year of reporting]]=Table34[[#All],[year t]]), 0))</f>
        <v>#N/A</v>
      </c>
      <c r="X8" s="18" t="e" cm="1">
        <f t="array" ref="X8">INDEX(Table34[[#All],[Submergence_T]], MATCH(1, (Table30[[#This Row],[Stratum i]]=Table34[[#All],[stratum i]])*(Table30[[#This Row],[Year of reporting]]=Table34[[#All],[year t]]), 0))</f>
        <v>#N/A</v>
      </c>
      <c r="Y8" s="18">
        <v>7</v>
      </c>
      <c r="Z8" s="18" t="e" cm="1">
        <f t="array" ref="Z8">INDEX(Table34[[#All],[Area submerged %]], MATCH(1, (Table30[[#This Row],[Stratum i]]=Table34[[#All],[stratum i]])*(Table30[[#This Row],[Year of reporting]]=Table34[[#All],[year t]]), 0))</f>
        <v>#N/A</v>
      </c>
      <c r="AA8" s="18" t="e" cm="1">
        <f t="array" ref="AA8">INDEX(Table34[[#All],[CBSL-agbiomass,i,t (AR tool 14, tC)]], MATCH(1, (Table30[[#This Row],[Stratum i]]=Table34[[#All],[stratum i]])*(Table30[[#This Row],[Year of reporting]]=Table34[[#All],[year t]]), 0))</f>
        <v>#N/A</v>
      </c>
      <c r="AB8" s="18" t="e" cm="1">
        <f t="array" ref="AB8">INDEX(Table34[[#All],[CBSL-agbiomass,i,t-T (AR tool 14, tC)]], MATCH(1, (Table30[[#This Row],[Stratum i]]=Table34[[#All],[stratum i]])*(Table30[[#This Row],[Year of reporting]]=Table34[[#All],[year t]]), 0))</f>
        <v>#N/A</v>
      </c>
      <c r="AC8"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8" s="18">
        <v>2025</v>
      </c>
      <c r="AH8" s="18">
        <v>1</v>
      </c>
      <c r="AI8" s="49" t="e" cm="1">
        <f t="array" ref="AI8">INDEX(#REF!, MATCH(1, (Table13[[#This Row],[year t]]=Table32[[#All],[year t]])*(Table13[[#This Row],[stratum i]]=Table32[[#All],[stratum i]]), 0))</f>
        <v>#REF!</v>
      </c>
      <c r="AJ8" s="49" t="e">
        <f>Table13[[#This Row],[ΔCBSL-herb,i,t (tC/ha)]]</f>
        <v>#REF!</v>
      </c>
      <c r="AO8" s="18">
        <v>2025</v>
      </c>
      <c r="AP8" s="18">
        <v>1</v>
      </c>
      <c r="AQ8" s="18" cm="1">
        <f t="array" ref="AQ8">INDEX(Table32[[#All],[Ai,t]], MATCH(1, (Table14[[#This Row],[year t]]=Table32[[#All],[year t]])*(Table14[[#This Row],[stratum i]]=Table32[[#All],[stratum i]]), 0))</f>
        <v>1090.4420357142858</v>
      </c>
      <c r="AR8" t="str">
        <f>IF(AND(INDEX(Table31[[#All],[Soil type (t=0)]], MATCH(Table14[[#This Row],[stratum i]], Table31[[#All],[Stratum i]]))="Peat soil", Table14[[#This Row],[year t]]&lt;=Table14[[#This Row],[End_PDT]]), "Peat soil", "Non-peat soil")</f>
        <v>Non-peat soil</v>
      </c>
      <c r="AS8">
        <f>IF(Emission_reduction_from_stock_loss?, INDEX(Table2[[#All],[End_PDT]], MATCH(Table14[[#This Row],[stratum i]], Table2[[#All],[stratum i]])), crediting_period)</f>
        <v>40</v>
      </c>
      <c r="AT8">
        <f>IF(Emission_reduction_from_stock_loss?, INDEX(Table2[[#All],[End_SDT]], MATCH(Table14[[#This Row],[stratum i]], Table2[[#All],[stratum i]])), crediting_period)</f>
        <v>40</v>
      </c>
      <c r="AU8" cm="1">
        <f t="array" ref="AU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 t="e" cm="1">
        <f t="array" ref="AV8">INDEX(#REF!, MATCH(1, (Table14[[#This Row],[year t]]=Table32[[#All],[year t]])*(Table14[[#This Row],[stratum i]]=Table32[[#All],[stratum i]]), 0))</f>
        <v>#REF!</v>
      </c>
      <c r="AW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 s="57">
        <f>(Table14[[#This Row],[GHGBSL-soil-CO2,i,t (Eq 27)]]-Table14[[#This Row],[Deductionalloch (Eq 38)]])*Table14[[#This Row],[Ai,t]]</f>
        <v>0</v>
      </c>
      <c r="AY8" cm="1">
        <f t="array" ref="AY8">IF(baseline_soil_CH4 = "Included", INDEX(Table18[[#All],[GHGBSL-soil-CH4,i,t (Eq 59)]], MATCH(1, (Table14[[#This Row],[year t]]=Table18[[#All],[year t]])*(Table14[[#This Row],[stratum i]]=Table18[[#All],[stratum i]]), 0)), 0)</f>
        <v>0</v>
      </c>
      <c r="AZ8" cm="1">
        <f t="array" ref="AZ8">IF(baseline_soil_N2O = "Included", INDEX(Table18[[#All],[GHGBSL-soil-N2O,i,t (Eq 62)]], MATCH(1, (Table14[[#This Row],[year t]]=Table18[[#All],[year t]])*(Table14[[#This Row],[stratum i]]=Table18[[#All],[stratum i]]), 0)), 0)</f>
        <v>0</v>
      </c>
      <c r="BA8">
        <f>IF(AND(Table14[[#This Row],[year t]]&gt;Table14[[#This Row],[End_PDT]],Table14[[#This Row],[year t]]&gt;Table14[[#This Row],[End_SDT]]), 0, Table14[[#This Row],[Ai,t]]*(Table14[[#This Row],[GHGBSL-soil-CO2,i,t (Eq 27)]]-Table14[[#This Row],[Deductionalloch (Eq 38)]]+Table14[[#This Row],[GHGBSL-soil-CH4,i,t]]+Table14[[#This Row],[GHGBSL-soil-N2O,i,t]]))</f>
        <v>0</v>
      </c>
      <c r="BB8" t="e" cm="1">
        <f t="array" ref="BB8">INDEX(#REF!, MATCH(1, (Table14[[#This Row],[year t]]=Table32[[#All],[year t]])*(Table14[[#This Row],[stratum i]]=Table32[[#All],[stratum i]]), 0))</f>
        <v>#REF!</v>
      </c>
      <c r="BC8" t="e" cm="1">
        <f t="array" ref="BC8">INDEX(#REF!, MATCH(1, (Table14[[#This Row],[year t]]=Table32[[#All],[year t]])*(Table14[[#This Row],[stratum i]]=Table32[[#All],[stratum i]]), 0))</f>
        <v>#REF!</v>
      </c>
      <c r="BD8" t="e" cm="1">
        <f t="array" ref="BD8">INDEX(#REF!, MATCH(1, (Table14[[#This Row],[year t]]=Table32[[#All],[year t]])*(Table14[[#This Row],[stratum i]]=Table32[[#All],[stratum i]]), 0))</f>
        <v>#REF!</v>
      </c>
      <c r="BE8" t="e" cm="1">
        <f t="array" ref="BE8">INDEX(#REF!, MATCH(1, (Table14[[#This Row],[year t]]=Table32[[#All],[year t]])*(Table14[[#This Row],[stratum i]]=Table32[[#All],[stratum i]]), 0))</f>
        <v>#REF!</v>
      </c>
      <c r="BM8" s="18">
        <v>2025</v>
      </c>
      <c r="BN8" s="18">
        <v>1</v>
      </c>
      <c r="BO8" t="e" cm="1">
        <f t="array" ref="BO8">INDEX(#REF!, MATCH(1, (Table132926[[#This Row],[year t]]=Table32[year t])*(Table132926[[#This Row],[stratum i]]=Table32[[#All],[stratum i]]), 0))</f>
        <v>#REF!</v>
      </c>
      <c r="BP8" t="e">
        <f>-44/12*Table132926[[#This Row],[∆CBSL-soil,i,t (tC/ha)]]</f>
        <v>#REF!</v>
      </c>
      <c r="BV8" s="18">
        <v>4</v>
      </c>
      <c r="BW8" s="18">
        <v>1</v>
      </c>
      <c r="BX8" t="e" cm="1">
        <f t="array" ref="BX8">INDEX(Table32[[#All],[Ai,t]], MATCH(1, (Table18[[#This Row],[year t]]=Table32[[#All],[year t]])*(Table18[[#This Row],[stratum i]]=Table32[[#All],[stratum i]]), 0))</f>
        <v>#N/A</v>
      </c>
      <c r="BY8" t="e" cm="1">
        <f t="array" ref="BY8">INDEX(#REF!, MATCH(1, (Table18[[#This Row],[year t]]=Table32[[#All],[year t]])*(Table18[[#This Row],[stratum i]]=Table32[[#All],[stratum i]]), 0))</f>
        <v>#REF!</v>
      </c>
      <c r="BZ8" t="e" cm="1">
        <f t="array" ref="BZ8">INDEX(#REF!, MATCH(1, (Table18[[#This Row],[year t]]=Table32[[#All],[year t]])*(Table18[[#This Row],[stratum i]]=Table32[[#All],[stratum i]]), 0))</f>
        <v>#REF!</v>
      </c>
      <c r="CA8" t="e" cm="1">
        <f t="array" ref="CA8">INDEX(#REF!, MATCH(1, (Table18[[#This Row],[year t]]=Table32[[#All],[year t]])*(Table18[[#This Row],[stratum i]]=Table32[[#All],[stratum i]]), 0))</f>
        <v>#REF!</v>
      </c>
      <c r="CB8" t="e">
        <f>IF(soil_CH4_approach = "Proxies", Table18[[#This Row],[ƒ (GHG emission proxy: CH4)]]*GWP_CH4, IF(soil_CH4_approach = "IPCC emission factors", Table18[[#This Row],[IPCC Emission factor EF(CH4)]]*Table18[[#This Row],[Ai,t]]*GWP_CH4, Table18[[#This Row],[CH4(BSL-soil,I,t)]]*GWP_CH4))</f>
        <v>#REF!</v>
      </c>
      <c r="CC8" t="e" cm="1">
        <f t="array" ref="CC8">INDEX(#REF!, MATCH(1, (Table18[[#This Row],[year t]]=Table32[[#All],[year t]])*(Table18[[#This Row],[stratum i]]=Table32[[#All],[stratum i]]), 0))</f>
        <v>#REF!</v>
      </c>
      <c r="CD8" t="e" cm="1">
        <f t="array" ref="CD8">INDEX(#REF!, MATCH(1, (Table18[[#This Row],[year t]]=Table32[[#All],[year t]])*(Table18[[#This Row],[stratum i]]=Table32[[#All],[stratum i]]), 0))</f>
        <v>#REF!</v>
      </c>
      <c r="CE8" t="e" cm="1">
        <f t="array" ref="CE8">INDEX(#REF!, MATCH(1, (Table18[[#This Row],[year t]]=Table32[[#All],[year t]])*(Table18[[#This Row],[stratum i]]=Table32[[#All],[stratum i]]), 0))</f>
        <v>#REF!</v>
      </c>
      <c r="CF8" t="e">
        <f>IF(soil_N2O_approach = "Proxies", Table18[[#This Row],[ƒ (N2O emission proxy: N2O)]]*GWP_N2O, IF(soil_N2O_approach = "IPCC emission factors", Table18[[#This Row],[IPCC Emission factor EF(N2O)]]*Table18[[#This Row],[Ai,t]]*GWP_N2O, Table18[[#This Row],[N2O (BSL-soil,I,t)]]*GWP_N2O))</f>
        <v>#REF!</v>
      </c>
    </row>
    <row r="9" spans="3:84" x14ac:dyDescent="0.2">
      <c r="C9" s="18">
        <v>2026</v>
      </c>
      <c r="D9">
        <f>-SUMIF(Table12[[#All],[year t]], "&lt;="&amp;Table11[[#This Row],[year t]], Table12[[#All],[∆𝐶𝐵𝑆𝐿−𝑏𝑖𝑜𝑚𝑎𝑠𝑠,𝑖,t (equation 23)]])*44/12</f>
        <v>0</v>
      </c>
      <c r="E9">
        <f>SUMIF(Table12[[#All],[year t]], "&lt;="&amp;Table11[[#This Row],[year t]], Table12[[#All],[𝐺𝐻𝐺𝐵𝑆𝐿−𝑠𝑜𝑖𝑙,𝑖,t]])</f>
        <v>0</v>
      </c>
      <c r="F9">
        <f>SUMIF(Table12[[#All],[year t]], "&lt;="&amp;Table11[[#This Row],[year t]], Table12[[#All],[𝐺𝐻𝐺𝐵𝑆𝐿−𝑓𝑢𝑒𝑙,𝑖,t]])</f>
        <v>0</v>
      </c>
      <c r="G9">
        <f>Table11[[#This Row],[GHG(BSL-biomass)]]+Table11[[#This Row],[GHG(BSL-soil)]]+Table11[[#This Row],[GHG(BSL-fuel)]]</f>
        <v>0</v>
      </c>
      <c r="J9" s="18">
        <v>2026</v>
      </c>
      <c r="K9" s="17">
        <v>1</v>
      </c>
      <c r="L9" cm="1">
        <f t="array" ref="L9">INDEX(Table32[[#All],[ΔCTREE_BSL,i,t (AR Tool 14) t C/yr]], MATCH(1, (Table12[[#This Row],[year t]]=Table32[[#All],[year t]])*(Table12[[#This Row],[stratum i]]=Table32[[#All],[stratum i]]), 0))</f>
        <v>0</v>
      </c>
      <c r="M9" cm="1">
        <f t="array" ref="M9">IF(baseline_abground_nontree = "Included", INDEX(#REF!, MATCH(1, (Table12[[#This Row],[year t]]=Table32[[#All],[year t]])*(Table12[[#This Row],[stratum i]]=Table32[[#All],[stratum i]]), 0)), 0)</f>
        <v>0</v>
      </c>
      <c r="N9">
        <f>12/44*(Table12[[#This Row],[ΔCTREE_BSL,i,t (AR Tool 14) t CO2e/yr]]+Table12[[#This Row],[ΔCSHRUB_BSL,i,t (AR Tool 14) t CO2e/yr]])</f>
        <v>0</v>
      </c>
      <c r="O9" cm="1">
        <f t="array" ref="O9">IF(baseline_abground_nontree = "Included", IFERROR(INDEX(Table13[[#All],[ΔCBSL-herb,i,t (Eq 25)]], MATCH(1, (Table12[[#This Row],[stratum i]]=Table13[[#All],[stratum i]])*(Table12[[#This Row],[year t]]&gt;=#REF!)*(Table12[[#This Row],[year t]]&lt;=Table13[[#All],[year t]]), 0)), 0), 0)</f>
        <v>0</v>
      </c>
      <c r="P9">
        <f>Table12[[#This Row],[ΔCBSL-tree/shrub,i,t (t C/yr) (Eq 24)]]+Table12[[#This Row],[ΔCBSL-herb,i,t (t C/yr)]]-Table12[[#This Row],[ΔCBSL-agbiomass,i,t; t C yr-1 (submergence)]]</f>
        <v>0</v>
      </c>
      <c r="Q9" cm="1">
        <f t="array" ref="Q9">IFERROR(INDEX(Table14[[#All],[GHGBSL-soil,i,t (Eq 26)]], MATCH(1, (Table12[[#This Row],[year t]]=Table14[[#All],[year t]])*(Table12[[#This Row],[stratum i]]=Table14[[#All],[stratum i]]), 0)), 0)</f>
        <v>0</v>
      </c>
      <c r="R9">
        <f>IF(baseline_ff_CO2 = "Included", Table12[[#This Row],[ET(FC,I,t) AR-Tool 5]], 0)</f>
        <v>0</v>
      </c>
      <c r="S9" t="e" cm="1">
        <f t="array" ref="S9">INDEX(#REF!, MATCH(1, (Table12[[#This Row],[year t]]=Table32[[#All],[year t]])*(Table12[[#This Row],[stratum i]]=Table32[[#All],[stratum i]]), 0))</f>
        <v>#REF!</v>
      </c>
      <c r="T9" cm="1">
        <f t="array" ref="T9">IFERROR(INDEX(Table30[[#All],[ΔCBSL-agbiomass,i,t (equation 22) t C yr-1]], MATCH(1, (Table12[[#This Row],[stratum i]]=Table30[[#All],[Stratum i]])*(Table12[[#This Row],[year t]]&lt;Table30[[#All],[Year of reporting]]), 0)), 0)</f>
        <v>0</v>
      </c>
      <c r="V9" s="17">
        <v>5</v>
      </c>
      <c r="W9" s="17" t="e" cm="1">
        <f t="array" ref="W9">INDEX(Table34[[#All],[Submergence]], MATCH(1, (Table30[[#This Row],[Stratum i]]=Table34[[#All],[stratum i]])*(Table30[[#This Row],[Year of reporting]]=Table34[[#All],[year t]]), 0))</f>
        <v>#N/A</v>
      </c>
      <c r="X9" s="17" t="e" cm="1">
        <f t="array" ref="X9">INDEX(Table34[[#All],[Submergence_T]], MATCH(1, (Table30[[#This Row],[Stratum i]]=Table34[[#All],[stratum i]])*(Table30[[#This Row],[Year of reporting]]=Table34[[#All],[year t]]), 0))</f>
        <v>#N/A</v>
      </c>
      <c r="Y9" s="17">
        <v>7</v>
      </c>
      <c r="Z9" s="17" t="e" cm="1">
        <f t="array" ref="Z9">INDEX(Table34[[#All],[Area submerged %]], MATCH(1, (Table30[[#This Row],[Stratum i]]=Table34[[#All],[stratum i]])*(Table30[[#This Row],[Year of reporting]]=Table34[[#All],[year t]]), 0))</f>
        <v>#N/A</v>
      </c>
      <c r="AA9" s="18" t="e" cm="1">
        <f t="array" ref="AA9">INDEX(Table34[[#All],[CBSL-agbiomass,i,t (AR tool 14, tC)]], MATCH(1, (Table30[[#This Row],[Stratum i]]=Table34[[#All],[stratum i]])*(Table30[[#This Row],[Year of reporting]]=Table34[[#All],[year t]]), 0))</f>
        <v>#N/A</v>
      </c>
      <c r="AB9" s="18" t="e" cm="1">
        <f t="array" ref="AB9">INDEX(Table34[[#All],[CBSL-agbiomass,i,t-T (AR tool 14, tC)]], MATCH(1, (Table30[[#This Row],[Stratum i]]=Table34[[#All],[stratum i]])*(Table30[[#This Row],[Year of reporting]]=Table34[[#All],[year t]]), 0))</f>
        <v>#N/A</v>
      </c>
      <c r="AC9"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9" s="18">
        <v>2026</v>
      </c>
      <c r="AH9" s="17">
        <v>1</v>
      </c>
      <c r="AI9" s="49" t="e" cm="1">
        <f t="array" ref="AI9">INDEX(#REF!, MATCH(1, (Table13[[#This Row],[year t]]=Table32[[#All],[year t]])*(Table13[[#This Row],[stratum i]]=Table32[[#All],[stratum i]]), 0))</f>
        <v>#REF!</v>
      </c>
      <c r="AJ9" s="49" t="e">
        <f>Table13[[#This Row],[ΔCBSL-herb,i,t (tC/ha)]]</f>
        <v>#REF!</v>
      </c>
      <c r="AO9" s="18">
        <v>2026</v>
      </c>
      <c r="AP9" s="17">
        <v>1</v>
      </c>
      <c r="AQ9" s="17" cm="1">
        <f t="array" ref="AQ9">INDEX(Table32[[#All],[Ai,t]], MATCH(1, (Table14[[#This Row],[year t]]=Table32[[#All],[year t]])*(Table14[[#This Row],[stratum i]]=Table32[[#All],[stratum i]]), 0))</f>
        <v>1090.4420357142858</v>
      </c>
      <c r="AR9" t="str">
        <f>IF(AND(INDEX(Table31[[#All],[Soil type (t=0)]], MATCH(Table14[[#This Row],[stratum i]], Table31[[#All],[Stratum i]]))="Peat soil", Table14[[#This Row],[year t]]&lt;=Table14[[#This Row],[End_PDT]]), "Peat soil", "Non-peat soil")</f>
        <v>Non-peat soil</v>
      </c>
      <c r="AS9">
        <f>IF(Emission_reduction_from_stock_loss?, INDEX(Table2[[#All],[End_PDT]], MATCH(Table14[[#This Row],[stratum i]], Table2[[#All],[stratum i]])), crediting_period)</f>
        <v>40</v>
      </c>
      <c r="AT9">
        <f>IF(Emission_reduction_from_stock_loss?, INDEX(Table2[[#All],[End_SDT]], MATCH(Table14[[#This Row],[stratum i]], Table2[[#All],[stratum i]])), crediting_period)</f>
        <v>40</v>
      </c>
      <c r="AU9" cm="1">
        <f t="array" ref="AU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 t="e" cm="1">
        <f t="array" ref="AV9">INDEX(#REF!, MATCH(1, (Table14[[#This Row],[year t]]=Table32[[#All],[year t]])*(Table14[[#This Row],[stratum i]]=Table32[[#All],[stratum i]]), 0))</f>
        <v>#REF!</v>
      </c>
      <c r="AW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 s="57">
        <f>(Table14[[#This Row],[GHGBSL-soil-CO2,i,t (Eq 27)]]-Table14[[#This Row],[Deductionalloch (Eq 38)]])*Table14[[#This Row],[Ai,t]]</f>
        <v>0</v>
      </c>
      <c r="AY9" cm="1">
        <f t="array" ref="AY9">IF(baseline_soil_CH4 = "Included", INDEX(Table18[[#All],[GHGBSL-soil-CH4,i,t (Eq 59)]], MATCH(1, (Table14[[#This Row],[year t]]=Table18[[#All],[year t]])*(Table14[[#This Row],[stratum i]]=Table18[[#All],[stratum i]]), 0)), 0)</f>
        <v>0</v>
      </c>
      <c r="AZ9" cm="1">
        <f t="array" ref="AZ9">IF(baseline_soil_N2O = "Included", INDEX(Table18[[#All],[GHGBSL-soil-N2O,i,t (Eq 62)]], MATCH(1, (Table14[[#This Row],[year t]]=Table18[[#All],[year t]])*(Table14[[#This Row],[stratum i]]=Table18[[#All],[stratum i]]), 0)), 0)</f>
        <v>0</v>
      </c>
      <c r="BA9">
        <f>IF(AND(Table14[[#This Row],[year t]]&gt;Table14[[#This Row],[End_PDT]],Table14[[#This Row],[year t]]&gt;Table14[[#This Row],[End_SDT]]), 0, Table14[[#This Row],[Ai,t]]*(Table14[[#This Row],[GHGBSL-soil-CO2,i,t (Eq 27)]]-Table14[[#This Row],[Deductionalloch (Eq 38)]]+Table14[[#This Row],[GHGBSL-soil-CH4,i,t]]+Table14[[#This Row],[GHGBSL-soil-N2O,i,t]]))</f>
        <v>0</v>
      </c>
      <c r="BB9" t="e" cm="1">
        <f t="array" ref="BB9">INDEX(#REF!, MATCH(1, (Table14[[#This Row],[year t]]=Table32[[#All],[year t]])*(Table14[[#This Row],[stratum i]]=Table32[[#All],[stratum i]]), 0))</f>
        <v>#REF!</v>
      </c>
      <c r="BC9" t="e" cm="1">
        <f t="array" ref="BC9">INDEX(#REF!, MATCH(1, (Table14[[#This Row],[year t]]=Table32[[#All],[year t]])*(Table14[[#This Row],[stratum i]]=Table32[[#All],[stratum i]]), 0))</f>
        <v>#REF!</v>
      </c>
      <c r="BD9" t="e" cm="1">
        <f t="array" ref="BD9">INDEX(#REF!, MATCH(1, (Table14[[#This Row],[year t]]=Table32[[#All],[year t]])*(Table14[[#This Row],[stratum i]]=Table32[[#All],[stratum i]]), 0))</f>
        <v>#REF!</v>
      </c>
      <c r="BE9" t="e" cm="1">
        <f t="array" ref="BE9">INDEX(#REF!, MATCH(1, (Table14[[#This Row],[year t]]=Table32[[#All],[year t]])*(Table14[[#This Row],[stratum i]]=Table32[[#All],[stratum i]]), 0))</f>
        <v>#REF!</v>
      </c>
      <c r="BM9" s="18">
        <v>2026</v>
      </c>
      <c r="BN9" s="17">
        <v>1</v>
      </c>
      <c r="BO9" t="e" cm="1">
        <f t="array" ref="BO9">INDEX(#REF!, MATCH(1, (Table132926[[#This Row],[year t]]=Table32[year t])*(Table132926[[#This Row],[stratum i]]=Table32[[#All],[stratum i]]), 0))</f>
        <v>#REF!</v>
      </c>
      <c r="BP9" t="e">
        <f>-44/12*Table132926[[#This Row],[∆CBSL-soil,i,t (tC/ha)]]</f>
        <v>#REF!</v>
      </c>
      <c r="BV9" s="17">
        <v>5</v>
      </c>
      <c r="BW9" s="17">
        <v>1</v>
      </c>
      <c r="BX9" s="32" t="e" cm="1">
        <f t="array" ref="BX9">INDEX(Table32[[#All],[Ai,t]], MATCH(1, (Table18[[#This Row],[year t]]=Table32[[#All],[year t]])*(Table18[[#This Row],[stratum i]]=Table32[[#All],[stratum i]]), 0))</f>
        <v>#N/A</v>
      </c>
      <c r="BY9" t="e" cm="1">
        <f t="array" ref="BY9">INDEX(#REF!, MATCH(1, (Table18[[#This Row],[year t]]=Table32[[#All],[year t]])*(Table18[[#This Row],[stratum i]]=Table32[[#All],[stratum i]]), 0))</f>
        <v>#REF!</v>
      </c>
      <c r="BZ9" t="e" cm="1">
        <f t="array" ref="BZ9">INDEX(#REF!, MATCH(1, (Table18[[#This Row],[year t]]=Table32[[#All],[year t]])*(Table18[[#This Row],[stratum i]]=Table32[[#All],[stratum i]]), 0))</f>
        <v>#REF!</v>
      </c>
      <c r="CA9" t="e" cm="1">
        <f t="array" ref="CA9">INDEX(#REF!, MATCH(1, (Table18[[#This Row],[year t]]=Table32[[#All],[year t]])*(Table18[[#This Row],[stratum i]]=Table32[[#All],[stratum i]]), 0))</f>
        <v>#REF!</v>
      </c>
      <c r="CB9" t="e">
        <f>IF(soil_CH4_approach = "Proxies", Table18[[#This Row],[ƒ (GHG emission proxy: CH4)]]*GWP_CH4, IF(soil_CH4_approach = "IPCC emission factors", Table18[[#This Row],[IPCC Emission factor EF(CH4)]]*Table18[[#This Row],[Ai,t]]*GWP_CH4, Table18[[#This Row],[CH4(BSL-soil,I,t)]]*GWP_CH4))</f>
        <v>#REF!</v>
      </c>
      <c r="CC9" t="e" cm="1">
        <f t="array" ref="CC9">INDEX(#REF!, MATCH(1, (Table18[[#This Row],[year t]]=Table32[[#All],[year t]])*(Table18[[#This Row],[stratum i]]=Table32[[#All],[stratum i]]), 0))</f>
        <v>#REF!</v>
      </c>
      <c r="CD9" t="e" cm="1">
        <f t="array" ref="CD9">INDEX(#REF!, MATCH(1, (Table18[[#This Row],[year t]]=Table32[[#All],[year t]])*(Table18[[#This Row],[stratum i]]=Table32[[#All],[stratum i]]), 0))</f>
        <v>#REF!</v>
      </c>
      <c r="CE9" t="e" cm="1">
        <f t="array" ref="CE9">INDEX(#REF!, MATCH(1, (Table18[[#This Row],[year t]]=Table32[[#All],[year t]])*(Table18[[#This Row],[stratum i]]=Table32[[#All],[stratum i]]), 0))</f>
        <v>#REF!</v>
      </c>
      <c r="CF9" t="e">
        <f>IF(soil_N2O_approach = "Proxies", Table18[[#This Row],[ƒ (N2O emission proxy: N2O)]]*GWP_N2O, IF(soil_N2O_approach = "IPCC emission factors", Table18[[#This Row],[IPCC Emission factor EF(N2O)]]*Table18[[#This Row],[Ai,t]]*GWP_N2O, Table18[[#This Row],[N2O (BSL-soil,I,t)]]*GWP_N2O))</f>
        <v>#REF!</v>
      </c>
    </row>
    <row r="10" spans="3:84" x14ac:dyDescent="0.2">
      <c r="C10" s="18">
        <v>2027</v>
      </c>
      <c r="D10">
        <f>-SUMIF(Table12[[#All],[year t]], "&lt;="&amp;Table11[[#This Row],[year t]], Table12[[#All],[∆𝐶𝐵𝑆𝐿−𝑏𝑖𝑜𝑚𝑎𝑠𝑠,𝑖,t (equation 23)]])*44/12</f>
        <v>0</v>
      </c>
      <c r="E10">
        <f>SUMIF(Table12[[#All],[year t]], "&lt;="&amp;Table11[[#This Row],[year t]], Table12[[#All],[𝐺𝐻𝐺𝐵𝑆𝐿−𝑠𝑜𝑖𝑙,𝑖,t]])</f>
        <v>0</v>
      </c>
      <c r="F10">
        <f>SUMIF(Table12[[#All],[year t]], "&lt;="&amp;Table11[[#This Row],[year t]], Table12[[#All],[𝐺𝐻𝐺𝐵𝑆𝐿−𝑓𝑢𝑒𝑙,𝑖,t]])</f>
        <v>0</v>
      </c>
      <c r="G10">
        <f>Table11[[#This Row],[GHG(BSL-biomass)]]+Table11[[#This Row],[GHG(BSL-soil)]]+Table11[[#This Row],[GHG(BSL-fuel)]]</f>
        <v>0</v>
      </c>
      <c r="J10" s="18">
        <v>2027</v>
      </c>
      <c r="K10" s="18">
        <v>1</v>
      </c>
      <c r="L10" cm="1">
        <f t="array" ref="L10">INDEX(Table32[[#All],[ΔCTREE_BSL,i,t (AR Tool 14) t C/yr]], MATCH(1, (Table12[[#This Row],[year t]]=Table32[[#All],[year t]])*(Table12[[#This Row],[stratum i]]=Table32[[#All],[stratum i]]), 0))</f>
        <v>0</v>
      </c>
      <c r="M10" cm="1">
        <f t="array" ref="M10">IF(baseline_abground_nontree = "Included", INDEX(#REF!, MATCH(1, (Table12[[#This Row],[year t]]=Table32[[#All],[year t]])*(Table12[[#This Row],[stratum i]]=Table32[[#All],[stratum i]]), 0)), 0)</f>
        <v>0</v>
      </c>
      <c r="N10">
        <f>12/44*(Table12[[#This Row],[ΔCTREE_BSL,i,t (AR Tool 14) t CO2e/yr]]+Table12[[#This Row],[ΔCSHRUB_BSL,i,t (AR Tool 14) t CO2e/yr]])</f>
        <v>0</v>
      </c>
      <c r="O10" cm="1">
        <f t="array" ref="O10">IF(baseline_abground_nontree = "Included", IFERROR(INDEX(Table13[[#All],[ΔCBSL-herb,i,t (Eq 25)]], MATCH(1, (Table12[[#This Row],[stratum i]]=Table13[[#All],[stratum i]])*(Table12[[#This Row],[year t]]&gt;=#REF!)*(Table12[[#This Row],[year t]]&lt;=Table13[[#All],[year t]]), 0)), 0), 0)</f>
        <v>0</v>
      </c>
      <c r="P10">
        <f>Table12[[#This Row],[ΔCBSL-tree/shrub,i,t (t C/yr) (Eq 24)]]+Table12[[#This Row],[ΔCBSL-herb,i,t (t C/yr)]]-Table12[[#This Row],[ΔCBSL-agbiomass,i,t; t C yr-1 (submergence)]]</f>
        <v>0</v>
      </c>
      <c r="Q10" cm="1">
        <f t="array" ref="Q10">IFERROR(INDEX(Table14[[#All],[GHGBSL-soil,i,t (Eq 26)]], MATCH(1, (Table12[[#This Row],[year t]]=Table14[[#All],[year t]])*(Table12[[#This Row],[stratum i]]=Table14[[#All],[stratum i]]), 0)), 0)</f>
        <v>0</v>
      </c>
      <c r="R10">
        <f>IF(baseline_ff_CO2 = "Included", Table12[[#This Row],[ET(FC,I,t) AR-Tool 5]], 0)</f>
        <v>0</v>
      </c>
      <c r="S10" t="e" cm="1">
        <f t="array" ref="S10">INDEX(#REF!, MATCH(1, (Table12[[#This Row],[year t]]=Table32[[#All],[year t]])*(Table12[[#This Row],[stratum i]]=Table32[[#All],[stratum i]]), 0))</f>
        <v>#REF!</v>
      </c>
      <c r="T10" cm="1">
        <f t="array" ref="T10">IFERROR(INDEX(Table30[[#All],[ΔCBSL-agbiomass,i,t (equation 22) t C yr-1]], MATCH(1, (Table12[[#This Row],[stratum i]]=Table30[[#All],[Stratum i]])*(Table12[[#This Row],[year t]]&lt;Table30[[#All],[Year of reporting]]), 0)), 0)</f>
        <v>0</v>
      </c>
      <c r="V10" s="18"/>
      <c r="W10" s="18" t="e" cm="1">
        <f t="array" ref="W10">INDEX(Table34[[#All],[Submergence]], MATCH(1, (Table30[[#This Row],[Stratum i]]=Table34[[#All],[stratum i]])*(Table30[[#This Row],[Year of reporting]]=Table34[[#All],[year t]]), 0))</f>
        <v>#N/A</v>
      </c>
      <c r="X10" s="18" t="e" cm="1">
        <f t="array" ref="X10">INDEX(Table34[[#All],[Submergence_T]], MATCH(1, (Table30[[#This Row],[Stratum i]]=Table34[[#All],[stratum i]])*(Table30[[#This Row],[Year of reporting]]=Table34[[#All],[year t]]), 0))</f>
        <v>#N/A</v>
      </c>
      <c r="Y10" s="18"/>
      <c r="Z10" s="18" t="e" cm="1">
        <f t="array" ref="Z10">INDEX(Table34[[#All],[Area submerged %]], MATCH(1, (Table30[[#This Row],[Stratum i]]=Table34[[#All],[stratum i]])*(Table30[[#This Row],[Year of reporting]]=Table34[[#All],[year t]]), 0))</f>
        <v>#N/A</v>
      </c>
      <c r="AA10" s="18" t="e" cm="1">
        <f t="array" ref="AA10">INDEX(Table34[[#All],[CBSL-agbiomass,i,t (AR tool 14, tC)]], MATCH(1, (Table30[[#This Row],[Stratum i]]=Table34[[#All],[stratum i]])*(Table30[[#This Row],[Year of reporting]]=Table34[[#All],[year t]]), 0))</f>
        <v>#N/A</v>
      </c>
      <c r="AB10" s="18" t="e" cm="1">
        <f t="array" ref="AB10">INDEX(Table34[[#All],[CBSL-agbiomass,i,t-T (AR tool 14, tC)]], MATCH(1, (Table30[[#This Row],[Stratum i]]=Table34[[#All],[stratum i]])*(Table30[[#This Row],[Year of reporting]]=Table34[[#All],[year t]]), 0))</f>
        <v>#N/A</v>
      </c>
      <c r="AC10"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0" s="18">
        <v>2027</v>
      </c>
      <c r="AH10" s="18">
        <v>1</v>
      </c>
      <c r="AI10" s="45" t="e" cm="1">
        <f t="array" ref="AI10">INDEX(#REF!, MATCH(1, (Table13[[#This Row],[year t]]=Table32[[#All],[year t]])*(Table13[[#This Row],[stratum i]]=Table32[[#All],[stratum i]]), 0))</f>
        <v>#REF!</v>
      </c>
      <c r="AJ10" s="49" t="e">
        <f>Table13[[#This Row],[ΔCBSL-herb,i,t (tC/ha)]]</f>
        <v>#REF!</v>
      </c>
      <c r="AO10" s="18">
        <v>2027</v>
      </c>
      <c r="AP10" s="18">
        <v>1</v>
      </c>
      <c r="AQ10" s="18" cm="1">
        <f t="array" ref="AQ10">INDEX(Table32[[#All],[Ai,t]], MATCH(1, (Table14[[#This Row],[year t]]=Table32[[#All],[year t]])*(Table14[[#This Row],[stratum i]]=Table32[[#All],[stratum i]]), 0))</f>
        <v>1090.4420357142858</v>
      </c>
      <c r="AR10" t="str">
        <f>IF(AND(INDEX(Table31[[#All],[Soil type (t=0)]], MATCH(Table14[[#This Row],[stratum i]], Table31[[#All],[Stratum i]]))="Peat soil", Table14[[#This Row],[year t]]&lt;=Table14[[#This Row],[End_PDT]]), "Peat soil", "Non-peat soil")</f>
        <v>Non-peat soil</v>
      </c>
      <c r="AS10">
        <f>IF(Emission_reduction_from_stock_loss?, INDEX(Table2[[#All],[End_PDT]], MATCH(Table14[[#This Row],[stratum i]], Table2[[#All],[stratum i]])), crediting_period)</f>
        <v>40</v>
      </c>
      <c r="AT10">
        <f>IF(Emission_reduction_from_stock_loss?, INDEX(Table2[[#All],[End_SDT]], MATCH(Table14[[#This Row],[stratum i]], Table2[[#All],[stratum i]])), crediting_period)</f>
        <v>40</v>
      </c>
      <c r="AU10" cm="1">
        <f t="array" ref="AU1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 t="e" cm="1">
        <f t="array" ref="AV10">INDEX(#REF!, MATCH(1, (Table14[[#This Row],[year t]]=Table32[[#All],[year t]])*(Table14[[#This Row],[stratum i]]=Table32[[#All],[stratum i]]), 0))</f>
        <v>#REF!</v>
      </c>
      <c r="AW1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 s="57">
        <f>(Table14[[#This Row],[GHGBSL-soil-CO2,i,t (Eq 27)]]-Table14[[#This Row],[Deductionalloch (Eq 38)]])*Table14[[#This Row],[Ai,t]]</f>
        <v>0</v>
      </c>
      <c r="AY10" cm="1">
        <f t="array" ref="AY10">IF(baseline_soil_CH4 = "Included", INDEX(Table18[[#All],[GHGBSL-soil-CH4,i,t (Eq 59)]], MATCH(1, (Table14[[#This Row],[year t]]=Table18[[#All],[year t]])*(Table14[[#This Row],[stratum i]]=Table18[[#All],[stratum i]]), 0)), 0)</f>
        <v>0</v>
      </c>
      <c r="AZ10" cm="1">
        <f t="array" ref="AZ10">IF(baseline_soil_N2O = "Included", INDEX(Table18[[#All],[GHGBSL-soil-N2O,i,t (Eq 62)]], MATCH(1, (Table14[[#This Row],[year t]]=Table18[[#All],[year t]])*(Table14[[#This Row],[stratum i]]=Table18[[#All],[stratum i]]), 0)), 0)</f>
        <v>0</v>
      </c>
      <c r="BA10">
        <f>IF(AND(Table14[[#This Row],[year t]]&gt;Table14[[#This Row],[End_PDT]],Table14[[#This Row],[year t]]&gt;Table14[[#This Row],[End_SDT]]), 0, Table14[[#This Row],[Ai,t]]*(Table14[[#This Row],[GHGBSL-soil-CO2,i,t (Eq 27)]]-Table14[[#This Row],[Deductionalloch (Eq 38)]]+Table14[[#This Row],[GHGBSL-soil-CH4,i,t]]+Table14[[#This Row],[GHGBSL-soil-N2O,i,t]]))</f>
        <v>0</v>
      </c>
      <c r="BB10" t="e" cm="1">
        <f t="array" ref="BB10">INDEX(#REF!, MATCH(1, (Table14[[#This Row],[year t]]=Table32[[#All],[year t]])*(Table14[[#This Row],[stratum i]]=Table32[[#All],[stratum i]]), 0))</f>
        <v>#REF!</v>
      </c>
      <c r="BC10" t="e" cm="1">
        <f t="array" ref="BC10">INDEX(#REF!, MATCH(1, (Table14[[#This Row],[year t]]=Table32[[#All],[year t]])*(Table14[[#This Row],[stratum i]]=Table32[[#All],[stratum i]]), 0))</f>
        <v>#REF!</v>
      </c>
      <c r="BD10" t="e" cm="1">
        <f t="array" ref="BD10">INDEX(#REF!, MATCH(1, (Table14[[#This Row],[year t]]=Table32[[#All],[year t]])*(Table14[[#This Row],[stratum i]]=Table32[[#All],[stratum i]]), 0))</f>
        <v>#REF!</v>
      </c>
      <c r="BE10" t="e" cm="1">
        <f t="array" ref="BE10">INDEX(#REF!, MATCH(1, (Table14[[#This Row],[year t]]=Table32[[#All],[year t]])*(Table14[[#This Row],[stratum i]]=Table32[[#All],[stratum i]]), 0))</f>
        <v>#REF!</v>
      </c>
      <c r="BM10" s="18">
        <v>2027</v>
      </c>
      <c r="BN10" s="18">
        <v>1</v>
      </c>
      <c r="BO10" t="e" cm="1">
        <f t="array" ref="BO10">INDEX(#REF!, MATCH(1, (Table132926[[#This Row],[year t]]=Table32[year t])*(Table132926[[#This Row],[stratum i]]=Table32[[#All],[stratum i]]), 0))</f>
        <v>#REF!</v>
      </c>
      <c r="BP10" t="e">
        <f>-44/12*Table132926[[#This Row],[∆CBSL-soil,i,t (tC/ha)]]</f>
        <v>#REF!</v>
      </c>
      <c r="BV10" s="18">
        <v>6</v>
      </c>
      <c r="BW10" s="18">
        <v>1</v>
      </c>
      <c r="BX10" t="e" cm="1">
        <f t="array" ref="BX10">INDEX(Table32[[#All],[Ai,t]], MATCH(1, (Table18[[#This Row],[year t]]=Table32[[#All],[year t]])*(Table18[[#This Row],[stratum i]]=Table32[[#All],[stratum i]]), 0))</f>
        <v>#N/A</v>
      </c>
      <c r="BY10" t="e" cm="1">
        <f t="array" ref="BY10">INDEX(#REF!, MATCH(1, (Table18[[#This Row],[year t]]=Table32[[#All],[year t]])*(Table18[[#This Row],[stratum i]]=Table32[[#All],[stratum i]]), 0))</f>
        <v>#REF!</v>
      </c>
      <c r="BZ10" t="e" cm="1">
        <f t="array" ref="BZ10">INDEX(#REF!, MATCH(1, (Table18[[#This Row],[year t]]=Table32[[#All],[year t]])*(Table18[[#This Row],[stratum i]]=Table32[[#All],[stratum i]]), 0))</f>
        <v>#REF!</v>
      </c>
      <c r="CA10" t="e" cm="1">
        <f t="array" ref="CA10">INDEX(#REF!, MATCH(1, (Table18[[#This Row],[year t]]=Table32[[#All],[year t]])*(Table18[[#This Row],[stratum i]]=Table32[[#All],[stratum i]]), 0))</f>
        <v>#REF!</v>
      </c>
      <c r="CB10" t="e">
        <f>IF(soil_CH4_approach = "Proxies", Table18[[#This Row],[ƒ (GHG emission proxy: CH4)]]*GWP_CH4, IF(soil_CH4_approach = "IPCC emission factors", Table18[[#This Row],[IPCC Emission factor EF(CH4)]]*Table18[[#This Row],[Ai,t]]*GWP_CH4, Table18[[#This Row],[CH4(BSL-soil,I,t)]]*GWP_CH4))</f>
        <v>#REF!</v>
      </c>
      <c r="CC10" t="e" cm="1">
        <f t="array" ref="CC10">INDEX(#REF!, MATCH(1, (Table18[[#This Row],[year t]]=Table32[[#All],[year t]])*(Table18[[#This Row],[stratum i]]=Table32[[#All],[stratum i]]), 0))</f>
        <v>#REF!</v>
      </c>
      <c r="CD10" t="e" cm="1">
        <f t="array" ref="CD10">INDEX(#REF!, MATCH(1, (Table18[[#This Row],[year t]]=Table32[[#All],[year t]])*(Table18[[#This Row],[stratum i]]=Table32[[#All],[stratum i]]), 0))</f>
        <v>#REF!</v>
      </c>
      <c r="CE10" t="e" cm="1">
        <f t="array" ref="CE10">INDEX(#REF!, MATCH(1, (Table18[[#This Row],[year t]]=Table32[[#All],[year t]])*(Table18[[#This Row],[stratum i]]=Table32[[#All],[stratum i]]), 0))</f>
        <v>#REF!</v>
      </c>
      <c r="CF10" t="e">
        <f>IF(soil_N2O_approach = "Proxies", Table18[[#This Row],[ƒ (N2O emission proxy: N2O)]]*GWP_N2O, IF(soil_N2O_approach = "IPCC emission factors", Table18[[#This Row],[IPCC Emission factor EF(N2O)]]*Table18[[#This Row],[Ai,t]]*GWP_N2O, Table18[[#This Row],[N2O (BSL-soil,I,t)]]*GWP_N2O))</f>
        <v>#REF!</v>
      </c>
    </row>
    <row r="11" spans="3:84" x14ac:dyDescent="0.2">
      <c r="C11" s="18">
        <v>2028</v>
      </c>
      <c r="D11">
        <f>-SUMIF(Table12[[#All],[year t]], "&lt;="&amp;Table11[[#This Row],[year t]], Table12[[#All],[∆𝐶𝐵𝑆𝐿−𝑏𝑖𝑜𝑚𝑎𝑠𝑠,𝑖,t (equation 23)]])*44/12</f>
        <v>0</v>
      </c>
      <c r="E11">
        <f>SUMIF(Table12[[#All],[year t]], "&lt;="&amp;Table11[[#This Row],[year t]], Table12[[#All],[𝐺𝐻𝐺𝐵𝑆𝐿−𝑠𝑜𝑖𝑙,𝑖,t]])</f>
        <v>0</v>
      </c>
      <c r="F11">
        <f>SUMIF(Table12[[#All],[year t]], "&lt;="&amp;Table11[[#This Row],[year t]], Table12[[#All],[𝐺𝐻𝐺𝐵𝑆𝐿−𝑓𝑢𝑒𝑙,𝑖,t]])</f>
        <v>0</v>
      </c>
      <c r="G11">
        <f>Table11[[#This Row],[GHG(BSL-biomass)]]+Table11[[#This Row],[GHG(BSL-soil)]]+Table11[[#This Row],[GHG(BSL-fuel)]]</f>
        <v>0</v>
      </c>
      <c r="J11" s="18">
        <v>2028</v>
      </c>
      <c r="K11" s="18">
        <v>1</v>
      </c>
      <c r="L11" cm="1">
        <f t="array" ref="L11">INDEX(Table32[[#All],[ΔCTREE_BSL,i,t (AR Tool 14) t C/yr]], MATCH(1, (Table12[[#This Row],[year t]]=Table32[[#All],[year t]])*(Table12[[#This Row],[stratum i]]=Table32[[#All],[stratum i]]), 0))</f>
        <v>0</v>
      </c>
      <c r="M11" cm="1">
        <f t="array" ref="M11">IF(baseline_abground_nontree = "Included", INDEX(#REF!, MATCH(1, (Table12[[#This Row],[year t]]=Table32[[#All],[year t]])*(Table12[[#This Row],[stratum i]]=Table32[[#All],[stratum i]]), 0)), 0)</f>
        <v>0</v>
      </c>
      <c r="N11">
        <f>12/44*(Table12[[#This Row],[ΔCTREE_BSL,i,t (AR Tool 14) t CO2e/yr]]+Table12[[#This Row],[ΔCSHRUB_BSL,i,t (AR Tool 14) t CO2e/yr]])</f>
        <v>0</v>
      </c>
      <c r="O11" cm="1">
        <f t="array" ref="O11">IF(baseline_abground_nontree = "Included", IFERROR(INDEX(Table13[[#All],[ΔCBSL-herb,i,t (Eq 25)]], MATCH(1, (Table12[[#This Row],[stratum i]]=Table13[[#All],[stratum i]])*(Table12[[#This Row],[year t]]&gt;=#REF!)*(Table12[[#This Row],[year t]]&lt;=Table13[[#All],[year t]]), 0)), 0), 0)</f>
        <v>0</v>
      </c>
      <c r="P11">
        <f>Table12[[#This Row],[ΔCBSL-tree/shrub,i,t (t C/yr) (Eq 24)]]+Table12[[#This Row],[ΔCBSL-herb,i,t (t C/yr)]]-Table12[[#This Row],[ΔCBSL-agbiomass,i,t; t C yr-1 (submergence)]]</f>
        <v>0</v>
      </c>
      <c r="Q11" cm="1">
        <f t="array" ref="Q11">IFERROR(INDEX(Table14[[#All],[GHGBSL-soil,i,t (Eq 26)]], MATCH(1, (Table12[[#This Row],[year t]]=Table14[[#All],[year t]])*(Table12[[#This Row],[stratum i]]=Table14[[#All],[stratum i]]), 0)), 0)</f>
        <v>0</v>
      </c>
      <c r="R11">
        <f>IF(baseline_ff_CO2 = "Included", Table12[[#This Row],[ET(FC,I,t) AR-Tool 5]], 0)</f>
        <v>0</v>
      </c>
      <c r="S11" t="e" cm="1">
        <f t="array" ref="S11">INDEX(#REF!, MATCH(1, (Table12[[#This Row],[year t]]=Table32[[#All],[year t]])*(Table12[[#This Row],[stratum i]]=Table32[[#All],[stratum i]]), 0))</f>
        <v>#REF!</v>
      </c>
      <c r="T11" cm="1">
        <f t="array" ref="T11">IFERROR(INDEX(Table30[[#All],[ΔCBSL-agbiomass,i,t (equation 22) t C yr-1]], MATCH(1, (Table12[[#This Row],[stratum i]]=Table30[[#All],[Stratum i]])*(Table12[[#This Row],[year t]]&lt;Table30[[#All],[Year of reporting]]), 0)), 0)</f>
        <v>0</v>
      </c>
      <c r="V11" s="17"/>
      <c r="W11" s="17" t="e" cm="1">
        <f t="array" ref="W11">INDEX(Table34[[#All],[Submergence]], MATCH(1, (Table30[[#This Row],[Stratum i]]=Table34[[#All],[stratum i]])*(Table30[[#This Row],[Year of reporting]]=Table34[[#All],[year t]]), 0))</f>
        <v>#N/A</v>
      </c>
      <c r="X11" s="17" t="e" cm="1">
        <f t="array" ref="X11">INDEX(Table34[[#All],[Submergence_T]], MATCH(1, (Table30[[#This Row],[Stratum i]]=Table34[[#All],[stratum i]])*(Table30[[#This Row],[Year of reporting]]=Table34[[#All],[year t]]), 0))</f>
        <v>#N/A</v>
      </c>
      <c r="Y11" s="17"/>
      <c r="Z11" s="17" t="e" cm="1">
        <f t="array" ref="Z11">INDEX(Table34[[#All],[Area submerged %]], MATCH(1, (Table30[[#This Row],[Stratum i]]=Table34[[#All],[stratum i]])*(Table30[[#This Row],[Year of reporting]]=Table34[[#All],[year t]]), 0))</f>
        <v>#N/A</v>
      </c>
      <c r="AA11" s="18" t="e" cm="1">
        <f t="array" ref="AA11">INDEX(Table34[[#All],[CBSL-agbiomass,i,t (AR tool 14, tC)]], MATCH(1, (Table30[[#This Row],[Stratum i]]=Table34[[#All],[stratum i]])*(Table30[[#This Row],[Year of reporting]]=Table34[[#All],[year t]]), 0))</f>
        <v>#N/A</v>
      </c>
      <c r="AB11" s="18" t="e" cm="1">
        <f t="array" ref="AB11">INDEX(Table34[[#All],[CBSL-agbiomass,i,t-T (AR tool 14, tC)]], MATCH(1, (Table30[[#This Row],[Stratum i]]=Table34[[#All],[stratum i]])*(Table30[[#This Row],[Year of reporting]]=Table34[[#All],[year t]]), 0))</f>
        <v>#N/A</v>
      </c>
      <c r="AC11"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1" s="18">
        <v>2028</v>
      </c>
      <c r="AH11" s="18">
        <v>1</v>
      </c>
      <c r="AI11" s="45" t="e" cm="1">
        <f t="array" ref="AI11">INDEX(#REF!, MATCH(1, (Table13[[#This Row],[year t]]=Table32[[#All],[year t]])*(Table13[[#This Row],[stratum i]]=Table32[[#All],[stratum i]]), 0))</f>
        <v>#REF!</v>
      </c>
      <c r="AJ11" s="49" t="e">
        <f>Table13[[#This Row],[ΔCBSL-herb,i,t (tC/ha)]]</f>
        <v>#REF!</v>
      </c>
      <c r="AO11" s="18">
        <v>2028</v>
      </c>
      <c r="AP11" s="18">
        <v>1</v>
      </c>
      <c r="AQ11" s="17" cm="1">
        <f t="array" ref="AQ11">INDEX(Table32[[#All],[Ai,t]], MATCH(1, (Table14[[#This Row],[year t]]=Table32[[#All],[year t]])*(Table14[[#This Row],[stratum i]]=Table32[[#All],[stratum i]]), 0))</f>
        <v>1090.4420357142858</v>
      </c>
      <c r="AR11" t="str">
        <f>IF(AND(INDEX(Table31[[#All],[Soil type (t=0)]], MATCH(Table14[[#This Row],[stratum i]], Table31[[#All],[Stratum i]]))="Peat soil", Table14[[#This Row],[year t]]&lt;=Table14[[#This Row],[End_PDT]]), "Peat soil", "Non-peat soil")</f>
        <v>Non-peat soil</v>
      </c>
      <c r="AS11">
        <f>IF(Emission_reduction_from_stock_loss?, INDEX(Table2[[#All],[End_PDT]], MATCH(Table14[[#This Row],[stratum i]], Table2[[#All],[stratum i]])), crediting_period)</f>
        <v>40</v>
      </c>
      <c r="AT11">
        <f>IF(Emission_reduction_from_stock_loss?, INDEX(Table2[[#All],[End_SDT]], MATCH(Table14[[#This Row],[stratum i]], Table2[[#All],[stratum i]])), crediting_period)</f>
        <v>40</v>
      </c>
      <c r="AU11" cm="1">
        <f t="array" ref="AU1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 t="e" cm="1">
        <f t="array" ref="AV11">INDEX(#REF!, MATCH(1, (Table14[[#This Row],[year t]]=Table32[[#All],[year t]])*(Table14[[#This Row],[stratum i]]=Table32[[#All],[stratum i]]), 0))</f>
        <v>#REF!</v>
      </c>
      <c r="AW1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 s="57">
        <f>(Table14[[#This Row],[GHGBSL-soil-CO2,i,t (Eq 27)]]-Table14[[#This Row],[Deductionalloch (Eq 38)]])*Table14[[#This Row],[Ai,t]]</f>
        <v>0</v>
      </c>
      <c r="AY11" cm="1">
        <f t="array" ref="AY11">IF(baseline_soil_CH4 = "Included", INDEX(Table18[[#All],[GHGBSL-soil-CH4,i,t (Eq 59)]], MATCH(1, (Table14[[#This Row],[year t]]=Table18[[#All],[year t]])*(Table14[[#This Row],[stratum i]]=Table18[[#All],[stratum i]]), 0)), 0)</f>
        <v>0</v>
      </c>
      <c r="AZ11" cm="1">
        <f t="array" ref="AZ11">IF(baseline_soil_N2O = "Included", INDEX(Table18[[#All],[GHGBSL-soil-N2O,i,t (Eq 62)]], MATCH(1, (Table14[[#This Row],[year t]]=Table18[[#All],[year t]])*(Table14[[#This Row],[stratum i]]=Table18[[#All],[stratum i]]), 0)), 0)</f>
        <v>0</v>
      </c>
      <c r="BA11">
        <f>IF(AND(Table14[[#This Row],[year t]]&gt;Table14[[#This Row],[End_PDT]],Table14[[#This Row],[year t]]&gt;Table14[[#This Row],[End_SDT]]), 0, Table14[[#This Row],[Ai,t]]*(Table14[[#This Row],[GHGBSL-soil-CO2,i,t (Eq 27)]]-Table14[[#This Row],[Deductionalloch (Eq 38)]]+Table14[[#This Row],[GHGBSL-soil-CH4,i,t]]+Table14[[#This Row],[GHGBSL-soil-N2O,i,t]]))</f>
        <v>0</v>
      </c>
      <c r="BB11" t="e" cm="1">
        <f t="array" ref="BB11">INDEX(#REF!, MATCH(1, (Table14[[#This Row],[year t]]=Table32[[#All],[year t]])*(Table14[[#This Row],[stratum i]]=Table32[[#All],[stratum i]]), 0))</f>
        <v>#REF!</v>
      </c>
      <c r="BC11" t="e" cm="1">
        <f t="array" ref="BC11">INDEX(#REF!, MATCH(1, (Table14[[#This Row],[year t]]=Table32[[#All],[year t]])*(Table14[[#This Row],[stratum i]]=Table32[[#All],[stratum i]]), 0))</f>
        <v>#REF!</v>
      </c>
      <c r="BD11" t="e" cm="1">
        <f t="array" ref="BD11">INDEX(#REF!, MATCH(1, (Table14[[#This Row],[year t]]=Table32[[#All],[year t]])*(Table14[[#This Row],[stratum i]]=Table32[[#All],[stratum i]]), 0))</f>
        <v>#REF!</v>
      </c>
      <c r="BE11" t="e" cm="1">
        <f t="array" ref="BE11">INDEX(#REF!, MATCH(1, (Table14[[#This Row],[year t]]=Table32[[#All],[year t]])*(Table14[[#This Row],[stratum i]]=Table32[[#All],[stratum i]]), 0))</f>
        <v>#REF!</v>
      </c>
      <c r="BM11" s="18">
        <v>2028</v>
      </c>
      <c r="BN11" s="18">
        <v>1</v>
      </c>
      <c r="BO11" t="e" cm="1">
        <f t="array" ref="BO11">INDEX(#REF!, MATCH(1, (Table132926[[#This Row],[year t]]=Table32[year t])*(Table132926[[#This Row],[stratum i]]=Table32[[#All],[stratum i]]), 0))</f>
        <v>#REF!</v>
      </c>
      <c r="BP11" t="e">
        <f>-44/12*Table132926[[#This Row],[∆CBSL-soil,i,t (tC/ha)]]</f>
        <v>#REF!</v>
      </c>
      <c r="BV11" s="17">
        <v>7</v>
      </c>
      <c r="BW11" s="17">
        <v>1</v>
      </c>
      <c r="BX11" s="32" t="e" cm="1">
        <f t="array" ref="BX11">INDEX(Table32[[#All],[Ai,t]], MATCH(1, (Table18[[#This Row],[year t]]=Table32[[#All],[year t]])*(Table18[[#This Row],[stratum i]]=Table32[[#All],[stratum i]]), 0))</f>
        <v>#N/A</v>
      </c>
      <c r="BY11" t="e" cm="1">
        <f t="array" ref="BY11">INDEX(#REF!, MATCH(1, (Table18[[#This Row],[year t]]=Table32[[#All],[year t]])*(Table18[[#This Row],[stratum i]]=Table32[[#All],[stratum i]]), 0))</f>
        <v>#REF!</v>
      </c>
      <c r="BZ11" t="e" cm="1">
        <f t="array" ref="BZ11">INDEX(#REF!, MATCH(1, (Table18[[#This Row],[year t]]=Table32[[#All],[year t]])*(Table18[[#This Row],[stratum i]]=Table32[[#All],[stratum i]]), 0))</f>
        <v>#REF!</v>
      </c>
      <c r="CA11" t="e" cm="1">
        <f t="array" ref="CA11">INDEX(#REF!, MATCH(1, (Table18[[#This Row],[year t]]=Table32[[#All],[year t]])*(Table18[[#This Row],[stratum i]]=Table32[[#All],[stratum i]]), 0))</f>
        <v>#REF!</v>
      </c>
      <c r="CB11" t="e">
        <f>IF(soil_CH4_approach = "Proxies", Table18[[#This Row],[ƒ (GHG emission proxy: CH4)]]*GWP_CH4, IF(soil_CH4_approach = "IPCC emission factors", Table18[[#This Row],[IPCC Emission factor EF(CH4)]]*Table18[[#This Row],[Ai,t]]*GWP_CH4, Table18[[#This Row],[CH4(BSL-soil,I,t)]]*GWP_CH4))</f>
        <v>#REF!</v>
      </c>
      <c r="CC11" t="e" cm="1">
        <f t="array" ref="CC11">INDEX(#REF!, MATCH(1, (Table18[[#This Row],[year t]]=Table32[[#All],[year t]])*(Table18[[#This Row],[stratum i]]=Table32[[#All],[stratum i]]), 0))</f>
        <v>#REF!</v>
      </c>
      <c r="CD11" t="e" cm="1">
        <f t="array" ref="CD11">INDEX(#REF!, MATCH(1, (Table18[[#This Row],[year t]]=Table32[[#All],[year t]])*(Table18[[#This Row],[stratum i]]=Table32[[#All],[stratum i]]), 0))</f>
        <v>#REF!</v>
      </c>
      <c r="CE11" t="e" cm="1">
        <f t="array" ref="CE11">INDEX(#REF!, MATCH(1, (Table18[[#This Row],[year t]]=Table32[[#All],[year t]])*(Table18[[#This Row],[stratum i]]=Table32[[#All],[stratum i]]), 0))</f>
        <v>#REF!</v>
      </c>
      <c r="CF11" t="e">
        <f>IF(soil_N2O_approach = "Proxies", Table18[[#This Row],[ƒ (N2O emission proxy: N2O)]]*GWP_N2O, IF(soil_N2O_approach = "IPCC emission factors", Table18[[#This Row],[IPCC Emission factor EF(N2O)]]*Table18[[#This Row],[Ai,t]]*GWP_N2O, Table18[[#This Row],[N2O (BSL-soil,I,t)]]*GWP_N2O))</f>
        <v>#REF!</v>
      </c>
    </row>
    <row r="12" spans="3:84" x14ac:dyDescent="0.2">
      <c r="C12" s="18">
        <v>2029</v>
      </c>
      <c r="D12">
        <f>-SUMIF(Table12[[#All],[year t]], "&lt;="&amp;Table11[[#This Row],[year t]], Table12[[#All],[∆𝐶𝐵𝑆𝐿−𝑏𝑖𝑜𝑚𝑎𝑠𝑠,𝑖,t (equation 23)]])*44/12</f>
        <v>0</v>
      </c>
      <c r="E12">
        <f>SUMIF(Table12[[#All],[year t]], "&lt;="&amp;Table11[[#This Row],[year t]], Table12[[#All],[𝐺𝐻𝐺𝐵𝑆𝐿−𝑠𝑜𝑖𝑙,𝑖,t]])</f>
        <v>0</v>
      </c>
      <c r="F12">
        <f>SUMIF(Table12[[#All],[year t]], "&lt;="&amp;Table11[[#This Row],[year t]], Table12[[#All],[𝐺𝐻𝐺𝐵𝑆𝐿−𝑓𝑢𝑒𝑙,𝑖,t]])</f>
        <v>0</v>
      </c>
      <c r="G12">
        <f>Table11[[#This Row],[GHG(BSL-biomass)]]+Table11[[#This Row],[GHG(BSL-soil)]]+Table11[[#This Row],[GHG(BSL-fuel)]]</f>
        <v>0</v>
      </c>
      <c r="J12" s="18">
        <v>2029</v>
      </c>
      <c r="K12" s="18">
        <v>1</v>
      </c>
      <c r="L12" cm="1">
        <f t="array" ref="L12">INDEX(Table32[[#All],[ΔCTREE_BSL,i,t (AR Tool 14) t C/yr]], MATCH(1, (Table12[[#This Row],[year t]]=Table32[[#All],[year t]])*(Table12[[#This Row],[stratum i]]=Table32[[#All],[stratum i]]), 0))</f>
        <v>0</v>
      </c>
      <c r="M12" cm="1">
        <f t="array" ref="M12">IF(baseline_abground_nontree = "Included", INDEX(#REF!, MATCH(1, (Table12[[#This Row],[year t]]=Table32[[#All],[year t]])*(Table12[[#This Row],[stratum i]]=Table32[[#All],[stratum i]]), 0)), 0)</f>
        <v>0</v>
      </c>
      <c r="N12">
        <f>12/44*(Table12[[#This Row],[ΔCTREE_BSL,i,t (AR Tool 14) t CO2e/yr]]+Table12[[#This Row],[ΔCSHRUB_BSL,i,t (AR Tool 14) t CO2e/yr]])</f>
        <v>0</v>
      </c>
      <c r="O12" cm="1">
        <f t="array" ref="O12">IF(baseline_abground_nontree = "Included", IFERROR(INDEX(Table13[[#All],[ΔCBSL-herb,i,t (Eq 25)]], MATCH(1, (Table12[[#This Row],[stratum i]]=Table13[[#All],[stratum i]])*(Table12[[#This Row],[year t]]&gt;=#REF!)*(Table12[[#This Row],[year t]]&lt;=Table13[[#All],[year t]]), 0)), 0), 0)</f>
        <v>0</v>
      </c>
      <c r="P12">
        <f>Table12[[#This Row],[ΔCBSL-tree/shrub,i,t (t C/yr) (Eq 24)]]+Table12[[#This Row],[ΔCBSL-herb,i,t (t C/yr)]]-Table12[[#This Row],[ΔCBSL-agbiomass,i,t; t C yr-1 (submergence)]]</f>
        <v>0</v>
      </c>
      <c r="Q12" cm="1">
        <f t="array" ref="Q12">IFERROR(INDEX(Table14[[#All],[GHGBSL-soil,i,t (Eq 26)]], MATCH(1, (Table12[[#This Row],[year t]]=Table14[[#All],[year t]])*(Table12[[#This Row],[stratum i]]=Table14[[#All],[stratum i]]), 0)), 0)</f>
        <v>0</v>
      </c>
      <c r="R12">
        <f>IF(baseline_ff_CO2 = "Included", Table12[[#This Row],[ET(FC,I,t) AR-Tool 5]], 0)</f>
        <v>0</v>
      </c>
      <c r="S12" t="e" cm="1">
        <f t="array" ref="S12">INDEX(#REF!, MATCH(1, (Table12[[#This Row],[year t]]=Table32[[#All],[year t]])*(Table12[[#This Row],[stratum i]]=Table32[[#All],[stratum i]]), 0))</f>
        <v>#REF!</v>
      </c>
      <c r="T12" cm="1">
        <f t="array" ref="T12">IFERROR(INDEX(Table30[[#All],[ΔCBSL-agbiomass,i,t (equation 22) t C yr-1]], MATCH(1, (Table12[[#This Row],[stratum i]]=Table30[[#All],[Stratum i]])*(Table12[[#This Row],[year t]]&lt;Table30[[#All],[Year of reporting]]), 0)), 0)</f>
        <v>0</v>
      </c>
      <c r="V12" s="18"/>
      <c r="W12" s="18" t="e" cm="1">
        <f t="array" ref="W12">INDEX(Table34[[#All],[Submergence]], MATCH(1, (Table30[[#This Row],[Stratum i]]=Table34[[#All],[stratum i]])*(Table30[[#This Row],[Year of reporting]]=Table34[[#All],[year t]]), 0))</f>
        <v>#N/A</v>
      </c>
      <c r="X12" s="18" t="e" cm="1">
        <f t="array" ref="X12">INDEX(Table34[[#All],[Submergence_T]], MATCH(1, (Table30[[#This Row],[Stratum i]]=Table34[[#All],[stratum i]])*(Table30[[#This Row],[Year of reporting]]=Table34[[#All],[year t]]), 0))</f>
        <v>#N/A</v>
      </c>
      <c r="Y12" s="18"/>
      <c r="Z12" s="18" t="e" cm="1">
        <f t="array" ref="Z12">INDEX(Table34[[#All],[Area submerged %]], MATCH(1, (Table30[[#This Row],[Stratum i]]=Table34[[#All],[stratum i]])*(Table30[[#This Row],[Year of reporting]]=Table34[[#All],[year t]]), 0))</f>
        <v>#N/A</v>
      </c>
      <c r="AA12" s="18" t="e" cm="1">
        <f t="array" ref="AA12">INDEX(Table34[[#All],[CBSL-agbiomass,i,t (AR tool 14, tC)]], MATCH(1, (Table30[[#This Row],[Stratum i]]=Table34[[#All],[stratum i]])*(Table30[[#This Row],[Year of reporting]]=Table34[[#All],[year t]]), 0))</f>
        <v>#N/A</v>
      </c>
      <c r="AB12" s="18" t="e" cm="1">
        <f t="array" ref="AB12">INDEX(Table34[[#All],[CBSL-agbiomass,i,t-T (AR tool 14, tC)]], MATCH(1, (Table30[[#This Row],[Stratum i]]=Table34[[#All],[stratum i]])*(Table30[[#This Row],[Year of reporting]]=Table34[[#All],[year t]]), 0))</f>
        <v>#N/A</v>
      </c>
      <c r="AC12"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2" s="18">
        <v>2029</v>
      </c>
      <c r="AH12" s="18">
        <v>1</v>
      </c>
      <c r="AI12" s="45" t="e" cm="1">
        <f t="array" ref="AI12">INDEX(#REF!, MATCH(1, (Table13[[#This Row],[year t]]=Table32[[#All],[year t]])*(Table13[[#This Row],[stratum i]]=Table32[[#All],[stratum i]]), 0))</f>
        <v>#REF!</v>
      </c>
      <c r="AJ12" s="49" t="e">
        <f>Table13[[#This Row],[ΔCBSL-herb,i,t (tC/ha)]]</f>
        <v>#REF!</v>
      </c>
      <c r="AO12" s="18">
        <v>2029</v>
      </c>
      <c r="AP12" s="18">
        <v>1</v>
      </c>
      <c r="AQ12" s="18" cm="1">
        <f t="array" ref="AQ12">INDEX(Table32[[#All],[Ai,t]], MATCH(1, (Table14[[#This Row],[year t]]=Table32[[#All],[year t]])*(Table14[[#This Row],[stratum i]]=Table32[[#All],[stratum i]]), 0))</f>
        <v>1090.4420357142858</v>
      </c>
      <c r="AR12" t="str">
        <f>IF(AND(INDEX(Table31[[#All],[Soil type (t=0)]], MATCH(Table14[[#This Row],[stratum i]], Table31[[#All],[Stratum i]]))="Peat soil", Table14[[#This Row],[year t]]&lt;=Table14[[#This Row],[End_PDT]]), "Peat soil", "Non-peat soil")</f>
        <v>Non-peat soil</v>
      </c>
      <c r="AS12">
        <f>IF(Emission_reduction_from_stock_loss?, INDEX(Table2[[#All],[End_PDT]], MATCH(Table14[[#This Row],[stratum i]], Table2[[#All],[stratum i]])), crediting_period)</f>
        <v>40</v>
      </c>
      <c r="AT12">
        <f>IF(Emission_reduction_from_stock_loss?, INDEX(Table2[[#All],[End_SDT]], MATCH(Table14[[#This Row],[stratum i]], Table2[[#All],[stratum i]])), crediting_period)</f>
        <v>40</v>
      </c>
      <c r="AU12" cm="1">
        <f t="array" ref="AU1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 t="e" cm="1">
        <f t="array" ref="AV12">INDEX(#REF!, MATCH(1, (Table14[[#This Row],[year t]]=Table32[[#All],[year t]])*(Table14[[#This Row],[stratum i]]=Table32[[#All],[stratum i]]), 0))</f>
        <v>#REF!</v>
      </c>
      <c r="AW1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 s="57">
        <f>(Table14[[#This Row],[GHGBSL-soil-CO2,i,t (Eq 27)]]-Table14[[#This Row],[Deductionalloch (Eq 38)]])*Table14[[#This Row],[Ai,t]]</f>
        <v>0</v>
      </c>
      <c r="AY12" cm="1">
        <f t="array" ref="AY12">IF(baseline_soil_CH4 = "Included", INDEX(Table18[[#All],[GHGBSL-soil-CH4,i,t (Eq 59)]], MATCH(1, (Table14[[#This Row],[year t]]=Table18[[#All],[year t]])*(Table14[[#This Row],[stratum i]]=Table18[[#All],[stratum i]]), 0)), 0)</f>
        <v>0</v>
      </c>
      <c r="AZ12" cm="1">
        <f t="array" ref="AZ12">IF(baseline_soil_N2O = "Included", INDEX(Table18[[#All],[GHGBSL-soil-N2O,i,t (Eq 62)]], MATCH(1, (Table14[[#This Row],[year t]]=Table18[[#All],[year t]])*(Table14[[#This Row],[stratum i]]=Table18[[#All],[stratum i]]), 0)), 0)</f>
        <v>0</v>
      </c>
      <c r="BA12">
        <f>IF(AND(Table14[[#This Row],[year t]]&gt;Table14[[#This Row],[End_PDT]],Table14[[#This Row],[year t]]&gt;Table14[[#This Row],[End_SDT]]), 0, Table14[[#This Row],[Ai,t]]*(Table14[[#This Row],[GHGBSL-soil-CO2,i,t (Eq 27)]]-Table14[[#This Row],[Deductionalloch (Eq 38)]]+Table14[[#This Row],[GHGBSL-soil-CH4,i,t]]+Table14[[#This Row],[GHGBSL-soil-N2O,i,t]]))</f>
        <v>0</v>
      </c>
      <c r="BB12" t="e" cm="1">
        <f t="array" ref="BB12">INDEX(#REF!, MATCH(1, (Table14[[#This Row],[year t]]=Table32[[#All],[year t]])*(Table14[[#This Row],[stratum i]]=Table32[[#All],[stratum i]]), 0))</f>
        <v>#REF!</v>
      </c>
      <c r="BC12" t="e" cm="1">
        <f t="array" ref="BC12">INDEX(#REF!, MATCH(1, (Table14[[#This Row],[year t]]=Table32[[#All],[year t]])*(Table14[[#This Row],[stratum i]]=Table32[[#All],[stratum i]]), 0))</f>
        <v>#REF!</v>
      </c>
      <c r="BD12" t="e" cm="1">
        <f t="array" ref="BD12">INDEX(#REF!, MATCH(1, (Table14[[#This Row],[year t]]=Table32[[#All],[year t]])*(Table14[[#This Row],[stratum i]]=Table32[[#All],[stratum i]]), 0))</f>
        <v>#REF!</v>
      </c>
      <c r="BE12" t="e" cm="1">
        <f t="array" ref="BE12">INDEX(#REF!, MATCH(1, (Table14[[#This Row],[year t]]=Table32[[#All],[year t]])*(Table14[[#This Row],[stratum i]]=Table32[[#All],[stratum i]]), 0))</f>
        <v>#REF!</v>
      </c>
      <c r="BM12" s="18">
        <v>2029</v>
      </c>
      <c r="BN12" s="18">
        <v>1</v>
      </c>
      <c r="BO12" t="e" cm="1">
        <f t="array" ref="BO12">INDEX(#REF!, MATCH(1, (Table132926[[#This Row],[year t]]=Table32[year t])*(Table132926[[#This Row],[stratum i]]=Table32[[#All],[stratum i]]), 0))</f>
        <v>#REF!</v>
      </c>
      <c r="BP12" t="e">
        <f>-44/12*Table132926[[#This Row],[∆CBSL-soil,i,t (tC/ha)]]</f>
        <v>#REF!</v>
      </c>
      <c r="BV12" s="17">
        <v>1</v>
      </c>
      <c r="BW12" s="18">
        <v>2</v>
      </c>
      <c r="BX12" t="e" cm="1">
        <f t="array" ref="BX12">INDEX(Table32[[#All],[Ai,t]], MATCH(1, (Table18[[#This Row],[year t]]=Table32[[#All],[year t]])*(Table18[[#This Row],[stratum i]]=Table32[[#All],[stratum i]]), 0))</f>
        <v>#N/A</v>
      </c>
      <c r="BY12" t="e" cm="1">
        <f t="array" ref="BY12">INDEX(#REF!, MATCH(1, (Table18[[#This Row],[year t]]=Table32[[#All],[year t]])*(Table18[[#This Row],[stratum i]]=Table32[[#All],[stratum i]]), 0))</f>
        <v>#REF!</v>
      </c>
      <c r="BZ12" t="e" cm="1">
        <f t="array" ref="BZ12">INDEX(#REF!, MATCH(1, (Table18[[#This Row],[year t]]=Table32[[#All],[year t]])*(Table18[[#This Row],[stratum i]]=Table32[[#All],[stratum i]]), 0))</f>
        <v>#REF!</v>
      </c>
      <c r="CA12" t="e" cm="1">
        <f t="array" ref="CA12">INDEX(#REF!, MATCH(1, (Table18[[#This Row],[year t]]=Table32[[#All],[year t]])*(Table18[[#This Row],[stratum i]]=Table32[[#All],[stratum i]]), 0))</f>
        <v>#REF!</v>
      </c>
      <c r="CB12" t="e">
        <f>IF(soil_CH4_approach = "Proxies", Table18[[#This Row],[ƒ (GHG emission proxy: CH4)]]*GWP_CH4, IF(soil_CH4_approach = "IPCC emission factors", Table18[[#This Row],[IPCC Emission factor EF(CH4)]]*Table18[[#This Row],[Ai,t]]*GWP_CH4, Table18[[#This Row],[CH4(BSL-soil,I,t)]]*GWP_CH4))</f>
        <v>#REF!</v>
      </c>
      <c r="CC12" t="e" cm="1">
        <f t="array" ref="CC12">INDEX(#REF!, MATCH(1, (Table18[[#This Row],[year t]]=Table32[[#All],[year t]])*(Table18[[#This Row],[stratum i]]=Table32[[#All],[stratum i]]), 0))</f>
        <v>#REF!</v>
      </c>
      <c r="CD12" t="e" cm="1">
        <f t="array" ref="CD12">INDEX(#REF!, MATCH(1, (Table18[[#This Row],[year t]]=Table32[[#All],[year t]])*(Table18[[#This Row],[stratum i]]=Table32[[#All],[stratum i]]), 0))</f>
        <v>#REF!</v>
      </c>
      <c r="CE12" t="e" cm="1">
        <f t="array" ref="CE12">INDEX(#REF!, MATCH(1, (Table18[[#This Row],[year t]]=Table32[[#All],[year t]])*(Table18[[#This Row],[stratum i]]=Table32[[#All],[stratum i]]), 0))</f>
        <v>#REF!</v>
      </c>
      <c r="CF12" t="e">
        <f>IF(soil_N2O_approach = "Proxies", Table18[[#This Row],[ƒ (N2O emission proxy: N2O)]]*GWP_N2O, IF(soil_N2O_approach = "IPCC emission factors", Table18[[#This Row],[IPCC Emission factor EF(N2O)]]*Table18[[#This Row],[Ai,t]]*GWP_N2O, Table18[[#This Row],[N2O (BSL-soil,I,t)]]*GWP_N2O))</f>
        <v>#REF!</v>
      </c>
    </row>
    <row r="13" spans="3:84" x14ac:dyDescent="0.2">
      <c r="C13" s="18">
        <v>2030</v>
      </c>
      <c r="D13">
        <f>-SUMIF(Table12[[#All],[year t]], "&lt;="&amp;Table11[[#This Row],[year t]], Table12[[#All],[∆𝐶𝐵𝑆𝐿−𝑏𝑖𝑜𝑚𝑎𝑠𝑠,𝑖,t (equation 23)]])*44/12</f>
        <v>0</v>
      </c>
      <c r="E13">
        <f>SUMIF(Table12[[#All],[year t]], "&lt;="&amp;Table11[[#This Row],[year t]], Table12[[#All],[𝐺𝐻𝐺𝐵𝑆𝐿−𝑠𝑜𝑖𝑙,𝑖,t]])</f>
        <v>0</v>
      </c>
      <c r="F13">
        <f>SUMIF(Table12[[#All],[year t]], "&lt;="&amp;Table11[[#This Row],[year t]], Table12[[#All],[𝐺𝐻𝐺𝐵𝑆𝐿−𝑓𝑢𝑒𝑙,𝑖,t]])</f>
        <v>0</v>
      </c>
      <c r="G13">
        <f>Table11[[#This Row],[GHG(BSL-biomass)]]+Table11[[#This Row],[GHG(BSL-soil)]]+Table11[[#This Row],[GHG(BSL-fuel)]]</f>
        <v>0</v>
      </c>
      <c r="J13" s="18">
        <v>2030</v>
      </c>
      <c r="K13" s="18">
        <v>1</v>
      </c>
      <c r="L13" cm="1">
        <f t="array" ref="L13">INDEX(Table32[[#All],[ΔCTREE_BSL,i,t (AR Tool 14) t C/yr]], MATCH(1, (Table12[[#This Row],[year t]]=Table32[[#All],[year t]])*(Table12[[#This Row],[stratum i]]=Table32[[#All],[stratum i]]), 0))</f>
        <v>0</v>
      </c>
      <c r="M13" cm="1">
        <f t="array" ref="M13">IF(baseline_abground_nontree = "Included", INDEX(#REF!, MATCH(1, (Table12[[#This Row],[year t]]=Table32[[#All],[year t]])*(Table12[[#This Row],[stratum i]]=Table32[[#All],[stratum i]]), 0)), 0)</f>
        <v>0</v>
      </c>
      <c r="N13">
        <f>12/44*(Table12[[#This Row],[ΔCTREE_BSL,i,t (AR Tool 14) t CO2e/yr]]+Table12[[#This Row],[ΔCSHRUB_BSL,i,t (AR Tool 14) t CO2e/yr]])</f>
        <v>0</v>
      </c>
      <c r="O13" cm="1">
        <f t="array" ref="O13">IF(baseline_abground_nontree = "Included", IFERROR(INDEX(Table13[[#All],[ΔCBSL-herb,i,t (Eq 25)]], MATCH(1, (Table12[[#This Row],[stratum i]]=Table13[[#All],[stratum i]])*(Table12[[#This Row],[year t]]&gt;=#REF!)*(Table12[[#This Row],[year t]]&lt;=Table13[[#All],[year t]]), 0)), 0), 0)</f>
        <v>0</v>
      </c>
      <c r="P13">
        <f>Table12[[#This Row],[ΔCBSL-tree/shrub,i,t (t C/yr) (Eq 24)]]+Table12[[#This Row],[ΔCBSL-herb,i,t (t C/yr)]]-Table12[[#This Row],[ΔCBSL-agbiomass,i,t; t C yr-1 (submergence)]]</f>
        <v>0</v>
      </c>
      <c r="Q13" cm="1">
        <f t="array" ref="Q13">IFERROR(INDEX(Table14[[#All],[GHGBSL-soil,i,t (Eq 26)]], MATCH(1, (Table12[[#This Row],[year t]]=Table14[[#All],[year t]])*(Table12[[#This Row],[stratum i]]=Table14[[#All],[stratum i]]), 0)), 0)</f>
        <v>0</v>
      </c>
      <c r="R13">
        <f>IF(baseline_ff_CO2 = "Included", Table12[[#This Row],[ET(FC,I,t) AR-Tool 5]], 0)</f>
        <v>0</v>
      </c>
      <c r="S13" t="e" cm="1">
        <f t="array" ref="S13">INDEX(#REF!, MATCH(1, (Table12[[#This Row],[year t]]=Table32[[#All],[year t]])*(Table12[[#This Row],[stratum i]]=Table32[[#All],[stratum i]]), 0))</f>
        <v>#REF!</v>
      </c>
      <c r="T13" cm="1">
        <f t="array" ref="T13">IFERROR(INDEX(Table30[[#All],[ΔCBSL-agbiomass,i,t (equation 22) t C yr-1]], MATCH(1, (Table12[[#This Row],[stratum i]]=Table30[[#All],[Stratum i]])*(Table12[[#This Row],[year t]]&lt;Table30[[#All],[Year of reporting]]), 0)), 0)</f>
        <v>0</v>
      </c>
      <c r="V13" s="17"/>
      <c r="W13" s="17" t="e" cm="1">
        <f t="array" ref="W13">INDEX(Table34[[#All],[Submergence]], MATCH(1, (Table30[[#This Row],[Stratum i]]=Table34[[#All],[stratum i]])*(Table30[[#This Row],[Year of reporting]]=Table34[[#All],[year t]]), 0))</f>
        <v>#N/A</v>
      </c>
      <c r="X13" s="17" t="e" cm="1">
        <f t="array" ref="X13">INDEX(Table34[[#All],[Submergence_T]], MATCH(1, (Table30[[#This Row],[Stratum i]]=Table34[[#All],[stratum i]])*(Table30[[#This Row],[Year of reporting]]=Table34[[#All],[year t]]), 0))</f>
        <v>#N/A</v>
      </c>
      <c r="Y13" s="17"/>
      <c r="Z13" s="17" t="e" cm="1">
        <f t="array" ref="Z13">INDEX(Table34[[#All],[Area submerged %]], MATCH(1, (Table30[[#This Row],[Stratum i]]=Table34[[#All],[stratum i]])*(Table30[[#This Row],[Year of reporting]]=Table34[[#All],[year t]]), 0))</f>
        <v>#N/A</v>
      </c>
      <c r="AA13" s="18" t="e" cm="1">
        <f t="array" ref="AA13">INDEX(Table34[[#All],[CBSL-agbiomass,i,t (AR tool 14, tC)]], MATCH(1, (Table30[[#This Row],[Stratum i]]=Table34[[#All],[stratum i]])*(Table30[[#This Row],[Year of reporting]]=Table34[[#All],[year t]]), 0))</f>
        <v>#N/A</v>
      </c>
      <c r="AB13" s="18" t="e" cm="1">
        <f t="array" ref="AB13">INDEX(Table34[[#All],[CBSL-agbiomass,i,t-T (AR tool 14, tC)]], MATCH(1, (Table30[[#This Row],[Stratum i]]=Table34[[#All],[stratum i]])*(Table30[[#This Row],[Year of reporting]]=Table34[[#All],[year t]]), 0))</f>
        <v>#N/A</v>
      </c>
      <c r="AC13"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3" s="18">
        <v>2030</v>
      </c>
      <c r="AH13" s="18">
        <v>1</v>
      </c>
      <c r="AI13" s="45" t="e" cm="1">
        <f t="array" ref="AI13">INDEX(#REF!, MATCH(1, (Table13[[#This Row],[year t]]=Table32[[#All],[year t]])*(Table13[[#This Row],[stratum i]]=Table32[[#All],[stratum i]]), 0))</f>
        <v>#REF!</v>
      </c>
      <c r="AJ13" s="49" t="e">
        <f>Table13[[#This Row],[ΔCBSL-herb,i,t (tC/ha)]]</f>
        <v>#REF!</v>
      </c>
      <c r="AO13" s="18">
        <v>2030</v>
      </c>
      <c r="AP13" s="18">
        <v>1</v>
      </c>
      <c r="AQ13" s="17" cm="1">
        <f t="array" ref="AQ13">INDEX(Table32[[#All],[Ai,t]], MATCH(1, (Table14[[#This Row],[year t]]=Table32[[#All],[year t]])*(Table14[[#This Row],[stratum i]]=Table32[[#All],[stratum i]]), 0))</f>
        <v>1090.4420357142858</v>
      </c>
      <c r="AR13" t="str">
        <f>IF(AND(INDEX(Table31[[#All],[Soil type (t=0)]], MATCH(Table14[[#This Row],[stratum i]], Table31[[#All],[Stratum i]]))="Peat soil", Table14[[#This Row],[year t]]&lt;=Table14[[#This Row],[End_PDT]]), "Peat soil", "Non-peat soil")</f>
        <v>Non-peat soil</v>
      </c>
      <c r="AS13">
        <f>IF(Emission_reduction_from_stock_loss?, INDEX(Table2[[#All],[End_PDT]], MATCH(Table14[[#This Row],[stratum i]], Table2[[#All],[stratum i]])), crediting_period)</f>
        <v>40</v>
      </c>
      <c r="AT13">
        <f>IF(Emission_reduction_from_stock_loss?, INDEX(Table2[[#All],[End_SDT]], MATCH(Table14[[#This Row],[stratum i]], Table2[[#All],[stratum i]])), crediting_period)</f>
        <v>40</v>
      </c>
      <c r="AU13" cm="1">
        <f t="array" ref="AU1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 t="e" cm="1">
        <f t="array" ref="AV13">INDEX(#REF!, MATCH(1, (Table14[[#This Row],[year t]]=Table32[[#All],[year t]])*(Table14[[#This Row],[stratum i]]=Table32[[#All],[stratum i]]), 0))</f>
        <v>#REF!</v>
      </c>
      <c r="AW1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 s="57">
        <f>(Table14[[#This Row],[GHGBSL-soil-CO2,i,t (Eq 27)]]-Table14[[#This Row],[Deductionalloch (Eq 38)]])*Table14[[#This Row],[Ai,t]]</f>
        <v>0</v>
      </c>
      <c r="AY13" cm="1">
        <f t="array" ref="AY13">IF(baseline_soil_CH4 = "Included", INDEX(Table18[[#All],[GHGBSL-soil-CH4,i,t (Eq 59)]], MATCH(1, (Table14[[#This Row],[year t]]=Table18[[#All],[year t]])*(Table14[[#This Row],[stratum i]]=Table18[[#All],[stratum i]]), 0)), 0)</f>
        <v>0</v>
      </c>
      <c r="AZ13" cm="1">
        <f t="array" ref="AZ13">IF(baseline_soil_N2O = "Included", INDEX(Table18[[#All],[GHGBSL-soil-N2O,i,t (Eq 62)]], MATCH(1, (Table14[[#This Row],[year t]]=Table18[[#All],[year t]])*(Table14[[#This Row],[stratum i]]=Table18[[#All],[stratum i]]), 0)), 0)</f>
        <v>0</v>
      </c>
      <c r="BA13">
        <f>IF(AND(Table14[[#This Row],[year t]]&gt;Table14[[#This Row],[End_PDT]],Table14[[#This Row],[year t]]&gt;Table14[[#This Row],[End_SDT]]), 0, Table14[[#This Row],[Ai,t]]*(Table14[[#This Row],[GHGBSL-soil-CO2,i,t (Eq 27)]]-Table14[[#This Row],[Deductionalloch (Eq 38)]]+Table14[[#This Row],[GHGBSL-soil-CH4,i,t]]+Table14[[#This Row],[GHGBSL-soil-N2O,i,t]]))</f>
        <v>0</v>
      </c>
      <c r="BB13" t="e" cm="1">
        <f t="array" ref="BB13">INDEX(#REF!, MATCH(1, (Table14[[#This Row],[year t]]=Table32[[#All],[year t]])*(Table14[[#This Row],[stratum i]]=Table32[[#All],[stratum i]]), 0))</f>
        <v>#REF!</v>
      </c>
      <c r="BC13" t="e" cm="1">
        <f t="array" ref="BC13">INDEX(#REF!, MATCH(1, (Table14[[#This Row],[year t]]=Table32[[#All],[year t]])*(Table14[[#This Row],[stratum i]]=Table32[[#All],[stratum i]]), 0))</f>
        <v>#REF!</v>
      </c>
      <c r="BD13" t="e" cm="1">
        <f t="array" ref="BD13">INDEX(#REF!, MATCH(1, (Table14[[#This Row],[year t]]=Table32[[#All],[year t]])*(Table14[[#This Row],[stratum i]]=Table32[[#All],[stratum i]]), 0))</f>
        <v>#REF!</v>
      </c>
      <c r="BE13" t="e" cm="1">
        <f t="array" ref="BE13">INDEX(#REF!, MATCH(1, (Table14[[#This Row],[year t]]=Table32[[#All],[year t]])*(Table14[[#This Row],[stratum i]]=Table32[[#All],[stratum i]]), 0))</f>
        <v>#REF!</v>
      </c>
      <c r="BM13" s="18">
        <v>2030</v>
      </c>
      <c r="BN13" s="18">
        <v>1</v>
      </c>
      <c r="BO13" t="e" cm="1">
        <f t="array" ref="BO13">INDEX(#REF!, MATCH(1, (Table132926[[#This Row],[year t]]=Table32[year t])*(Table132926[[#This Row],[stratum i]]=Table32[[#All],[stratum i]]), 0))</f>
        <v>#REF!</v>
      </c>
      <c r="BP13" t="e">
        <f>-44/12*Table132926[[#This Row],[∆CBSL-soil,i,t (tC/ha)]]</f>
        <v>#REF!</v>
      </c>
      <c r="BV13" s="18">
        <v>2</v>
      </c>
      <c r="BW13" s="17">
        <v>2</v>
      </c>
      <c r="BX13" s="32" t="e" cm="1">
        <f t="array" ref="BX13">INDEX(Table32[[#All],[Ai,t]], MATCH(1, (Table18[[#This Row],[year t]]=Table32[[#All],[year t]])*(Table18[[#This Row],[stratum i]]=Table32[[#All],[stratum i]]), 0))</f>
        <v>#N/A</v>
      </c>
      <c r="BY13" t="e" cm="1">
        <f t="array" ref="BY13">INDEX(#REF!, MATCH(1, (Table18[[#This Row],[year t]]=Table32[[#All],[year t]])*(Table18[[#This Row],[stratum i]]=Table32[[#All],[stratum i]]), 0))</f>
        <v>#REF!</v>
      </c>
      <c r="BZ13" t="e" cm="1">
        <f t="array" ref="BZ13">INDEX(#REF!, MATCH(1, (Table18[[#This Row],[year t]]=Table32[[#All],[year t]])*(Table18[[#This Row],[stratum i]]=Table32[[#All],[stratum i]]), 0))</f>
        <v>#REF!</v>
      </c>
      <c r="CA13" t="e" cm="1">
        <f t="array" ref="CA13">INDEX(#REF!, MATCH(1, (Table18[[#This Row],[year t]]=Table32[[#All],[year t]])*(Table18[[#This Row],[stratum i]]=Table32[[#All],[stratum i]]), 0))</f>
        <v>#REF!</v>
      </c>
      <c r="CB13" t="e">
        <f>IF(soil_CH4_approach = "Proxies", Table18[[#This Row],[ƒ (GHG emission proxy: CH4)]]*GWP_CH4, IF(soil_CH4_approach = "IPCC emission factors", Table18[[#This Row],[IPCC Emission factor EF(CH4)]]*Table18[[#This Row],[Ai,t]]*GWP_CH4, Table18[[#This Row],[CH4(BSL-soil,I,t)]]*GWP_CH4))</f>
        <v>#REF!</v>
      </c>
      <c r="CC13" t="e" cm="1">
        <f t="array" ref="CC13">INDEX(#REF!, MATCH(1, (Table18[[#This Row],[year t]]=Table32[[#All],[year t]])*(Table18[[#This Row],[stratum i]]=Table32[[#All],[stratum i]]), 0))</f>
        <v>#REF!</v>
      </c>
      <c r="CD13" t="e" cm="1">
        <f t="array" ref="CD13">INDEX(#REF!, MATCH(1, (Table18[[#This Row],[year t]]=Table32[[#All],[year t]])*(Table18[[#This Row],[stratum i]]=Table32[[#All],[stratum i]]), 0))</f>
        <v>#REF!</v>
      </c>
      <c r="CE13" t="e" cm="1">
        <f t="array" ref="CE13">INDEX(#REF!, MATCH(1, (Table18[[#This Row],[year t]]=Table32[[#All],[year t]])*(Table18[[#This Row],[stratum i]]=Table32[[#All],[stratum i]]), 0))</f>
        <v>#REF!</v>
      </c>
      <c r="CF13" t="e">
        <f>IF(soil_N2O_approach = "Proxies", Table18[[#This Row],[ƒ (N2O emission proxy: N2O)]]*GWP_N2O, IF(soil_N2O_approach = "IPCC emission factors", Table18[[#This Row],[IPCC Emission factor EF(N2O)]]*Table18[[#This Row],[Ai,t]]*GWP_N2O, Table18[[#This Row],[N2O (BSL-soil,I,t)]]*GWP_N2O))</f>
        <v>#REF!</v>
      </c>
    </row>
    <row r="14" spans="3:84" x14ac:dyDescent="0.2">
      <c r="C14" s="18">
        <v>2031</v>
      </c>
      <c r="D14">
        <f>-SUMIF(Table12[[#All],[year t]], "&lt;="&amp;Table11[[#This Row],[year t]], Table12[[#All],[∆𝐶𝐵𝑆𝐿−𝑏𝑖𝑜𝑚𝑎𝑠𝑠,𝑖,t (equation 23)]])*44/12</f>
        <v>0</v>
      </c>
      <c r="E14">
        <f>SUMIF(Table12[[#All],[year t]], "&lt;="&amp;Table11[[#This Row],[year t]], Table12[[#All],[𝐺𝐻𝐺𝐵𝑆𝐿−𝑠𝑜𝑖𝑙,𝑖,t]])</f>
        <v>0</v>
      </c>
      <c r="F14">
        <f>SUMIF(Table12[[#All],[year t]], "&lt;="&amp;Table11[[#This Row],[year t]], Table12[[#All],[𝐺𝐻𝐺𝐵𝑆𝐿−𝑓𝑢𝑒𝑙,𝑖,t]])</f>
        <v>0</v>
      </c>
      <c r="G14">
        <f>Table11[[#This Row],[GHG(BSL-biomass)]]+Table11[[#This Row],[GHG(BSL-soil)]]+Table11[[#This Row],[GHG(BSL-fuel)]]</f>
        <v>0</v>
      </c>
      <c r="J14" s="18">
        <v>2031</v>
      </c>
      <c r="K14" s="18">
        <v>1</v>
      </c>
      <c r="L14" cm="1">
        <f t="array" ref="L14">INDEX(Table32[[#All],[ΔCTREE_BSL,i,t (AR Tool 14) t C/yr]], MATCH(1, (Table12[[#This Row],[year t]]=Table32[[#All],[year t]])*(Table12[[#This Row],[stratum i]]=Table32[[#All],[stratum i]]), 0))</f>
        <v>0</v>
      </c>
      <c r="M14" cm="1">
        <f t="array" ref="M14">IF(baseline_abground_nontree = "Included", INDEX(#REF!, MATCH(1, (Table12[[#This Row],[year t]]=Table32[[#All],[year t]])*(Table12[[#This Row],[stratum i]]=Table32[[#All],[stratum i]]), 0)), 0)</f>
        <v>0</v>
      </c>
      <c r="N14">
        <f>12/44*(Table12[[#This Row],[ΔCTREE_BSL,i,t (AR Tool 14) t CO2e/yr]]+Table12[[#This Row],[ΔCSHRUB_BSL,i,t (AR Tool 14) t CO2e/yr]])</f>
        <v>0</v>
      </c>
      <c r="O14" cm="1">
        <f t="array" ref="O14">IF(baseline_abground_nontree = "Included", IFERROR(INDEX(Table13[[#All],[ΔCBSL-herb,i,t (Eq 25)]], MATCH(1, (Table12[[#This Row],[stratum i]]=Table13[[#All],[stratum i]])*(Table12[[#This Row],[year t]]&gt;=#REF!)*(Table12[[#This Row],[year t]]&lt;=Table13[[#All],[year t]]), 0)), 0), 0)</f>
        <v>0</v>
      </c>
      <c r="P14">
        <f>Table12[[#This Row],[ΔCBSL-tree/shrub,i,t (t C/yr) (Eq 24)]]+Table12[[#This Row],[ΔCBSL-herb,i,t (t C/yr)]]-Table12[[#This Row],[ΔCBSL-agbiomass,i,t; t C yr-1 (submergence)]]</f>
        <v>0</v>
      </c>
      <c r="Q14" cm="1">
        <f t="array" ref="Q14">IFERROR(INDEX(Table14[[#All],[GHGBSL-soil,i,t (Eq 26)]], MATCH(1, (Table12[[#This Row],[year t]]=Table14[[#All],[year t]])*(Table12[[#This Row],[stratum i]]=Table14[[#All],[stratum i]]), 0)), 0)</f>
        <v>0</v>
      </c>
      <c r="R14">
        <f>IF(baseline_ff_CO2 = "Included", Table12[[#This Row],[ET(FC,I,t) AR-Tool 5]], 0)</f>
        <v>0</v>
      </c>
      <c r="S14" t="e" cm="1">
        <f t="array" ref="S14">INDEX(#REF!, MATCH(1, (Table12[[#This Row],[year t]]=Table32[[#All],[year t]])*(Table12[[#This Row],[stratum i]]=Table32[[#All],[stratum i]]), 0))</f>
        <v>#REF!</v>
      </c>
      <c r="T14" cm="1">
        <f t="array" ref="T14">IFERROR(INDEX(Table30[[#All],[ΔCBSL-agbiomass,i,t (equation 22) t C yr-1]], MATCH(1, (Table12[[#This Row],[stratum i]]=Table30[[#All],[Stratum i]])*(Table12[[#This Row],[year t]]&lt;Table30[[#All],[Year of reporting]]), 0)), 0)</f>
        <v>0</v>
      </c>
      <c r="V14" s="18"/>
      <c r="W14" s="18" t="e" cm="1">
        <f t="array" ref="W14">INDEX(Table34[[#All],[Submergence]], MATCH(1, (Table30[[#This Row],[Stratum i]]=Table34[[#All],[stratum i]])*(Table30[[#This Row],[Year of reporting]]=Table34[[#All],[year t]]), 0))</f>
        <v>#N/A</v>
      </c>
      <c r="X14" s="18" t="e" cm="1">
        <f t="array" ref="X14">INDEX(Table34[[#All],[Submergence_T]], MATCH(1, (Table30[[#This Row],[Stratum i]]=Table34[[#All],[stratum i]])*(Table30[[#This Row],[Year of reporting]]=Table34[[#All],[year t]]), 0))</f>
        <v>#N/A</v>
      </c>
      <c r="Y14" s="18"/>
      <c r="Z14" s="18" t="e" cm="1">
        <f t="array" ref="Z14">INDEX(Table34[[#All],[Area submerged %]], MATCH(1, (Table30[[#This Row],[Stratum i]]=Table34[[#All],[stratum i]])*(Table30[[#This Row],[Year of reporting]]=Table34[[#All],[year t]]), 0))</f>
        <v>#N/A</v>
      </c>
      <c r="AA14" s="18" t="e" cm="1">
        <f t="array" ref="AA14">INDEX(Table34[[#All],[CBSL-agbiomass,i,t (AR tool 14, tC)]], MATCH(1, (Table30[[#This Row],[Stratum i]]=Table34[[#All],[stratum i]])*(Table30[[#This Row],[Year of reporting]]=Table34[[#All],[year t]]), 0))</f>
        <v>#N/A</v>
      </c>
      <c r="AB14" s="18" t="e" cm="1">
        <f t="array" ref="AB14">INDEX(Table34[[#All],[CBSL-agbiomass,i,t-T (AR tool 14, tC)]], MATCH(1, (Table30[[#This Row],[Stratum i]]=Table34[[#All],[stratum i]])*(Table30[[#This Row],[Year of reporting]]=Table34[[#All],[year t]]), 0))</f>
        <v>#N/A</v>
      </c>
      <c r="AC14"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4" s="18">
        <v>2031</v>
      </c>
      <c r="AH14" s="18">
        <v>1</v>
      </c>
      <c r="AI14" s="45" t="e" cm="1">
        <f t="array" ref="AI14">INDEX(#REF!, MATCH(1, (Table13[[#This Row],[year t]]=Table32[[#All],[year t]])*(Table13[[#This Row],[stratum i]]=Table32[[#All],[stratum i]]), 0))</f>
        <v>#REF!</v>
      </c>
      <c r="AJ14" s="49" t="e">
        <f>Table13[[#This Row],[ΔCBSL-herb,i,t (tC/ha)]]</f>
        <v>#REF!</v>
      </c>
      <c r="AO14" s="18">
        <v>2031</v>
      </c>
      <c r="AP14" s="18">
        <v>1</v>
      </c>
      <c r="AQ14" s="18" cm="1">
        <f t="array" ref="AQ14">INDEX(Table32[[#All],[Ai,t]], MATCH(1, (Table14[[#This Row],[year t]]=Table32[[#All],[year t]])*(Table14[[#This Row],[stratum i]]=Table32[[#All],[stratum i]]), 0))</f>
        <v>1090.4420357142858</v>
      </c>
      <c r="AR14" t="str">
        <f>IF(AND(INDEX(Table31[[#All],[Soil type (t=0)]], MATCH(Table14[[#This Row],[stratum i]], Table31[[#All],[Stratum i]]))="Peat soil", Table14[[#This Row],[year t]]&lt;=Table14[[#This Row],[End_PDT]]), "Peat soil", "Non-peat soil")</f>
        <v>Non-peat soil</v>
      </c>
      <c r="AS14">
        <f>IF(Emission_reduction_from_stock_loss?, INDEX(Table2[[#All],[End_PDT]], MATCH(Table14[[#This Row],[stratum i]], Table2[[#All],[stratum i]])), crediting_period)</f>
        <v>40</v>
      </c>
      <c r="AT14">
        <f>IF(Emission_reduction_from_stock_loss?, INDEX(Table2[[#All],[End_SDT]], MATCH(Table14[[#This Row],[stratum i]], Table2[[#All],[stratum i]])), crediting_period)</f>
        <v>40</v>
      </c>
      <c r="AU14" cm="1">
        <f t="array" ref="AU1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 t="e" cm="1">
        <f t="array" ref="AV14">INDEX(#REF!, MATCH(1, (Table14[[#This Row],[year t]]=Table32[[#All],[year t]])*(Table14[[#This Row],[stratum i]]=Table32[[#All],[stratum i]]), 0))</f>
        <v>#REF!</v>
      </c>
      <c r="AW1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 s="57">
        <f>(Table14[[#This Row],[GHGBSL-soil-CO2,i,t (Eq 27)]]-Table14[[#This Row],[Deductionalloch (Eq 38)]])*Table14[[#This Row],[Ai,t]]</f>
        <v>0</v>
      </c>
      <c r="AY14" cm="1">
        <f t="array" ref="AY14">IF(baseline_soil_CH4 = "Included", INDEX(Table18[[#All],[GHGBSL-soil-CH4,i,t (Eq 59)]], MATCH(1, (Table14[[#This Row],[year t]]=Table18[[#All],[year t]])*(Table14[[#This Row],[stratum i]]=Table18[[#All],[stratum i]]), 0)), 0)</f>
        <v>0</v>
      </c>
      <c r="AZ14" cm="1">
        <f t="array" ref="AZ14">IF(baseline_soil_N2O = "Included", INDEX(Table18[[#All],[GHGBSL-soil-N2O,i,t (Eq 62)]], MATCH(1, (Table14[[#This Row],[year t]]=Table18[[#All],[year t]])*(Table14[[#This Row],[stratum i]]=Table18[[#All],[stratum i]]), 0)), 0)</f>
        <v>0</v>
      </c>
      <c r="BA14">
        <f>IF(AND(Table14[[#This Row],[year t]]&gt;Table14[[#This Row],[End_PDT]],Table14[[#This Row],[year t]]&gt;Table14[[#This Row],[End_SDT]]), 0, Table14[[#This Row],[Ai,t]]*(Table14[[#This Row],[GHGBSL-soil-CO2,i,t (Eq 27)]]-Table14[[#This Row],[Deductionalloch (Eq 38)]]+Table14[[#This Row],[GHGBSL-soil-CH4,i,t]]+Table14[[#This Row],[GHGBSL-soil-N2O,i,t]]))</f>
        <v>0</v>
      </c>
      <c r="BB14" t="e" cm="1">
        <f t="array" ref="BB14">INDEX(#REF!, MATCH(1, (Table14[[#This Row],[year t]]=Table32[[#All],[year t]])*(Table14[[#This Row],[stratum i]]=Table32[[#All],[stratum i]]), 0))</f>
        <v>#REF!</v>
      </c>
      <c r="BC14" t="e" cm="1">
        <f t="array" ref="BC14">INDEX(#REF!, MATCH(1, (Table14[[#This Row],[year t]]=Table32[[#All],[year t]])*(Table14[[#This Row],[stratum i]]=Table32[[#All],[stratum i]]), 0))</f>
        <v>#REF!</v>
      </c>
      <c r="BD14" t="e" cm="1">
        <f t="array" ref="BD14">INDEX(#REF!, MATCH(1, (Table14[[#This Row],[year t]]=Table32[[#All],[year t]])*(Table14[[#This Row],[stratum i]]=Table32[[#All],[stratum i]]), 0))</f>
        <v>#REF!</v>
      </c>
      <c r="BE14" t="e" cm="1">
        <f t="array" ref="BE14">INDEX(#REF!, MATCH(1, (Table14[[#This Row],[year t]]=Table32[[#All],[year t]])*(Table14[[#This Row],[stratum i]]=Table32[[#All],[stratum i]]), 0))</f>
        <v>#REF!</v>
      </c>
      <c r="BM14" s="18">
        <v>2031</v>
      </c>
      <c r="BN14" s="18">
        <v>1</v>
      </c>
      <c r="BO14" t="e" cm="1">
        <f t="array" ref="BO14">INDEX(#REF!, MATCH(1, (Table132926[[#This Row],[year t]]=Table32[year t])*(Table132926[[#This Row],[stratum i]]=Table32[[#All],[stratum i]]), 0))</f>
        <v>#REF!</v>
      </c>
      <c r="BP14" t="e">
        <f>-44/12*Table132926[[#This Row],[∆CBSL-soil,i,t (tC/ha)]]</f>
        <v>#REF!</v>
      </c>
      <c r="BV14" s="17">
        <v>3</v>
      </c>
      <c r="BW14" s="18">
        <v>2</v>
      </c>
      <c r="BX14" t="e" cm="1">
        <f t="array" ref="BX14">INDEX(Table32[[#All],[Ai,t]], MATCH(1, (Table18[[#This Row],[year t]]=Table32[[#All],[year t]])*(Table18[[#This Row],[stratum i]]=Table32[[#All],[stratum i]]), 0))</f>
        <v>#N/A</v>
      </c>
      <c r="BY14" t="e" cm="1">
        <f t="array" ref="BY14">INDEX(#REF!, MATCH(1, (Table18[[#This Row],[year t]]=Table32[[#All],[year t]])*(Table18[[#This Row],[stratum i]]=Table32[[#All],[stratum i]]), 0))</f>
        <v>#REF!</v>
      </c>
      <c r="BZ14" t="e" cm="1">
        <f t="array" ref="BZ14">INDEX(#REF!, MATCH(1, (Table18[[#This Row],[year t]]=Table32[[#All],[year t]])*(Table18[[#This Row],[stratum i]]=Table32[[#All],[stratum i]]), 0))</f>
        <v>#REF!</v>
      </c>
      <c r="CA14" t="e" cm="1">
        <f t="array" ref="CA14">INDEX(#REF!, MATCH(1, (Table18[[#This Row],[year t]]=Table32[[#All],[year t]])*(Table18[[#This Row],[stratum i]]=Table32[[#All],[stratum i]]), 0))</f>
        <v>#REF!</v>
      </c>
      <c r="CB14" t="e">
        <f>IF(soil_CH4_approach = "Proxies", Table18[[#This Row],[ƒ (GHG emission proxy: CH4)]]*GWP_CH4, IF(soil_CH4_approach = "IPCC emission factors", Table18[[#This Row],[IPCC Emission factor EF(CH4)]]*Table18[[#This Row],[Ai,t]]*GWP_CH4, Table18[[#This Row],[CH4(BSL-soil,I,t)]]*GWP_CH4))</f>
        <v>#REF!</v>
      </c>
      <c r="CC14" t="e" cm="1">
        <f t="array" ref="CC14">INDEX(#REF!, MATCH(1, (Table18[[#This Row],[year t]]=Table32[[#All],[year t]])*(Table18[[#This Row],[stratum i]]=Table32[[#All],[stratum i]]), 0))</f>
        <v>#REF!</v>
      </c>
      <c r="CD14" t="e" cm="1">
        <f t="array" ref="CD14">INDEX(#REF!, MATCH(1, (Table18[[#This Row],[year t]]=Table32[[#All],[year t]])*(Table18[[#This Row],[stratum i]]=Table32[[#All],[stratum i]]), 0))</f>
        <v>#REF!</v>
      </c>
      <c r="CE14" t="e" cm="1">
        <f t="array" ref="CE14">INDEX(#REF!, MATCH(1, (Table18[[#This Row],[year t]]=Table32[[#All],[year t]])*(Table18[[#This Row],[stratum i]]=Table32[[#All],[stratum i]]), 0))</f>
        <v>#REF!</v>
      </c>
      <c r="CF14" t="e">
        <f>IF(soil_N2O_approach = "Proxies", Table18[[#This Row],[ƒ (N2O emission proxy: N2O)]]*GWP_N2O, IF(soil_N2O_approach = "IPCC emission factors", Table18[[#This Row],[IPCC Emission factor EF(N2O)]]*Table18[[#This Row],[Ai,t]]*GWP_N2O, Table18[[#This Row],[N2O (BSL-soil,I,t)]]*GWP_N2O))</f>
        <v>#REF!</v>
      </c>
    </row>
    <row r="15" spans="3:84" x14ac:dyDescent="0.2">
      <c r="C15" s="18">
        <v>2032</v>
      </c>
      <c r="D15">
        <f>-SUMIF(Table12[[#All],[year t]], "&lt;="&amp;Table11[[#This Row],[year t]], Table12[[#All],[∆𝐶𝐵𝑆𝐿−𝑏𝑖𝑜𝑚𝑎𝑠𝑠,𝑖,t (equation 23)]])*44/12</f>
        <v>0</v>
      </c>
      <c r="E15">
        <f>SUMIF(Table12[[#All],[year t]], "&lt;="&amp;Table11[[#This Row],[year t]], Table12[[#All],[𝐺𝐻𝐺𝐵𝑆𝐿−𝑠𝑜𝑖𝑙,𝑖,t]])</f>
        <v>0</v>
      </c>
      <c r="F15">
        <f>SUMIF(Table12[[#All],[year t]], "&lt;="&amp;Table11[[#This Row],[year t]], Table12[[#All],[𝐺𝐻𝐺𝐵𝑆𝐿−𝑓𝑢𝑒𝑙,𝑖,t]])</f>
        <v>0</v>
      </c>
      <c r="G15">
        <f>Table11[[#This Row],[GHG(BSL-biomass)]]+Table11[[#This Row],[GHG(BSL-soil)]]+Table11[[#This Row],[GHG(BSL-fuel)]]</f>
        <v>0</v>
      </c>
      <c r="J15" s="18">
        <v>2032</v>
      </c>
      <c r="K15" s="18">
        <v>1</v>
      </c>
      <c r="L15" cm="1">
        <f t="array" ref="L15">INDEX(Table32[[#All],[ΔCTREE_BSL,i,t (AR Tool 14) t C/yr]], MATCH(1, (Table12[[#This Row],[year t]]=Table32[[#All],[year t]])*(Table12[[#This Row],[stratum i]]=Table32[[#All],[stratum i]]), 0))</f>
        <v>0</v>
      </c>
      <c r="M15" cm="1">
        <f t="array" ref="M15">IF(baseline_abground_nontree = "Included", INDEX(#REF!, MATCH(1, (Table12[[#This Row],[year t]]=Table32[[#All],[year t]])*(Table12[[#This Row],[stratum i]]=Table32[[#All],[stratum i]]), 0)), 0)</f>
        <v>0</v>
      </c>
      <c r="N15">
        <f>12/44*(Table12[[#This Row],[ΔCTREE_BSL,i,t (AR Tool 14) t CO2e/yr]]+Table12[[#This Row],[ΔCSHRUB_BSL,i,t (AR Tool 14) t CO2e/yr]])</f>
        <v>0</v>
      </c>
      <c r="O15" cm="1">
        <f t="array" ref="O15">IF(baseline_abground_nontree = "Included", IFERROR(INDEX(Table13[[#All],[ΔCBSL-herb,i,t (Eq 25)]], MATCH(1, (Table12[[#This Row],[stratum i]]=Table13[[#All],[stratum i]])*(Table12[[#This Row],[year t]]&gt;=#REF!)*(Table12[[#This Row],[year t]]&lt;=Table13[[#All],[year t]]), 0)), 0), 0)</f>
        <v>0</v>
      </c>
      <c r="P15">
        <f>Table12[[#This Row],[ΔCBSL-tree/shrub,i,t (t C/yr) (Eq 24)]]+Table12[[#This Row],[ΔCBSL-herb,i,t (t C/yr)]]-Table12[[#This Row],[ΔCBSL-agbiomass,i,t; t C yr-1 (submergence)]]</f>
        <v>0</v>
      </c>
      <c r="Q15" cm="1">
        <f t="array" ref="Q15">IFERROR(INDEX(Table14[[#All],[GHGBSL-soil,i,t (Eq 26)]], MATCH(1, (Table12[[#This Row],[year t]]=Table14[[#All],[year t]])*(Table12[[#This Row],[stratum i]]=Table14[[#All],[stratum i]]), 0)), 0)</f>
        <v>0</v>
      </c>
      <c r="R15">
        <f>IF(baseline_ff_CO2 = "Included", Table12[[#This Row],[ET(FC,I,t) AR-Tool 5]], 0)</f>
        <v>0</v>
      </c>
      <c r="S15" t="e" cm="1">
        <f t="array" ref="S15">INDEX(#REF!, MATCH(1, (Table12[[#This Row],[year t]]=Table32[[#All],[year t]])*(Table12[[#This Row],[stratum i]]=Table32[[#All],[stratum i]]), 0))</f>
        <v>#REF!</v>
      </c>
      <c r="T15" cm="1">
        <f t="array" ref="T15">IFERROR(INDEX(Table30[[#All],[ΔCBSL-agbiomass,i,t (equation 22) t C yr-1]], MATCH(1, (Table12[[#This Row],[stratum i]]=Table30[[#All],[Stratum i]])*(Table12[[#This Row],[year t]]&lt;Table30[[#All],[Year of reporting]]), 0)), 0)</f>
        <v>0</v>
      </c>
      <c r="V15" s="17"/>
      <c r="W15" s="17" t="e" cm="1">
        <f t="array" ref="W15">INDEX(Table34[[#All],[Submergence]], MATCH(1, (Table30[[#This Row],[Stratum i]]=Table34[[#All],[stratum i]])*(Table30[[#This Row],[Year of reporting]]=Table34[[#All],[year t]]), 0))</f>
        <v>#N/A</v>
      </c>
      <c r="X15" s="17" t="e" cm="1">
        <f t="array" ref="X15">INDEX(Table34[[#All],[Submergence_T]], MATCH(1, (Table30[[#This Row],[Stratum i]]=Table34[[#All],[stratum i]])*(Table30[[#This Row],[Year of reporting]]=Table34[[#All],[year t]]), 0))</f>
        <v>#N/A</v>
      </c>
      <c r="Y15" s="17"/>
      <c r="Z15" s="17" t="e" cm="1">
        <f t="array" ref="Z15">INDEX(Table34[[#All],[Area submerged %]], MATCH(1, (Table30[[#This Row],[Stratum i]]=Table34[[#All],[stratum i]])*(Table30[[#This Row],[Year of reporting]]=Table34[[#All],[year t]]), 0))</f>
        <v>#N/A</v>
      </c>
      <c r="AA15" s="18" t="e" cm="1">
        <f t="array" ref="AA15">INDEX(Table34[[#All],[CBSL-agbiomass,i,t (AR tool 14, tC)]], MATCH(1, (Table30[[#This Row],[Stratum i]]=Table34[[#All],[stratum i]])*(Table30[[#This Row],[Year of reporting]]=Table34[[#All],[year t]]), 0))</f>
        <v>#N/A</v>
      </c>
      <c r="AB15" s="18" t="e" cm="1">
        <f t="array" ref="AB15">INDEX(Table34[[#All],[CBSL-agbiomass,i,t-T (AR tool 14, tC)]], MATCH(1, (Table30[[#This Row],[Stratum i]]=Table34[[#All],[stratum i]])*(Table30[[#This Row],[Year of reporting]]=Table34[[#All],[year t]]), 0))</f>
        <v>#N/A</v>
      </c>
      <c r="AC15"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5" s="18">
        <v>2032</v>
      </c>
      <c r="AH15" s="18">
        <v>1</v>
      </c>
      <c r="AI15" s="45" t="e" cm="1">
        <f t="array" ref="AI15">INDEX(#REF!, MATCH(1, (Table13[[#This Row],[year t]]=Table32[[#All],[year t]])*(Table13[[#This Row],[stratum i]]=Table32[[#All],[stratum i]]), 0))</f>
        <v>#REF!</v>
      </c>
      <c r="AJ15" s="49" t="e">
        <f>Table13[[#This Row],[ΔCBSL-herb,i,t (tC/ha)]]</f>
        <v>#REF!</v>
      </c>
      <c r="AO15" s="18">
        <v>2032</v>
      </c>
      <c r="AP15" s="18">
        <v>1</v>
      </c>
      <c r="AQ15" s="17" cm="1">
        <f t="array" ref="AQ15">INDEX(Table32[[#All],[Ai,t]], MATCH(1, (Table14[[#This Row],[year t]]=Table32[[#All],[year t]])*(Table14[[#This Row],[stratum i]]=Table32[[#All],[stratum i]]), 0))</f>
        <v>1090.4420357142858</v>
      </c>
      <c r="AR15" t="str">
        <f>IF(AND(INDEX(Table31[[#All],[Soil type (t=0)]], MATCH(Table14[[#This Row],[stratum i]], Table31[[#All],[Stratum i]]))="Peat soil", Table14[[#This Row],[year t]]&lt;=Table14[[#This Row],[End_PDT]]), "Peat soil", "Non-peat soil")</f>
        <v>Non-peat soil</v>
      </c>
      <c r="AS15">
        <f>IF(Emission_reduction_from_stock_loss?, INDEX(Table2[[#All],[End_PDT]], MATCH(Table14[[#This Row],[stratum i]], Table2[[#All],[stratum i]])), crediting_period)</f>
        <v>40</v>
      </c>
      <c r="AT15">
        <f>IF(Emission_reduction_from_stock_loss?, INDEX(Table2[[#All],[End_SDT]], MATCH(Table14[[#This Row],[stratum i]], Table2[[#All],[stratum i]])), crediting_period)</f>
        <v>40</v>
      </c>
      <c r="AU15" cm="1">
        <f t="array" ref="AU1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 t="e" cm="1">
        <f t="array" ref="AV15">INDEX(#REF!, MATCH(1, (Table14[[#This Row],[year t]]=Table32[[#All],[year t]])*(Table14[[#This Row],[stratum i]]=Table32[[#All],[stratum i]]), 0))</f>
        <v>#REF!</v>
      </c>
      <c r="AW1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 s="57">
        <f>(Table14[[#This Row],[GHGBSL-soil-CO2,i,t (Eq 27)]]-Table14[[#This Row],[Deductionalloch (Eq 38)]])*Table14[[#This Row],[Ai,t]]</f>
        <v>0</v>
      </c>
      <c r="AY15" cm="1">
        <f t="array" ref="AY15">IF(baseline_soil_CH4 = "Included", INDEX(Table18[[#All],[GHGBSL-soil-CH4,i,t (Eq 59)]], MATCH(1, (Table14[[#This Row],[year t]]=Table18[[#All],[year t]])*(Table14[[#This Row],[stratum i]]=Table18[[#All],[stratum i]]), 0)), 0)</f>
        <v>0</v>
      </c>
      <c r="AZ15" cm="1">
        <f t="array" ref="AZ15">IF(baseline_soil_N2O = "Included", INDEX(Table18[[#All],[GHGBSL-soil-N2O,i,t (Eq 62)]], MATCH(1, (Table14[[#This Row],[year t]]=Table18[[#All],[year t]])*(Table14[[#This Row],[stratum i]]=Table18[[#All],[stratum i]]), 0)), 0)</f>
        <v>0</v>
      </c>
      <c r="BA15">
        <f>IF(AND(Table14[[#This Row],[year t]]&gt;Table14[[#This Row],[End_PDT]],Table14[[#This Row],[year t]]&gt;Table14[[#This Row],[End_SDT]]), 0, Table14[[#This Row],[Ai,t]]*(Table14[[#This Row],[GHGBSL-soil-CO2,i,t (Eq 27)]]-Table14[[#This Row],[Deductionalloch (Eq 38)]]+Table14[[#This Row],[GHGBSL-soil-CH4,i,t]]+Table14[[#This Row],[GHGBSL-soil-N2O,i,t]]))</f>
        <v>0</v>
      </c>
      <c r="BB15" t="e" cm="1">
        <f t="array" ref="BB15">INDEX(#REF!, MATCH(1, (Table14[[#This Row],[year t]]=Table32[[#All],[year t]])*(Table14[[#This Row],[stratum i]]=Table32[[#All],[stratum i]]), 0))</f>
        <v>#REF!</v>
      </c>
      <c r="BC15" t="e" cm="1">
        <f t="array" ref="BC15">INDEX(#REF!, MATCH(1, (Table14[[#This Row],[year t]]=Table32[[#All],[year t]])*(Table14[[#This Row],[stratum i]]=Table32[[#All],[stratum i]]), 0))</f>
        <v>#REF!</v>
      </c>
      <c r="BD15" t="e" cm="1">
        <f t="array" ref="BD15">INDEX(#REF!, MATCH(1, (Table14[[#This Row],[year t]]=Table32[[#All],[year t]])*(Table14[[#This Row],[stratum i]]=Table32[[#All],[stratum i]]), 0))</f>
        <v>#REF!</v>
      </c>
      <c r="BE15" t="e" cm="1">
        <f t="array" ref="BE15">INDEX(#REF!, MATCH(1, (Table14[[#This Row],[year t]]=Table32[[#All],[year t]])*(Table14[[#This Row],[stratum i]]=Table32[[#All],[stratum i]]), 0))</f>
        <v>#REF!</v>
      </c>
      <c r="BM15" s="18">
        <v>2032</v>
      </c>
      <c r="BN15" s="18">
        <v>1</v>
      </c>
      <c r="BO15" t="e" cm="1">
        <f t="array" ref="BO15">INDEX(#REF!, MATCH(1, (Table132926[[#This Row],[year t]]=Table32[year t])*(Table132926[[#This Row],[stratum i]]=Table32[[#All],[stratum i]]), 0))</f>
        <v>#REF!</v>
      </c>
      <c r="BP15" t="e">
        <f>-44/12*Table132926[[#This Row],[∆CBSL-soil,i,t (tC/ha)]]</f>
        <v>#REF!</v>
      </c>
      <c r="BV15" s="18">
        <v>4</v>
      </c>
      <c r="BW15" s="17">
        <v>2</v>
      </c>
      <c r="BX15" s="32" t="e" cm="1">
        <f t="array" ref="BX15">INDEX(Table32[[#All],[Ai,t]], MATCH(1, (Table18[[#This Row],[year t]]=Table32[[#All],[year t]])*(Table18[[#This Row],[stratum i]]=Table32[[#All],[stratum i]]), 0))</f>
        <v>#N/A</v>
      </c>
      <c r="BY15" t="e" cm="1">
        <f t="array" ref="BY15">INDEX(#REF!, MATCH(1, (Table18[[#This Row],[year t]]=Table32[[#All],[year t]])*(Table18[[#This Row],[stratum i]]=Table32[[#All],[stratum i]]), 0))</f>
        <v>#REF!</v>
      </c>
      <c r="BZ15" t="e" cm="1">
        <f t="array" ref="BZ15">INDEX(#REF!, MATCH(1, (Table18[[#This Row],[year t]]=Table32[[#All],[year t]])*(Table18[[#This Row],[stratum i]]=Table32[[#All],[stratum i]]), 0))</f>
        <v>#REF!</v>
      </c>
      <c r="CA15" t="e" cm="1">
        <f t="array" ref="CA15">INDEX(#REF!, MATCH(1, (Table18[[#This Row],[year t]]=Table32[[#All],[year t]])*(Table18[[#This Row],[stratum i]]=Table32[[#All],[stratum i]]), 0))</f>
        <v>#REF!</v>
      </c>
      <c r="CB15" t="e">
        <f>IF(soil_CH4_approach = "Proxies", Table18[[#This Row],[ƒ (GHG emission proxy: CH4)]]*GWP_CH4, IF(soil_CH4_approach = "IPCC emission factors", Table18[[#This Row],[IPCC Emission factor EF(CH4)]]*Table18[[#This Row],[Ai,t]]*GWP_CH4, Table18[[#This Row],[CH4(BSL-soil,I,t)]]*GWP_CH4))</f>
        <v>#REF!</v>
      </c>
      <c r="CC15" t="e" cm="1">
        <f t="array" ref="CC15">INDEX(#REF!, MATCH(1, (Table18[[#This Row],[year t]]=Table32[[#All],[year t]])*(Table18[[#This Row],[stratum i]]=Table32[[#All],[stratum i]]), 0))</f>
        <v>#REF!</v>
      </c>
      <c r="CD15" t="e" cm="1">
        <f t="array" ref="CD15">INDEX(#REF!, MATCH(1, (Table18[[#This Row],[year t]]=Table32[[#All],[year t]])*(Table18[[#This Row],[stratum i]]=Table32[[#All],[stratum i]]), 0))</f>
        <v>#REF!</v>
      </c>
      <c r="CE15" t="e" cm="1">
        <f t="array" ref="CE15">INDEX(#REF!, MATCH(1, (Table18[[#This Row],[year t]]=Table32[[#All],[year t]])*(Table18[[#This Row],[stratum i]]=Table32[[#All],[stratum i]]), 0))</f>
        <v>#REF!</v>
      </c>
      <c r="CF15" t="e">
        <f>IF(soil_N2O_approach = "Proxies", Table18[[#This Row],[ƒ (N2O emission proxy: N2O)]]*GWP_N2O, IF(soil_N2O_approach = "IPCC emission factors", Table18[[#This Row],[IPCC Emission factor EF(N2O)]]*Table18[[#This Row],[Ai,t]]*GWP_N2O, Table18[[#This Row],[N2O (BSL-soil,I,t)]]*GWP_N2O))</f>
        <v>#REF!</v>
      </c>
    </row>
    <row r="16" spans="3:84" x14ac:dyDescent="0.2">
      <c r="C16" s="18">
        <v>2033</v>
      </c>
      <c r="D16">
        <f>-SUMIF(Table12[[#All],[year t]], "&lt;="&amp;Table11[[#This Row],[year t]], Table12[[#All],[∆𝐶𝐵𝑆𝐿−𝑏𝑖𝑜𝑚𝑎𝑠𝑠,𝑖,t (equation 23)]])*44/12</f>
        <v>0</v>
      </c>
      <c r="E16">
        <f>SUMIF(Table12[[#All],[year t]], "&lt;="&amp;Table11[[#This Row],[year t]], Table12[[#All],[𝐺𝐻𝐺𝐵𝑆𝐿−𝑠𝑜𝑖𝑙,𝑖,t]])</f>
        <v>0</v>
      </c>
      <c r="F16">
        <f>SUMIF(Table12[[#All],[year t]], "&lt;="&amp;Table11[[#This Row],[year t]], Table12[[#All],[𝐺𝐻𝐺𝐵𝑆𝐿−𝑓𝑢𝑒𝑙,𝑖,t]])</f>
        <v>0</v>
      </c>
      <c r="G16">
        <f>Table11[[#This Row],[GHG(BSL-biomass)]]+Table11[[#This Row],[GHG(BSL-soil)]]+Table11[[#This Row],[GHG(BSL-fuel)]]</f>
        <v>0</v>
      </c>
      <c r="J16" s="18">
        <v>2033</v>
      </c>
      <c r="K16" s="18">
        <v>1</v>
      </c>
      <c r="L16" cm="1">
        <f t="array" ref="L16">INDEX(Table32[[#All],[ΔCTREE_BSL,i,t (AR Tool 14) t C/yr]], MATCH(1, (Table12[[#This Row],[year t]]=Table32[[#All],[year t]])*(Table12[[#This Row],[stratum i]]=Table32[[#All],[stratum i]]), 0))</f>
        <v>0</v>
      </c>
      <c r="M16" cm="1">
        <f t="array" ref="M16">IF(baseline_abground_nontree = "Included", INDEX(#REF!, MATCH(1, (Table12[[#This Row],[year t]]=Table32[[#All],[year t]])*(Table12[[#This Row],[stratum i]]=Table32[[#All],[stratum i]]), 0)), 0)</f>
        <v>0</v>
      </c>
      <c r="N16">
        <f>12/44*(Table12[[#This Row],[ΔCTREE_BSL,i,t (AR Tool 14) t CO2e/yr]]+Table12[[#This Row],[ΔCSHRUB_BSL,i,t (AR Tool 14) t CO2e/yr]])</f>
        <v>0</v>
      </c>
      <c r="O16" cm="1">
        <f t="array" ref="O16">IF(baseline_abground_nontree = "Included", IFERROR(INDEX(Table13[[#All],[ΔCBSL-herb,i,t (Eq 25)]], MATCH(1, (Table12[[#This Row],[stratum i]]=Table13[[#All],[stratum i]])*(Table12[[#This Row],[year t]]&gt;=#REF!)*(Table12[[#This Row],[year t]]&lt;=Table13[[#All],[year t]]), 0)), 0), 0)</f>
        <v>0</v>
      </c>
      <c r="P16">
        <f>Table12[[#This Row],[ΔCBSL-tree/shrub,i,t (t C/yr) (Eq 24)]]+Table12[[#This Row],[ΔCBSL-herb,i,t (t C/yr)]]-Table12[[#This Row],[ΔCBSL-agbiomass,i,t; t C yr-1 (submergence)]]</f>
        <v>0</v>
      </c>
      <c r="Q16" cm="1">
        <f t="array" ref="Q16">IFERROR(INDEX(Table14[[#All],[GHGBSL-soil,i,t (Eq 26)]], MATCH(1, (Table12[[#This Row],[year t]]=Table14[[#All],[year t]])*(Table12[[#This Row],[stratum i]]=Table14[[#All],[stratum i]]), 0)), 0)</f>
        <v>0</v>
      </c>
      <c r="R16">
        <f>IF(baseline_ff_CO2 = "Included", Table12[[#This Row],[ET(FC,I,t) AR-Tool 5]], 0)</f>
        <v>0</v>
      </c>
      <c r="S16" t="e" cm="1">
        <f t="array" ref="S16">INDEX(#REF!, MATCH(1, (Table12[[#This Row],[year t]]=Table32[[#All],[year t]])*(Table12[[#This Row],[stratum i]]=Table32[[#All],[stratum i]]), 0))</f>
        <v>#REF!</v>
      </c>
      <c r="T16" cm="1">
        <f t="array" ref="T16">IFERROR(INDEX(Table30[[#All],[ΔCBSL-agbiomass,i,t (equation 22) t C yr-1]], MATCH(1, (Table12[[#This Row],[stratum i]]=Table30[[#All],[Stratum i]])*(Table12[[#This Row],[year t]]&lt;Table30[[#All],[Year of reporting]]), 0)), 0)</f>
        <v>0</v>
      </c>
      <c r="V16" s="18"/>
      <c r="W16" s="18" t="e" cm="1">
        <f t="array" ref="W16">INDEX(Table34[[#All],[Submergence]], MATCH(1, (Table30[[#This Row],[Stratum i]]=Table34[[#All],[stratum i]])*(Table30[[#This Row],[Year of reporting]]=Table34[[#All],[year t]]), 0))</f>
        <v>#N/A</v>
      </c>
      <c r="X16" s="18" t="e" cm="1">
        <f t="array" ref="X16">INDEX(Table34[[#All],[Submergence_T]], MATCH(1, (Table30[[#This Row],[Stratum i]]=Table34[[#All],[stratum i]])*(Table30[[#This Row],[Year of reporting]]=Table34[[#All],[year t]]), 0))</f>
        <v>#N/A</v>
      </c>
      <c r="Y16" s="18"/>
      <c r="Z16" s="18" t="e" cm="1">
        <f t="array" ref="Z16">INDEX(Table34[[#All],[Area submerged %]], MATCH(1, (Table30[[#This Row],[Stratum i]]=Table34[[#All],[stratum i]])*(Table30[[#This Row],[Year of reporting]]=Table34[[#All],[year t]]), 0))</f>
        <v>#N/A</v>
      </c>
      <c r="AA16" s="18" t="e" cm="1">
        <f t="array" ref="AA16">INDEX(Table34[[#All],[CBSL-agbiomass,i,t (AR tool 14, tC)]], MATCH(1, (Table30[[#This Row],[Stratum i]]=Table34[[#All],[stratum i]])*(Table30[[#This Row],[Year of reporting]]=Table34[[#All],[year t]]), 0))</f>
        <v>#N/A</v>
      </c>
      <c r="AB16" s="18" t="e" cm="1">
        <f t="array" ref="AB16">INDEX(Table34[[#All],[CBSL-agbiomass,i,t-T (AR tool 14, tC)]], MATCH(1, (Table30[[#This Row],[Stratum i]]=Table34[[#All],[stratum i]])*(Table30[[#This Row],[Year of reporting]]=Table34[[#All],[year t]]), 0))</f>
        <v>#N/A</v>
      </c>
      <c r="AC16"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6" s="18">
        <v>2033</v>
      </c>
      <c r="AH16" s="18">
        <v>1</v>
      </c>
      <c r="AI16" s="45" t="e" cm="1">
        <f t="array" ref="AI16">INDEX(#REF!, MATCH(1, (Table13[[#This Row],[year t]]=Table32[[#All],[year t]])*(Table13[[#This Row],[stratum i]]=Table32[[#All],[stratum i]]), 0))</f>
        <v>#REF!</v>
      </c>
      <c r="AJ16" s="49" t="e">
        <f>Table13[[#This Row],[ΔCBSL-herb,i,t (tC/ha)]]</f>
        <v>#REF!</v>
      </c>
      <c r="AO16" s="18">
        <v>2033</v>
      </c>
      <c r="AP16" s="18">
        <v>1</v>
      </c>
      <c r="AQ16" s="18" cm="1">
        <f t="array" ref="AQ16">INDEX(Table32[[#All],[Ai,t]], MATCH(1, (Table14[[#This Row],[year t]]=Table32[[#All],[year t]])*(Table14[[#This Row],[stratum i]]=Table32[[#All],[stratum i]]), 0))</f>
        <v>1090.4420357142858</v>
      </c>
      <c r="AR16" t="str">
        <f>IF(AND(INDEX(Table31[[#All],[Soil type (t=0)]], MATCH(Table14[[#This Row],[stratum i]], Table31[[#All],[Stratum i]]))="Peat soil", Table14[[#This Row],[year t]]&lt;=Table14[[#This Row],[End_PDT]]), "Peat soil", "Non-peat soil")</f>
        <v>Non-peat soil</v>
      </c>
      <c r="AS16">
        <f>IF(Emission_reduction_from_stock_loss?, INDEX(Table2[[#All],[End_PDT]], MATCH(Table14[[#This Row],[stratum i]], Table2[[#All],[stratum i]])), crediting_period)</f>
        <v>40</v>
      </c>
      <c r="AT16">
        <f>IF(Emission_reduction_from_stock_loss?, INDEX(Table2[[#All],[End_SDT]], MATCH(Table14[[#This Row],[stratum i]], Table2[[#All],[stratum i]])), crediting_period)</f>
        <v>40</v>
      </c>
      <c r="AU16" cm="1">
        <f t="array" ref="AU1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6" t="e" cm="1">
        <f t="array" ref="AV16">INDEX(#REF!, MATCH(1, (Table14[[#This Row],[year t]]=Table32[[#All],[year t]])*(Table14[[#This Row],[stratum i]]=Table32[[#All],[stratum i]]), 0))</f>
        <v>#REF!</v>
      </c>
      <c r="AW1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6" s="57">
        <f>(Table14[[#This Row],[GHGBSL-soil-CO2,i,t (Eq 27)]]-Table14[[#This Row],[Deductionalloch (Eq 38)]])*Table14[[#This Row],[Ai,t]]</f>
        <v>0</v>
      </c>
      <c r="AY16" cm="1">
        <f t="array" ref="AY16">IF(baseline_soil_CH4 = "Included", INDEX(Table18[[#All],[GHGBSL-soil-CH4,i,t (Eq 59)]], MATCH(1, (Table14[[#This Row],[year t]]=Table18[[#All],[year t]])*(Table14[[#This Row],[stratum i]]=Table18[[#All],[stratum i]]), 0)), 0)</f>
        <v>0</v>
      </c>
      <c r="AZ16" cm="1">
        <f t="array" ref="AZ16">IF(baseline_soil_N2O = "Included", INDEX(Table18[[#All],[GHGBSL-soil-N2O,i,t (Eq 62)]], MATCH(1, (Table14[[#This Row],[year t]]=Table18[[#All],[year t]])*(Table14[[#This Row],[stratum i]]=Table18[[#All],[stratum i]]), 0)), 0)</f>
        <v>0</v>
      </c>
      <c r="BA16">
        <f>IF(AND(Table14[[#This Row],[year t]]&gt;Table14[[#This Row],[End_PDT]],Table14[[#This Row],[year t]]&gt;Table14[[#This Row],[End_SDT]]), 0, Table14[[#This Row],[Ai,t]]*(Table14[[#This Row],[GHGBSL-soil-CO2,i,t (Eq 27)]]-Table14[[#This Row],[Deductionalloch (Eq 38)]]+Table14[[#This Row],[GHGBSL-soil-CH4,i,t]]+Table14[[#This Row],[GHGBSL-soil-N2O,i,t]]))</f>
        <v>0</v>
      </c>
      <c r="BB16" t="e" cm="1">
        <f t="array" ref="BB16">INDEX(#REF!, MATCH(1, (Table14[[#This Row],[year t]]=Table32[[#All],[year t]])*(Table14[[#This Row],[stratum i]]=Table32[[#All],[stratum i]]), 0))</f>
        <v>#REF!</v>
      </c>
      <c r="BC16" t="e" cm="1">
        <f t="array" ref="BC16">INDEX(#REF!, MATCH(1, (Table14[[#This Row],[year t]]=Table32[[#All],[year t]])*(Table14[[#This Row],[stratum i]]=Table32[[#All],[stratum i]]), 0))</f>
        <v>#REF!</v>
      </c>
      <c r="BD16" t="e" cm="1">
        <f t="array" ref="BD16">INDEX(#REF!, MATCH(1, (Table14[[#This Row],[year t]]=Table32[[#All],[year t]])*(Table14[[#This Row],[stratum i]]=Table32[[#All],[stratum i]]), 0))</f>
        <v>#REF!</v>
      </c>
      <c r="BE16" t="e" cm="1">
        <f t="array" ref="BE16">INDEX(#REF!, MATCH(1, (Table14[[#This Row],[year t]]=Table32[[#All],[year t]])*(Table14[[#This Row],[stratum i]]=Table32[[#All],[stratum i]]), 0))</f>
        <v>#REF!</v>
      </c>
      <c r="BM16" s="18">
        <v>2033</v>
      </c>
      <c r="BN16" s="18">
        <v>1</v>
      </c>
      <c r="BO16" t="e" cm="1">
        <f t="array" ref="BO16">INDEX(#REF!, MATCH(1, (Table132926[[#This Row],[year t]]=Table32[year t])*(Table132926[[#This Row],[stratum i]]=Table32[[#All],[stratum i]]), 0))</f>
        <v>#REF!</v>
      </c>
      <c r="BP16" t="e">
        <f>-44/12*Table132926[[#This Row],[∆CBSL-soil,i,t (tC/ha)]]</f>
        <v>#REF!</v>
      </c>
      <c r="BV16" s="17">
        <v>5</v>
      </c>
      <c r="BW16" s="18">
        <v>2</v>
      </c>
      <c r="BX16" t="e" cm="1">
        <f t="array" ref="BX16">INDEX(Table32[[#All],[Ai,t]], MATCH(1, (Table18[[#This Row],[year t]]=Table32[[#All],[year t]])*(Table18[[#This Row],[stratum i]]=Table32[[#All],[stratum i]]), 0))</f>
        <v>#N/A</v>
      </c>
      <c r="BY16" t="e" cm="1">
        <f t="array" ref="BY16">INDEX(#REF!, MATCH(1, (Table18[[#This Row],[year t]]=Table32[[#All],[year t]])*(Table18[[#This Row],[stratum i]]=Table32[[#All],[stratum i]]), 0))</f>
        <v>#REF!</v>
      </c>
      <c r="BZ16" t="e" cm="1">
        <f t="array" ref="BZ16">INDEX(#REF!, MATCH(1, (Table18[[#This Row],[year t]]=Table32[[#All],[year t]])*(Table18[[#This Row],[stratum i]]=Table32[[#All],[stratum i]]), 0))</f>
        <v>#REF!</v>
      </c>
      <c r="CA16" t="e" cm="1">
        <f t="array" ref="CA16">INDEX(#REF!, MATCH(1, (Table18[[#This Row],[year t]]=Table32[[#All],[year t]])*(Table18[[#This Row],[stratum i]]=Table32[[#All],[stratum i]]), 0))</f>
        <v>#REF!</v>
      </c>
      <c r="CB16" t="e">
        <f>IF(soil_CH4_approach = "Proxies", Table18[[#This Row],[ƒ (GHG emission proxy: CH4)]]*GWP_CH4, IF(soil_CH4_approach = "IPCC emission factors", Table18[[#This Row],[IPCC Emission factor EF(CH4)]]*Table18[[#This Row],[Ai,t]]*GWP_CH4, Table18[[#This Row],[CH4(BSL-soil,I,t)]]*GWP_CH4))</f>
        <v>#REF!</v>
      </c>
      <c r="CC16" t="e" cm="1">
        <f t="array" ref="CC16">INDEX(#REF!, MATCH(1, (Table18[[#This Row],[year t]]=Table32[[#All],[year t]])*(Table18[[#This Row],[stratum i]]=Table32[[#All],[stratum i]]), 0))</f>
        <v>#REF!</v>
      </c>
      <c r="CD16" t="e" cm="1">
        <f t="array" ref="CD16">INDEX(#REF!, MATCH(1, (Table18[[#This Row],[year t]]=Table32[[#All],[year t]])*(Table18[[#This Row],[stratum i]]=Table32[[#All],[stratum i]]), 0))</f>
        <v>#REF!</v>
      </c>
      <c r="CE16" t="e" cm="1">
        <f t="array" ref="CE16">INDEX(#REF!, MATCH(1, (Table18[[#This Row],[year t]]=Table32[[#All],[year t]])*(Table18[[#This Row],[stratum i]]=Table32[[#All],[stratum i]]), 0))</f>
        <v>#REF!</v>
      </c>
      <c r="CF16" t="e">
        <f>IF(soil_N2O_approach = "Proxies", Table18[[#This Row],[ƒ (N2O emission proxy: N2O)]]*GWP_N2O, IF(soil_N2O_approach = "IPCC emission factors", Table18[[#This Row],[IPCC Emission factor EF(N2O)]]*Table18[[#This Row],[Ai,t]]*GWP_N2O, Table18[[#This Row],[N2O (BSL-soil,I,t)]]*GWP_N2O))</f>
        <v>#REF!</v>
      </c>
    </row>
    <row r="17" spans="3:84" x14ac:dyDescent="0.2">
      <c r="C17" s="18">
        <v>2034</v>
      </c>
      <c r="D17">
        <f>-SUMIF(Table12[[#All],[year t]], "&lt;="&amp;Table11[[#This Row],[year t]], Table12[[#All],[∆𝐶𝐵𝑆𝐿−𝑏𝑖𝑜𝑚𝑎𝑠𝑠,𝑖,t (equation 23)]])*44/12</f>
        <v>0</v>
      </c>
      <c r="E17">
        <f>SUMIF(Table12[[#All],[year t]], "&lt;="&amp;Table11[[#This Row],[year t]], Table12[[#All],[𝐺𝐻𝐺𝐵𝑆𝐿−𝑠𝑜𝑖𝑙,𝑖,t]])</f>
        <v>0</v>
      </c>
      <c r="F17">
        <f>SUMIF(Table12[[#All],[year t]], "&lt;="&amp;Table11[[#This Row],[year t]], Table12[[#All],[𝐺𝐻𝐺𝐵𝑆𝐿−𝑓𝑢𝑒𝑙,𝑖,t]])</f>
        <v>0</v>
      </c>
      <c r="G17">
        <f>Table11[[#This Row],[GHG(BSL-biomass)]]+Table11[[#This Row],[GHG(BSL-soil)]]+Table11[[#This Row],[GHG(BSL-fuel)]]</f>
        <v>0</v>
      </c>
      <c r="J17" s="18">
        <v>2034</v>
      </c>
      <c r="K17" s="18">
        <v>1</v>
      </c>
      <c r="L17" cm="1">
        <f t="array" ref="L17">INDEX(Table32[[#All],[ΔCTREE_BSL,i,t (AR Tool 14) t C/yr]], MATCH(1, (Table12[[#This Row],[year t]]=Table32[[#All],[year t]])*(Table12[[#This Row],[stratum i]]=Table32[[#All],[stratum i]]), 0))</f>
        <v>0</v>
      </c>
      <c r="M17" cm="1">
        <f t="array" ref="M17">IF(baseline_abground_nontree = "Included", INDEX(#REF!, MATCH(1, (Table12[[#This Row],[year t]]=Table32[[#All],[year t]])*(Table12[[#This Row],[stratum i]]=Table32[[#All],[stratum i]]), 0)), 0)</f>
        <v>0</v>
      </c>
      <c r="N17">
        <f>12/44*(Table12[[#This Row],[ΔCTREE_BSL,i,t (AR Tool 14) t CO2e/yr]]+Table12[[#This Row],[ΔCSHRUB_BSL,i,t (AR Tool 14) t CO2e/yr]])</f>
        <v>0</v>
      </c>
      <c r="O17" cm="1">
        <f t="array" ref="O17">IF(baseline_abground_nontree = "Included", IFERROR(INDEX(Table13[[#All],[ΔCBSL-herb,i,t (Eq 25)]], MATCH(1, (Table12[[#This Row],[stratum i]]=Table13[[#All],[stratum i]])*(Table12[[#This Row],[year t]]&gt;=#REF!)*(Table12[[#This Row],[year t]]&lt;=Table13[[#All],[year t]]), 0)), 0), 0)</f>
        <v>0</v>
      </c>
      <c r="P17">
        <f>Table12[[#This Row],[ΔCBSL-tree/shrub,i,t (t C/yr) (Eq 24)]]+Table12[[#This Row],[ΔCBSL-herb,i,t (t C/yr)]]-Table12[[#This Row],[ΔCBSL-agbiomass,i,t; t C yr-1 (submergence)]]</f>
        <v>0</v>
      </c>
      <c r="Q17" cm="1">
        <f t="array" ref="Q17">IFERROR(INDEX(Table14[[#All],[GHGBSL-soil,i,t (Eq 26)]], MATCH(1, (Table12[[#This Row],[year t]]=Table14[[#All],[year t]])*(Table12[[#This Row],[stratum i]]=Table14[[#All],[stratum i]]), 0)), 0)</f>
        <v>0</v>
      </c>
      <c r="R17">
        <f>IF(baseline_ff_CO2 = "Included", Table12[[#This Row],[ET(FC,I,t) AR-Tool 5]], 0)</f>
        <v>0</v>
      </c>
      <c r="S17" t="e" cm="1">
        <f t="array" ref="S17">INDEX(#REF!, MATCH(1, (Table12[[#This Row],[year t]]=Table32[[#All],[year t]])*(Table12[[#This Row],[stratum i]]=Table32[[#All],[stratum i]]), 0))</f>
        <v>#REF!</v>
      </c>
      <c r="T17" cm="1">
        <f t="array" ref="T17">IFERROR(INDEX(Table30[[#All],[ΔCBSL-agbiomass,i,t (equation 22) t C yr-1]], MATCH(1, (Table12[[#This Row],[stratum i]]=Table30[[#All],[Stratum i]])*(Table12[[#This Row],[year t]]&lt;Table30[[#All],[Year of reporting]]), 0)), 0)</f>
        <v>0</v>
      </c>
      <c r="V17" s="17"/>
      <c r="W17" s="17" t="e" cm="1">
        <f t="array" ref="W17">INDEX(Table34[[#All],[Submergence]], MATCH(1, (Table30[[#This Row],[Stratum i]]=Table34[[#All],[stratum i]])*(Table30[[#This Row],[Year of reporting]]=Table34[[#All],[year t]]), 0))</f>
        <v>#N/A</v>
      </c>
      <c r="X17" s="17" t="e" cm="1">
        <f t="array" ref="X17">INDEX(Table34[[#All],[Submergence_T]], MATCH(1, (Table30[[#This Row],[Stratum i]]=Table34[[#All],[stratum i]])*(Table30[[#This Row],[Year of reporting]]=Table34[[#All],[year t]]), 0))</f>
        <v>#N/A</v>
      </c>
      <c r="Y17" s="17"/>
      <c r="Z17" s="17" t="e" cm="1">
        <f t="array" ref="Z17">INDEX(Table34[[#All],[Area submerged %]], MATCH(1, (Table30[[#This Row],[Stratum i]]=Table34[[#All],[stratum i]])*(Table30[[#This Row],[Year of reporting]]=Table34[[#All],[year t]]), 0))</f>
        <v>#N/A</v>
      </c>
      <c r="AA17" s="18" t="e" cm="1">
        <f t="array" ref="AA17">INDEX(Table34[[#All],[CBSL-agbiomass,i,t (AR tool 14, tC)]], MATCH(1, (Table30[[#This Row],[Stratum i]]=Table34[[#All],[stratum i]])*(Table30[[#This Row],[Year of reporting]]=Table34[[#All],[year t]]), 0))</f>
        <v>#N/A</v>
      </c>
      <c r="AB17" s="18" t="e" cm="1">
        <f t="array" ref="AB17">INDEX(Table34[[#All],[CBSL-agbiomass,i,t-T (AR tool 14, tC)]], MATCH(1, (Table30[[#This Row],[Stratum i]]=Table34[[#All],[stratum i]])*(Table30[[#This Row],[Year of reporting]]=Table34[[#All],[year t]]), 0))</f>
        <v>#N/A</v>
      </c>
      <c r="AC17"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7" s="18">
        <v>2034</v>
      </c>
      <c r="AH17" s="18">
        <v>1</v>
      </c>
      <c r="AI17" s="45" t="e" cm="1">
        <f t="array" ref="AI17">INDEX(#REF!, MATCH(1, (Table13[[#This Row],[year t]]=Table32[[#All],[year t]])*(Table13[[#This Row],[stratum i]]=Table32[[#All],[stratum i]]), 0))</f>
        <v>#REF!</v>
      </c>
      <c r="AJ17" s="49" t="e">
        <f>Table13[[#This Row],[ΔCBSL-herb,i,t (tC/ha)]]</f>
        <v>#REF!</v>
      </c>
      <c r="AO17" s="18">
        <v>2034</v>
      </c>
      <c r="AP17" s="18">
        <v>1</v>
      </c>
      <c r="AQ17" s="17" cm="1">
        <f t="array" ref="AQ17">INDEX(Table32[[#All],[Ai,t]], MATCH(1, (Table14[[#This Row],[year t]]=Table32[[#All],[year t]])*(Table14[[#This Row],[stratum i]]=Table32[[#All],[stratum i]]), 0))</f>
        <v>1090.4420357142858</v>
      </c>
      <c r="AR17" t="str">
        <f>IF(AND(INDEX(Table31[[#All],[Soil type (t=0)]], MATCH(Table14[[#This Row],[stratum i]], Table31[[#All],[Stratum i]]))="Peat soil", Table14[[#This Row],[year t]]&lt;=Table14[[#This Row],[End_PDT]]), "Peat soil", "Non-peat soil")</f>
        <v>Non-peat soil</v>
      </c>
      <c r="AS17">
        <f>IF(Emission_reduction_from_stock_loss?, INDEX(Table2[[#All],[End_PDT]], MATCH(Table14[[#This Row],[stratum i]], Table2[[#All],[stratum i]])), crediting_period)</f>
        <v>40</v>
      </c>
      <c r="AT17">
        <f>IF(Emission_reduction_from_stock_loss?, INDEX(Table2[[#All],[End_SDT]], MATCH(Table14[[#This Row],[stratum i]], Table2[[#All],[stratum i]])), crediting_period)</f>
        <v>40</v>
      </c>
      <c r="AU17" cm="1">
        <f t="array" ref="AU1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7" t="e" cm="1">
        <f t="array" ref="AV17">INDEX(#REF!, MATCH(1, (Table14[[#This Row],[year t]]=Table32[[#All],[year t]])*(Table14[[#This Row],[stratum i]]=Table32[[#All],[stratum i]]), 0))</f>
        <v>#REF!</v>
      </c>
      <c r="AW1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7" s="57">
        <f>(Table14[[#This Row],[GHGBSL-soil-CO2,i,t (Eq 27)]]-Table14[[#This Row],[Deductionalloch (Eq 38)]])*Table14[[#This Row],[Ai,t]]</f>
        <v>0</v>
      </c>
      <c r="AY17" cm="1">
        <f t="array" ref="AY17">IF(baseline_soil_CH4 = "Included", INDEX(Table18[[#All],[GHGBSL-soil-CH4,i,t (Eq 59)]], MATCH(1, (Table14[[#This Row],[year t]]=Table18[[#All],[year t]])*(Table14[[#This Row],[stratum i]]=Table18[[#All],[stratum i]]), 0)), 0)</f>
        <v>0</v>
      </c>
      <c r="AZ17" cm="1">
        <f t="array" ref="AZ17">IF(baseline_soil_N2O = "Included", INDEX(Table18[[#All],[GHGBSL-soil-N2O,i,t (Eq 62)]], MATCH(1, (Table14[[#This Row],[year t]]=Table18[[#All],[year t]])*(Table14[[#This Row],[stratum i]]=Table18[[#All],[stratum i]]), 0)), 0)</f>
        <v>0</v>
      </c>
      <c r="BA17">
        <f>IF(AND(Table14[[#This Row],[year t]]&gt;Table14[[#This Row],[End_PDT]],Table14[[#This Row],[year t]]&gt;Table14[[#This Row],[End_SDT]]), 0, Table14[[#This Row],[Ai,t]]*(Table14[[#This Row],[GHGBSL-soil-CO2,i,t (Eq 27)]]-Table14[[#This Row],[Deductionalloch (Eq 38)]]+Table14[[#This Row],[GHGBSL-soil-CH4,i,t]]+Table14[[#This Row],[GHGBSL-soil-N2O,i,t]]))</f>
        <v>0</v>
      </c>
      <c r="BB17" t="e" cm="1">
        <f t="array" ref="BB17">INDEX(#REF!, MATCH(1, (Table14[[#This Row],[year t]]=Table32[[#All],[year t]])*(Table14[[#This Row],[stratum i]]=Table32[[#All],[stratum i]]), 0))</f>
        <v>#REF!</v>
      </c>
      <c r="BC17" t="e" cm="1">
        <f t="array" ref="BC17">INDEX(#REF!, MATCH(1, (Table14[[#This Row],[year t]]=Table32[[#All],[year t]])*(Table14[[#This Row],[stratum i]]=Table32[[#All],[stratum i]]), 0))</f>
        <v>#REF!</v>
      </c>
      <c r="BD17" t="e" cm="1">
        <f t="array" ref="BD17">INDEX(#REF!, MATCH(1, (Table14[[#This Row],[year t]]=Table32[[#All],[year t]])*(Table14[[#This Row],[stratum i]]=Table32[[#All],[stratum i]]), 0))</f>
        <v>#REF!</v>
      </c>
      <c r="BE17" t="e" cm="1">
        <f t="array" ref="BE17">INDEX(#REF!, MATCH(1, (Table14[[#This Row],[year t]]=Table32[[#All],[year t]])*(Table14[[#This Row],[stratum i]]=Table32[[#All],[stratum i]]), 0))</f>
        <v>#REF!</v>
      </c>
      <c r="BM17" s="18">
        <v>2034</v>
      </c>
      <c r="BN17" s="18">
        <v>1</v>
      </c>
      <c r="BO17" t="e" cm="1">
        <f t="array" ref="BO17">INDEX(#REF!, MATCH(1, (Table132926[[#This Row],[year t]]=Table32[year t])*(Table132926[[#This Row],[stratum i]]=Table32[[#All],[stratum i]]), 0))</f>
        <v>#REF!</v>
      </c>
      <c r="BP17" t="e">
        <f>-44/12*Table132926[[#This Row],[∆CBSL-soil,i,t (tC/ha)]]</f>
        <v>#REF!</v>
      </c>
      <c r="BV17" s="18">
        <v>6</v>
      </c>
      <c r="BW17" s="17">
        <v>2</v>
      </c>
      <c r="BX17" s="32" t="e" cm="1">
        <f t="array" ref="BX17">INDEX(Table32[[#All],[Ai,t]], MATCH(1, (Table18[[#This Row],[year t]]=Table32[[#All],[year t]])*(Table18[[#This Row],[stratum i]]=Table32[[#All],[stratum i]]), 0))</f>
        <v>#N/A</v>
      </c>
      <c r="BY17" t="e" cm="1">
        <f t="array" ref="BY17">INDEX(#REF!, MATCH(1, (Table18[[#This Row],[year t]]=Table32[[#All],[year t]])*(Table18[[#This Row],[stratum i]]=Table32[[#All],[stratum i]]), 0))</f>
        <v>#REF!</v>
      </c>
      <c r="BZ17" t="e" cm="1">
        <f t="array" ref="BZ17">INDEX(#REF!, MATCH(1, (Table18[[#This Row],[year t]]=Table32[[#All],[year t]])*(Table18[[#This Row],[stratum i]]=Table32[[#All],[stratum i]]), 0))</f>
        <v>#REF!</v>
      </c>
      <c r="CA17" t="e" cm="1">
        <f t="array" ref="CA17">INDEX(#REF!, MATCH(1, (Table18[[#This Row],[year t]]=Table32[[#All],[year t]])*(Table18[[#This Row],[stratum i]]=Table32[[#All],[stratum i]]), 0))</f>
        <v>#REF!</v>
      </c>
      <c r="CB17" t="e">
        <f>IF(soil_CH4_approach = "Proxies", Table18[[#This Row],[ƒ (GHG emission proxy: CH4)]]*GWP_CH4, IF(soil_CH4_approach = "IPCC emission factors", Table18[[#This Row],[IPCC Emission factor EF(CH4)]]*Table18[[#This Row],[Ai,t]]*GWP_CH4, Table18[[#This Row],[CH4(BSL-soil,I,t)]]*GWP_CH4))</f>
        <v>#REF!</v>
      </c>
      <c r="CC17" t="e" cm="1">
        <f t="array" ref="CC17">INDEX(#REF!, MATCH(1, (Table18[[#This Row],[year t]]=Table32[[#All],[year t]])*(Table18[[#This Row],[stratum i]]=Table32[[#All],[stratum i]]), 0))</f>
        <v>#REF!</v>
      </c>
      <c r="CD17" t="e" cm="1">
        <f t="array" ref="CD17">INDEX(#REF!, MATCH(1, (Table18[[#This Row],[year t]]=Table32[[#All],[year t]])*(Table18[[#This Row],[stratum i]]=Table32[[#All],[stratum i]]), 0))</f>
        <v>#REF!</v>
      </c>
      <c r="CE17" t="e" cm="1">
        <f t="array" ref="CE17">INDEX(#REF!, MATCH(1, (Table18[[#This Row],[year t]]=Table32[[#All],[year t]])*(Table18[[#This Row],[stratum i]]=Table32[[#All],[stratum i]]), 0))</f>
        <v>#REF!</v>
      </c>
      <c r="CF17" t="e">
        <f>IF(soil_N2O_approach = "Proxies", Table18[[#This Row],[ƒ (N2O emission proxy: N2O)]]*GWP_N2O, IF(soil_N2O_approach = "IPCC emission factors", Table18[[#This Row],[IPCC Emission factor EF(N2O)]]*Table18[[#This Row],[Ai,t]]*GWP_N2O, Table18[[#This Row],[N2O (BSL-soil,I,t)]]*GWP_N2O))</f>
        <v>#REF!</v>
      </c>
    </row>
    <row r="18" spans="3:84" x14ac:dyDescent="0.2">
      <c r="C18" s="18">
        <v>2035</v>
      </c>
      <c r="D18">
        <f>-SUMIF(Table12[[#All],[year t]], "&lt;="&amp;Table11[[#This Row],[year t]], Table12[[#All],[∆𝐶𝐵𝑆𝐿−𝑏𝑖𝑜𝑚𝑎𝑠𝑠,𝑖,t (equation 23)]])*44/12</f>
        <v>0</v>
      </c>
      <c r="E18">
        <f>SUMIF(Table12[[#All],[year t]], "&lt;="&amp;Table11[[#This Row],[year t]], Table12[[#All],[𝐺𝐻𝐺𝐵𝑆𝐿−𝑠𝑜𝑖𝑙,𝑖,t]])</f>
        <v>0</v>
      </c>
      <c r="F18">
        <f>SUMIF(Table12[[#All],[year t]], "&lt;="&amp;Table11[[#This Row],[year t]], Table12[[#All],[𝐺𝐻𝐺𝐵𝑆𝐿−𝑓𝑢𝑒𝑙,𝑖,t]])</f>
        <v>0</v>
      </c>
      <c r="G18">
        <f>Table11[[#This Row],[GHG(BSL-biomass)]]+Table11[[#This Row],[GHG(BSL-soil)]]+Table11[[#This Row],[GHG(BSL-fuel)]]</f>
        <v>0</v>
      </c>
      <c r="J18" s="18">
        <v>2035</v>
      </c>
      <c r="K18" s="18">
        <v>1</v>
      </c>
      <c r="L18" cm="1">
        <f t="array" ref="L18">INDEX(Table32[[#All],[ΔCTREE_BSL,i,t (AR Tool 14) t C/yr]], MATCH(1, (Table12[[#This Row],[year t]]=Table32[[#All],[year t]])*(Table12[[#This Row],[stratum i]]=Table32[[#All],[stratum i]]), 0))</f>
        <v>0</v>
      </c>
      <c r="M18" cm="1">
        <f t="array" ref="M18">IF(baseline_abground_nontree = "Included", INDEX(#REF!, MATCH(1, (Table12[[#This Row],[year t]]=Table32[[#All],[year t]])*(Table12[[#This Row],[stratum i]]=Table32[[#All],[stratum i]]), 0)), 0)</f>
        <v>0</v>
      </c>
      <c r="N18">
        <f>12/44*(Table12[[#This Row],[ΔCTREE_BSL,i,t (AR Tool 14) t CO2e/yr]]+Table12[[#This Row],[ΔCSHRUB_BSL,i,t (AR Tool 14) t CO2e/yr]])</f>
        <v>0</v>
      </c>
      <c r="O18" cm="1">
        <f t="array" ref="O18">IF(baseline_abground_nontree = "Included", IFERROR(INDEX(Table13[[#All],[ΔCBSL-herb,i,t (Eq 25)]], MATCH(1, (Table12[[#This Row],[stratum i]]=Table13[[#All],[stratum i]])*(Table12[[#This Row],[year t]]&gt;=#REF!)*(Table12[[#This Row],[year t]]&lt;=Table13[[#All],[year t]]), 0)), 0), 0)</f>
        <v>0</v>
      </c>
      <c r="P18">
        <f>Table12[[#This Row],[ΔCBSL-tree/shrub,i,t (t C/yr) (Eq 24)]]+Table12[[#This Row],[ΔCBSL-herb,i,t (t C/yr)]]-Table12[[#This Row],[ΔCBSL-agbiomass,i,t; t C yr-1 (submergence)]]</f>
        <v>0</v>
      </c>
      <c r="Q18" cm="1">
        <f t="array" ref="Q18">IFERROR(INDEX(Table14[[#All],[GHGBSL-soil,i,t (Eq 26)]], MATCH(1, (Table12[[#This Row],[year t]]=Table14[[#All],[year t]])*(Table12[[#This Row],[stratum i]]=Table14[[#All],[stratum i]]), 0)), 0)</f>
        <v>0</v>
      </c>
      <c r="R18">
        <f>IF(baseline_ff_CO2 = "Included", Table12[[#This Row],[ET(FC,I,t) AR-Tool 5]], 0)</f>
        <v>0</v>
      </c>
      <c r="S18" t="e" cm="1">
        <f t="array" ref="S18">INDEX(#REF!, MATCH(1, (Table12[[#This Row],[year t]]=Table32[[#All],[year t]])*(Table12[[#This Row],[stratum i]]=Table32[[#All],[stratum i]]), 0))</f>
        <v>#REF!</v>
      </c>
      <c r="T18" cm="1">
        <f t="array" ref="T18">IFERROR(INDEX(Table30[[#All],[ΔCBSL-agbiomass,i,t (equation 22) t C yr-1]], MATCH(1, (Table12[[#This Row],[stratum i]]=Table30[[#All],[Stratum i]])*(Table12[[#This Row],[year t]]&lt;Table30[[#All],[Year of reporting]]), 0)), 0)</f>
        <v>0</v>
      </c>
      <c r="V18" s="18"/>
      <c r="W18" s="18" t="e" cm="1">
        <f t="array" ref="W18">INDEX(Table34[[#All],[Submergence]], MATCH(1, (Table30[[#This Row],[Stratum i]]=Table34[[#All],[stratum i]])*(Table30[[#This Row],[Year of reporting]]=Table34[[#All],[year t]]), 0))</f>
        <v>#N/A</v>
      </c>
      <c r="X18" s="18" t="e" cm="1">
        <f t="array" ref="X18">INDEX(Table34[[#All],[Submergence_T]], MATCH(1, (Table30[[#This Row],[Stratum i]]=Table34[[#All],[stratum i]])*(Table30[[#This Row],[Year of reporting]]=Table34[[#All],[year t]]), 0))</f>
        <v>#N/A</v>
      </c>
      <c r="Y18" s="18"/>
      <c r="Z18" s="18" t="e" cm="1">
        <f t="array" ref="Z18">INDEX(Table34[[#All],[Area submerged %]], MATCH(1, (Table30[[#This Row],[Stratum i]]=Table34[[#All],[stratum i]])*(Table30[[#This Row],[Year of reporting]]=Table34[[#All],[year t]]), 0))</f>
        <v>#N/A</v>
      </c>
      <c r="AA18" s="18" t="e" cm="1">
        <f t="array" ref="AA18">INDEX(Table34[[#All],[CBSL-agbiomass,i,t (AR tool 14, tC)]], MATCH(1, (Table30[[#This Row],[Stratum i]]=Table34[[#All],[stratum i]])*(Table30[[#This Row],[Year of reporting]]=Table34[[#All],[year t]]), 0))</f>
        <v>#N/A</v>
      </c>
      <c r="AB18" s="18" t="e" cm="1">
        <f t="array" ref="AB18">INDEX(Table34[[#All],[CBSL-agbiomass,i,t-T (AR tool 14, tC)]], MATCH(1, (Table30[[#This Row],[Stratum i]]=Table34[[#All],[stratum i]])*(Table30[[#This Row],[Year of reporting]]=Table34[[#All],[year t]]), 0))</f>
        <v>#N/A</v>
      </c>
      <c r="AC18"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8" s="18">
        <v>2035</v>
      </c>
      <c r="AH18" s="18">
        <v>1</v>
      </c>
      <c r="AI18" s="45" t="e" cm="1">
        <f t="array" ref="AI18">INDEX(#REF!, MATCH(1, (Table13[[#This Row],[year t]]=Table32[[#All],[year t]])*(Table13[[#This Row],[stratum i]]=Table32[[#All],[stratum i]]), 0))</f>
        <v>#REF!</v>
      </c>
      <c r="AJ18" s="49" t="e">
        <f>Table13[[#This Row],[ΔCBSL-herb,i,t (tC/ha)]]</f>
        <v>#REF!</v>
      </c>
      <c r="AO18" s="18">
        <v>2035</v>
      </c>
      <c r="AP18" s="18">
        <v>1</v>
      </c>
      <c r="AQ18" s="18" cm="1">
        <f t="array" ref="AQ18">INDEX(Table32[[#All],[Ai,t]], MATCH(1, (Table14[[#This Row],[year t]]=Table32[[#All],[year t]])*(Table14[[#This Row],[stratum i]]=Table32[[#All],[stratum i]]), 0))</f>
        <v>1090.4420357142858</v>
      </c>
      <c r="AR18" t="str">
        <f>IF(AND(INDEX(Table31[[#All],[Soil type (t=0)]], MATCH(Table14[[#This Row],[stratum i]], Table31[[#All],[Stratum i]]))="Peat soil", Table14[[#This Row],[year t]]&lt;=Table14[[#This Row],[End_PDT]]), "Peat soil", "Non-peat soil")</f>
        <v>Non-peat soil</v>
      </c>
      <c r="AS18">
        <f>IF(Emission_reduction_from_stock_loss?, INDEX(Table2[[#All],[End_PDT]], MATCH(Table14[[#This Row],[stratum i]], Table2[[#All],[stratum i]])), crediting_period)</f>
        <v>40</v>
      </c>
      <c r="AT18">
        <f>IF(Emission_reduction_from_stock_loss?, INDEX(Table2[[#All],[End_SDT]], MATCH(Table14[[#This Row],[stratum i]], Table2[[#All],[stratum i]])), crediting_period)</f>
        <v>40</v>
      </c>
      <c r="AU18" cm="1">
        <f t="array" ref="AU1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8" t="e" cm="1">
        <f t="array" ref="AV18">INDEX(#REF!, MATCH(1, (Table14[[#This Row],[year t]]=Table32[[#All],[year t]])*(Table14[[#This Row],[stratum i]]=Table32[[#All],[stratum i]]), 0))</f>
        <v>#REF!</v>
      </c>
      <c r="AW1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8" s="57">
        <f>(Table14[[#This Row],[GHGBSL-soil-CO2,i,t (Eq 27)]]-Table14[[#This Row],[Deductionalloch (Eq 38)]])*Table14[[#This Row],[Ai,t]]</f>
        <v>0</v>
      </c>
      <c r="AY18" cm="1">
        <f t="array" ref="AY18">IF(baseline_soil_CH4 = "Included", INDEX(Table18[[#All],[GHGBSL-soil-CH4,i,t (Eq 59)]], MATCH(1, (Table14[[#This Row],[year t]]=Table18[[#All],[year t]])*(Table14[[#This Row],[stratum i]]=Table18[[#All],[stratum i]]), 0)), 0)</f>
        <v>0</v>
      </c>
      <c r="AZ18" cm="1">
        <f t="array" ref="AZ18">IF(baseline_soil_N2O = "Included", INDEX(Table18[[#All],[GHGBSL-soil-N2O,i,t (Eq 62)]], MATCH(1, (Table14[[#This Row],[year t]]=Table18[[#All],[year t]])*(Table14[[#This Row],[stratum i]]=Table18[[#All],[stratum i]]), 0)), 0)</f>
        <v>0</v>
      </c>
      <c r="BA18">
        <f>IF(AND(Table14[[#This Row],[year t]]&gt;Table14[[#This Row],[End_PDT]],Table14[[#This Row],[year t]]&gt;Table14[[#This Row],[End_SDT]]), 0, Table14[[#This Row],[Ai,t]]*(Table14[[#This Row],[GHGBSL-soil-CO2,i,t (Eq 27)]]-Table14[[#This Row],[Deductionalloch (Eq 38)]]+Table14[[#This Row],[GHGBSL-soil-CH4,i,t]]+Table14[[#This Row],[GHGBSL-soil-N2O,i,t]]))</f>
        <v>0</v>
      </c>
      <c r="BB18" t="e" cm="1">
        <f t="array" ref="BB18">INDEX(#REF!, MATCH(1, (Table14[[#This Row],[year t]]=Table32[[#All],[year t]])*(Table14[[#This Row],[stratum i]]=Table32[[#All],[stratum i]]), 0))</f>
        <v>#REF!</v>
      </c>
      <c r="BC18" t="e" cm="1">
        <f t="array" ref="BC18">INDEX(#REF!, MATCH(1, (Table14[[#This Row],[year t]]=Table32[[#All],[year t]])*(Table14[[#This Row],[stratum i]]=Table32[[#All],[stratum i]]), 0))</f>
        <v>#REF!</v>
      </c>
      <c r="BD18" t="e" cm="1">
        <f t="array" ref="BD18">INDEX(#REF!, MATCH(1, (Table14[[#This Row],[year t]]=Table32[[#All],[year t]])*(Table14[[#This Row],[stratum i]]=Table32[[#All],[stratum i]]), 0))</f>
        <v>#REF!</v>
      </c>
      <c r="BE18" t="e" cm="1">
        <f t="array" ref="BE18">INDEX(#REF!, MATCH(1, (Table14[[#This Row],[year t]]=Table32[[#All],[year t]])*(Table14[[#This Row],[stratum i]]=Table32[[#All],[stratum i]]), 0))</f>
        <v>#REF!</v>
      </c>
      <c r="BM18" s="18">
        <v>2035</v>
      </c>
      <c r="BN18" s="18">
        <v>1</v>
      </c>
      <c r="BO18" t="e" cm="1">
        <f t="array" ref="BO18">INDEX(#REF!, MATCH(1, (Table132926[[#This Row],[year t]]=Table32[year t])*(Table132926[[#This Row],[stratum i]]=Table32[[#All],[stratum i]]), 0))</f>
        <v>#REF!</v>
      </c>
      <c r="BP18" t="e">
        <f>-44/12*Table132926[[#This Row],[∆CBSL-soil,i,t (tC/ha)]]</f>
        <v>#REF!</v>
      </c>
      <c r="BV18" s="17">
        <v>7</v>
      </c>
      <c r="BW18" s="18">
        <v>2</v>
      </c>
      <c r="BX18" t="e" cm="1">
        <f t="array" ref="BX18">INDEX(Table32[[#All],[Ai,t]], MATCH(1, (Table18[[#This Row],[year t]]=Table32[[#All],[year t]])*(Table18[[#This Row],[stratum i]]=Table32[[#All],[stratum i]]), 0))</f>
        <v>#N/A</v>
      </c>
      <c r="BY18" t="e" cm="1">
        <f t="array" ref="BY18">INDEX(#REF!, MATCH(1, (Table18[[#This Row],[year t]]=Table32[[#All],[year t]])*(Table18[[#This Row],[stratum i]]=Table32[[#All],[stratum i]]), 0))</f>
        <v>#REF!</v>
      </c>
      <c r="BZ18" t="e" cm="1">
        <f t="array" ref="BZ18">INDEX(#REF!, MATCH(1, (Table18[[#This Row],[year t]]=Table32[[#All],[year t]])*(Table18[[#This Row],[stratum i]]=Table32[[#All],[stratum i]]), 0))</f>
        <v>#REF!</v>
      </c>
      <c r="CA18" t="e" cm="1">
        <f t="array" ref="CA18">INDEX(#REF!, MATCH(1, (Table18[[#This Row],[year t]]=Table32[[#All],[year t]])*(Table18[[#This Row],[stratum i]]=Table32[[#All],[stratum i]]), 0))</f>
        <v>#REF!</v>
      </c>
      <c r="CB18" t="e">
        <f>IF(soil_CH4_approach = "Proxies", Table18[[#This Row],[ƒ (GHG emission proxy: CH4)]]*GWP_CH4, IF(soil_CH4_approach = "IPCC emission factors", Table18[[#This Row],[IPCC Emission factor EF(CH4)]]*Table18[[#This Row],[Ai,t]]*GWP_CH4, Table18[[#This Row],[CH4(BSL-soil,I,t)]]*GWP_CH4))</f>
        <v>#REF!</v>
      </c>
      <c r="CC18" t="e" cm="1">
        <f t="array" ref="CC18">INDEX(#REF!, MATCH(1, (Table18[[#This Row],[year t]]=Table32[[#All],[year t]])*(Table18[[#This Row],[stratum i]]=Table32[[#All],[stratum i]]), 0))</f>
        <v>#REF!</v>
      </c>
      <c r="CD18" t="e" cm="1">
        <f t="array" ref="CD18">INDEX(#REF!, MATCH(1, (Table18[[#This Row],[year t]]=Table32[[#All],[year t]])*(Table18[[#This Row],[stratum i]]=Table32[[#All],[stratum i]]), 0))</f>
        <v>#REF!</v>
      </c>
      <c r="CE18" t="e" cm="1">
        <f t="array" ref="CE18">INDEX(#REF!, MATCH(1, (Table18[[#This Row],[year t]]=Table32[[#All],[year t]])*(Table18[[#This Row],[stratum i]]=Table32[[#All],[stratum i]]), 0))</f>
        <v>#REF!</v>
      </c>
      <c r="CF18" t="e">
        <f>IF(soil_N2O_approach = "Proxies", Table18[[#This Row],[ƒ (N2O emission proxy: N2O)]]*GWP_N2O, IF(soil_N2O_approach = "IPCC emission factors", Table18[[#This Row],[IPCC Emission factor EF(N2O)]]*Table18[[#This Row],[Ai,t]]*GWP_N2O, Table18[[#This Row],[N2O (BSL-soil,I,t)]]*GWP_N2O))</f>
        <v>#REF!</v>
      </c>
    </row>
    <row r="19" spans="3:84" x14ac:dyDescent="0.2">
      <c r="C19" s="18">
        <v>2036</v>
      </c>
      <c r="D19">
        <f>-SUMIF(Table12[[#All],[year t]], "&lt;="&amp;Table11[[#This Row],[year t]], Table12[[#All],[∆𝐶𝐵𝑆𝐿−𝑏𝑖𝑜𝑚𝑎𝑠𝑠,𝑖,t (equation 23)]])*44/12</f>
        <v>0</v>
      </c>
      <c r="E19">
        <f>SUMIF(Table12[[#All],[year t]], "&lt;="&amp;Table11[[#This Row],[year t]], Table12[[#All],[𝐺𝐻𝐺𝐵𝑆𝐿−𝑠𝑜𝑖𝑙,𝑖,t]])</f>
        <v>0</v>
      </c>
      <c r="F19">
        <f>SUMIF(Table12[[#All],[year t]], "&lt;="&amp;Table11[[#This Row],[year t]], Table12[[#All],[𝐺𝐻𝐺𝐵𝑆𝐿−𝑓𝑢𝑒𝑙,𝑖,t]])</f>
        <v>0</v>
      </c>
      <c r="G19">
        <f>Table11[[#This Row],[GHG(BSL-biomass)]]+Table11[[#This Row],[GHG(BSL-soil)]]+Table11[[#This Row],[GHG(BSL-fuel)]]</f>
        <v>0</v>
      </c>
      <c r="J19" s="18">
        <v>2036</v>
      </c>
      <c r="K19" s="18">
        <v>1</v>
      </c>
      <c r="L19" cm="1">
        <f t="array" ref="L19">INDEX(Table32[[#All],[ΔCTREE_BSL,i,t (AR Tool 14) t C/yr]], MATCH(1, (Table12[[#This Row],[year t]]=Table32[[#All],[year t]])*(Table12[[#This Row],[stratum i]]=Table32[[#All],[stratum i]]), 0))</f>
        <v>0</v>
      </c>
      <c r="M19" cm="1">
        <f t="array" ref="M19">IF(baseline_abground_nontree = "Included", INDEX(#REF!, MATCH(1, (Table12[[#This Row],[year t]]=Table32[[#All],[year t]])*(Table12[[#This Row],[stratum i]]=Table32[[#All],[stratum i]]), 0)), 0)</f>
        <v>0</v>
      </c>
      <c r="N19">
        <f>12/44*(Table12[[#This Row],[ΔCTREE_BSL,i,t (AR Tool 14) t CO2e/yr]]+Table12[[#This Row],[ΔCSHRUB_BSL,i,t (AR Tool 14) t CO2e/yr]])</f>
        <v>0</v>
      </c>
      <c r="O19" cm="1">
        <f t="array" ref="O19">IF(baseline_abground_nontree = "Included", IFERROR(INDEX(Table13[[#All],[ΔCBSL-herb,i,t (Eq 25)]], MATCH(1, (Table12[[#This Row],[stratum i]]=Table13[[#All],[stratum i]])*(Table12[[#This Row],[year t]]&gt;=#REF!)*(Table12[[#This Row],[year t]]&lt;=Table13[[#All],[year t]]), 0)), 0), 0)</f>
        <v>0</v>
      </c>
      <c r="P19">
        <f>Table12[[#This Row],[ΔCBSL-tree/shrub,i,t (t C/yr) (Eq 24)]]+Table12[[#This Row],[ΔCBSL-herb,i,t (t C/yr)]]-Table12[[#This Row],[ΔCBSL-agbiomass,i,t; t C yr-1 (submergence)]]</f>
        <v>0</v>
      </c>
      <c r="Q19" cm="1">
        <f t="array" ref="Q19">IFERROR(INDEX(Table14[[#All],[GHGBSL-soil,i,t (Eq 26)]], MATCH(1, (Table12[[#This Row],[year t]]=Table14[[#All],[year t]])*(Table12[[#This Row],[stratum i]]=Table14[[#All],[stratum i]]), 0)), 0)</f>
        <v>0</v>
      </c>
      <c r="R19">
        <f>IF(baseline_ff_CO2 = "Included", Table12[[#This Row],[ET(FC,I,t) AR-Tool 5]], 0)</f>
        <v>0</v>
      </c>
      <c r="S19" t="e" cm="1">
        <f t="array" ref="S19">INDEX(#REF!, MATCH(1, (Table12[[#This Row],[year t]]=Table32[[#All],[year t]])*(Table12[[#This Row],[stratum i]]=Table32[[#All],[stratum i]]), 0))</f>
        <v>#REF!</v>
      </c>
      <c r="T19" cm="1">
        <f t="array" ref="T19">IFERROR(INDEX(Table30[[#All],[ΔCBSL-agbiomass,i,t (equation 22) t C yr-1]], MATCH(1, (Table12[[#This Row],[stratum i]]=Table30[[#All],[Stratum i]])*(Table12[[#This Row],[year t]]&lt;Table30[[#All],[Year of reporting]]), 0)), 0)</f>
        <v>0</v>
      </c>
      <c r="V19" s="17"/>
      <c r="W19" s="17" t="e" cm="1">
        <f t="array" ref="W19">INDEX(Table34[[#All],[Submergence]], MATCH(1, (Table30[[#This Row],[Stratum i]]=Table34[[#All],[stratum i]])*(Table30[[#This Row],[Year of reporting]]=Table34[[#All],[year t]]), 0))</f>
        <v>#N/A</v>
      </c>
      <c r="X19" s="17" t="e" cm="1">
        <f t="array" ref="X19">INDEX(Table34[[#All],[Submergence_T]], MATCH(1, (Table30[[#This Row],[Stratum i]]=Table34[[#All],[stratum i]])*(Table30[[#This Row],[Year of reporting]]=Table34[[#All],[year t]]), 0))</f>
        <v>#N/A</v>
      </c>
      <c r="Y19" s="17"/>
      <c r="Z19" s="17" t="e" cm="1">
        <f t="array" ref="Z19">INDEX(Table34[[#All],[Area submerged %]], MATCH(1, (Table30[[#This Row],[Stratum i]]=Table34[[#All],[stratum i]])*(Table30[[#This Row],[Year of reporting]]=Table34[[#All],[year t]]), 0))</f>
        <v>#N/A</v>
      </c>
      <c r="AA19" s="18" t="e" cm="1">
        <f t="array" ref="AA19">INDEX(Table34[[#All],[CBSL-agbiomass,i,t (AR tool 14, tC)]], MATCH(1, (Table30[[#This Row],[Stratum i]]=Table34[[#All],[stratum i]])*(Table30[[#This Row],[Year of reporting]]=Table34[[#All],[year t]]), 0))</f>
        <v>#N/A</v>
      </c>
      <c r="AB19" s="18" t="e" cm="1">
        <f t="array" ref="AB19">INDEX(Table34[[#All],[CBSL-agbiomass,i,t-T (AR tool 14, tC)]], MATCH(1, (Table30[[#This Row],[Stratum i]]=Table34[[#All],[stratum i]])*(Table30[[#This Row],[Year of reporting]]=Table34[[#All],[year t]]), 0))</f>
        <v>#N/A</v>
      </c>
      <c r="AC19"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19" s="18">
        <v>2036</v>
      </c>
      <c r="AH19" s="18">
        <v>1</v>
      </c>
      <c r="AI19" s="45" t="e" cm="1">
        <f t="array" ref="AI19">INDEX(#REF!, MATCH(1, (Table13[[#This Row],[year t]]=Table32[[#All],[year t]])*(Table13[[#This Row],[stratum i]]=Table32[[#All],[stratum i]]), 0))</f>
        <v>#REF!</v>
      </c>
      <c r="AJ19" s="49" t="e">
        <f>Table13[[#This Row],[ΔCBSL-herb,i,t (tC/ha)]]</f>
        <v>#REF!</v>
      </c>
      <c r="AO19" s="18">
        <v>2036</v>
      </c>
      <c r="AP19" s="18">
        <v>1</v>
      </c>
      <c r="AQ19" s="17" cm="1">
        <f t="array" ref="AQ19">INDEX(Table32[[#All],[Ai,t]], MATCH(1, (Table14[[#This Row],[year t]]=Table32[[#All],[year t]])*(Table14[[#This Row],[stratum i]]=Table32[[#All],[stratum i]]), 0))</f>
        <v>1090.4420357142858</v>
      </c>
      <c r="AR19" t="str">
        <f>IF(AND(INDEX(Table31[[#All],[Soil type (t=0)]], MATCH(Table14[[#This Row],[stratum i]], Table31[[#All],[Stratum i]]))="Peat soil", Table14[[#This Row],[year t]]&lt;=Table14[[#This Row],[End_PDT]]), "Peat soil", "Non-peat soil")</f>
        <v>Non-peat soil</v>
      </c>
      <c r="AS19">
        <f>IF(Emission_reduction_from_stock_loss?, INDEX(Table2[[#All],[End_PDT]], MATCH(Table14[[#This Row],[stratum i]], Table2[[#All],[stratum i]])), crediting_period)</f>
        <v>40</v>
      </c>
      <c r="AT19">
        <f>IF(Emission_reduction_from_stock_loss?, INDEX(Table2[[#All],[End_SDT]], MATCH(Table14[[#This Row],[stratum i]], Table2[[#All],[stratum i]])), crediting_period)</f>
        <v>40</v>
      </c>
      <c r="AU19" cm="1">
        <f t="array" ref="AU1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9" t="e" cm="1">
        <f t="array" ref="AV19">INDEX(#REF!, MATCH(1, (Table14[[#This Row],[year t]]=Table32[[#All],[year t]])*(Table14[[#This Row],[stratum i]]=Table32[[#All],[stratum i]]), 0))</f>
        <v>#REF!</v>
      </c>
      <c r="AW1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9" s="57">
        <f>(Table14[[#This Row],[GHGBSL-soil-CO2,i,t (Eq 27)]]-Table14[[#This Row],[Deductionalloch (Eq 38)]])*Table14[[#This Row],[Ai,t]]</f>
        <v>0</v>
      </c>
      <c r="AY19" cm="1">
        <f t="array" ref="AY19">IF(baseline_soil_CH4 = "Included", INDEX(Table18[[#All],[GHGBSL-soil-CH4,i,t (Eq 59)]], MATCH(1, (Table14[[#This Row],[year t]]=Table18[[#All],[year t]])*(Table14[[#This Row],[stratum i]]=Table18[[#All],[stratum i]]), 0)), 0)</f>
        <v>0</v>
      </c>
      <c r="AZ19" cm="1">
        <f t="array" ref="AZ19">IF(baseline_soil_N2O = "Included", INDEX(Table18[[#All],[GHGBSL-soil-N2O,i,t (Eq 62)]], MATCH(1, (Table14[[#This Row],[year t]]=Table18[[#All],[year t]])*(Table14[[#This Row],[stratum i]]=Table18[[#All],[stratum i]]), 0)), 0)</f>
        <v>0</v>
      </c>
      <c r="BA19">
        <f>IF(AND(Table14[[#This Row],[year t]]&gt;Table14[[#This Row],[End_PDT]],Table14[[#This Row],[year t]]&gt;Table14[[#This Row],[End_SDT]]), 0, Table14[[#This Row],[Ai,t]]*(Table14[[#This Row],[GHGBSL-soil-CO2,i,t (Eq 27)]]-Table14[[#This Row],[Deductionalloch (Eq 38)]]+Table14[[#This Row],[GHGBSL-soil-CH4,i,t]]+Table14[[#This Row],[GHGBSL-soil-N2O,i,t]]))</f>
        <v>0</v>
      </c>
      <c r="BB19" t="e" cm="1">
        <f t="array" ref="BB19">INDEX(#REF!, MATCH(1, (Table14[[#This Row],[year t]]=Table32[[#All],[year t]])*(Table14[[#This Row],[stratum i]]=Table32[[#All],[stratum i]]), 0))</f>
        <v>#REF!</v>
      </c>
      <c r="BC19" t="e" cm="1">
        <f t="array" ref="BC19">INDEX(#REF!, MATCH(1, (Table14[[#This Row],[year t]]=Table32[[#All],[year t]])*(Table14[[#This Row],[stratum i]]=Table32[[#All],[stratum i]]), 0))</f>
        <v>#REF!</v>
      </c>
      <c r="BD19" t="e" cm="1">
        <f t="array" ref="BD19">INDEX(#REF!, MATCH(1, (Table14[[#This Row],[year t]]=Table32[[#All],[year t]])*(Table14[[#This Row],[stratum i]]=Table32[[#All],[stratum i]]), 0))</f>
        <v>#REF!</v>
      </c>
      <c r="BE19" t="e" cm="1">
        <f t="array" ref="BE19">INDEX(#REF!, MATCH(1, (Table14[[#This Row],[year t]]=Table32[[#All],[year t]])*(Table14[[#This Row],[stratum i]]=Table32[[#All],[stratum i]]), 0))</f>
        <v>#REF!</v>
      </c>
      <c r="BM19" s="18">
        <v>2036</v>
      </c>
      <c r="BN19" s="18">
        <v>1</v>
      </c>
      <c r="BO19" t="e" cm="1">
        <f t="array" ref="BO19">INDEX(#REF!, MATCH(1, (Table132926[[#This Row],[year t]]=Table32[year t])*(Table132926[[#This Row],[stratum i]]=Table32[[#All],[stratum i]]), 0))</f>
        <v>#REF!</v>
      </c>
      <c r="BP19" t="e">
        <f>-44/12*Table132926[[#This Row],[∆CBSL-soil,i,t (tC/ha)]]</f>
        <v>#REF!</v>
      </c>
      <c r="BV19" s="17">
        <v>1</v>
      </c>
      <c r="BW19" s="17">
        <v>3</v>
      </c>
      <c r="BX19" s="32" t="e" cm="1">
        <f t="array" ref="BX19">INDEX(Table32[[#All],[Ai,t]], MATCH(1, (Table18[[#This Row],[year t]]=Table32[[#All],[year t]])*(Table18[[#This Row],[stratum i]]=Table32[[#All],[stratum i]]), 0))</f>
        <v>#N/A</v>
      </c>
      <c r="BY19" t="e" cm="1">
        <f t="array" ref="BY19">INDEX(#REF!, MATCH(1, (Table18[[#This Row],[year t]]=Table32[[#All],[year t]])*(Table18[[#This Row],[stratum i]]=Table32[[#All],[stratum i]]), 0))</f>
        <v>#REF!</v>
      </c>
      <c r="BZ19" t="e" cm="1">
        <f t="array" ref="BZ19">INDEX(#REF!, MATCH(1, (Table18[[#This Row],[year t]]=Table32[[#All],[year t]])*(Table18[[#This Row],[stratum i]]=Table32[[#All],[stratum i]]), 0))</f>
        <v>#REF!</v>
      </c>
      <c r="CA19" t="e" cm="1">
        <f t="array" ref="CA19">INDEX(#REF!, MATCH(1, (Table18[[#This Row],[year t]]=Table32[[#All],[year t]])*(Table18[[#This Row],[stratum i]]=Table32[[#All],[stratum i]]), 0))</f>
        <v>#REF!</v>
      </c>
      <c r="CB19" t="e">
        <f>IF(soil_CH4_approach = "Proxies", Table18[[#This Row],[ƒ (GHG emission proxy: CH4)]]*GWP_CH4, IF(soil_CH4_approach = "IPCC emission factors", Table18[[#This Row],[IPCC Emission factor EF(CH4)]]*Table18[[#This Row],[Ai,t]]*GWP_CH4, Table18[[#This Row],[CH4(BSL-soil,I,t)]]*GWP_CH4))</f>
        <v>#REF!</v>
      </c>
      <c r="CC19" t="e" cm="1">
        <f t="array" ref="CC19">INDEX(#REF!, MATCH(1, (Table18[[#This Row],[year t]]=Table32[[#All],[year t]])*(Table18[[#This Row],[stratum i]]=Table32[[#All],[stratum i]]), 0))</f>
        <v>#REF!</v>
      </c>
      <c r="CD19" t="e" cm="1">
        <f t="array" ref="CD19">INDEX(#REF!, MATCH(1, (Table18[[#This Row],[year t]]=Table32[[#All],[year t]])*(Table18[[#This Row],[stratum i]]=Table32[[#All],[stratum i]]), 0))</f>
        <v>#REF!</v>
      </c>
      <c r="CE19" t="e" cm="1">
        <f t="array" ref="CE19">INDEX(#REF!, MATCH(1, (Table18[[#This Row],[year t]]=Table32[[#All],[year t]])*(Table18[[#This Row],[stratum i]]=Table32[[#All],[stratum i]]), 0))</f>
        <v>#REF!</v>
      </c>
      <c r="CF19" t="e">
        <f>IF(soil_N2O_approach = "Proxies", Table18[[#This Row],[ƒ (N2O emission proxy: N2O)]]*GWP_N2O, IF(soil_N2O_approach = "IPCC emission factors", Table18[[#This Row],[IPCC Emission factor EF(N2O)]]*Table18[[#This Row],[Ai,t]]*GWP_N2O, Table18[[#This Row],[N2O (BSL-soil,I,t)]]*GWP_N2O))</f>
        <v>#REF!</v>
      </c>
    </row>
    <row r="20" spans="3:84" x14ac:dyDescent="0.2">
      <c r="C20" s="18">
        <v>2037</v>
      </c>
      <c r="D20">
        <f>-SUMIF(Table12[[#All],[year t]], "&lt;="&amp;Table11[[#This Row],[year t]], Table12[[#All],[∆𝐶𝐵𝑆𝐿−𝑏𝑖𝑜𝑚𝑎𝑠𝑠,𝑖,t (equation 23)]])*44/12</f>
        <v>0</v>
      </c>
      <c r="E20">
        <f>SUMIF(Table12[[#All],[year t]], "&lt;="&amp;Table11[[#This Row],[year t]], Table12[[#All],[𝐺𝐻𝐺𝐵𝑆𝐿−𝑠𝑜𝑖𝑙,𝑖,t]])</f>
        <v>0</v>
      </c>
      <c r="F20">
        <f>SUMIF(Table12[[#All],[year t]], "&lt;="&amp;Table11[[#This Row],[year t]], Table12[[#All],[𝐺𝐻𝐺𝐵𝑆𝐿−𝑓𝑢𝑒𝑙,𝑖,t]])</f>
        <v>0</v>
      </c>
      <c r="G20">
        <f>Table11[[#This Row],[GHG(BSL-biomass)]]+Table11[[#This Row],[GHG(BSL-soil)]]+Table11[[#This Row],[GHG(BSL-fuel)]]</f>
        <v>0</v>
      </c>
      <c r="J20" s="18">
        <v>2037</v>
      </c>
      <c r="K20" s="18">
        <v>1</v>
      </c>
      <c r="L20" cm="1">
        <f t="array" ref="L20">INDEX(Table32[[#All],[ΔCTREE_BSL,i,t (AR Tool 14) t C/yr]], MATCH(1, (Table12[[#This Row],[year t]]=Table32[[#All],[year t]])*(Table12[[#This Row],[stratum i]]=Table32[[#All],[stratum i]]), 0))</f>
        <v>0</v>
      </c>
      <c r="M20" cm="1">
        <f t="array" ref="M20">IF(baseline_abground_nontree = "Included", INDEX(#REF!, MATCH(1, (Table12[[#This Row],[year t]]=Table32[[#All],[year t]])*(Table12[[#This Row],[stratum i]]=Table32[[#All],[stratum i]]), 0)), 0)</f>
        <v>0</v>
      </c>
      <c r="N20">
        <f>12/44*(Table12[[#This Row],[ΔCTREE_BSL,i,t (AR Tool 14) t CO2e/yr]]+Table12[[#This Row],[ΔCSHRUB_BSL,i,t (AR Tool 14) t CO2e/yr]])</f>
        <v>0</v>
      </c>
      <c r="O20" cm="1">
        <f t="array" ref="O20">IF(baseline_abground_nontree = "Included", IFERROR(INDEX(Table13[[#All],[ΔCBSL-herb,i,t (Eq 25)]], MATCH(1, (Table12[[#This Row],[stratum i]]=Table13[[#All],[stratum i]])*(Table12[[#This Row],[year t]]&gt;=#REF!)*(Table12[[#This Row],[year t]]&lt;=Table13[[#All],[year t]]), 0)), 0), 0)</f>
        <v>0</v>
      </c>
      <c r="P20">
        <f>Table12[[#This Row],[ΔCBSL-tree/shrub,i,t (t C/yr) (Eq 24)]]+Table12[[#This Row],[ΔCBSL-herb,i,t (t C/yr)]]-Table12[[#This Row],[ΔCBSL-agbiomass,i,t; t C yr-1 (submergence)]]</f>
        <v>0</v>
      </c>
      <c r="Q20" cm="1">
        <f t="array" ref="Q20">IFERROR(INDEX(Table14[[#All],[GHGBSL-soil,i,t (Eq 26)]], MATCH(1, (Table12[[#This Row],[year t]]=Table14[[#All],[year t]])*(Table12[[#This Row],[stratum i]]=Table14[[#All],[stratum i]]), 0)), 0)</f>
        <v>0</v>
      </c>
      <c r="R20">
        <f>IF(baseline_ff_CO2 = "Included", Table12[[#This Row],[ET(FC,I,t) AR-Tool 5]], 0)</f>
        <v>0</v>
      </c>
      <c r="S20" t="e" cm="1">
        <f t="array" ref="S20">INDEX(#REF!, MATCH(1, (Table12[[#This Row],[year t]]=Table32[[#All],[year t]])*(Table12[[#This Row],[stratum i]]=Table32[[#All],[stratum i]]), 0))</f>
        <v>#REF!</v>
      </c>
      <c r="T20" cm="1">
        <f t="array" ref="T20">IFERROR(INDEX(Table30[[#All],[ΔCBSL-agbiomass,i,t (equation 22) t C yr-1]], MATCH(1, (Table12[[#This Row],[stratum i]]=Table30[[#All],[Stratum i]])*(Table12[[#This Row],[year t]]&lt;Table30[[#All],[Year of reporting]]), 0)), 0)</f>
        <v>0</v>
      </c>
      <c r="V20" s="18"/>
      <c r="W20" s="18" t="e" cm="1">
        <f t="array" ref="W20">INDEX(Table34[[#All],[Submergence]], MATCH(1, (Table30[[#This Row],[Stratum i]]=Table34[[#All],[stratum i]])*(Table30[[#This Row],[Year of reporting]]=Table34[[#All],[year t]]), 0))</f>
        <v>#N/A</v>
      </c>
      <c r="X20" s="18" t="e" cm="1">
        <f t="array" ref="X20">INDEX(Table34[[#All],[Submergence_T]], MATCH(1, (Table30[[#This Row],[Stratum i]]=Table34[[#All],[stratum i]])*(Table30[[#This Row],[Year of reporting]]=Table34[[#All],[year t]]), 0))</f>
        <v>#N/A</v>
      </c>
      <c r="Y20" s="18"/>
      <c r="Z20" s="18" t="e" cm="1">
        <f t="array" ref="Z20">INDEX(Table34[[#All],[Area submerged %]], MATCH(1, (Table30[[#This Row],[Stratum i]]=Table34[[#All],[stratum i]])*(Table30[[#This Row],[Year of reporting]]=Table34[[#All],[year t]]), 0))</f>
        <v>#N/A</v>
      </c>
      <c r="AA20" s="18" t="e" cm="1">
        <f t="array" ref="AA20">INDEX(Table34[[#All],[CBSL-agbiomass,i,t (AR tool 14, tC)]], MATCH(1, (Table30[[#This Row],[Stratum i]]=Table34[[#All],[stratum i]])*(Table30[[#This Row],[Year of reporting]]=Table34[[#All],[year t]]), 0))</f>
        <v>#N/A</v>
      </c>
      <c r="AB20" s="18" t="e" cm="1">
        <f t="array" ref="AB20">INDEX(Table34[[#All],[CBSL-agbiomass,i,t-T (AR tool 14, tC)]], MATCH(1, (Table30[[#This Row],[Stratum i]]=Table34[[#All],[stratum i]])*(Table30[[#This Row],[Year of reporting]]=Table34[[#All],[year t]]), 0))</f>
        <v>#N/A</v>
      </c>
      <c r="AC20"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0" s="18">
        <v>2037</v>
      </c>
      <c r="AH20" s="18">
        <v>1</v>
      </c>
      <c r="AI20" s="45" t="e" cm="1">
        <f t="array" ref="AI20">INDEX(#REF!, MATCH(1, (Table13[[#This Row],[year t]]=Table32[[#All],[year t]])*(Table13[[#This Row],[stratum i]]=Table32[[#All],[stratum i]]), 0))</f>
        <v>#REF!</v>
      </c>
      <c r="AJ20" s="49" t="e">
        <f>Table13[[#This Row],[ΔCBSL-herb,i,t (tC/ha)]]</f>
        <v>#REF!</v>
      </c>
      <c r="AO20" s="18">
        <v>2037</v>
      </c>
      <c r="AP20" s="18">
        <v>1</v>
      </c>
      <c r="AQ20" s="18" cm="1">
        <f t="array" ref="AQ20">INDEX(Table32[[#All],[Ai,t]], MATCH(1, (Table14[[#This Row],[year t]]=Table32[[#All],[year t]])*(Table14[[#This Row],[stratum i]]=Table32[[#All],[stratum i]]), 0))</f>
        <v>1090.4420357142858</v>
      </c>
      <c r="AR20" t="str">
        <f>IF(AND(INDEX(Table31[[#All],[Soil type (t=0)]], MATCH(Table14[[#This Row],[stratum i]], Table31[[#All],[Stratum i]]))="Peat soil", Table14[[#This Row],[year t]]&lt;=Table14[[#This Row],[End_PDT]]), "Peat soil", "Non-peat soil")</f>
        <v>Non-peat soil</v>
      </c>
      <c r="AS20">
        <f>IF(Emission_reduction_from_stock_loss?, INDEX(Table2[[#All],[End_PDT]], MATCH(Table14[[#This Row],[stratum i]], Table2[[#All],[stratum i]])), crediting_period)</f>
        <v>40</v>
      </c>
      <c r="AT20">
        <f>IF(Emission_reduction_from_stock_loss?, INDEX(Table2[[#All],[End_SDT]], MATCH(Table14[[#This Row],[stratum i]], Table2[[#All],[stratum i]])), crediting_period)</f>
        <v>40</v>
      </c>
      <c r="AU20" cm="1">
        <f t="array" ref="AU2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0" t="e" cm="1">
        <f t="array" ref="AV20">INDEX(#REF!, MATCH(1, (Table14[[#This Row],[year t]]=Table32[[#All],[year t]])*(Table14[[#This Row],[stratum i]]=Table32[[#All],[stratum i]]), 0))</f>
        <v>#REF!</v>
      </c>
      <c r="AW2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0" s="57">
        <f>(Table14[[#This Row],[GHGBSL-soil-CO2,i,t (Eq 27)]]-Table14[[#This Row],[Deductionalloch (Eq 38)]])*Table14[[#This Row],[Ai,t]]</f>
        <v>0</v>
      </c>
      <c r="AY20" cm="1">
        <f t="array" ref="AY20">IF(baseline_soil_CH4 = "Included", INDEX(Table18[[#All],[GHGBSL-soil-CH4,i,t (Eq 59)]], MATCH(1, (Table14[[#This Row],[year t]]=Table18[[#All],[year t]])*(Table14[[#This Row],[stratum i]]=Table18[[#All],[stratum i]]), 0)), 0)</f>
        <v>0</v>
      </c>
      <c r="AZ20" cm="1">
        <f t="array" ref="AZ20">IF(baseline_soil_N2O = "Included", INDEX(Table18[[#All],[GHGBSL-soil-N2O,i,t (Eq 62)]], MATCH(1, (Table14[[#This Row],[year t]]=Table18[[#All],[year t]])*(Table14[[#This Row],[stratum i]]=Table18[[#All],[stratum i]]), 0)), 0)</f>
        <v>0</v>
      </c>
      <c r="BA20">
        <f>IF(AND(Table14[[#This Row],[year t]]&gt;Table14[[#This Row],[End_PDT]],Table14[[#This Row],[year t]]&gt;Table14[[#This Row],[End_SDT]]), 0, Table14[[#This Row],[Ai,t]]*(Table14[[#This Row],[GHGBSL-soil-CO2,i,t (Eq 27)]]-Table14[[#This Row],[Deductionalloch (Eq 38)]]+Table14[[#This Row],[GHGBSL-soil-CH4,i,t]]+Table14[[#This Row],[GHGBSL-soil-N2O,i,t]]))</f>
        <v>0</v>
      </c>
      <c r="BB20" t="e" cm="1">
        <f t="array" ref="BB20">INDEX(#REF!, MATCH(1, (Table14[[#This Row],[year t]]=Table32[[#All],[year t]])*(Table14[[#This Row],[stratum i]]=Table32[[#All],[stratum i]]), 0))</f>
        <v>#REF!</v>
      </c>
      <c r="BC20" t="e" cm="1">
        <f t="array" ref="BC20">INDEX(#REF!, MATCH(1, (Table14[[#This Row],[year t]]=Table32[[#All],[year t]])*(Table14[[#This Row],[stratum i]]=Table32[[#All],[stratum i]]), 0))</f>
        <v>#REF!</v>
      </c>
      <c r="BD20" t="e" cm="1">
        <f t="array" ref="BD20">INDEX(#REF!, MATCH(1, (Table14[[#This Row],[year t]]=Table32[[#All],[year t]])*(Table14[[#This Row],[stratum i]]=Table32[[#All],[stratum i]]), 0))</f>
        <v>#REF!</v>
      </c>
      <c r="BE20" t="e" cm="1">
        <f t="array" ref="BE20">INDEX(#REF!, MATCH(1, (Table14[[#This Row],[year t]]=Table32[[#All],[year t]])*(Table14[[#This Row],[stratum i]]=Table32[[#All],[stratum i]]), 0))</f>
        <v>#REF!</v>
      </c>
      <c r="BM20" s="18">
        <v>2037</v>
      </c>
      <c r="BN20" s="18">
        <v>1</v>
      </c>
      <c r="BO20" t="e" cm="1">
        <f t="array" ref="BO20">INDEX(#REF!, MATCH(1, (Table132926[[#This Row],[year t]]=Table32[year t])*(Table132926[[#This Row],[stratum i]]=Table32[[#All],[stratum i]]), 0))</f>
        <v>#REF!</v>
      </c>
      <c r="BP20" t="e">
        <f>-44/12*Table132926[[#This Row],[∆CBSL-soil,i,t (tC/ha)]]</f>
        <v>#REF!</v>
      </c>
      <c r="BV20" s="18">
        <v>2</v>
      </c>
      <c r="BW20" s="18">
        <v>3</v>
      </c>
      <c r="BX20" t="e" cm="1">
        <f t="array" ref="BX20">INDEX(Table32[[#All],[Ai,t]], MATCH(1, (Table18[[#This Row],[year t]]=Table32[[#All],[year t]])*(Table18[[#This Row],[stratum i]]=Table32[[#All],[stratum i]]), 0))</f>
        <v>#N/A</v>
      </c>
      <c r="BY20" t="e" cm="1">
        <f t="array" ref="BY20">INDEX(#REF!, MATCH(1, (Table18[[#This Row],[year t]]=Table32[[#All],[year t]])*(Table18[[#This Row],[stratum i]]=Table32[[#All],[stratum i]]), 0))</f>
        <v>#REF!</v>
      </c>
      <c r="BZ20" t="e" cm="1">
        <f t="array" ref="BZ20">INDEX(#REF!, MATCH(1, (Table18[[#This Row],[year t]]=Table32[[#All],[year t]])*(Table18[[#This Row],[stratum i]]=Table32[[#All],[stratum i]]), 0))</f>
        <v>#REF!</v>
      </c>
      <c r="CA20" t="e" cm="1">
        <f t="array" ref="CA20">INDEX(#REF!, MATCH(1, (Table18[[#This Row],[year t]]=Table32[[#All],[year t]])*(Table18[[#This Row],[stratum i]]=Table32[[#All],[stratum i]]), 0))</f>
        <v>#REF!</v>
      </c>
      <c r="CB20" t="e">
        <f>IF(soil_CH4_approach = "Proxies", Table18[[#This Row],[ƒ (GHG emission proxy: CH4)]]*GWP_CH4, IF(soil_CH4_approach = "IPCC emission factors", Table18[[#This Row],[IPCC Emission factor EF(CH4)]]*Table18[[#This Row],[Ai,t]]*GWP_CH4, Table18[[#This Row],[CH4(BSL-soil,I,t)]]*GWP_CH4))</f>
        <v>#REF!</v>
      </c>
      <c r="CC20" t="e" cm="1">
        <f t="array" ref="CC20">INDEX(#REF!, MATCH(1, (Table18[[#This Row],[year t]]=Table32[[#All],[year t]])*(Table18[[#This Row],[stratum i]]=Table32[[#All],[stratum i]]), 0))</f>
        <v>#REF!</v>
      </c>
      <c r="CD20" t="e" cm="1">
        <f t="array" ref="CD20">INDEX(#REF!, MATCH(1, (Table18[[#This Row],[year t]]=Table32[[#All],[year t]])*(Table18[[#This Row],[stratum i]]=Table32[[#All],[stratum i]]), 0))</f>
        <v>#REF!</v>
      </c>
      <c r="CE20" t="e" cm="1">
        <f t="array" ref="CE20">INDEX(#REF!, MATCH(1, (Table18[[#This Row],[year t]]=Table32[[#All],[year t]])*(Table18[[#This Row],[stratum i]]=Table32[[#All],[stratum i]]), 0))</f>
        <v>#REF!</v>
      </c>
      <c r="CF20" t="e">
        <f>IF(soil_N2O_approach = "Proxies", Table18[[#This Row],[ƒ (N2O emission proxy: N2O)]]*GWP_N2O, IF(soil_N2O_approach = "IPCC emission factors", Table18[[#This Row],[IPCC Emission factor EF(N2O)]]*Table18[[#This Row],[Ai,t]]*GWP_N2O, Table18[[#This Row],[N2O (BSL-soil,I,t)]]*GWP_N2O))</f>
        <v>#REF!</v>
      </c>
    </row>
    <row r="21" spans="3:84" x14ac:dyDescent="0.2">
      <c r="C21" s="18">
        <v>2038</v>
      </c>
      <c r="D21">
        <f>-SUMIF(Table12[[#All],[year t]], "&lt;="&amp;Table11[[#This Row],[year t]], Table12[[#All],[∆𝐶𝐵𝑆𝐿−𝑏𝑖𝑜𝑚𝑎𝑠𝑠,𝑖,t (equation 23)]])*44/12</f>
        <v>0</v>
      </c>
      <c r="E21">
        <f>SUMIF(Table12[[#All],[year t]], "&lt;="&amp;Table11[[#This Row],[year t]], Table12[[#All],[𝐺𝐻𝐺𝐵𝑆𝐿−𝑠𝑜𝑖𝑙,𝑖,t]])</f>
        <v>0</v>
      </c>
      <c r="F21">
        <f>SUMIF(Table12[[#All],[year t]], "&lt;="&amp;Table11[[#This Row],[year t]], Table12[[#All],[𝐺𝐻𝐺𝐵𝑆𝐿−𝑓𝑢𝑒𝑙,𝑖,t]])</f>
        <v>0</v>
      </c>
      <c r="G21">
        <f>Table11[[#This Row],[GHG(BSL-biomass)]]+Table11[[#This Row],[GHG(BSL-soil)]]+Table11[[#This Row],[GHG(BSL-fuel)]]</f>
        <v>0</v>
      </c>
      <c r="J21" s="18">
        <v>2038</v>
      </c>
      <c r="K21" s="18">
        <v>1</v>
      </c>
      <c r="L21" cm="1">
        <f t="array" ref="L21">INDEX(Table32[[#All],[ΔCTREE_BSL,i,t (AR Tool 14) t C/yr]], MATCH(1, (Table12[[#This Row],[year t]]=Table32[[#All],[year t]])*(Table12[[#This Row],[stratum i]]=Table32[[#All],[stratum i]]), 0))</f>
        <v>0</v>
      </c>
      <c r="M21" cm="1">
        <f t="array" ref="M21">IF(baseline_abground_nontree = "Included", INDEX(#REF!, MATCH(1, (Table12[[#This Row],[year t]]=Table32[[#All],[year t]])*(Table12[[#This Row],[stratum i]]=Table32[[#All],[stratum i]]), 0)), 0)</f>
        <v>0</v>
      </c>
      <c r="N21">
        <f>12/44*(Table12[[#This Row],[ΔCTREE_BSL,i,t (AR Tool 14) t CO2e/yr]]+Table12[[#This Row],[ΔCSHRUB_BSL,i,t (AR Tool 14) t CO2e/yr]])</f>
        <v>0</v>
      </c>
      <c r="O21" cm="1">
        <f t="array" ref="O21">IF(baseline_abground_nontree = "Included", IFERROR(INDEX(Table13[[#All],[ΔCBSL-herb,i,t (Eq 25)]], MATCH(1, (Table12[[#This Row],[stratum i]]=Table13[[#All],[stratum i]])*(Table12[[#This Row],[year t]]&gt;=#REF!)*(Table12[[#This Row],[year t]]&lt;=Table13[[#All],[year t]]), 0)), 0), 0)</f>
        <v>0</v>
      </c>
      <c r="P21">
        <f>Table12[[#This Row],[ΔCBSL-tree/shrub,i,t (t C/yr) (Eq 24)]]+Table12[[#This Row],[ΔCBSL-herb,i,t (t C/yr)]]-Table12[[#This Row],[ΔCBSL-agbiomass,i,t; t C yr-1 (submergence)]]</f>
        <v>0</v>
      </c>
      <c r="Q21" cm="1">
        <f t="array" ref="Q21">IFERROR(INDEX(Table14[[#All],[GHGBSL-soil,i,t (Eq 26)]], MATCH(1, (Table12[[#This Row],[year t]]=Table14[[#All],[year t]])*(Table12[[#This Row],[stratum i]]=Table14[[#All],[stratum i]]), 0)), 0)</f>
        <v>0</v>
      </c>
      <c r="R21">
        <f>IF(baseline_ff_CO2 = "Included", Table12[[#This Row],[ET(FC,I,t) AR-Tool 5]], 0)</f>
        <v>0</v>
      </c>
      <c r="S21" t="e" cm="1">
        <f t="array" ref="S21">INDEX(#REF!, MATCH(1, (Table12[[#This Row],[year t]]=Table32[[#All],[year t]])*(Table12[[#This Row],[stratum i]]=Table32[[#All],[stratum i]]), 0))</f>
        <v>#REF!</v>
      </c>
      <c r="T21" cm="1">
        <f t="array" ref="T21">IFERROR(INDEX(Table30[[#All],[ΔCBSL-agbiomass,i,t (equation 22) t C yr-1]], MATCH(1, (Table12[[#This Row],[stratum i]]=Table30[[#All],[Stratum i]])*(Table12[[#This Row],[year t]]&lt;Table30[[#All],[Year of reporting]]), 0)), 0)</f>
        <v>0</v>
      </c>
      <c r="V21" s="17"/>
      <c r="W21" s="17" t="e" cm="1">
        <f t="array" ref="W21">INDEX(Table34[[#All],[Submergence]], MATCH(1, (Table30[[#This Row],[Stratum i]]=Table34[[#All],[stratum i]])*(Table30[[#This Row],[Year of reporting]]=Table34[[#All],[year t]]), 0))</f>
        <v>#N/A</v>
      </c>
      <c r="X21" s="17" t="e" cm="1">
        <f t="array" ref="X21">INDEX(Table34[[#All],[Submergence_T]], MATCH(1, (Table30[[#This Row],[Stratum i]]=Table34[[#All],[stratum i]])*(Table30[[#This Row],[Year of reporting]]=Table34[[#All],[year t]]), 0))</f>
        <v>#N/A</v>
      </c>
      <c r="Y21" s="17"/>
      <c r="Z21" s="17" t="e" cm="1">
        <f t="array" ref="Z21">INDEX(Table34[[#All],[Area submerged %]], MATCH(1, (Table30[[#This Row],[Stratum i]]=Table34[[#All],[stratum i]])*(Table30[[#This Row],[Year of reporting]]=Table34[[#All],[year t]]), 0))</f>
        <v>#N/A</v>
      </c>
      <c r="AA21" s="18" t="e" cm="1">
        <f t="array" ref="AA21">INDEX(Table34[[#All],[CBSL-agbiomass,i,t (AR tool 14, tC)]], MATCH(1, (Table30[[#This Row],[Stratum i]]=Table34[[#All],[stratum i]])*(Table30[[#This Row],[Year of reporting]]=Table34[[#All],[year t]]), 0))</f>
        <v>#N/A</v>
      </c>
      <c r="AB21" s="18" t="e" cm="1">
        <f t="array" ref="AB21">INDEX(Table34[[#All],[CBSL-agbiomass,i,t-T (AR tool 14, tC)]], MATCH(1, (Table30[[#This Row],[Stratum i]]=Table34[[#All],[stratum i]])*(Table30[[#This Row],[Year of reporting]]=Table34[[#All],[year t]]), 0))</f>
        <v>#N/A</v>
      </c>
      <c r="AC21"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1" s="18">
        <v>2038</v>
      </c>
      <c r="AH21" s="18">
        <v>1</v>
      </c>
      <c r="AI21" s="45" t="e" cm="1">
        <f t="array" ref="AI21">INDEX(#REF!, MATCH(1, (Table13[[#This Row],[year t]]=Table32[[#All],[year t]])*(Table13[[#This Row],[stratum i]]=Table32[[#All],[stratum i]]), 0))</f>
        <v>#REF!</v>
      </c>
      <c r="AJ21" s="49" t="e">
        <f>Table13[[#This Row],[ΔCBSL-herb,i,t (tC/ha)]]</f>
        <v>#REF!</v>
      </c>
      <c r="AO21" s="18">
        <v>2038</v>
      </c>
      <c r="AP21" s="18">
        <v>1</v>
      </c>
      <c r="AQ21" s="17" cm="1">
        <f t="array" ref="AQ21">INDEX(Table32[[#All],[Ai,t]], MATCH(1, (Table14[[#This Row],[year t]]=Table32[[#All],[year t]])*(Table14[[#This Row],[stratum i]]=Table32[[#All],[stratum i]]), 0))</f>
        <v>1090.4420357142858</v>
      </c>
      <c r="AR21" t="str">
        <f>IF(AND(INDEX(Table31[[#All],[Soil type (t=0)]], MATCH(Table14[[#This Row],[stratum i]], Table31[[#All],[Stratum i]]))="Peat soil", Table14[[#This Row],[year t]]&lt;=Table14[[#This Row],[End_PDT]]), "Peat soil", "Non-peat soil")</f>
        <v>Non-peat soil</v>
      </c>
      <c r="AS21">
        <f>IF(Emission_reduction_from_stock_loss?, INDEX(Table2[[#All],[End_PDT]], MATCH(Table14[[#This Row],[stratum i]], Table2[[#All],[stratum i]])), crediting_period)</f>
        <v>40</v>
      </c>
      <c r="AT21">
        <f>IF(Emission_reduction_from_stock_loss?, INDEX(Table2[[#All],[End_SDT]], MATCH(Table14[[#This Row],[stratum i]], Table2[[#All],[stratum i]])), crediting_period)</f>
        <v>40</v>
      </c>
      <c r="AU21" cm="1">
        <f t="array" ref="AU2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1" t="e" cm="1">
        <f t="array" ref="AV21">INDEX(#REF!, MATCH(1, (Table14[[#This Row],[year t]]=Table32[[#All],[year t]])*(Table14[[#This Row],[stratum i]]=Table32[[#All],[stratum i]]), 0))</f>
        <v>#REF!</v>
      </c>
      <c r="AW2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1" s="57">
        <f>(Table14[[#This Row],[GHGBSL-soil-CO2,i,t (Eq 27)]]-Table14[[#This Row],[Deductionalloch (Eq 38)]])*Table14[[#This Row],[Ai,t]]</f>
        <v>0</v>
      </c>
      <c r="AY21" cm="1">
        <f t="array" ref="AY21">IF(baseline_soil_CH4 = "Included", INDEX(Table18[[#All],[GHGBSL-soil-CH4,i,t (Eq 59)]], MATCH(1, (Table14[[#This Row],[year t]]=Table18[[#All],[year t]])*(Table14[[#This Row],[stratum i]]=Table18[[#All],[stratum i]]), 0)), 0)</f>
        <v>0</v>
      </c>
      <c r="AZ21" cm="1">
        <f t="array" ref="AZ21">IF(baseline_soil_N2O = "Included", INDEX(Table18[[#All],[GHGBSL-soil-N2O,i,t (Eq 62)]], MATCH(1, (Table14[[#This Row],[year t]]=Table18[[#All],[year t]])*(Table14[[#This Row],[stratum i]]=Table18[[#All],[stratum i]]), 0)), 0)</f>
        <v>0</v>
      </c>
      <c r="BA21">
        <f>IF(AND(Table14[[#This Row],[year t]]&gt;Table14[[#This Row],[End_PDT]],Table14[[#This Row],[year t]]&gt;Table14[[#This Row],[End_SDT]]), 0, Table14[[#This Row],[Ai,t]]*(Table14[[#This Row],[GHGBSL-soil-CO2,i,t (Eq 27)]]-Table14[[#This Row],[Deductionalloch (Eq 38)]]+Table14[[#This Row],[GHGBSL-soil-CH4,i,t]]+Table14[[#This Row],[GHGBSL-soil-N2O,i,t]]))</f>
        <v>0</v>
      </c>
      <c r="BB21" t="e" cm="1">
        <f t="array" ref="BB21">INDEX(#REF!, MATCH(1, (Table14[[#This Row],[year t]]=Table32[[#All],[year t]])*(Table14[[#This Row],[stratum i]]=Table32[[#All],[stratum i]]), 0))</f>
        <v>#REF!</v>
      </c>
      <c r="BC21" t="e" cm="1">
        <f t="array" ref="BC21">INDEX(#REF!, MATCH(1, (Table14[[#This Row],[year t]]=Table32[[#All],[year t]])*(Table14[[#This Row],[stratum i]]=Table32[[#All],[stratum i]]), 0))</f>
        <v>#REF!</v>
      </c>
      <c r="BD21" t="e" cm="1">
        <f t="array" ref="BD21">INDEX(#REF!, MATCH(1, (Table14[[#This Row],[year t]]=Table32[[#All],[year t]])*(Table14[[#This Row],[stratum i]]=Table32[[#All],[stratum i]]), 0))</f>
        <v>#REF!</v>
      </c>
      <c r="BE21" t="e" cm="1">
        <f t="array" ref="BE21">INDEX(#REF!, MATCH(1, (Table14[[#This Row],[year t]]=Table32[[#All],[year t]])*(Table14[[#This Row],[stratum i]]=Table32[[#All],[stratum i]]), 0))</f>
        <v>#REF!</v>
      </c>
      <c r="BM21" s="18">
        <v>2038</v>
      </c>
      <c r="BN21" s="18">
        <v>1</v>
      </c>
      <c r="BO21" t="e" cm="1">
        <f t="array" ref="BO21">INDEX(#REF!, MATCH(1, (Table132926[[#This Row],[year t]]=Table32[year t])*(Table132926[[#This Row],[stratum i]]=Table32[[#All],[stratum i]]), 0))</f>
        <v>#REF!</v>
      </c>
      <c r="BP21" t="e">
        <f>-44/12*Table132926[[#This Row],[∆CBSL-soil,i,t (tC/ha)]]</f>
        <v>#REF!</v>
      </c>
      <c r="BV21" s="17">
        <v>3</v>
      </c>
      <c r="BW21" s="17">
        <v>3</v>
      </c>
      <c r="BX21" s="32" t="e" cm="1">
        <f t="array" ref="BX21">INDEX(Table32[[#All],[Ai,t]], MATCH(1, (Table18[[#This Row],[year t]]=Table32[[#All],[year t]])*(Table18[[#This Row],[stratum i]]=Table32[[#All],[stratum i]]), 0))</f>
        <v>#N/A</v>
      </c>
      <c r="BY21" t="e" cm="1">
        <f t="array" ref="BY21">INDEX(#REF!, MATCH(1, (Table18[[#This Row],[year t]]=Table32[[#All],[year t]])*(Table18[[#This Row],[stratum i]]=Table32[[#All],[stratum i]]), 0))</f>
        <v>#REF!</v>
      </c>
      <c r="BZ21" t="e" cm="1">
        <f t="array" ref="BZ21">INDEX(#REF!, MATCH(1, (Table18[[#This Row],[year t]]=Table32[[#All],[year t]])*(Table18[[#This Row],[stratum i]]=Table32[[#All],[stratum i]]), 0))</f>
        <v>#REF!</v>
      </c>
      <c r="CA21" t="e" cm="1">
        <f t="array" ref="CA21">INDEX(#REF!, MATCH(1, (Table18[[#This Row],[year t]]=Table32[[#All],[year t]])*(Table18[[#This Row],[stratum i]]=Table32[[#All],[stratum i]]), 0))</f>
        <v>#REF!</v>
      </c>
      <c r="CB21" t="e">
        <f>IF(soil_CH4_approach = "Proxies", Table18[[#This Row],[ƒ (GHG emission proxy: CH4)]]*GWP_CH4, IF(soil_CH4_approach = "IPCC emission factors", Table18[[#This Row],[IPCC Emission factor EF(CH4)]]*Table18[[#This Row],[Ai,t]]*GWP_CH4, Table18[[#This Row],[CH4(BSL-soil,I,t)]]*GWP_CH4))</f>
        <v>#REF!</v>
      </c>
      <c r="CC21" t="e" cm="1">
        <f t="array" ref="CC21">INDEX(#REF!, MATCH(1, (Table18[[#This Row],[year t]]=Table32[[#All],[year t]])*(Table18[[#This Row],[stratum i]]=Table32[[#All],[stratum i]]), 0))</f>
        <v>#REF!</v>
      </c>
      <c r="CD21" t="e" cm="1">
        <f t="array" ref="CD21">INDEX(#REF!, MATCH(1, (Table18[[#This Row],[year t]]=Table32[[#All],[year t]])*(Table18[[#This Row],[stratum i]]=Table32[[#All],[stratum i]]), 0))</f>
        <v>#REF!</v>
      </c>
      <c r="CE21" t="e" cm="1">
        <f t="array" ref="CE21">INDEX(#REF!, MATCH(1, (Table18[[#This Row],[year t]]=Table32[[#All],[year t]])*(Table18[[#This Row],[stratum i]]=Table32[[#All],[stratum i]]), 0))</f>
        <v>#REF!</v>
      </c>
      <c r="CF21" t="e">
        <f>IF(soil_N2O_approach = "Proxies", Table18[[#This Row],[ƒ (N2O emission proxy: N2O)]]*GWP_N2O, IF(soil_N2O_approach = "IPCC emission factors", Table18[[#This Row],[IPCC Emission factor EF(N2O)]]*Table18[[#This Row],[Ai,t]]*GWP_N2O, Table18[[#This Row],[N2O (BSL-soil,I,t)]]*GWP_N2O))</f>
        <v>#REF!</v>
      </c>
    </row>
    <row r="22" spans="3:84" x14ac:dyDescent="0.2">
      <c r="C22" s="18">
        <v>2039</v>
      </c>
      <c r="D22">
        <f>-SUMIF(Table12[[#All],[year t]], "&lt;="&amp;Table11[[#This Row],[year t]], Table12[[#All],[∆𝐶𝐵𝑆𝐿−𝑏𝑖𝑜𝑚𝑎𝑠𝑠,𝑖,t (equation 23)]])*44/12</f>
        <v>0</v>
      </c>
      <c r="E22">
        <f>SUMIF(Table12[[#All],[year t]], "&lt;="&amp;Table11[[#This Row],[year t]], Table12[[#All],[𝐺𝐻𝐺𝐵𝑆𝐿−𝑠𝑜𝑖𝑙,𝑖,t]])</f>
        <v>0</v>
      </c>
      <c r="F22">
        <f>SUMIF(Table12[[#All],[year t]], "&lt;="&amp;Table11[[#This Row],[year t]], Table12[[#All],[𝐺𝐻𝐺𝐵𝑆𝐿−𝑓𝑢𝑒𝑙,𝑖,t]])</f>
        <v>0</v>
      </c>
      <c r="G22">
        <f>Table11[[#This Row],[GHG(BSL-biomass)]]+Table11[[#This Row],[GHG(BSL-soil)]]+Table11[[#This Row],[GHG(BSL-fuel)]]</f>
        <v>0</v>
      </c>
      <c r="J22" s="18">
        <v>2039</v>
      </c>
      <c r="K22" s="18">
        <v>1</v>
      </c>
      <c r="L22" cm="1">
        <f t="array" ref="L22">INDEX(Table32[[#All],[ΔCTREE_BSL,i,t (AR Tool 14) t C/yr]], MATCH(1, (Table12[[#This Row],[year t]]=Table32[[#All],[year t]])*(Table12[[#This Row],[stratum i]]=Table32[[#All],[stratum i]]), 0))</f>
        <v>0</v>
      </c>
      <c r="M22" cm="1">
        <f t="array" ref="M22">IF(baseline_abground_nontree = "Included", INDEX(#REF!, MATCH(1, (Table12[[#This Row],[year t]]=Table32[[#All],[year t]])*(Table12[[#This Row],[stratum i]]=Table32[[#All],[stratum i]]), 0)), 0)</f>
        <v>0</v>
      </c>
      <c r="N22">
        <f>12/44*(Table12[[#This Row],[ΔCTREE_BSL,i,t (AR Tool 14) t CO2e/yr]]+Table12[[#This Row],[ΔCSHRUB_BSL,i,t (AR Tool 14) t CO2e/yr]])</f>
        <v>0</v>
      </c>
      <c r="O22" cm="1">
        <f t="array" ref="O22">IF(baseline_abground_nontree = "Included", IFERROR(INDEX(Table13[[#All],[ΔCBSL-herb,i,t (Eq 25)]], MATCH(1, (Table12[[#This Row],[stratum i]]=Table13[[#All],[stratum i]])*(Table12[[#This Row],[year t]]&gt;=#REF!)*(Table12[[#This Row],[year t]]&lt;=Table13[[#All],[year t]]), 0)), 0), 0)</f>
        <v>0</v>
      </c>
      <c r="P22">
        <f>Table12[[#This Row],[ΔCBSL-tree/shrub,i,t (t C/yr) (Eq 24)]]+Table12[[#This Row],[ΔCBSL-herb,i,t (t C/yr)]]-Table12[[#This Row],[ΔCBSL-agbiomass,i,t; t C yr-1 (submergence)]]</f>
        <v>0</v>
      </c>
      <c r="Q22" cm="1">
        <f t="array" ref="Q22">IFERROR(INDEX(Table14[[#All],[GHGBSL-soil,i,t (Eq 26)]], MATCH(1, (Table12[[#This Row],[year t]]=Table14[[#All],[year t]])*(Table12[[#This Row],[stratum i]]=Table14[[#All],[stratum i]]), 0)), 0)</f>
        <v>0</v>
      </c>
      <c r="R22">
        <f>IF(baseline_ff_CO2 = "Included", Table12[[#This Row],[ET(FC,I,t) AR-Tool 5]], 0)</f>
        <v>0</v>
      </c>
      <c r="S22" t="e" cm="1">
        <f t="array" ref="S22">INDEX(#REF!, MATCH(1, (Table12[[#This Row],[year t]]=Table32[[#All],[year t]])*(Table12[[#This Row],[stratum i]]=Table32[[#All],[stratum i]]), 0))</f>
        <v>#REF!</v>
      </c>
      <c r="T22" cm="1">
        <f t="array" ref="T22">IFERROR(INDEX(Table30[[#All],[ΔCBSL-agbiomass,i,t (equation 22) t C yr-1]], MATCH(1, (Table12[[#This Row],[stratum i]]=Table30[[#All],[Stratum i]])*(Table12[[#This Row],[year t]]&lt;Table30[[#All],[Year of reporting]]), 0)), 0)</f>
        <v>0</v>
      </c>
      <c r="V22" s="18"/>
      <c r="W22" s="18" t="e" cm="1">
        <f t="array" ref="W22">INDEX(Table34[[#All],[Submergence]], MATCH(1, (Table30[[#This Row],[Stratum i]]=Table34[[#All],[stratum i]])*(Table30[[#This Row],[Year of reporting]]=Table34[[#All],[year t]]), 0))</f>
        <v>#N/A</v>
      </c>
      <c r="X22" s="18" t="e" cm="1">
        <f t="array" ref="X22">INDEX(Table34[[#All],[Submergence_T]], MATCH(1, (Table30[[#This Row],[Stratum i]]=Table34[[#All],[stratum i]])*(Table30[[#This Row],[Year of reporting]]=Table34[[#All],[year t]]), 0))</f>
        <v>#N/A</v>
      </c>
      <c r="Y22" s="18"/>
      <c r="Z22" s="18" t="e" cm="1">
        <f t="array" ref="Z22">INDEX(Table34[[#All],[Area submerged %]], MATCH(1, (Table30[[#This Row],[Stratum i]]=Table34[[#All],[stratum i]])*(Table30[[#This Row],[Year of reporting]]=Table34[[#All],[year t]]), 0))</f>
        <v>#N/A</v>
      </c>
      <c r="AA22" s="18" t="e" cm="1">
        <f t="array" ref="AA22">INDEX(Table34[[#All],[CBSL-agbiomass,i,t (AR tool 14, tC)]], MATCH(1, (Table30[[#This Row],[Stratum i]]=Table34[[#All],[stratum i]])*(Table30[[#This Row],[Year of reporting]]=Table34[[#All],[year t]]), 0))</f>
        <v>#N/A</v>
      </c>
      <c r="AB22" s="18" t="e" cm="1">
        <f t="array" ref="AB22">INDEX(Table34[[#All],[CBSL-agbiomass,i,t-T (AR tool 14, tC)]], MATCH(1, (Table30[[#This Row],[Stratum i]]=Table34[[#All],[stratum i]])*(Table30[[#This Row],[Year of reporting]]=Table34[[#All],[year t]]), 0))</f>
        <v>#N/A</v>
      </c>
      <c r="AC22"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2" s="18">
        <v>2039</v>
      </c>
      <c r="AH22" s="18">
        <v>1</v>
      </c>
      <c r="AI22" s="45" t="e" cm="1">
        <f t="array" ref="AI22">INDEX(#REF!, MATCH(1, (Table13[[#This Row],[year t]]=Table32[[#All],[year t]])*(Table13[[#This Row],[stratum i]]=Table32[[#All],[stratum i]]), 0))</f>
        <v>#REF!</v>
      </c>
      <c r="AJ22" s="49" t="e">
        <f>Table13[[#This Row],[ΔCBSL-herb,i,t (tC/ha)]]</f>
        <v>#REF!</v>
      </c>
      <c r="AO22" s="18">
        <v>2039</v>
      </c>
      <c r="AP22" s="18">
        <v>1</v>
      </c>
      <c r="AQ22" s="18" cm="1">
        <f t="array" ref="AQ22">INDEX(Table32[[#All],[Ai,t]], MATCH(1, (Table14[[#This Row],[year t]]=Table32[[#All],[year t]])*(Table14[[#This Row],[stratum i]]=Table32[[#All],[stratum i]]), 0))</f>
        <v>1090.4420357142858</v>
      </c>
      <c r="AR22" t="str">
        <f>IF(AND(INDEX(Table31[[#All],[Soil type (t=0)]], MATCH(Table14[[#This Row],[stratum i]], Table31[[#All],[Stratum i]]))="Peat soil", Table14[[#This Row],[year t]]&lt;=Table14[[#This Row],[End_PDT]]), "Peat soil", "Non-peat soil")</f>
        <v>Non-peat soil</v>
      </c>
      <c r="AS22">
        <f>IF(Emission_reduction_from_stock_loss?, INDEX(Table2[[#All],[End_PDT]], MATCH(Table14[[#This Row],[stratum i]], Table2[[#All],[stratum i]])), crediting_period)</f>
        <v>40</v>
      </c>
      <c r="AT22">
        <f>IF(Emission_reduction_from_stock_loss?, INDEX(Table2[[#All],[End_SDT]], MATCH(Table14[[#This Row],[stratum i]], Table2[[#All],[stratum i]])), crediting_period)</f>
        <v>40</v>
      </c>
      <c r="AU22" cm="1">
        <f t="array" ref="AU2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2" t="e" cm="1">
        <f t="array" ref="AV22">INDEX(#REF!, MATCH(1, (Table14[[#This Row],[year t]]=Table32[[#All],[year t]])*(Table14[[#This Row],[stratum i]]=Table32[[#All],[stratum i]]), 0))</f>
        <v>#REF!</v>
      </c>
      <c r="AW2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2" s="57">
        <f>(Table14[[#This Row],[GHGBSL-soil-CO2,i,t (Eq 27)]]-Table14[[#This Row],[Deductionalloch (Eq 38)]])*Table14[[#This Row],[Ai,t]]</f>
        <v>0</v>
      </c>
      <c r="AY22" cm="1">
        <f t="array" ref="AY22">IF(baseline_soil_CH4 = "Included", INDEX(Table18[[#All],[GHGBSL-soil-CH4,i,t (Eq 59)]], MATCH(1, (Table14[[#This Row],[year t]]=Table18[[#All],[year t]])*(Table14[[#This Row],[stratum i]]=Table18[[#All],[stratum i]]), 0)), 0)</f>
        <v>0</v>
      </c>
      <c r="AZ22" cm="1">
        <f t="array" ref="AZ22">IF(baseline_soil_N2O = "Included", INDEX(Table18[[#All],[GHGBSL-soil-N2O,i,t (Eq 62)]], MATCH(1, (Table14[[#This Row],[year t]]=Table18[[#All],[year t]])*(Table14[[#This Row],[stratum i]]=Table18[[#All],[stratum i]]), 0)), 0)</f>
        <v>0</v>
      </c>
      <c r="BA22">
        <f>IF(AND(Table14[[#This Row],[year t]]&gt;Table14[[#This Row],[End_PDT]],Table14[[#This Row],[year t]]&gt;Table14[[#This Row],[End_SDT]]), 0, Table14[[#This Row],[Ai,t]]*(Table14[[#This Row],[GHGBSL-soil-CO2,i,t (Eq 27)]]-Table14[[#This Row],[Deductionalloch (Eq 38)]]+Table14[[#This Row],[GHGBSL-soil-CH4,i,t]]+Table14[[#This Row],[GHGBSL-soil-N2O,i,t]]))</f>
        <v>0</v>
      </c>
      <c r="BB22" t="e" cm="1">
        <f t="array" ref="BB22">INDEX(#REF!, MATCH(1, (Table14[[#This Row],[year t]]=Table32[[#All],[year t]])*(Table14[[#This Row],[stratum i]]=Table32[[#All],[stratum i]]), 0))</f>
        <v>#REF!</v>
      </c>
      <c r="BC22" t="e" cm="1">
        <f t="array" ref="BC22">INDEX(#REF!, MATCH(1, (Table14[[#This Row],[year t]]=Table32[[#All],[year t]])*(Table14[[#This Row],[stratum i]]=Table32[[#All],[stratum i]]), 0))</f>
        <v>#REF!</v>
      </c>
      <c r="BD22" t="e" cm="1">
        <f t="array" ref="BD22">INDEX(#REF!, MATCH(1, (Table14[[#This Row],[year t]]=Table32[[#All],[year t]])*(Table14[[#This Row],[stratum i]]=Table32[[#All],[stratum i]]), 0))</f>
        <v>#REF!</v>
      </c>
      <c r="BE22" t="e" cm="1">
        <f t="array" ref="BE22">INDEX(#REF!, MATCH(1, (Table14[[#This Row],[year t]]=Table32[[#All],[year t]])*(Table14[[#This Row],[stratum i]]=Table32[[#All],[stratum i]]), 0))</f>
        <v>#REF!</v>
      </c>
      <c r="BM22" s="18">
        <v>2039</v>
      </c>
      <c r="BN22" s="18">
        <v>1</v>
      </c>
      <c r="BO22" t="e" cm="1">
        <f t="array" ref="BO22">INDEX(#REF!, MATCH(1, (Table132926[[#This Row],[year t]]=Table32[year t])*(Table132926[[#This Row],[stratum i]]=Table32[[#All],[stratum i]]), 0))</f>
        <v>#REF!</v>
      </c>
      <c r="BP22" t="e">
        <f>-44/12*Table132926[[#This Row],[∆CBSL-soil,i,t (tC/ha)]]</f>
        <v>#REF!</v>
      </c>
      <c r="BV22" s="18">
        <v>4</v>
      </c>
      <c r="BW22" s="18">
        <v>3</v>
      </c>
      <c r="BX22" t="e" cm="1">
        <f t="array" ref="BX22">INDEX(Table32[[#All],[Ai,t]], MATCH(1, (Table18[[#This Row],[year t]]=Table32[[#All],[year t]])*(Table18[[#This Row],[stratum i]]=Table32[[#All],[stratum i]]), 0))</f>
        <v>#N/A</v>
      </c>
      <c r="BY22" t="e" cm="1">
        <f t="array" ref="BY22">INDEX(#REF!, MATCH(1, (Table18[[#This Row],[year t]]=Table32[[#All],[year t]])*(Table18[[#This Row],[stratum i]]=Table32[[#All],[stratum i]]), 0))</f>
        <v>#REF!</v>
      </c>
      <c r="BZ22" t="e" cm="1">
        <f t="array" ref="BZ22">INDEX(#REF!, MATCH(1, (Table18[[#This Row],[year t]]=Table32[[#All],[year t]])*(Table18[[#This Row],[stratum i]]=Table32[[#All],[stratum i]]), 0))</f>
        <v>#REF!</v>
      </c>
      <c r="CA22" t="e" cm="1">
        <f t="array" ref="CA22">INDEX(#REF!, MATCH(1, (Table18[[#This Row],[year t]]=Table32[[#All],[year t]])*(Table18[[#This Row],[stratum i]]=Table32[[#All],[stratum i]]), 0))</f>
        <v>#REF!</v>
      </c>
      <c r="CB22" t="e">
        <f>IF(soil_CH4_approach = "Proxies", Table18[[#This Row],[ƒ (GHG emission proxy: CH4)]]*GWP_CH4, IF(soil_CH4_approach = "IPCC emission factors", Table18[[#This Row],[IPCC Emission factor EF(CH4)]]*Table18[[#This Row],[Ai,t]]*GWP_CH4, Table18[[#This Row],[CH4(BSL-soil,I,t)]]*GWP_CH4))</f>
        <v>#REF!</v>
      </c>
      <c r="CC22" t="e" cm="1">
        <f t="array" ref="CC22">INDEX(#REF!, MATCH(1, (Table18[[#This Row],[year t]]=Table32[[#All],[year t]])*(Table18[[#This Row],[stratum i]]=Table32[[#All],[stratum i]]), 0))</f>
        <v>#REF!</v>
      </c>
      <c r="CD22" t="e" cm="1">
        <f t="array" ref="CD22">INDEX(#REF!, MATCH(1, (Table18[[#This Row],[year t]]=Table32[[#All],[year t]])*(Table18[[#This Row],[stratum i]]=Table32[[#All],[stratum i]]), 0))</f>
        <v>#REF!</v>
      </c>
      <c r="CE22" t="e" cm="1">
        <f t="array" ref="CE22">INDEX(#REF!, MATCH(1, (Table18[[#This Row],[year t]]=Table32[[#All],[year t]])*(Table18[[#This Row],[stratum i]]=Table32[[#All],[stratum i]]), 0))</f>
        <v>#REF!</v>
      </c>
      <c r="CF22" t="e">
        <f>IF(soil_N2O_approach = "Proxies", Table18[[#This Row],[ƒ (N2O emission proxy: N2O)]]*GWP_N2O, IF(soil_N2O_approach = "IPCC emission factors", Table18[[#This Row],[IPCC Emission factor EF(N2O)]]*Table18[[#This Row],[Ai,t]]*GWP_N2O, Table18[[#This Row],[N2O (BSL-soil,I,t)]]*GWP_N2O))</f>
        <v>#REF!</v>
      </c>
    </row>
    <row r="23" spans="3:84" x14ac:dyDescent="0.2">
      <c r="C23" s="18">
        <v>2040</v>
      </c>
      <c r="D23">
        <f>-SUMIF(Table12[[#All],[year t]], "&lt;="&amp;Table11[[#This Row],[year t]], Table12[[#All],[∆𝐶𝐵𝑆𝐿−𝑏𝑖𝑜𝑚𝑎𝑠𝑠,𝑖,t (equation 23)]])*44/12</f>
        <v>0</v>
      </c>
      <c r="E23">
        <f>SUMIF(Table12[[#All],[year t]], "&lt;="&amp;Table11[[#This Row],[year t]], Table12[[#All],[𝐺𝐻𝐺𝐵𝑆𝐿−𝑠𝑜𝑖𝑙,𝑖,t]])</f>
        <v>0</v>
      </c>
      <c r="F23">
        <f>SUMIF(Table12[[#All],[year t]], "&lt;="&amp;Table11[[#This Row],[year t]], Table12[[#All],[𝐺𝐻𝐺𝐵𝑆𝐿−𝑓𝑢𝑒𝑙,𝑖,t]])</f>
        <v>0</v>
      </c>
      <c r="G23">
        <f>Table11[[#This Row],[GHG(BSL-biomass)]]+Table11[[#This Row],[GHG(BSL-soil)]]+Table11[[#This Row],[GHG(BSL-fuel)]]</f>
        <v>0</v>
      </c>
      <c r="J23" s="18">
        <v>2040</v>
      </c>
      <c r="K23" s="18">
        <v>1</v>
      </c>
      <c r="L23" cm="1">
        <f t="array" ref="L23">INDEX(Table32[[#All],[ΔCTREE_BSL,i,t (AR Tool 14) t C/yr]], MATCH(1, (Table12[[#This Row],[year t]]=Table32[[#All],[year t]])*(Table12[[#This Row],[stratum i]]=Table32[[#All],[stratum i]]), 0))</f>
        <v>0</v>
      </c>
      <c r="M23" cm="1">
        <f t="array" ref="M23">IF(baseline_abground_nontree = "Included", INDEX(#REF!, MATCH(1, (Table12[[#This Row],[year t]]=Table32[[#All],[year t]])*(Table12[[#This Row],[stratum i]]=Table32[[#All],[stratum i]]), 0)), 0)</f>
        <v>0</v>
      </c>
      <c r="N23">
        <f>12/44*(Table12[[#This Row],[ΔCTREE_BSL,i,t (AR Tool 14) t CO2e/yr]]+Table12[[#This Row],[ΔCSHRUB_BSL,i,t (AR Tool 14) t CO2e/yr]])</f>
        <v>0</v>
      </c>
      <c r="O23" cm="1">
        <f t="array" ref="O23">IF(baseline_abground_nontree = "Included", IFERROR(INDEX(Table13[[#All],[ΔCBSL-herb,i,t (Eq 25)]], MATCH(1, (Table12[[#This Row],[stratum i]]=Table13[[#All],[stratum i]])*(Table12[[#This Row],[year t]]&gt;=#REF!)*(Table12[[#This Row],[year t]]&lt;=Table13[[#All],[year t]]), 0)), 0), 0)</f>
        <v>0</v>
      </c>
      <c r="P23">
        <f>Table12[[#This Row],[ΔCBSL-tree/shrub,i,t (t C/yr) (Eq 24)]]+Table12[[#This Row],[ΔCBSL-herb,i,t (t C/yr)]]-Table12[[#This Row],[ΔCBSL-agbiomass,i,t; t C yr-1 (submergence)]]</f>
        <v>0</v>
      </c>
      <c r="Q23" cm="1">
        <f t="array" ref="Q23">IFERROR(INDEX(Table14[[#All],[GHGBSL-soil,i,t (Eq 26)]], MATCH(1, (Table12[[#This Row],[year t]]=Table14[[#All],[year t]])*(Table12[[#This Row],[stratum i]]=Table14[[#All],[stratum i]]), 0)), 0)</f>
        <v>0</v>
      </c>
      <c r="R23">
        <f>IF(baseline_ff_CO2 = "Included", Table12[[#This Row],[ET(FC,I,t) AR-Tool 5]], 0)</f>
        <v>0</v>
      </c>
      <c r="S23" t="e" cm="1">
        <f t="array" ref="S23">INDEX(#REF!, MATCH(1, (Table12[[#This Row],[year t]]=Table32[[#All],[year t]])*(Table12[[#This Row],[stratum i]]=Table32[[#All],[stratum i]]), 0))</f>
        <v>#REF!</v>
      </c>
      <c r="T23" cm="1">
        <f t="array" ref="T23">IFERROR(INDEX(Table30[[#All],[ΔCBSL-agbiomass,i,t (equation 22) t C yr-1]], MATCH(1, (Table12[[#This Row],[stratum i]]=Table30[[#All],[Stratum i]])*(Table12[[#This Row],[year t]]&lt;Table30[[#All],[Year of reporting]]), 0)), 0)</f>
        <v>0</v>
      </c>
      <c r="V23" s="17"/>
      <c r="W23" s="17" t="e" cm="1">
        <f t="array" ref="W23">INDEX(Table34[[#All],[Submergence]], MATCH(1, (Table30[[#This Row],[Stratum i]]=Table34[[#All],[stratum i]])*(Table30[[#This Row],[Year of reporting]]=Table34[[#All],[year t]]), 0))</f>
        <v>#N/A</v>
      </c>
      <c r="X23" s="17" t="e" cm="1">
        <f t="array" ref="X23">INDEX(Table34[[#All],[Submergence_T]], MATCH(1, (Table30[[#This Row],[Stratum i]]=Table34[[#All],[stratum i]])*(Table30[[#This Row],[Year of reporting]]=Table34[[#All],[year t]]), 0))</f>
        <v>#N/A</v>
      </c>
      <c r="Y23" s="17"/>
      <c r="Z23" s="17" t="e" cm="1">
        <f t="array" ref="Z23">INDEX(Table34[[#All],[Area submerged %]], MATCH(1, (Table30[[#This Row],[Stratum i]]=Table34[[#All],[stratum i]])*(Table30[[#This Row],[Year of reporting]]=Table34[[#All],[year t]]), 0))</f>
        <v>#N/A</v>
      </c>
      <c r="AA23" s="18" t="e" cm="1">
        <f t="array" ref="AA23">INDEX(Table34[[#All],[CBSL-agbiomass,i,t (AR tool 14, tC)]], MATCH(1, (Table30[[#This Row],[Stratum i]]=Table34[[#All],[stratum i]])*(Table30[[#This Row],[Year of reporting]]=Table34[[#All],[year t]]), 0))</f>
        <v>#N/A</v>
      </c>
      <c r="AB23" s="18" t="e" cm="1">
        <f t="array" ref="AB23">INDEX(Table34[[#All],[CBSL-agbiomass,i,t-T (AR tool 14, tC)]], MATCH(1, (Table30[[#This Row],[Stratum i]]=Table34[[#All],[stratum i]])*(Table30[[#This Row],[Year of reporting]]=Table34[[#All],[year t]]), 0))</f>
        <v>#N/A</v>
      </c>
      <c r="AC23"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3" s="18">
        <v>2040</v>
      </c>
      <c r="AH23" s="18">
        <v>1</v>
      </c>
      <c r="AI23" s="45" t="e" cm="1">
        <f t="array" ref="AI23">INDEX(#REF!, MATCH(1, (Table13[[#This Row],[year t]]=Table32[[#All],[year t]])*(Table13[[#This Row],[stratum i]]=Table32[[#All],[stratum i]]), 0))</f>
        <v>#REF!</v>
      </c>
      <c r="AJ23" s="49" t="e">
        <f>Table13[[#This Row],[ΔCBSL-herb,i,t (tC/ha)]]</f>
        <v>#REF!</v>
      </c>
      <c r="AO23" s="18">
        <v>2040</v>
      </c>
      <c r="AP23" s="18">
        <v>1</v>
      </c>
      <c r="AQ23" s="17" cm="1">
        <f t="array" ref="AQ23">INDEX(Table32[[#All],[Ai,t]], MATCH(1, (Table14[[#This Row],[year t]]=Table32[[#All],[year t]])*(Table14[[#This Row],[stratum i]]=Table32[[#All],[stratum i]]), 0))</f>
        <v>1090.4420357142858</v>
      </c>
      <c r="AR23" t="str">
        <f>IF(AND(INDEX(Table31[[#All],[Soil type (t=0)]], MATCH(Table14[[#This Row],[stratum i]], Table31[[#All],[Stratum i]]))="Peat soil", Table14[[#This Row],[year t]]&lt;=Table14[[#This Row],[End_PDT]]), "Peat soil", "Non-peat soil")</f>
        <v>Non-peat soil</v>
      </c>
      <c r="AS23">
        <f>IF(Emission_reduction_from_stock_loss?, INDEX(Table2[[#All],[End_PDT]], MATCH(Table14[[#This Row],[stratum i]], Table2[[#All],[stratum i]])), crediting_period)</f>
        <v>40</v>
      </c>
      <c r="AT23">
        <f>IF(Emission_reduction_from_stock_loss?, INDEX(Table2[[#All],[End_SDT]], MATCH(Table14[[#This Row],[stratum i]], Table2[[#All],[stratum i]])), crediting_period)</f>
        <v>40</v>
      </c>
      <c r="AU23" cm="1">
        <f t="array" ref="AU2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3" t="e" cm="1">
        <f t="array" ref="AV23">INDEX(#REF!, MATCH(1, (Table14[[#This Row],[year t]]=Table32[[#All],[year t]])*(Table14[[#This Row],[stratum i]]=Table32[[#All],[stratum i]]), 0))</f>
        <v>#REF!</v>
      </c>
      <c r="AW2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3" s="57">
        <f>(Table14[[#This Row],[GHGBSL-soil-CO2,i,t (Eq 27)]]-Table14[[#This Row],[Deductionalloch (Eq 38)]])*Table14[[#This Row],[Ai,t]]</f>
        <v>0</v>
      </c>
      <c r="AY23" cm="1">
        <f t="array" ref="AY23">IF(baseline_soil_CH4 = "Included", INDEX(Table18[[#All],[GHGBSL-soil-CH4,i,t (Eq 59)]], MATCH(1, (Table14[[#This Row],[year t]]=Table18[[#All],[year t]])*(Table14[[#This Row],[stratum i]]=Table18[[#All],[stratum i]]), 0)), 0)</f>
        <v>0</v>
      </c>
      <c r="AZ23" cm="1">
        <f t="array" ref="AZ23">IF(baseline_soil_N2O = "Included", INDEX(Table18[[#All],[GHGBSL-soil-N2O,i,t (Eq 62)]], MATCH(1, (Table14[[#This Row],[year t]]=Table18[[#All],[year t]])*(Table14[[#This Row],[stratum i]]=Table18[[#All],[stratum i]]), 0)), 0)</f>
        <v>0</v>
      </c>
      <c r="BA23">
        <f>IF(AND(Table14[[#This Row],[year t]]&gt;Table14[[#This Row],[End_PDT]],Table14[[#This Row],[year t]]&gt;Table14[[#This Row],[End_SDT]]), 0, Table14[[#This Row],[Ai,t]]*(Table14[[#This Row],[GHGBSL-soil-CO2,i,t (Eq 27)]]-Table14[[#This Row],[Deductionalloch (Eq 38)]]+Table14[[#This Row],[GHGBSL-soil-CH4,i,t]]+Table14[[#This Row],[GHGBSL-soil-N2O,i,t]]))</f>
        <v>0</v>
      </c>
      <c r="BB23" t="e" cm="1">
        <f t="array" ref="BB23">INDEX(#REF!, MATCH(1, (Table14[[#This Row],[year t]]=Table32[[#All],[year t]])*(Table14[[#This Row],[stratum i]]=Table32[[#All],[stratum i]]), 0))</f>
        <v>#REF!</v>
      </c>
      <c r="BC23" t="e" cm="1">
        <f t="array" ref="BC23">INDEX(#REF!, MATCH(1, (Table14[[#This Row],[year t]]=Table32[[#All],[year t]])*(Table14[[#This Row],[stratum i]]=Table32[[#All],[stratum i]]), 0))</f>
        <v>#REF!</v>
      </c>
      <c r="BD23" t="e" cm="1">
        <f t="array" ref="BD23">INDEX(#REF!, MATCH(1, (Table14[[#This Row],[year t]]=Table32[[#All],[year t]])*(Table14[[#This Row],[stratum i]]=Table32[[#All],[stratum i]]), 0))</f>
        <v>#REF!</v>
      </c>
      <c r="BE23" t="e" cm="1">
        <f t="array" ref="BE23">INDEX(#REF!, MATCH(1, (Table14[[#This Row],[year t]]=Table32[[#All],[year t]])*(Table14[[#This Row],[stratum i]]=Table32[[#All],[stratum i]]), 0))</f>
        <v>#REF!</v>
      </c>
      <c r="BM23" s="18">
        <v>2040</v>
      </c>
      <c r="BN23" s="18">
        <v>1</v>
      </c>
      <c r="BO23" t="e" cm="1">
        <f t="array" ref="BO23">INDEX(#REF!, MATCH(1, (Table132926[[#This Row],[year t]]=Table32[year t])*(Table132926[[#This Row],[stratum i]]=Table32[[#All],[stratum i]]), 0))</f>
        <v>#REF!</v>
      </c>
      <c r="BP23" t="e">
        <f>-44/12*Table132926[[#This Row],[∆CBSL-soil,i,t (tC/ha)]]</f>
        <v>#REF!</v>
      </c>
      <c r="BV23" s="17">
        <v>5</v>
      </c>
      <c r="BW23" s="17">
        <v>3</v>
      </c>
      <c r="BX23" s="32" t="e" cm="1">
        <f t="array" ref="BX23">INDEX(Table32[[#All],[Ai,t]], MATCH(1, (Table18[[#This Row],[year t]]=Table32[[#All],[year t]])*(Table18[[#This Row],[stratum i]]=Table32[[#All],[stratum i]]), 0))</f>
        <v>#N/A</v>
      </c>
      <c r="BY23" t="e" cm="1">
        <f t="array" ref="BY23">INDEX(#REF!, MATCH(1, (Table18[[#This Row],[year t]]=Table32[[#All],[year t]])*(Table18[[#This Row],[stratum i]]=Table32[[#All],[stratum i]]), 0))</f>
        <v>#REF!</v>
      </c>
      <c r="BZ23" t="e" cm="1">
        <f t="array" ref="BZ23">INDEX(#REF!, MATCH(1, (Table18[[#This Row],[year t]]=Table32[[#All],[year t]])*(Table18[[#This Row],[stratum i]]=Table32[[#All],[stratum i]]), 0))</f>
        <v>#REF!</v>
      </c>
      <c r="CA23" t="e" cm="1">
        <f t="array" ref="CA23">INDEX(#REF!, MATCH(1, (Table18[[#This Row],[year t]]=Table32[[#All],[year t]])*(Table18[[#This Row],[stratum i]]=Table32[[#All],[stratum i]]), 0))</f>
        <v>#REF!</v>
      </c>
      <c r="CB23" t="e">
        <f>IF(soil_CH4_approach = "Proxies", Table18[[#This Row],[ƒ (GHG emission proxy: CH4)]]*GWP_CH4, IF(soil_CH4_approach = "IPCC emission factors", Table18[[#This Row],[IPCC Emission factor EF(CH4)]]*Table18[[#This Row],[Ai,t]]*GWP_CH4, Table18[[#This Row],[CH4(BSL-soil,I,t)]]*GWP_CH4))</f>
        <v>#REF!</v>
      </c>
      <c r="CC23" t="e" cm="1">
        <f t="array" ref="CC23">INDEX(#REF!, MATCH(1, (Table18[[#This Row],[year t]]=Table32[[#All],[year t]])*(Table18[[#This Row],[stratum i]]=Table32[[#All],[stratum i]]), 0))</f>
        <v>#REF!</v>
      </c>
      <c r="CD23" t="e" cm="1">
        <f t="array" ref="CD23">INDEX(#REF!, MATCH(1, (Table18[[#This Row],[year t]]=Table32[[#All],[year t]])*(Table18[[#This Row],[stratum i]]=Table32[[#All],[stratum i]]), 0))</f>
        <v>#REF!</v>
      </c>
      <c r="CE23" t="e" cm="1">
        <f t="array" ref="CE23">INDEX(#REF!, MATCH(1, (Table18[[#This Row],[year t]]=Table32[[#All],[year t]])*(Table18[[#This Row],[stratum i]]=Table32[[#All],[stratum i]]), 0))</f>
        <v>#REF!</v>
      </c>
      <c r="CF23" t="e">
        <f>IF(soil_N2O_approach = "Proxies", Table18[[#This Row],[ƒ (N2O emission proxy: N2O)]]*GWP_N2O, IF(soil_N2O_approach = "IPCC emission factors", Table18[[#This Row],[IPCC Emission factor EF(N2O)]]*Table18[[#This Row],[Ai,t]]*GWP_N2O, Table18[[#This Row],[N2O (BSL-soil,I,t)]]*GWP_N2O))</f>
        <v>#REF!</v>
      </c>
    </row>
    <row r="24" spans="3:84" x14ac:dyDescent="0.2">
      <c r="C24" s="18">
        <v>2041</v>
      </c>
      <c r="D24">
        <f>-SUMIF(Table12[[#All],[year t]], "&lt;="&amp;Table11[[#This Row],[year t]], Table12[[#All],[∆𝐶𝐵𝑆𝐿−𝑏𝑖𝑜𝑚𝑎𝑠𝑠,𝑖,t (equation 23)]])*44/12</f>
        <v>0</v>
      </c>
      <c r="E24">
        <f>SUMIF(Table12[[#All],[year t]], "&lt;="&amp;Table11[[#This Row],[year t]], Table12[[#All],[𝐺𝐻𝐺𝐵𝑆𝐿−𝑠𝑜𝑖𝑙,𝑖,t]])</f>
        <v>0</v>
      </c>
      <c r="F24">
        <f>SUMIF(Table12[[#All],[year t]], "&lt;="&amp;Table11[[#This Row],[year t]], Table12[[#All],[𝐺𝐻𝐺𝐵𝑆𝐿−𝑓𝑢𝑒𝑙,𝑖,t]])</f>
        <v>0</v>
      </c>
      <c r="G24">
        <f>Table11[[#This Row],[GHG(BSL-biomass)]]+Table11[[#This Row],[GHG(BSL-soil)]]+Table11[[#This Row],[GHG(BSL-fuel)]]</f>
        <v>0</v>
      </c>
      <c r="J24" s="18">
        <v>2041</v>
      </c>
      <c r="K24" s="18">
        <v>1</v>
      </c>
      <c r="L24" cm="1">
        <f t="array" ref="L24">INDEX(Table32[[#All],[ΔCTREE_BSL,i,t (AR Tool 14) t C/yr]], MATCH(1, (Table12[[#This Row],[year t]]=Table32[[#All],[year t]])*(Table12[[#This Row],[stratum i]]=Table32[[#All],[stratum i]]), 0))</f>
        <v>0</v>
      </c>
      <c r="M24" cm="1">
        <f t="array" ref="M24">IF(baseline_abground_nontree = "Included", INDEX(#REF!, MATCH(1, (Table12[[#This Row],[year t]]=Table32[[#All],[year t]])*(Table12[[#This Row],[stratum i]]=Table32[[#All],[stratum i]]), 0)), 0)</f>
        <v>0</v>
      </c>
      <c r="N24">
        <f>12/44*(Table12[[#This Row],[ΔCTREE_BSL,i,t (AR Tool 14) t CO2e/yr]]+Table12[[#This Row],[ΔCSHRUB_BSL,i,t (AR Tool 14) t CO2e/yr]])</f>
        <v>0</v>
      </c>
      <c r="O24" cm="1">
        <f t="array" ref="O24">IF(baseline_abground_nontree = "Included", IFERROR(INDEX(Table13[[#All],[ΔCBSL-herb,i,t (Eq 25)]], MATCH(1, (Table12[[#This Row],[stratum i]]=Table13[[#All],[stratum i]])*(Table12[[#This Row],[year t]]&gt;=#REF!)*(Table12[[#This Row],[year t]]&lt;=Table13[[#All],[year t]]), 0)), 0), 0)</f>
        <v>0</v>
      </c>
      <c r="P24">
        <f>Table12[[#This Row],[ΔCBSL-tree/shrub,i,t (t C/yr) (Eq 24)]]+Table12[[#This Row],[ΔCBSL-herb,i,t (t C/yr)]]-Table12[[#This Row],[ΔCBSL-agbiomass,i,t; t C yr-1 (submergence)]]</f>
        <v>0</v>
      </c>
      <c r="Q24" cm="1">
        <f t="array" ref="Q24">IFERROR(INDEX(Table14[[#All],[GHGBSL-soil,i,t (Eq 26)]], MATCH(1, (Table12[[#This Row],[year t]]=Table14[[#All],[year t]])*(Table12[[#This Row],[stratum i]]=Table14[[#All],[stratum i]]), 0)), 0)</f>
        <v>0</v>
      </c>
      <c r="R24">
        <f>IF(baseline_ff_CO2 = "Included", Table12[[#This Row],[ET(FC,I,t) AR-Tool 5]], 0)</f>
        <v>0</v>
      </c>
      <c r="S24" t="e" cm="1">
        <f t="array" ref="S24">INDEX(#REF!, MATCH(1, (Table12[[#This Row],[year t]]=Table32[[#All],[year t]])*(Table12[[#This Row],[stratum i]]=Table32[[#All],[stratum i]]), 0))</f>
        <v>#REF!</v>
      </c>
      <c r="T24" cm="1">
        <f t="array" ref="T24">IFERROR(INDEX(Table30[[#All],[ΔCBSL-agbiomass,i,t (equation 22) t C yr-1]], MATCH(1, (Table12[[#This Row],[stratum i]]=Table30[[#All],[Stratum i]])*(Table12[[#This Row],[year t]]&lt;Table30[[#All],[Year of reporting]]), 0)), 0)</f>
        <v>0</v>
      </c>
      <c r="V24" s="18"/>
      <c r="W24" s="18" t="e" cm="1">
        <f t="array" ref="W24">INDEX(Table34[[#All],[Submergence]], MATCH(1, (Table30[[#This Row],[Stratum i]]=Table34[[#All],[stratum i]])*(Table30[[#This Row],[Year of reporting]]=Table34[[#All],[year t]]), 0))</f>
        <v>#N/A</v>
      </c>
      <c r="X24" s="18" t="e" cm="1">
        <f t="array" ref="X24">INDEX(Table34[[#All],[Submergence_T]], MATCH(1, (Table30[[#This Row],[Stratum i]]=Table34[[#All],[stratum i]])*(Table30[[#This Row],[Year of reporting]]=Table34[[#All],[year t]]), 0))</f>
        <v>#N/A</v>
      </c>
      <c r="Y24" s="18"/>
      <c r="Z24" s="18" t="e" cm="1">
        <f t="array" ref="Z24">INDEX(Table34[[#All],[Area submerged %]], MATCH(1, (Table30[[#This Row],[Stratum i]]=Table34[[#All],[stratum i]])*(Table30[[#This Row],[Year of reporting]]=Table34[[#All],[year t]]), 0))</f>
        <v>#N/A</v>
      </c>
      <c r="AA24" s="18" t="e" cm="1">
        <f t="array" ref="AA24">INDEX(Table34[[#All],[CBSL-agbiomass,i,t (AR tool 14, tC)]], MATCH(1, (Table30[[#This Row],[Stratum i]]=Table34[[#All],[stratum i]])*(Table30[[#This Row],[Year of reporting]]=Table34[[#All],[year t]]), 0))</f>
        <v>#N/A</v>
      </c>
      <c r="AB24" s="18" t="e" cm="1">
        <f t="array" ref="AB24">INDEX(Table34[[#All],[CBSL-agbiomass,i,t-T (AR tool 14, tC)]], MATCH(1, (Table30[[#This Row],[Stratum i]]=Table34[[#All],[stratum i]])*(Table30[[#This Row],[Year of reporting]]=Table34[[#All],[year t]]), 0))</f>
        <v>#N/A</v>
      </c>
      <c r="AC24"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4" s="18">
        <v>2041</v>
      </c>
      <c r="AH24" s="18">
        <v>1</v>
      </c>
      <c r="AI24" s="45" t="e" cm="1">
        <f t="array" ref="AI24">INDEX(#REF!, MATCH(1, (Table13[[#This Row],[year t]]=Table32[[#All],[year t]])*(Table13[[#This Row],[stratum i]]=Table32[[#All],[stratum i]]), 0))</f>
        <v>#REF!</v>
      </c>
      <c r="AJ24" s="49" t="e">
        <f>Table13[[#This Row],[ΔCBSL-herb,i,t (tC/ha)]]</f>
        <v>#REF!</v>
      </c>
      <c r="AO24" s="18">
        <v>2041</v>
      </c>
      <c r="AP24" s="18">
        <v>1</v>
      </c>
      <c r="AQ24" s="18" cm="1">
        <f t="array" ref="AQ24">INDEX(Table32[[#All],[Ai,t]], MATCH(1, (Table14[[#This Row],[year t]]=Table32[[#All],[year t]])*(Table14[[#This Row],[stratum i]]=Table32[[#All],[stratum i]]), 0))</f>
        <v>1090.4420357142858</v>
      </c>
      <c r="AR24" t="str">
        <f>IF(AND(INDEX(Table31[[#All],[Soil type (t=0)]], MATCH(Table14[[#This Row],[stratum i]], Table31[[#All],[Stratum i]]))="Peat soil", Table14[[#This Row],[year t]]&lt;=Table14[[#This Row],[End_PDT]]), "Peat soil", "Non-peat soil")</f>
        <v>Non-peat soil</v>
      </c>
      <c r="AS24">
        <f>IF(Emission_reduction_from_stock_loss?, INDEX(Table2[[#All],[End_PDT]], MATCH(Table14[[#This Row],[stratum i]], Table2[[#All],[stratum i]])), crediting_period)</f>
        <v>40</v>
      </c>
      <c r="AT24">
        <f>IF(Emission_reduction_from_stock_loss?, INDEX(Table2[[#All],[End_SDT]], MATCH(Table14[[#This Row],[stratum i]], Table2[[#All],[stratum i]])), crediting_period)</f>
        <v>40</v>
      </c>
      <c r="AU24" cm="1">
        <f t="array" ref="AU2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4" t="e" cm="1">
        <f t="array" ref="AV24">INDEX(#REF!, MATCH(1, (Table14[[#This Row],[year t]]=Table32[[#All],[year t]])*(Table14[[#This Row],[stratum i]]=Table32[[#All],[stratum i]]), 0))</f>
        <v>#REF!</v>
      </c>
      <c r="AW2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4" s="57">
        <f>(Table14[[#This Row],[GHGBSL-soil-CO2,i,t (Eq 27)]]-Table14[[#This Row],[Deductionalloch (Eq 38)]])*Table14[[#This Row],[Ai,t]]</f>
        <v>0</v>
      </c>
      <c r="AY24" cm="1">
        <f t="array" ref="AY24">IF(baseline_soil_CH4 = "Included", INDEX(Table18[[#All],[GHGBSL-soil-CH4,i,t (Eq 59)]], MATCH(1, (Table14[[#This Row],[year t]]=Table18[[#All],[year t]])*(Table14[[#This Row],[stratum i]]=Table18[[#All],[stratum i]]), 0)), 0)</f>
        <v>0</v>
      </c>
      <c r="AZ24" cm="1">
        <f t="array" ref="AZ24">IF(baseline_soil_N2O = "Included", INDEX(Table18[[#All],[GHGBSL-soil-N2O,i,t (Eq 62)]], MATCH(1, (Table14[[#This Row],[year t]]=Table18[[#All],[year t]])*(Table14[[#This Row],[stratum i]]=Table18[[#All],[stratum i]]), 0)), 0)</f>
        <v>0</v>
      </c>
      <c r="BA24">
        <f>IF(AND(Table14[[#This Row],[year t]]&gt;Table14[[#This Row],[End_PDT]],Table14[[#This Row],[year t]]&gt;Table14[[#This Row],[End_SDT]]), 0, Table14[[#This Row],[Ai,t]]*(Table14[[#This Row],[GHGBSL-soil-CO2,i,t (Eq 27)]]-Table14[[#This Row],[Deductionalloch (Eq 38)]]+Table14[[#This Row],[GHGBSL-soil-CH4,i,t]]+Table14[[#This Row],[GHGBSL-soil-N2O,i,t]]))</f>
        <v>0</v>
      </c>
      <c r="BB24" t="e" cm="1">
        <f t="array" ref="BB24">INDEX(#REF!, MATCH(1, (Table14[[#This Row],[year t]]=Table32[[#All],[year t]])*(Table14[[#This Row],[stratum i]]=Table32[[#All],[stratum i]]), 0))</f>
        <v>#REF!</v>
      </c>
      <c r="BC24" t="e" cm="1">
        <f t="array" ref="BC24">INDEX(#REF!, MATCH(1, (Table14[[#This Row],[year t]]=Table32[[#All],[year t]])*(Table14[[#This Row],[stratum i]]=Table32[[#All],[stratum i]]), 0))</f>
        <v>#REF!</v>
      </c>
      <c r="BD24" t="e" cm="1">
        <f t="array" ref="BD24">INDEX(#REF!, MATCH(1, (Table14[[#This Row],[year t]]=Table32[[#All],[year t]])*(Table14[[#This Row],[stratum i]]=Table32[[#All],[stratum i]]), 0))</f>
        <v>#REF!</v>
      </c>
      <c r="BE24" t="e" cm="1">
        <f t="array" ref="BE24">INDEX(#REF!, MATCH(1, (Table14[[#This Row],[year t]]=Table32[[#All],[year t]])*(Table14[[#This Row],[stratum i]]=Table32[[#All],[stratum i]]), 0))</f>
        <v>#REF!</v>
      </c>
      <c r="BM24" s="18">
        <v>2041</v>
      </c>
      <c r="BN24" s="18">
        <v>1</v>
      </c>
      <c r="BO24" t="e" cm="1">
        <f t="array" ref="BO24">INDEX(#REF!, MATCH(1, (Table132926[[#This Row],[year t]]=Table32[year t])*(Table132926[[#This Row],[stratum i]]=Table32[[#All],[stratum i]]), 0))</f>
        <v>#REF!</v>
      </c>
      <c r="BP24" t="e">
        <f>-44/12*Table132926[[#This Row],[∆CBSL-soil,i,t (tC/ha)]]</f>
        <v>#REF!</v>
      </c>
      <c r="BV24" s="18">
        <v>6</v>
      </c>
      <c r="BW24" s="18">
        <v>3</v>
      </c>
      <c r="BX24" t="e" cm="1">
        <f t="array" ref="BX24">INDEX(Table32[[#All],[Ai,t]], MATCH(1, (Table18[[#This Row],[year t]]=Table32[[#All],[year t]])*(Table18[[#This Row],[stratum i]]=Table32[[#All],[stratum i]]), 0))</f>
        <v>#N/A</v>
      </c>
      <c r="BY24" t="e" cm="1">
        <f t="array" ref="BY24">INDEX(#REF!, MATCH(1, (Table18[[#This Row],[year t]]=Table32[[#All],[year t]])*(Table18[[#This Row],[stratum i]]=Table32[[#All],[stratum i]]), 0))</f>
        <v>#REF!</v>
      </c>
      <c r="BZ24" t="e" cm="1">
        <f t="array" ref="BZ24">INDEX(#REF!, MATCH(1, (Table18[[#This Row],[year t]]=Table32[[#All],[year t]])*(Table18[[#This Row],[stratum i]]=Table32[[#All],[stratum i]]), 0))</f>
        <v>#REF!</v>
      </c>
      <c r="CA24" t="e" cm="1">
        <f t="array" ref="CA24">INDEX(#REF!, MATCH(1, (Table18[[#This Row],[year t]]=Table32[[#All],[year t]])*(Table18[[#This Row],[stratum i]]=Table32[[#All],[stratum i]]), 0))</f>
        <v>#REF!</v>
      </c>
      <c r="CB24" t="e">
        <f>IF(soil_CH4_approach = "Proxies", Table18[[#This Row],[ƒ (GHG emission proxy: CH4)]]*GWP_CH4, IF(soil_CH4_approach = "IPCC emission factors", Table18[[#This Row],[IPCC Emission factor EF(CH4)]]*Table18[[#This Row],[Ai,t]]*GWP_CH4, Table18[[#This Row],[CH4(BSL-soil,I,t)]]*GWP_CH4))</f>
        <v>#REF!</v>
      </c>
      <c r="CC24" t="e" cm="1">
        <f t="array" ref="CC24">INDEX(#REF!, MATCH(1, (Table18[[#This Row],[year t]]=Table32[[#All],[year t]])*(Table18[[#This Row],[stratum i]]=Table32[[#All],[stratum i]]), 0))</f>
        <v>#REF!</v>
      </c>
      <c r="CD24" t="e" cm="1">
        <f t="array" ref="CD24">INDEX(#REF!, MATCH(1, (Table18[[#This Row],[year t]]=Table32[[#All],[year t]])*(Table18[[#This Row],[stratum i]]=Table32[[#All],[stratum i]]), 0))</f>
        <v>#REF!</v>
      </c>
      <c r="CE24" t="e" cm="1">
        <f t="array" ref="CE24">INDEX(#REF!, MATCH(1, (Table18[[#This Row],[year t]]=Table32[[#All],[year t]])*(Table18[[#This Row],[stratum i]]=Table32[[#All],[stratum i]]), 0))</f>
        <v>#REF!</v>
      </c>
      <c r="CF24" t="e">
        <f>IF(soil_N2O_approach = "Proxies", Table18[[#This Row],[ƒ (N2O emission proxy: N2O)]]*GWP_N2O, IF(soil_N2O_approach = "IPCC emission factors", Table18[[#This Row],[IPCC Emission factor EF(N2O)]]*Table18[[#This Row],[Ai,t]]*GWP_N2O, Table18[[#This Row],[N2O (BSL-soil,I,t)]]*GWP_N2O))</f>
        <v>#REF!</v>
      </c>
    </row>
    <row r="25" spans="3:84" x14ac:dyDescent="0.2">
      <c r="C25" s="18">
        <v>2042</v>
      </c>
      <c r="D25">
        <f>-SUMIF(Table12[[#All],[year t]], "&lt;="&amp;Table11[[#This Row],[year t]], Table12[[#All],[∆𝐶𝐵𝑆𝐿−𝑏𝑖𝑜𝑚𝑎𝑠𝑠,𝑖,t (equation 23)]])*44/12</f>
        <v>0</v>
      </c>
      <c r="E25">
        <f>SUMIF(Table12[[#All],[year t]], "&lt;="&amp;Table11[[#This Row],[year t]], Table12[[#All],[𝐺𝐻𝐺𝐵𝑆𝐿−𝑠𝑜𝑖𝑙,𝑖,t]])</f>
        <v>0</v>
      </c>
      <c r="F25">
        <f>SUMIF(Table12[[#All],[year t]], "&lt;="&amp;Table11[[#This Row],[year t]], Table12[[#All],[𝐺𝐻𝐺𝐵𝑆𝐿−𝑓𝑢𝑒𝑙,𝑖,t]])</f>
        <v>0</v>
      </c>
      <c r="G25">
        <f>Table11[[#This Row],[GHG(BSL-biomass)]]+Table11[[#This Row],[GHG(BSL-soil)]]+Table11[[#This Row],[GHG(BSL-fuel)]]</f>
        <v>0</v>
      </c>
      <c r="J25" s="18">
        <v>2042</v>
      </c>
      <c r="K25" s="18">
        <v>1</v>
      </c>
      <c r="L25" cm="1">
        <f t="array" ref="L25">INDEX(Table32[[#All],[ΔCTREE_BSL,i,t (AR Tool 14) t C/yr]], MATCH(1, (Table12[[#This Row],[year t]]=Table32[[#All],[year t]])*(Table12[[#This Row],[stratum i]]=Table32[[#All],[stratum i]]), 0))</f>
        <v>0</v>
      </c>
      <c r="M25" cm="1">
        <f t="array" ref="M25">IF(baseline_abground_nontree = "Included", INDEX(#REF!, MATCH(1, (Table12[[#This Row],[year t]]=Table32[[#All],[year t]])*(Table12[[#This Row],[stratum i]]=Table32[[#All],[stratum i]]), 0)), 0)</f>
        <v>0</v>
      </c>
      <c r="N25">
        <f>12/44*(Table12[[#This Row],[ΔCTREE_BSL,i,t (AR Tool 14) t CO2e/yr]]+Table12[[#This Row],[ΔCSHRUB_BSL,i,t (AR Tool 14) t CO2e/yr]])</f>
        <v>0</v>
      </c>
      <c r="O25" cm="1">
        <f t="array" ref="O25">IF(baseline_abground_nontree = "Included", IFERROR(INDEX(Table13[[#All],[ΔCBSL-herb,i,t (Eq 25)]], MATCH(1, (Table12[[#This Row],[stratum i]]=Table13[[#All],[stratum i]])*(Table12[[#This Row],[year t]]&gt;=#REF!)*(Table12[[#This Row],[year t]]&lt;=Table13[[#All],[year t]]), 0)), 0), 0)</f>
        <v>0</v>
      </c>
      <c r="P25">
        <f>Table12[[#This Row],[ΔCBSL-tree/shrub,i,t (t C/yr) (Eq 24)]]+Table12[[#This Row],[ΔCBSL-herb,i,t (t C/yr)]]-Table12[[#This Row],[ΔCBSL-agbiomass,i,t; t C yr-1 (submergence)]]</f>
        <v>0</v>
      </c>
      <c r="Q25" cm="1">
        <f t="array" ref="Q25">IFERROR(INDEX(Table14[[#All],[GHGBSL-soil,i,t (Eq 26)]], MATCH(1, (Table12[[#This Row],[year t]]=Table14[[#All],[year t]])*(Table12[[#This Row],[stratum i]]=Table14[[#All],[stratum i]]), 0)), 0)</f>
        <v>0</v>
      </c>
      <c r="R25">
        <f>IF(baseline_ff_CO2 = "Included", Table12[[#This Row],[ET(FC,I,t) AR-Tool 5]], 0)</f>
        <v>0</v>
      </c>
      <c r="S25" t="e" cm="1">
        <f t="array" ref="S25">INDEX(#REF!, MATCH(1, (Table12[[#This Row],[year t]]=Table32[[#All],[year t]])*(Table12[[#This Row],[stratum i]]=Table32[[#All],[stratum i]]), 0))</f>
        <v>#REF!</v>
      </c>
      <c r="T25" cm="1">
        <f t="array" ref="T25">IFERROR(INDEX(Table30[[#All],[ΔCBSL-agbiomass,i,t (equation 22) t C yr-1]], MATCH(1, (Table12[[#This Row],[stratum i]]=Table30[[#All],[Stratum i]])*(Table12[[#This Row],[year t]]&lt;Table30[[#All],[Year of reporting]]), 0)), 0)</f>
        <v>0</v>
      </c>
      <c r="V25" s="17"/>
      <c r="W25" s="17" t="e" cm="1">
        <f t="array" ref="W25">INDEX(Table34[[#All],[Submergence]], MATCH(1, (Table30[[#This Row],[Stratum i]]=Table34[[#All],[stratum i]])*(Table30[[#This Row],[Year of reporting]]=Table34[[#All],[year t]]), 0))</f>
        <v>#N/A</v>
      </c>
      <c r="X25" s="17" t="e" cm="1">
        <f t="array" ref="X25">INDEX(Table34[[#All],[Submergence_T]], MATCH(1, (Table30[[#This Row],[Stratum i]]=Table34[[#All],[stratum i]])*(Table30[[#This Row],[Year of reporting]]=Table34[[#All],[year t]]), 0))</f>
        <v>#N/A</v>
      </c>
      <c r="Y25" s="17"/>
      <c r="Z25" s="17" t="e" cm="1">
        <f t="array" ref="Z25">INDEX(Table34[[#All],[Area submerged %]], MATCH(1, (Table30[[#This Row],[Stratum i]]=Table34[[#All],[stratum i]])*(Table30[[#This Row],[Year of reporting]]=Table34[[#All],[year t]]), 0))</f>
        <v>#N/A</v>
      </c>
      <c r="AA25" s="18" t="e" cm="1">
        <f t="array" ref="AA25">INDEX(Table34[[#All],[CBSL-agbiomass,i,t (AR tool 14, tC)]], MATCH(1, (Table30[[#This Row],[Stratum i]]=Table34[[#All],[stratum i]])*(Table30[[#This Row],[Year of reporting]]=Table34[[#All],[year t]]), 0))</f>
        <v>#N/A</v>
      </c>
      <c r="AB25" s="18" t="e" cm="1">
        <f t="array" ref="AB25">INDEX(Table34[[#All],[CBSL-agbiomass,i,t-T (AR tool 14, tC)]], MATCH(1, (Table30[[#This Row],[Stratum i]]=Table34[[#All],[stratum i]])*(Table30[[#This Row],[Year of reporting]]=Table34[[#All],[year t]]), 0))</f>
        <v>#N/A</v>
      </c>
      <c r="AC25"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5" s="18">
        <v>2042</v>
      </c>
      <c r="AH25" s="18">
        <v>1</v>
      </c>
      <c r="AI25" s="45" t="e" cm="1">
        <f t="array" ref="AI25">INDEX(#REF!, MATCH(1, (Table13[[#This Row],[year t]]=Table32[[#All],[year t]])*(Table13[[#This Row],[stratum i]]=Table32[[#All],[stratum i]]), 0))</f>
        <v>#REF!</v>
      </c>
      <c r="AJ25" s="49" t="e">
        <f>Table13[[#This Row],[ΔCBSL-herb,i,t (tC/ha)]]</f>
        <v>#REF!</v>
      </c>
      <c r="AO25" s="18">
        <v>2042</v>
      </c>
      <c r="AP25" s="18">
        <v>1</v>
      </c>
      <c r="AQ25" s="17" cm="1">
        <f t="array" ref="AQ25">INDEX(Table32[[#All],[Ai,t]], MATCH(1, (Table14[[#This Row],[year t]]=Table32[[#All],[year t]])*(Table14[[#This Row],[stratum i]]=Table32[[#All],[stratum i]]), 0))</f>
        <v>1090.4420357142858</v>
      </c>
      <c r="AR25" t="str">
        <f>IF(AND(INDEX(Table31[[#All],[Soil type (t=0)]], MATCH(Table14[[#This Row],[stratum i]], Table31[[#All],[Stratum i]]))="Peat soil", Table14[[#This Row],[year t]]&lt;=Table14[[#This Row],[End_PDT]]), "Peat soil", "Non-peat soil")</f>
        <v>Non-peat soil</v>
      </c>
      <c r="AS25">
        <f>IF(Emission_reduction_from_stock_loss?, INDEX(Table2[[#All],[End_PDT]], MATCH(Table14[[#This Row],[stratum i]], Table2[[#All],[stratum i]])), crediting_period)</f>
        <v>40</v>
      </c>
      <c r="AT25">
        <f>IF(Emission_reduction_from_stock_loss?, INDEX(Table2[[#All],[End_SDT]], MATCH(Table14[[#This Row],[stratum i]], Table2[[#All],[stratum i]])), crediting_period)</f>
        <v>40</v>
      </c>
      <c r="AU25" cm="1">
        <f t="array" ref="AU2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5" t="e" cm="1">
        <f t="array" ref="AV25">INDEX(#REF!, MATCH(1, (Table14[[#This Row],[year t]]=Table32[[#All],[year t]])*(Table14[[#This Row],[stratum i]]=Table32[[#All],[stratum i]]), 0))</f>
        <v>#REF!</v>
      </c>
      <c r="AW2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5" s="57">
        <f>(Table14[[#This Row],[GHGBSL-soil-CO2,i,t (Eq 27)]]-Table14[[#This Row],[Deductionalloch (Eq 38)]])*Table14[[#This Row],[Ai,t]]</f>
        <v>0</v>
      </c>
      <c r="AY25" cm="1">
        <f t="array" ref="AY25">IF(baseline_soil_CH4 = "Included", INDEX(Table18[[#All],[GHGBSL-soil-CH4,i,t (Eq 59)]], MATCH(1, (Table14[[#This Row],[year t]]=Table18[[#All],[year t]])*(Table14[[#This Row],[stratum i]]=Table18[[#All],[stratum i]]), 0)), 0)</f>
        <v>0</v>
      </c>
      <c r="AZ25" cm="1">
        <f t="array" ref="AZ25">IF(baseline_soil_N2O = "Included", INDEX(Table18[[#All],[GHGBSL-soil-N2O,i,t (Eq 62)]], MATCH(1, (Table14[[#This Row],[year t]]=Table18[[#All],[year t]])*(Table14[[#This Row],[stratum i]]=Table18[[#All],[stratum i]]), 0)), 0)</f>
        <v>0</v>
      </c>
      <c r="BA25">
        <f>IF(AND(Table14[[#This Row],[year t]]&gt;Table14[[#This Row],[End_PDT]],Table14[[#This Row],[year t]]&gt;Table14[[#This Row],[End_SDT]]), 0, Table14[[#This Row],[Ai,t]]*(Table14[[#This Row],[GHGBSL-soil-CO2,i,t (Eq 27)]]-Table14[[#This Row],[Deductionalloch (Eq 38)]]+Table14[[#This Row],[GHGBSL-soil-CH4,i,t]]+Table14[[#This Row],[GHGBSL-soil-N2O,i,t]]))</f>
        <v>0</v>
      </c>
      <c r="BB25" t="e" cm="1">
        <f t="array" ref="BB25">INDEX(#REF!, MATCH(1, (Table14[[#This Row],[year t]]=Table32[[#All],[year t]])*(Table14[[#This Row],[stratum i]]=Table32[[#All],[stratum i]]), 0))</f>
        <v>#REF!</v>
      </c>
      <c r="BC25" t="e" cm="1">
        <f t="array" ref="BC25">INDEX(#REF!, MATCH(1, (Table14[[#This Row],[year t]]=Table32[[#All],[year t]])*(Table14[[#This Row],[stratum i]]=Table32[[#All],[stratum i]]), 0))</f>
        <v>#REF!</v>
      </c>
      <c r="BD25" t="e" cm="1">
        <f t="array" ref="BD25">INDEX(#REF!, MATCH(1, (Table14[[#This Row],[year t]]=Table32[[#All],[year t]])*(Table14[[#This Row],[stratum i]]=Table32[[#All],[stratum i]]), 0))</f>
        <v>#REF!</v>
      </c>
      <c r="BE25" t="e" cm="1">
        <f t="array" ref="BE25">INDEX(#REF!, MATCH(1, (Table14[[#This Row],[year t]]=Table32[[#All],[year t]])*(Table14[[#This Row],[stratum i]]=Table32[[#All],[stratum i]]), 0))</f>
        <v>#REF!</v>
      </c>
      <c r="BM25" s="18">
        <v>2042</v>
      </c>
      <c r="BN25" s="18">
        <v>1</v>
      </c>
      <c r="BO25" t="e" cm="1">
        <f t="array" ref="BO25">INDEX(#REF!, MATCH(1, (Table132926[[#This Row],[year t]]=Table32[year t])*(Table132926[[#This Row],[stratum i]]=Table32[[#All],[stratum i]]), 0))</f>
        <v>#REF!</v>
      </c>
      <c r="BP25" t="e">
        <f>-44/12*Table132926[[#This Row],[∆CBSL-soil,i,t (tC/ha)]]</f>
        <v>#REF!</v>
      </c>
      <c r="BV25" s="17">
        <v>7</v>
      </c>
      <c r="BW25" s="17">
        <v>3</v>
      </c>
      <c r="BX25" s="32" t="e" cm="1">
        <f t="array" ref="BX25">INDEX(Table32[[#All],[Ai,t]], MATCH(1, (Table18[[#This Row],[year t]]=Table32[[#All],[year t]])*(Table18[[#This Row],[stratum i]]=Table32[[#All],[stratum i]]), 0))</f>
        <v>#N/A</v>
      </c>
      <c r="BY25" t="e" cm="1">
        <f t="array" ref="BY25">INDEX(#REF!, MATCH(1, (Table18[[#This Row],[year t]]=Table32[[#All],[year t]])*(Table18[[#This Row],[stratum i]]=Table32[[#All],[stratum i]]), 0))</f>
        <v>#REF!</v>
      </c>
      <c r="BZ25" t="e" cm="1">
        <f t="array" ref="BZ25">INDEX(#REF!, MATCH(1, (Table18[[#This Row],[year t]]=Table32[[#All],[year t]])*(Table18[[#This Row],[stratum i]]=Table32[[#All],[stratum i]]), 0))</f>
        <v>#REF!</v>
      </c>
      <c r="CA25" t="e" cm="1">
        <f t="array" ref="CA25">INDEX(#REF!, MATCH(1, (Table18[[#This Row],[year t]]=Table32[[#All],[year t]])*(Table18[[#This Row],[stratum i]]=Table32[[#All],[stratum i]]), 0))</f>
        <v>#REF!</v>
      </c>
      <c r="CB25" t="e">
        <f>IF(soil_CH4_approach = "Proxies", Table18[[#This Row],[ƒ (GHG emission proxy: CH4)]]*GWP_CH4, IF(soil_CH4_approach = "IPCC emission factors", Table18[[#This Row],[IPCC Emission factor EF(CH4)]]*Table18[[#This Row],[Ai,t]]*GWP_CH4, Table18[[#This Row],[CH4(BSL-soil,I,t)]]*GWP_CH4))</f>
        <v>#REF!</v>
      </c>
      <c r="CC25" t="e" cm="1">
        <f t="array" ref="CC25">INDEX(#REF!, MATCH(1, (Table18[[#This Row],[year t]]=Table32[[#All],[year t]])*(Table18[[#This Row],[stratum i]]=Table32[[#All],[stratum i]]), 0))</f>
        <v>#REF!</v>
      </c>
      <c r="CD25" t="e" cm="1">
        <f t="array" ref="CD25">INDEX(#REF!, MATCH(1, (Table18[[#This Row],[year t]]=Table32[[#All],[year t]])*(Table18[[#This Row],[stratum i]]=Table32[[#All],[stratum i]]), 0))</f>
        <v>#REF!</v>
      </c>
      <c r="CE25" t="e" cm="1">
        <f t="array" ref="CE25">INDEX(#REF!, MATCH(1, (Table18[[#This Row],[year t]]=Table32[[#All],[year t]])*(Table18[[#This Row],[stratum i]]=Table32[[#All],[stratum i]]), 0))</f>
        <v>#REF!</v>
      </c>
      <c r="CF25" t="e">
        <f>IF(soil_N2O_approach = "Proxies", Table18[[#This Row],[ƒ (N2O emission proxy: N2O)]]*GWP_N2O, IF(soil_N2O_approach = "IPCC emission factors", Table18[[#This Row],[IPCC Emission factor EF(N2O)]]*Table18[[#This Row],[Ai,t]]*GWP_N2O, Table18[[#This Row],[N2O (BSL-soil,I,t)]]*GWP_N2O))</f>
        <v>#REF!</v>
      </c>
    </row>
    <row r="26" spans="3:84" x14ac:dyDescent="0.2">
      <c r="C26" s="18">
        <v>2043</v>
      </c>
      <c r="D26">
        <f>-SUMIF(Table12[[#All],[year t]], "&lt;="&amp;Table11[[#This Row],[year t]], Table12[[#All],[∆𝐶𝐵𝑆𝐿−𝑏𝑖𝑜𝑚𝑎𝑠𝑠,𝑖,t (equation 23)]])*44/12</f>
        <v>0</v>
      </c>
      <c r="E26">
        <f>SUMIF(Table12[[#All],[year t]], "&lt;="&amp;Table11[[#This Row],[year t]], Table12[[#All],[𝐺𝐻𝐺𝐵𝑆𝐿−𝑠𝑜𝑖𝑙,𝑖,t]])</f>
        <v>0</v>
      </c>
      <c r="F26">
        <f>SUMIF(Table12[[#All],[year t]], "&lt;="&amp;Table11[[#This Row],[year t]], Table12[[#All],[𝐺𝐻𝐺𝐵𝑆𝐿−𝑓𝑢𝑒𝑙,𝑖,t]])</f>
        <v>0</v>
      </c>
      <c r="G26">
        <f>Table11[[#This Row],[GHG(BSL-biomass)]]+Table11[[#This Row],[GHG(BSL-soil)]]+Table11[[#This Row],[GHG(BSL-fuel)]]</f>
        <v>0</v>
      </c>
      <c r="J26" s="18">
        <v>2043</v>
      </c>
      <c r="K26" s="18">
        <v>1</v>
      </c>
      <c r="L26" cm="1">
        <f t="array" ref="L26">INDEX(Table32[[#All],[ΔCTREE_BSL,i,t (AR Tool 14) t C/yr]], MATCH(1, (Table12[[#This Row],[year t]]=Table32[[#All],[year t]])*(Table12[[#This Row],[stratum i]]=Table32[[#All],[stratum i]]), 0))</f>
        <v>0</v>
      </c>
      <c r="M26" cm="1">
        <f t="array" ref="M26">IF(baseline_abground_nontree = "Included", INDEX(#REF!, MATCH(1, (Table12[[#This Row],[year t]]=Table32[[#All],[year t]])*(Table12[[#This Row],[stratum i]]=Table32[[#All],[stratum i]]), 0)), 0)</f>
        <v>0</v>
      </c>
      <c r="N26">
        <f>12/44*(Table12[[#This Row],[ΔCTREE_BSL,i,t (AR Tool 14) t CO2e/yr]]+Table12[[#This Row],[ΔCSHRUB_BSL,i,t (AR Tool 14) t CO2e/yr]])</f>
        <v>0</v>
      </c>
      <c r="O26" cm="1">
        <f t="array" ref="O26">IF(baseline_abground_nontree = "Included", IFERROR(INDEX(Table13[[#All],[ΔCBSL-herb,i,t (Eq 25)]], MATCH(1, (Table12[[#This Row],[stratum i]]=Table13[[#All],[stratum i]])*(Table12[[#This Row],[year t]]&gt;=#REF!)*(Table12[[#This Row],[year t]]&lt;=Table13[[#All],[year t]]), 0)), 0), 0)</f>
        <v>0</v>
      </c>
      <c r="P26">
        <f>Table12[[#This Row],[ΔCBSL-tree/shrub,i,t (t C/yr) (Eq 24)]]+Table12[[#This Row],[ΔCBSL-herb,i,t (t C/yr)]]-Table12[[#This Row],[ΔCBSL-agbiomass,i,t; t C yr-1 (submergence)]]</f>
        <v>0</v>
      </c>
      <c r="Q26" cm="1">
        <f t="array" ref="Q26">IFERROR(INDEX(Table14[[#All],[GHGBSL-soil,i,t (Eq 26)]], MATCH(1, (Table12[[#This Row],[year t]]=Table14[[#All],[year t]])*(Table12[[#This Row],[stratum i]]=Table14[[#All],[stratum i]]), 0)), 0)</f>
        <v>0</v>
      </c>
      <c r="R26">
        <f>IF(baseline_ff_CO2 = "Included", Table12[[#This Row],[ET(FC,I,t) AR-Tool 5]], 0)</f>
        <v>0</v>
      </c>
      <c r="S26" t="e" cm="1">
        <f t="array" ref="S26">INDEX(#REF!, MATCH(1, (Table12[[#This Row],[year t]]=Table32[[#All],[year t]])*(Table12[[#This Row],[stratum i]]=Table32[[#All],[stratum i]]), 0))</f>
        <v>#REF!</v>
      </c>
      <c r="T26" cm="1">
        <f t="array" ref="T26">IFERROR(INDEX(Table30[[#All],[ΔCBSL-agbiomass,i,t (equation 22) t C yr-1]], MATCH(1, (Table12[[#This Row],[stratum i]]=Table30[[#All],[Stratum i]])*(Table12[[#This Row],[year t]]&lt;Table30[[#All],[Year of reporting]]), 0)), 0)</f>
        <v>0</v>
      </c>
      <c r="V26" s="18"/>
      <c r="W26" s="18" t="e" cm="1">
        <f t="array" ref="W26">INDEX(Table34[[#All],[Submergence]], MATCH(1, (Table30[[#This Row],[Stratum i]]=Table34[[#All],[stratum i]])*(Table30[[#This Row],[Year of reporting]]=Table34[[#All],[year t]]), 0))</f>
        <v>#N/A</v>
      </c>
      <c r="X26" s="18" t="e" cm="1">
        <f t="array" ref="X26">INDEX(Table34[[#All],[Submergence_T]], MATCH(1, (Table30[[#This Row],[Stratum i]]=Table34[[#All],[stratum i]])*(Table30[[#This Row],[Year of reporting]]=Table34[[#All],[year t]]), 0))</f>
        <v>#N/A</v>
      </c>
      <c r="Y26" s="18"/>
      <c r="Z26" s="18" t="e" cm="1">
        <f t="array" ref="Z26">INDEX(Table34[[#All],[Area submerged %]], MATCH(1, (Table30[[#This Row],[Stratum i]]=Table34[[#All],[stratum i]])*(Table30[[#This Row],[Year of reporting]]=Table34[[#All],[year t]]), 0))</f>
        <v>#N/A</v>
      </c>
      <c r="AA26" s="18" t="e" cm="1">
        <f t="array" ref="AA26">INDEX(Table34[[#All],[CBSL-agbiomass,i,t (AR tool 14, tC)]], MATCH(1, (Table30[[#This Row],[Stratum i]]=Table34[[#All],[stratum i]])*(Table30[[#This Row],[Year of reporting]]=Table34[[#All],[year t]]), 0))</f>
        <v>#N/A</v>
      </c>
      <c r="AB26" s="18" t="e" cm="1">
        <f t="array" ref="AB26">INDEX(Table34[[#All],[CBSL-agbiomass,i,t-T (AR tool 14, tC)]], MATCH(1, (Table30[[#This Row],[Stratum i]]=Table34[[#All],[stratum i]])*(Table30[[#This Row],[Year of reporting]]=Table34[[#All],[year t]]), 0))</f>
        <v>#N/A</v>
      </c>
      <c r="AC26"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6" s="18">
        <v>2043</v>
      </c>
      <c r="AH26" s="18">
        <v>1</v>
      </c>
      <c r="AI26" s="49" t="e" cm="1">
        <f t="array" ref="AI26">INDEX(#REF!, MATCH(1, (Table13[[#This Row],[year t]]=Table32[[#All],[year t]])*(Table13[[#This Row],[stratum i]]=Table32[[#All],[stratum i]]), 0))</f>
        <v>#REF!</v>
      </c>
      <c r="AJ26" s="49" t="e">
        <f>Table13[[#This Row],[ΔCBSL-herb,i,t (tC/ha)]]</f>
        <v>#REF!</v>
      </c>
      <c r="AO26" s="18">
        <v>2043</v>
      </c>
      <c r="AP26" s="18">
        <v>1</v>
      </c>
      <c r="AQ26" s="18" cm="1">
        <f t="array" ref="AQ26">INDEX(Table32[[#All],[Ai,t]], MATCH(1, (Table14[[#This Row],[year t]]=Table32[[#All],[year t]])*(Table14[[#This Row],[stratum i]]=Table32[[#All],[stratum i]]), 0))</f>
        <v>1090.4420357142858</v>
      </c>
      <c r="AR26" t="str">
        <f>IF(AND(INDEX(Table31[[#All],[Soil type (t=0)]], MATCH(Table14[[#This Row],[stratum i]], Table31[[#All],[Stratum i]]))="Peat soil", Table14[[#This Row],[year t]]&lt;=Table14[[#This Row],[End_PDT]]), "Peat soil", "Non-peat soil")</f>
        <v>Non-peat soil</v>
      </c>
      <c r="AS26">
        <f>IF(Emission_reduction_from_stock_loss?, INDEX(Table2[[#All],[End_PDT]], MATCH(Table14[[#This Row],[stratum i]], Table2[[#All],[stratum i]])), crediting_period)</f>
        <v>40</v>
      </c>
      <c r="AT26">
        <f>IF(Emission_reduction_from_stock_loss?, INDEX(Table2[[#All],[End_SDT]], MATCH(Table14[[#This Row],[stratum i]], Table2[[#All],[stratum i]])), crediting_period)</f>
        <v>40</v>
      </c>
      <c r="AU26" cm="1">
        <f t="array" ref="AU2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6" t="e" cm="1">
        <f t="array" ref="AV26">INDEX(#REF!, MATCH(1, (Table14[[#This Row],[year t]]=Table32[[#All],[year t]])*(Table14[[#This Row],[stratum i]]=Table32[[#All],[stratum i]]), 0))</f>
        <v>#REF!</v>
      </c>
      <c r="AW2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6" s="57">
        <f>(Table14[[#This Row],[GHGBSL-soil-CO2,i,t (Eq 27)]]-Table14[[#This Row],[Deductionalloch (Eq 38)]])*Table14[[#This Row],[Ai,t]]</f>
        <v>0</v>
      </c>
      <c r="AY26" cm="1">
        <f t="array" ref="AY26">IF(baseline_soil_CH4 = "Included", INDEX(Table18[[#All],[GHGBSL-soil-CH4,i,t (Eq 59)]], MATCH(1, (Table14[[#This Row],[year t]]=Table18[[#All],[year t]])*(Table14[[#This Row],[stratum i]]=Table18[[#All],[stratum i]]), 0)), 0)</f>
        <v>0</v>
      </c>
      <c r="AZ26" cm="1">
        <f t="array" ref="AZ26">IF(baseline_soil_N2O = "Included", INDEX(Table18[[#All],[GHGBSL-soil-N2O,i,t (Eq 62)]], MATCH(1, (Table14[[#This Row],[year t]]=Table18[[#All],[year t]])*(Table14[[#This Row],[stratum i]]=Table18[[#All],[stratum i]]), 0)), 0)</f>
        <v>0</v>
      </c>
      <c r="BA26">
        <f>IF(AND(Table14[[#This Row],[year t]]&gt;Table14[[#This Row],[End_PDT]],Table14[[#This Row],[year t]]&gt;Table14[[#This Row],[End_SDT]]), 0, Table14[[#This Row],[Ai,t]]*(Table14[[#This Row],[GHGBSL-soil-CO2,i,t (Eq 27)]]-Table14[[#This Row],[Deductionalloch (Eq 38)]]+Table14[[#This Row],[GHGBSL-soil-CH4,i,t]]+Table14[[#This Row],[GHGBSL-soil-N2O,i,t]]))</f>
        <v>0</v>
      </c>
      <c r="BB26" t="e" cm="1">
        <f t="array" ref="BB26">INDEX(#REF!, MATCH(1, (Table14[[#This Row],[year t]]=Table32[[#All],[year t]])*(Table14[[#This Row],[stratum i]]=Table32[[#All],[stratum i]]), 0))</f>
        <v>#REF!</v>
      </c>
      <c r="BC26" t="e" cm="1">
        <f t="array" ref="BC26">INDEX(#REF!, MATCH(1, (Table14[[#This Row],[year t]]=Table32[[#All],[year t]])*(Table14[[#This Row],[stratum i]]=Table32[[#All],[stratum i]]), 0))</f>
        <v>#REF!</v>
      </c>
      <c r="BD26" t="e" cm="1">
        <f t="array" ref="BD26">INDEX(#REF!, MATCH(1, (Table14[[#This Row],[year t]]=Table32[[#All],[year t]])*(Table14[[#This Row],[stratum i]]=Table32[[#All],[stratum i]]), 0))</f>
        <v>#REF!</v>
      </c>
      <c r="BE26" t="e" cm="1">
        <f t="array" ref="BE26">INDEX(#REF!, MATCH(1, (Table14[[#This Row],[year t]]=Table32[[#All],[year t]])*(Table14[[#This Row],[stratum i]]=Table32[[#All],[stratum i]]), 0))</f>
        <v>#REF!</v>
      </c>
      <c r="BM26" s="18">
        <v>2043</v>
      </c>
      <c r="BN26" s="18">
        <v>1</v>
      </c>
      <c r="BO26" t="e" cm="1">
        <f t="array" ref="BO26">INDEX(#REF!, MATCH(1, (Table132926[[#This Row],[year t]]=Table32[year t])*(Table132926[[#This Row],[stratum i]]=Table32[[#All],[stratum i]]), 0))</f>
        <v>#REF!</v>
      </c>
      <c r="BP26" t="e">
        <f>-44/12*Table132926[[#This Row],[∆CBSL-soil,i,t (tC/ha)]]</f>
        <v>#REF!</v>
      </c>
      <c r="BV26" s="17">
        <v>1</v>
      </c>
      <c r="BW26" s="18">
        <v>4</v>
      </c>
      <c r="BX26" t="e" cm="1">
        <f t="array" ref="BX26">INDEX(Table32[[#All],[Ai,t]], MATCH(1, (Table18[[#This Row],[year t]]=Table32[[#All],[year t]])*(Table18[[#This Row],[stratum i]]=Table32[[#All],[stratum i]]), 0))</f>
        <v>#N/A</v>
      </c>
      <c r="BY26" t="e" cm="1">
        <f t="array" ref="BY26">INDEX(#REF!, MATCH(1, (Table18[[#This Row],[year t]]=Table32[[#All],[year t]])*(Table18[[#This Row],[stratum i]]=Table32[[#All],[stratum i]]), 0))</f>
        <v>#REF!</v>
      </c>
      <c r="BZ26" t="e" cm="1">
        <f t="array" ref="BZ26">INDEX(#REF!, MATCH(1, (Table18[[#This Row],[year t]]=Table32[[#All],[year t]])*(Table18[[#This Row],[stratum i]]=Table32[[#All],[stratum i]]), 0))</f>
        <v>#REF!</v>
      </c>
      <c r="CA26" t="e" cm="1">
        <f t="array" ref="CA26">INDEX(#REF!, MATCH(1, (Table18[[#This Row],[year t]]=Table32[[#All],[year t]])*(Table18[[#This Row],[stratum i]]=Table32[[#All],[stratum i]]), 0))</f>
        <v>#REF!</v>
      </c>
      <c r="CB26" t="e">
        <f>IF(soil_CH4_approach = "Proxies", Table18[[#This Row],[ƒ (GHG emission proxy: CH4)]]*GWP_CH4, IF(soil_CH4_approach = "IPCC emission factors", Table18[[#This Row],[IPCC Emission factor EF(CH4)]]*Table18[[#This Row],[Ai,t]]*GWP_CH4, Table18[[#This Row],[CH4(BSL-soil,I,t)]]*GWP_CH4))</f>
        <v>#REF!</v>
      </c>
      <c r="CC26" t="e" cm="1">
        <f t="array" ref="CC26">INDEX(#REF!, MATCH(1, (Table18[[#This Row],[year t]]=Table32[[#All],[year t]])*(Table18[[#This Row],[stratum i]]=Table32[[#All],[stratum i]]), 0))</f>
        <v>#REF!</v>
      </c>
      <c r="CD26" t="e" cm="1">
        <f t="array" ref="CD26">INDEX(#REF!, MATCH(1, (Table18[[#This Row],[year t]]=Table32[[#All],[year t]])*(Table18[[#This Row],[stratum i]]=Table32[[#All],[stratum i]]), 0))</f>
        <v>#REF!</v>
      </c>
      <c r="CE26" t="e" cm="1">
        <f t="array" ref="CE26">INDEX(#REF!, MATCH(1, (Table18[[#This Row],[year t]]=Table32[[#All],[year t]])*(Table18[[#This Row],[stratum i]]=Table32[[#All],[stratum i]]), 0))</f>
        <v>#REF!</v>
      </c>
      <c r="CF26" t="e">
        <f>IF(soil_N2O_approach = "Proxies", Table18[[#This Row],[ƒ (N2O emission proxy: N2O)]]*GWP_N2O, IF(soil_N2O_approach = "IPCC emission factors", Table18[[#This Row],[IPCC Emission factor EF(N2O)]]*Table18[[#This Row],[Ai,t]]*GWP_N2O, Table18[[#This Row],[N2O (BSL-soil,I,t)]]*GWP_N2O))</f>
        <v>#REF!</v>
      </c>
    </row>
    <row r="27" spans="3:84" x14ac:dyDescent="0.2">
      <c r="C27" s="18">
        <v>2044</v>
      </c>
      <c r="D27">
        <f>-SUMIF(Table12[[#All],[year t]], "&lt;="&amp;Table11[[#This Row],[year t]], Table12[[#All],[∆𝐶𝐵𝑆𝐿−𝑏𝑖𝑜𝑚𝑎𝑠𝑠,𝑖,t (equation 23)]])*44/12</f>
        <v>0</v>
      </c>
      <c r="E27">
        <f>SUMIF(Table12[[#All],[year t]], "&lt;="&amp;Table11[[#This Row],[year t]], Table12[[#All],[𝐺𝐻𝐺𝐵𝑆𝐿−𝑠𝑜𝑖𝑙,𝑖,t]])</f>
        <v>0</v>
      </c>
      <c r="F27">
        <f>SUMIF(Table12[[#All],[year t]], "&lt;="&amp;Table11[[#This Row],[year t]], Table12[[#All],[𝐺𝐻𝐺𝐵𝑆𝐿−𝑓𝑢𝑒𝑙,𝑖,t]])</f>
        <v>0</v>
      </c>
      <c r="G27">
        <f>Table11[[#This Row],[GHG(BSL-biomass)]]+Table11[[#This Row],[GHG(BSL-soil)]]+Table11[[#This Row],[GHG(BSL-fuel)]]</f>
        <v>0</v>
      </c>
      <c r="J27" s="18">
        <v>2044</v>
      </c>
      <c r="K27" s="18">
        <v>1</v>
      </c>
      <c r="L27" cm="1">
        <f t="array" ref="L27">INDEX(Table32[[#All],[ΔCTREE_BSL,i,t (AR Tool 14) t C/yr]], MATCH(1, (Table12[[#This Row],[year t]]=Table32[[#All],[year t]])*(Table12[[#This Row],[stratum i]]=Table32[[#All],[stratum i]]), 0))</f>
        <v>0</v>
      </c>
      <c r="M27" cm="1">
        <f t="array" ref="M27">IF(baseline_abground_nontree = "Included", INDEX(#REF!, MATCH(1, (Table12[[#This Row],[year t]]=Table32[[#All],[year t]])*(Table12[[#This Row],[stratum i]]=Table32[[#All],[stratum i]]), 0)), 0)</f>
        <v>0</v>
      </c>
      <c r="N27">
        <f>12/44*(Table12[[#This Row],[ΔCTREE_BSL,i,t (AR Tool 14) t CO2e/yr]]+Table12[[#This Row],[ΔCSHRUB_BSL,i,t (AR Tool 14) t CO2e/yr]])</f>
        <v>0</v>
      </c>
      <c r="O27" cm="1">
        <f t="array" ref="O27">IF(baseline_abground_nontree = "Included", IFERROR(INDEX(Table13[[#All],[ΔCBSL-herb,i,t (Eq 25)]], MATCH(1, (Table12[[#This Row],[stratum i]]=Table13[[#All],[stratum i]])*(Table12[[#This Row],[year t]]&gt;=#REF!)*(Table12[[#This Row],[year t]]&lt;=Table13[[#All],[year t]]), 0)), 0), 0)</f>
        <v>0</v>
      </c>
      <c r="P27">
        <f>Table12[[#This Row],[ΔCBSL-tree/shrub,i,t (t C/yr) (Eq 24)]]+Table12[[#This Row],[ΔCBSL-herb,i,t (t C/yr)]]-Table12[[#This Row],[ΔCBSL-agbiomass,i,t; t C yr-1 (submergence)]]</f>
        <v>0</v>
      </c>
      <c r="Q27" cm="1">
        <f t="array" ref="Q27">IFERROR(INDEX(Table14[[#All],[GHGBSL-soil,i,t (Eq 26)]], MATCH(1, (Table12[[#This Row],[year t]]=Table14[[#All],[year t]])*(Table12[[#This Row],[stratum i]]=Table14[[#All],[stratum i]]), 0)), 0)</f>
        <v>0</v>
      </c>
      <c r="R27">
        <f>IF(baseline_ff_CO2 = "Included", Table12[[#This Row],[ET(FC,I,t) AR-Tool 5]], 0)</f>
        <v>0</v>
      </c>
      <c r="S27" t="e" cm="1">
        <f t="array" ref="S27">INDEX(#REF!, MATCH(1, (Table12[[#This Row],[year t]]=Table32[[#All],[year t]])*(Table12[[#This Row],[stratum i]]=Table32[[#All],[stratum i]]), 0))</f>
        <v>#REF!</v>
      </c>
      <c r="T27" cm="1">
        <f t="array" ref="T27">IFERROR(INDEX(Table30[[#All],[ΔCBSL-agbiomass,i,t (equation 22) t C yr-1]], MATCH(1, (Table12[[#This Row],[stratum i]]=Table30[[#All],[Stratum i]])*(Table12[[#This Row],[year t]]&lt;Table30[[#All],[Year of reporting]]), 0)), 0)</f>
        <v>0</v>
      </c>
      <c r="V27" s="17"/>
      <c r="W27" s="17" t="e" cm="1">
        <f t="array" ref="W27">INDEX(Table34[[#All],[Submergence]], MATCH(1, (Table30[[#This Row],[Stratum i]]=Table34[[#All],[stratum i]])*(Table30[[#This Row],[Year of reporting]]=Table34[[#All],[year t]]), 0))</f>
        <v>#N/A</v>
      </c>
      <c r="X27" s="17" t="e" cm="1">
        <f t="array" ref="X27">INDEX(Table34[[#All],[Submergence_T]], MATCH(1, (Table30[[#This Row],[Stratum i]]=Table34[[#All],[stratum i]])*(Table30[[#This Row],[Year of reporting]]=Table34[[#All],[year t]]), 0))</f>
        <v>#N/A</v>
      </c>
      <c r="Y27" s="17"/>
      <c r="Z27" s="17" t="e" cm="1">
        <f t="array" ref="Z27">INDEX(Table34[[#All],[Area submerged %]], MATCH(1, (Table30[[#This Row],[Stratum i]]=Table34[[#All],[stratum i]])*(Table30[[#This Row],[Year of reporting]]=Table34[[#All],[year t]]), 0))</f>
        <v>#N/A</v>
      </c>
      <c r="AA27" s="18" t="e" cm="1">
        <f t="array" ref="AA27">INDEX(Table34[[#All],[CBSL-agbiomass,i,t (AR tool 14, tC)]], MATCH(1, (Table30[[#This Row],[Stratum i]]=Table34[[#All],[stratum i]])*(Table30[[#This Row],[Year of reporting]]=Table34[[#All],[year t]]), 0))</f>
        <v>#N/A</v>
      </c>
      <c r="AB27" s="18" t="e" cm="1">
        <f t="array" ref="AB27">INDEX(Table34[[#All],[CBSL-agbiomass,i,t-T (AR tool 14, tC)]], MATCH(1, (Table30[[#This Row],[Stratum i]]=Table34[[#All],[stratum i]])*(Table30[[#This Row],[Year of reporting]]=Table34[[#All],[year t]]), 0))</f>
        <v>#N/A</v>
      </c>
      <c r="AC27"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7" s="18">
        <v>2044</v>
      </c>
      <c r="AH27" s="18">
        <v>1</v>
      </c>
      <c r="AI27" s="49" t="e" cm="1">
        <f t="array" ref="AI27">INDEX(#REF!, MATCH(1, (Table13[[#This Row],[year t]]=Table32[[#All],[year t]])*(Table13[[#This Row],[stratum i]]=Table32[[#All],[stratum i]]), 0))</f>
        <v>#REF!</v>
      </c>
      <c r="AJ27" s="49" t="e">
        <f>Table13[[#This Row],[ΔCBSL-herb,i,t (tC/ha)]]</f>
        <v>#REF!</v>
      </c>
      <c r="AO27" s="18">
        <v>2044</v>
      </c>
      <c r="AP27" s="18">
        <v>1</v>
      </c>
      <c r="AQ27" s="17" cm="1">
        <f t="array" ref="AQ27">INDEX(Table32[[#All],[Ai,t]], MATCH(1, (Table14[[#This Row],[year t]]=Table32[[#All],[year t]])*(Table14[[#This Row],[stratum i]]=Table32[[#All],[stratum i]]), 0))</f>
        <v>1090.4420357142858</v>
      </c>
      <c r="AR27" t="str">
        <f>IF(AND(INDEX(Table31[[#All],[Soil type (t=0)]], MATCH(Table14[[#This Row],[stratum i]], Table31[[#All],[Stratum i]]))="Peat soil", Table14[[#This Row],[year t]]&lt;=Table14[[#This Row],[End_PDT]]), "Peat soil", "Non-peat soil")</f>
        <v>Non-peat soil</v>
      </c>
      <c r="AS27">
        <f>IF(Emission_reduction_from_stock_loss?, INDEX(Table2[[#All],[End_PDT]], MATCH(Table14[[#This Row],[stratum i]], Table2[[#All],[stratum i]])), crediting_period)</f>
        <v>40</v>
      </c>
      <c r="AT27">
        <f>IF(Emission_reduction_from_stock_loss?, INDEX(Table2[[#All],[End_SDT]], MATCH(Table14[[#This Row],[stratum i]], Table2[[#All],[stratum i]])), crediting_period)</f>
        <v>40</v>
      </c>
      <c r="AU27" cm="1">
        <f t="array" ref="AU2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7" t="e" cm="1">
        <f t="array" ref="AV27">INDEX(#REF!, MATCH(1, (Table14[[#This Row],[year t]]=Table32[[#All],[year t]])*(Table14[[#This Row],[stratum i]]=Table32[[#All],[stratum i]]), 0))</f>
        <v>#REF!</v>
      </c>
      <c r="AW2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7" s="57">
        <f>(Table14[[#This Row],[GHGBSL-soil-CO2,i,t (Eq 27)]]-Table14[[#This Row],[Deductionalloch (Eq 38)]])*Table14[[#This Row],[Ai,t]]</f>
        <v>0</v>
      </c>
      <c r="AY27" cm="1">
        <f t="array" ref="AY27">IF(baseline_soil_CH4 = "Included", INDEX(Table18[[#All],[GHGBSL-soil-CH4,i,t (Eq 59)]], MATCH(1, (Table14[[#This Row],[year t]]=Table18[[#All],[year t]])*(Table14[[#This Row],[stratum i]]=Table18[[#All],[stratum i]]), 0)), 0)</f>
        <v>0</v>
      </c>
      <c r="AZ27" cm="1">
        <f t="array" ref="AZ27">IF(baseline_soil_N2O = "Included", INDEX(Table18[[#All],[GHGBSL-soil-N2O,i,t (Eq 62)]], MATCH(1, (Table14[[#This Row],[year t]]=Table18[[#All],[year t]])*(Table14[[#This Row],[stratum i]]=Table18[[#All],[stratum i]]), 0)), 0)</f>
        <v>0</v>
      </c>
      <c r="BA27">
        <f>IF(AND(Table14[[#This Row],[year t]]&gt;Table14[[#This Row],[End_PDT]],Table14[[#This Row],[year t]]&gt;Table14[[#This Row],[End_SDT]]), 0, Table14[[#This Row],[Ai,t]]*(Table14[[#This Row],[GHGBSL-soil-CO2,i,t (Eq 27)]]-Table14[[#This Row],[Deductionalloch (Eq 38)]]+Table14[[#This Row],[GHGBSL-soil-CH4,i,t]]+Table14[[#This Row],[GHGBSL-soil-N2O,i,t]]))</f>
        <v>0</v>
      </c>
      <c r="BB27" t="e" cm="1">
        <f t="array" ref="BB27">INDEX(#REF!, MATCH(1, (Table14[[#This Row],[year t]]=Table32[[#All],[year t]])*(Table14[[#This Row],[stratum i]]=Table32[[#All],[stratum i]]), 0))</f>
        <v>#REF!</v>
      </c>
      <c r="BC27" t="e" cm="1">
        <f t="array" ref="BC27">INDEX(#REF!, MATCH(1, (Table14[[#This Row],[year t]]=Table32[[#All],[year t]])*(Table14[[#This Row],[stratum i]]=Table32[[#All],[stratum i]]), 0))</f>
        <v>#REF!</v>
      </c>
      <c r="BD27" t="e" cm="1">
        <f t="array" ref="BD27">INDEX(#REF!, MATCH(1, (Table14[[#This Row],[year t]]=Table32[[#All],[year t]])*(Table14[[#This Row],[stratum i]]=Table32[[#All],[stratum i]]), 0))</f>
        <v>#REF!</v>
      </c>
      <c r="BE27" t="e" cm="1">
        <f t="array" ref="BE27">INDEX(#REF!, MATCH(1, (Table14[[#This Row],[year t]]=Table32[[#All],[year t]])*(Table14[[#This Row],[stratum i]]=Table32[[#All],[stratum i]]), 0))</f>
        <v>#REF!</v>
      </c>
      <c r="BM27" s="18">
        <v>2044</v>
      </c>
      <c r="BN27" s="18">
        <v>1</v>
      </c>
      <c r="BO27" t="e" cm="1">
        <f t="array" ref="BO27">INDEX(#REF!, MATCH(1, (Table132926[[#This Row],[year t]]=Table32[year t])*(Table132926[[#This Row],[stratum i]]=Table32[[#All],[stratum i]]), 0))</f>
        <v>#REF!</v>
      </c>
      <c r="BP27" t="e">
        <f>-44/12*Table132926[[#This Row],[∆CBSL-soil,i,t (tC/ha)]]</f>
        <v>#REF!</v>
      </c>
      <c r="BV27" s="18">
        <v>2</v>
      </c>
      <c r="BW27" s="17">
        <v>4</v>
      </c>
      <c r="BX27" s="32" t="e" cm="1">
        <f t="array" ref="BX27">INDEX(Table32[[#All],[Ai,t]], MATCH(1, (Table18[[#This Row],[year t]]=Table32[[#All],[year t]])*(Table18[[#This Row],[stratum i]]=Table32[[#All],[stratum i]]), 0))</f>
        <v>#N/A</v>
      </c>
      <c r="BY27" t="e" cm="1">
        <f t="array" ref="BY27">INDEX(#REF!, MATCH(1, (Table18[[#This Row],[year t]]=Table32[[#All],[year t]])*(Table18[[#This Row],[stratum i]]=Table32[[#All],[stratum i]]), 0))</f>
        <v>#REF!</v>
      </c>
      <c r="BZ27" t="e" cm="1">
        <f t="array" ref="BZ27">INDEX(#REF!, MATCH(1, (Table18[[#This Row],[year t]]=Table32[[#All],[year t]])*(Table18[[#This Row],[stratum i]]=Table32[[#All],[stratum i]]), 0))</f>
        <v>#REF!</v>
      </c>
      <c r="CA27" t="e" cm="1">
        <f t="array" ref="CA27">INDEX(#REF!, MATCH(1, (Table18[[#This Row],[year t]]=Table32[[#All],[year t]])*(Table18[[#This Row],[stratum i]]=Table32[[#All],[stratum i]]), 0))</f>
        <v>#REF!</v>
      </c>
      <c r="CB27" t="e">
        <f>IF(soil_CH4_approach = "Proxies", Table18[[#This Row],[ƒ (GHG emission proxy: CH4)]]*GWP_CH4, IF(soil_CH4_approach = "IPCC emission factors", Table18[[#This Row],[IPCC Emission factor EF(CH4)]]*Table18[[#This Row],[Ai,t]]*GWP_CH4, Table18[[#This Row],[CH4(BSL-soil,I,t)]]*GWP_CH4))</f>
        <v>#REF!</v>
      </c>
      <c r="CC27" t="e" cm="1">
        <f t="array" ref="CC27">INDEX(#REF!, MATCH(1, (Table18[[#This Row],[year t]]=Table32[[#All],[year t]])*(Table18[[#This Row],[stratum i]]=Table32[[#All],[stratum i]]), 0))</f>
        <v>#REF!</v>
      </c>
      <c r="CD27" t="e" cm="1">
        <f t="array" ref="CD27">INDEX(#REF!, MATCH(1, (Table18[[#This Row],[year t]]=Table32[[#All],[year t]])*(Table18[[#This Row],[stratum i]]=Table32[[#All],[stratum i]]), 0))</f>
        <v>#REF!</v>
      </c>
      <c r="CE27" t="e" cm="1">
        <f t="array" ref="CE27">INDEX(#REF!, MATCH(1, (Table18[[#This Row],[year t]]=Table32[[#All],[year t]])*(Table18[[#This Row],[stratum i]]=Table32[[#All],[stratum i]]), 0))</f>
        <v>#REF!</v>
      </c>
      <c r="CF27" t="e">
        <f>IF(soil_N2O_approach = "Proxies", Table18[[#This Row],[ƒ (N2O emission proxy: N2O)]]*GWP_N2O, IF(soil_N2O_approach = "IPCC emission factors", Table18[[#This Row],[IPCC Emission factor EF(N2O)]]*Table18[[#This Row],[Ai,t]]*GWP_N2O, Table18[[#This Row],[N2O (BSL-soil,I,t)]]*GWP_N2O))</f>
        <v>#REF!</v>
      </c>
    </row>
    <row r="28" spans="3:84" x14ac:dyDescent="0.2">
      <c r="C28" s="18">
        <v>2045</v>
      </c>
      <c r="D28">
        <f>-SUMIF(Table12[[#All],[year t]], "&lt;="&amp;Table11[[#This Row],[year t]], Table12[[#All],[∆𝐶𝐵𝑆𝐿−𝑏𝑖𝑜𝑚𝑎𝑠𝑠,𝑖,t (equation 23)]])*44/12</f>
        <v>0</v>
      </c>
      <c r="E28">
        <f>SUMIF(Table12[[#All],[year t]], "&lt;="&amp;Table11[[#This Row],[year t]], Table12[[#All],[𝐺𝐻𝐺𝐵𝑆𝐿−𝑠𝑜𝑖𝑙,𝑖,t]])</f>
        <v>0</v>
      </c>
      <c r="F28">
        <f>SUMIF(Table12[[#All],[year t]], "&lt;="&amp;Table11[[#This Row],[year t]], Table12[[#All],[𝐺𝐻𝐺𝐵𝑆𝐿−𝑓𝑢𝑒𝑙,𝑖,t]])</f>
        <v>0</v>
      </c>
      <c r="G28">
        <f>Table11[[#This Row],[GHG(BSL-biomass)]]+Table11[[#This Row],[GHG(BSL-soil)]]+Table11[[#This Row],[GHG(BSL-fuel)]]</f>
        <v>0</v>
      </c>
      <c r="J28" s="18">
        <v>2045</v>
      </c>
      <c r="K28" s="18">
        <v>1</v>
      </c>
      <c r="L28" cm="1">
        <f t="array" ref="L28">INDEX(Table32[[#All],[ΔCTREE_BSL,i,t (AR Tool 14) t C/yr]], MATCH(1, (Table12[[#This Row],[year t]]=Table32[[#All],[year t]])*(Table12[[#This Row],[stratum i]]=Table32[[#All],[stratum i]]), 0))</f>
        <v>0</v>
      </c>
      <c r="M28" cm="1">
        <f t="array" ref="M28">IF(baseline_abground_nontree = "Included", INDEX(#REF!, MATCH(1, (Table12[[#This Row],[year t]]=Table32[[#All],[year t]])*(Table12[[#This Row],[stratum i]]=Table32[[#All],[stratum i]]), 0)), 0)</f>
        <v>0</v>
      </c>
      <c r="N28">
        <f>12/44*(Table12[[#This Row],[ΔCTREE_BSL,i,t (AR Tool 14) t CO2e/yr]]+Table12[[#This Row],[ΔCSHRUB_BSL,i,t (AR Tool 14) t CO2e/yr]])</f>
        <v>0</v>
      </c>
      <c r="O28" cm="1">
        <f t="array" ref="O28">IF(baseline_abground_nontree = "Included", IFERROR(INDEX(Table13[[#All],[ΔCBSL-herb,i,t (Eq 25)]], MATCH(1, (Table12[[#This Row],[stratum i]]=Table13[[#All],[stratum i]])*(Table12[[#This Row],[year t]]&gt;=#REF!)*(Table12[[#This Row],[year t]]&lt;=Table13[[#All],[year t]]), 0)), 0), 0)</f>
        <v>0</v>
      </c>
      <c r="P28">
        <f>Table12[[#This Row],[ΔCBSL-tree/shrub,i,t (t C/yr) (Eq 24)]]+Table12[[#This Row],[ΔCBSL-herb,i,t (t C/yr)]]-Table12[[#This Row],[ΔCBSL-agbiomass,i,t; t C yr-1 (submergence)]]</f>
        <v>0</v>
      </c>
      <c r="Q28" cm="1">
        <f t="array" ref="Q28">IFERROR(INDEX(Table14[[#All],[GHGBSL-soil,i,t (Eq 26)]], MATCH(1, (Table12[[#This Row],[year t]]=Table14[[#All],[year t]])*(Table12[[#This Row],[stratum i]]=Table14[[#All],[stratum i]]), 0)), 0)</f>
        <v>0</v>
      </c>
      <c r="R28">
        <f>IF(baseline_ff_CO2 = "Included", Table12[[#This Row],[ET(FC,I,t) AR-Tool 5]], 0)</f>
        <v>0</v>
      </c>
      <c r="S28" t="e" cm="1">
        <f t="array" ref="S28">INDEX(#REF!, MATCH(1, (Table12[[#This Row],[year t]]=Table32[[#All],[year t]])*(Table12[[#This Row],[stratum i]]=Table32[[#All],[stratum i]]), 0))</f>
        <v>#REF!</v>
      </c>
      <c r="T28" cm="1">
        <f t="array" ref="T28">IFERROR(INDEX(Table30[[#All],[ΔCBSL-agbiomass,i,t (equation 22) t C yr-1]], MATCH(1, (Table12[[#This Row],[stratum i]]=Table30[[#All],[Stratum i]])*(Table12[[#This Row],[year t]]&lt;Table30[[#All],[Year of reporting]]), 0)), 0)</f>
        <v>0</v>
      </c>
      <c r="V28" s="18"/>
      <c r="W28" s="18" t="e" cm="1">
        <f t="array" ref="W28">INDEX(Table34[[#All],[Submergence]], MATCH(1, (Table30[[#This Row],[Stratum i]]=Table34[[#All],[stratum i]])*(Table30[[#This Row],[Year of reporting]]=Table34[[#All],[year t]]), 0))</f>
        <v>#N/A</v>
      </c>
      <c r="X28" s="18" t="e" cm="1">
        <f t="array" ref="X28">INDEX(Table34[[#All],[Submergence_T]], MATCH(1, (Table30[[#This Row],[Stratum i]]=Table34[[#All],[stratum i]])*(Table30[[#This Row],[Year of reporting]]=Table34[[#All],[year t]]), 0))</f>
        <v>#N/A</v>
      </c>
      <c r="Y28" s="18"/>
      <c r="Z28" s="18" t="e" cm="1">
        <f t="array" ref="Z28">INDEX(Table34[[#All],[Area submerged %]], MATCH(1, (Table30[[#This Row],[Stratum i]]=Table34[[#All],[stratum i]])*(Table30[[#This Row],[Year of reporting]]=Table34[[#All],[year t]]), 0))</f>
        <v>#N/A</v>
      </c>
      <c r="AA28" s="18" t="e" cm="1">
        <f t="array" ref="AA28">INDEX(Table34[[#All],[CBSL-agbiomass,i,t (AR tool 14, tC)]], MATCH(1, (Table30[[#This Row],[Stratum i]]=Table34[[#All],[stratum i]])*(Table30[[#This Row],[Year of reporting]]=Table34[[#All],[year t]]), 0))</f>
        <v>#N/A</v>
      </c>
      <c r="AB28" s="18" t="e" cm="1">
        <f t="array" ref="AB28">INDEX(Table34[[#All],[CBSL-agbiomass,i,t-T (AR tool 14, tC)]], MATCH(1, (Table30[[#This Row],[Stratum i]]=Table34[[#All],[stratum i]])*(Table30[[#This Row],[Year of reporting]]=Table34[[#All],[year t]]), 0))</f>
        <v>#N/A</v>
      </c>
      <c r="AC28"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8" s="18">
        <v>2045</v>
      </c>
      <c r="AH28" s="18">
        <v>1</v>
      </c>
      <c r="AI28" s="49" t="e" cm="1">
        <f t="array" ref="AI28">INDEX(#REF!, MATCH(1, (Table13[[#This Row],[year t]]=Table32[[#All],[year t]])*(Table13[[#This Row],[stratum i]]=Table32[[#All],[stratum i]]), 0))</f>
        <v>#REF!</v>
      </c>
      <c r="AJ28" s="49" t="e">
        <f>Table13[[#This Row],[ΔCBSL-herb,i,t (tC/ha)]]</f>
        <v>#REF!</v>
      </c>
      <c r="AO28" s="18">
        <v>2045</v>
      </c>
      <c r="AP28" s="18">
        <v>1</v>
      </c>
      <c r="AQ28" s="18" cm="1">
        <f t="array" ref="AQ28">INDEX(Table32[[#All],[Ai,t]], MATCH(1, (Table14[[#This Row],[year t]]=Table32[[#All],[year t]])*(Table14[[#This Row],[stratum i]]=Table32[[#All],[stratum i]]), 0))</f>
        <v>1090.4420357142858</v>
      </c>
      <c r="AR28" t="str">
        <f>IF(AND(INDEX(Table31[[#All],[Soil type (t=0)]], MATCH(Table14[[#This Row],[stratum i]], Table31[[#All],[Stratum i]]))="Peat soil", Table14[[#This Row],[year t]]&lt;=Table14[[#This Row],[End_PDT]]), "Peat soil", "Non-peat soil")</f>
        <v>Non-peat soil</v>
      </c>
      <c r="AS28">
        <f>IF(Emission_reduction_from_stock_loss?, INDEX(Table2[[#All],[End_PDT]], MATCH(Table14[[#This Row],[stratum i]], Table2[[#All],[stratum i]])), crediting_period)</f>
        <v>40</v>
      </c>
      <c r="AT28">
        <f>IF(Emission_reduction_from_stock_loss?, INDEX(Table2[[#All],[End_SDT]], MATCH(Table14[[#This Row],[stratum i]], Table2[[#All],[stratum i]])), crediting_period)</f>
        <v>40</v>
      </c>
      <c r="AU28" cm="1">
        <f t="array" ref="AU2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8" t="e" cm="1">
        <f t="array" ref="AV28">INDEX(#REF!, MATCH(1, (Table14[[#This Row],[year t]]=Table32[[#All],[year t]])*(Table14[[#This Row],[stratum i]]=Table32[[#All],[stratum i]]), 0))</f>
        <v>#REF!</v>
      </c>
      <c r="AW2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8" s="57">
        <f>(Table14[[#This Row],[GHGBSL-soil-CO2,i,t (Eq 27)]]-Table14[[#This Row],[Deductionalloch (Eq 38)]])*Table14[[#This Row],[Ai,t]]</f>
        <v>0</v>
      </c>
      <c r="AY28" cm="1">
        <f t="array" ref="AY28">IF(baseline_soil_CH4 = "Included", INDEX(Table18[[#All],[GHGBSL-soil-CH4,i,t (Eq 59)]], MATCH(1, (Table14[[#This Row],[year t]]=Table18[[#All],[year t]])*(Table14[[#This Row],[stratum i]]=Table18[[#All],[stratum i]]), 0)), 0)</f>
        <v>0</v>
      </c>
      <c r="AZ28" cm="1">
        <f t="array" ref="AZ28">IF(baseline_soil_N2O = "Included", INDEX(Table18[[#All],[GHGBSL-soil-N2O,i,t (Eq 62)]], MATCH(1, (Table14[[#This Row],[year t]]=Table18[[#All],[year t]])*(Table14[[#This Row],[stratum i]]=Table18[[#All],[stratum i]]), 0)), 0)</f>
        <v>0</v>
      </c>
      <c r="BA28">
        <f>IF(AND(Table14[[#This Row],[year t]]&gt;Table14[[#This Row],[End_PDT]],Table14[[#This Row],[year t]]&gt;Table14[[#This Row],[End_SDT]]), 0, Table14[[#This Row],[Ai,t]]*(Table14[[#This Row],[GHGBSL-soil-CO2,i,t (Eq 27)]]-Table14[[#This Row],[Deductionalloch (Eq 38)]]+Table14[[#This Row],[GHGBSL-soil-CH4,i,t]]+Table14[[#This Row],[GHGBSL-soil-N2O,i,t]]))</f>
        <v>0</v>
      </c>
      <c r="BB28" t="e" cm="1">
        <f t="array" ref="BB28">INDEX(#REF!, MATCH(1, (Table14[[#This Row],[year t]]=Table32[[#All],[year t]])*(Table14[[#This Row],[stratum i]]=Table32[[#All],[stratum i]]), 0))</f>
        <v>#REF!</v>
      </c>
      <c r="BC28" t="e" cm="1">
        <f t="array" ref="BC28">INDEX(#REF!, MATCH(1, (Table14[[#This Row],[year t]]=Table32[[#All],[year t]])*(Table14[[#This Row],[stratum i]]=Table32[[#All],[stratum i]]), 0))</f>
        <v>#REF!</v>
      </c>
      <c r="BD28" t="e" cm="1">
        <f t="array" ref="BD28">INDEX(#REF!, MATCH(1, (Table14[[#This Row],[year t]]=Table32[[#All],[year t]])*(Table14[[#This Row],[stratum i]]=Table32[[#All],[stratum i]]), 0))</f>
        <v>#REF!</v>
      </c>
      <c r="BE28" t="e" cm="1">
        <f t="array" ref="BE28">INDEX(#REF!, MATCH(1, (Table14[[#This Row],[year t]]=Table32[[#All],[year t]])*(Table14[[#This Row],[stratum i]]=Table32[[#All],[stratum i]]), 0))</f>
        <v>#REF!</v>
      </c>
      <c r="BM28" s="18">
        <v>2045</v>
      </c>
      <c r="BN28" s="18">
        <v>1</v>
      </c>
      <c r="BO28" t="e" cm="1">
        <f t="array" ref="BO28">INDEX(#REF!, MATCH(1, (Table132926[[#This Row],[year t]]=Table32[year t])*(Table132926[[#This Row],[stratum i]]=Table32[[#All],[stratum i]]), 0))</f>
        <v>#REF!</v>
      </c>
      <c r="BP28" t="e">
        <f>-44/12*Table132926[[#This Row],[∆CBSL-soil,i,t (tC/ha)]]</f>
        <v>#REF!</v>
      </c>
      <c r="BV28" s="17">
        <v>3</v>
      </c>
      <c r="BW28" s="18">
        <v>4</v>
      </c>
      <c r="BX28" t="e" cm="1">
        <f t="array" ref="BX28">INDEX(Table32[[#All],[Ai,t]], MATCH(1, (Table18[[#This Row],[year t]]=Table32[[#All],[year t]])*(Table18[[#This Row],[stratum i]]=Table32[[#All],[stratum i]]), 0))</f>
        <v>#N/A</v>
      </c>
      <c r="BY28" t="e" cm="1">
        <f t="array" ref="BY28">INDEX(#REF!, MATCH(1, (Table18[[#This Row],[year t]]=Table32[[#All],[year t]])*(Table18[[#This Row],[stratum i]]=Table32[[#All],[stratum i]]), 0))</f>
        <v>#REF!</v>
      </c>
      <c r="BZ28" t="e" cm="1">
        <f t="array" ref="BZ28">INDEX(#REF!, MATCH(1, (Table18[[#This Row],[year t]]=Table32[[#All],[year t]])*(Table18[[#This Row],[stratum i]]=Table32[[#All],[stratum i]]), 0))</f>
        <v>#REF!</v>
      </c>
      <c r="CA28" t="e" cm="1">
        <f t="array" ref="CA28">INDEX(#REF!, MATCH(1, (Table18[[#This Row],[year t]]=Table32[[#All],[year t]])*(Table18[[#This Row],[stratum i]]=Table32[[#All],[stratum i]]), 0))</f>
        <v>#REF!</v>
      </c>
      <c r="CB28" t="e">
        <f>IF(soil_CH4_approach = "Proxies", Table18[[#This Row],[ƒ (GHG emission proxy: CH4)]]*GWP_CH4, IF(soil_CH4_approach = "IPCC emission factors", Table18[[#This Row],[IPCC Emission factor EF(CH4)]]*Table18[[#This Row],[Ai,t]]*GWP_CH4, Table18[[#This Row],[CH4(BSL-soil,I,t)]]*GWP_CH4))</f>
        <v>#REF!</v>
      </c>
      <c r="CC28" t="e" cm="1">
        <f t="array" ref="CC28">INDEX(#REF!, MATCH(1, (Table18[[#This Row],[year t]]=Table32[[#All],[year t]])*(Table18[[#This Row],[stratum i]]=Table32[[#All],[stratum i]]), 0))</f>
        <v>#REF!</v>
      </c>
      <c r="CD28" t="e" cm="1">
        <f t="array" ref="CD28">INDEX(#REF!, MATCH(1, (Table18[[#This Row],[year t]]=Table32[[#All],[year t]])*(Table18[[#This Row],[stratum i]]=Table32[[#All],[stratum i]]), 0))</f>
        <v>#REF!</v>
      </c>
      <c r="CE28" t="e" cm="1">
        <f t="array" ref="CE28">INDEX(#REF!, MATCH(1, (Table18[[#This Row],[year t]]=Table32[[#All],[year t]])*(Table18[[#This Row],[stratum i]]=Table32[[#All],[stratum i]]), 0))</f>
        <v>#REF!</v>
      </c>
      <c r="CF28" t="e">
        <f>IF(soil_N2O_approach = "Proxies", Table18[[#This Row],[ƒ (N2O emission proxy: N2O)]]*GWP_N2O, IF(soil_N2O_approach = "IPCC emission factors", Table18[[#This Row],[IPCC Emission factor EF(N2O)]]*Table18[[#This Row],[Ai,t]]*GWP_N2O, Table18[[#This Row],[N2O (BSL-soil,I,t)]]*GWP_N2O))</f>
        <v>#REF!</v>
      </c>
    </row>
    <row r="29" spans="3:84" x14ac:dyDescent="0.2">
      <c r="C29" s="18">
        <v>2046</v>
      </c>
      <c r="D29">
        <f>-SUMIF(Table12[[#All],[year t]], "&lt;="&amp;Table11[[#This Row],[year t]], Table12[[#All],[∆𝐶𝐵𝑆𝐿−𝑏𝑖𝑜𝑚𝑎𝑠𝑠,𝑖,t (equation 23)]])*44/12</f>
        <v>0</v>
      </c>
      <c r="E29">
        <f>SUMIF(Table12[[#All],[year t]], "&lt;="&amp;Table11[[#This Row],[year t]], Table12[[#All],[𝐺𝐻𝐺𝐵𝑆𝐿−𝑠𝑜𝑖𝑙,𝑖,t]])</f>
        <v>0</v>
      </c>
      <c r="F29">
        <f>SUMIF(Table12[[#All],[year t]], "&lt;="&amp;Table11[[#This Row],[year t]], Table12[[#All],[𝐺𝐻𝐺𝐵𝑆𝐿−𝑓𝑢𝑒𝑙,𝑖,t]])</f>
        <v>0</v>
      </c>
      <c r="G29">
        <f>Table11[[#This Row],[GHG(BSL-biomass)]]+Table11[[#This Row],[GHG(BSL-soil)]]+Table11[[#This Row],[GHG(BSL-fuel)]]</f>
        <v>0</v>
      </c>
      <c r="J29" s="18">
        <v>2046</v>
      </c>
      <c r="K29" s="18">
        <v>1</v>
      </c>
      <c r="L29" cm="1">
        <f t="array" ref="L29">INDEX(Table32[[#All],[ΔCTREE_BSL,i,t (AR Tool 14) t C/yr]], MATCH(1, (Table12[[#This Row],[year t]]=Table32[[#All],[year t]])*(Table12[[#This Row],[stratum i]]=Table32[[#All],[stratum i]]), 0))</f>
        <v>0</v>
      </c>
      <c r="M29" cm="1">
        <f t="array" ref="M29">IF(baseline_abground_nontree = "Included", INDEX(#REF!, MATCH(1, (Table12[[#This Row],[year t]]=Table32[[#All],[year t]])*(Table12[[#This Row],[stratum i]]=Table32[[#All],[stratum i]]), 0)), 0)</f>
        <v>0</v>
      </c>
      <c r="N29">
        <f>12/44*(Table12[[#This Row],[ΔCTREE_BSL,i,t (AR Tool 14) t CO2e/yr]]+Table12[[#This Row],[ΔCSHRUB_BSL,i,t (AR Tool 14) t CO2e/yr]])</f>
        <v>0</v>
      </c>
      <c r="O29" cm="1">
        <f t="array" ref="O29">IF(baseline_abground_nontree = "Included", IFERROR(INDEX(Table13[[#All],[ΔCBSL-herb,i,t (Eq 25)]], MATCH(1, (Table12[[#This Row],[stratum i]]=Table13[[#All],[stratum i]])*(Table12[[#This Row],[year t]]&gt;=#REF!)*(Table12[[#This Row],[year t]]&lt;=Table13[[#All],[year t]]), 0)), 0), 0)</f>
        <v>0</v>
      </c>
      <c r="P29">
        <f>Table12[[#This Row],[ΔCBSL-tree/shrub,i,t (t C/yr) (Eq 24)]]+Table12[[#This Row],[ΔCBSL-herb,i,t (t C/yr)]]-Table12[[#This Row],[ΔCBSL-agbiomass,i,t; t C yr-1 (submergence)]]</f>
        <v>0</v>
      </c>
      <c r="Q29" cm="1">
        <f t="array" ref="Q29">IFERROR(INDEX(Table14[[#All],[GHGBSL-soil,i,t (Eq 26)]], MATCH(1, (Table12[[#This Row],[year t]]=Table14[[#All],[year t]])*(Table12[[#This Row],[stratum i]]=Table14[[#All],[stratum i]]), 0)), 0)</f>
        <v>0</v>
      </c>
      <c r="R29">
        <f>IF(baseline_ff_CO2 = "Included", Table12[[#This Row],[ET(FC,I,t) AR-Tool 5]], 0)</f>
        <v>0</v>
      </c>
      <c r="S29" t="e" cm="1">
        <f t="array" ref="S29">INDEX(#REF!, MATCH(1, (Table12[[#This Row],[year t]]=Table32[[#All],[year t]])*(Table12[[#This Row],[stratum i]]=Table32[[#All],[stratum i]]), 0))</f>
        <v>#REF!</v>
      </c>
      <c r="T29" cm="1">
        <f t="array" ref="T29">IFERROR(INDEX(Table30[[#All],[ΔCBSL-agbiomass,i,t (equation 22) t C yr-1]], MATCH(1, (Table12[[#This Row],[stratum i]]=Table30[[#All],[Stratum i]])*(Table12[[#This Row],[year t]]&lt;Table30[[#All],[Year of reporting]]), 0)), 0)</f>
        <v>0</v>
      </c>
      <c r="V29" s="17"/>
      <c r="W29" s="17" t="e" cm="1">
        <f t="array" ref="W29">INDEX(Table34[[#All],[Submergence]], MATCH(1, (Table30[[#This Row],[Stratum i]]=Table34[[#All],[stratum i]])*(Table30[[#This Row],[Year of reporting]]=Table34[[#All],[year t]]), 0))</f>
        <v>#N/A</v>
      </c>
      <c r="X29" s="17" t="e" cm="1">
        <f t="array" ref="X29">INDEX(Table34[[#All],[Submergence_T]], MATCH(1, (Table30[[#This Row],[Stratum i]]=Table34[[#All],[stratum i]])*(Table30[[#This Row],[Year of reporting]]=Table34[[#All],[year t]]), 0))</f>
        <v>#N/A</v>
      </c>
      <c r="Y29" s="17"/>
      <c r="Z29" s="17" t="e" cm="1">
        <f t="array" ref="Z29">INDEX(Table34[[#All],[Area submerged %]], MATCH(1, (Table30[[#This Row],[Stratum i]]=Table34[[#All],[stratum i]])*(Table30[[#This Row],[Year of reporting]]=Table34[[#All],[year t]]), 0))</f>
        <v>#N/A</v>
      </c>
      <c r="AA29" s="18" t="e" cm="1">
        <f t="array" ref="AA29">INDEX(Table34[[#All],[CBSL-agbiomass,i,t (AR tool 14, tC)]], MATCH(1, (Table30[[#This Row],[Stratum i]]=Table34[[#All],[stratum i]])*(Table30[[#This Row],[Year of reporting]]=Table34[[#All],[year t]]), 0))</f>
        <v>#N/A</v>
      </c>
      <c r="AB29" s="18" t="e" cm="1">
        <f t="array" ref="AB29">INDEX(Table34[[#All],[CBSL-agbiomass,i,t-T (AR tool 14, tC)]], MATCH(1, (Table30[[#This Row],[Stratum i]]=Table34[[#All],[stratum i]])*(Table30[[#This Row],[Year of reporting]]=Table34[[#All],[year t]]), 0))</f>
        <v>#N/A</v>
      </c>
      <c r="AC29"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29" s="18">
        <v>2046</v>
      </c>
      <c r="AH29" s="18">
        <v>1</v>
      </c>
      <c r="AI29" s="49" t="e" cm="1">
        <f t="array" ref="AI29">INDEX(#REF!, MATCH(1, (Table13[[#This Row],[year t]]=Table32[[#All],[year t]])*(Table13[[#This Row],[stratum i]]=Table32[[#All],[stratum i]]), 0))</f>
        <v>#REF!</v>
      </c>
      <c r="AJ29" s="49" t="e">
        <f>Table13[[#This Row],[ΔCBSL-herb,i,t (tC/ha)]]</f>
        <v>#REF!</v>
      </c>
      <c r="AO29" s="18">
        <v>2046</v>
      </c>
      <c r="AP29" s="18">
        <v>1</v>
      </c>
      <c r="AQ29" s="17" cm="1">
        <f t="array" ref="AQ29">INDEX(Table32[[#All],[Ai,t]], MATCH(1, (Table14[[#This Row],[year t]]=Table32[[#All],[year t]])*(Table14[[#This Row],[stratum i]]=Table32[[#All],[stratum i]]), 0))</f>
        <v>1090.4420357142858</v>
      </c>
      <c r="AR29" t="str">
        <f>IF(AND(INDEX(Table31[[#All],[Soil type (t=0)]], MATCH(Table14[[#This Row],[stratum i]], Table31[[#All],[Stratum i]]))="Peat soil", Table14[[#This Row],[year t]]&lt;=Table14[[#This Row],[End_PDT]]), "Peat soil", "Non-peat soil")</f>
        <v>Non-peat soil</v>
      </c>
      <c r="AS29">
        <f>IF(Emission_reduction_from_stock_loss?, INDEX(Table2[[#All],[End_PDT]], MATCH(Table14[[#This Row],[stratum i]], Table2[[#All],[stratum i]])), crediting_period)</f>
        <v>40</v>
      </c>
      <c r="AT29">
        <f>IF(Emission_reduction_from_stock_loss?, INDEX(Table2[[#All],[End_SDT]], MATCH(Table14[[#This Row],[stratum i]], Table2[[#All],[stratum i]])), crediting_period)</f>
        <v>40</v>
      </c>
      <c r="AU29" cm="1">
        <f t="array" ref="AU2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29" t="e" cm="1">
        <f t="array" ref="AV29">INDEX(#REF!, MATCH(1, (Table14[[#This Row],[year t]]=Table32[[#All],[year t]])*(Table14[[#This Row],[stratum i]]=Table32[[#All],[stratum i]]), 0))</f>
        <v>#REF!</v>
      </c>
      <c r="AW2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29" s="57">
        <f>(Table14[[#This Row],[GHGBSL-soil-CO2,i,t (Eq 27)]]-Table14[[#This Row],[Deductionalloch (Eq 38)]])*Table14[[#This Row],[Ai,t]]</f>
        <v>0</v>
      </c>
      <c r="AY29" cm="1">
        <f t="array" ref="AY29">IF(baseline_soil_CH4 = "Included", INDEX(Table18[[#All],[GHGBSL-soil-CH4,i,t (Eq 59)]], MATCH(1, (Table14[[#This Row],[year t]]=Table18[[#All],[year t]])*(Table14[[#This Row],[stratum i]]=Table18[[#All],[stratum i]]), 0)), 0)</f>
        <v>0</v>
      </c>
      <c r="AZ29" cm="1">
        <f t="array" ref="AZ29">IF(baseline_soil_N2O = "Included", INDEX(Table18[[#All],[GHGBSL-soil-N2O,i,t (Eq 62)]], MATCH(1, (Table14[[#This Row],[year t]]=Table18[[#All],[year t]])*(Table14[[#This Row],[stratum i]]=Table18[[#All],[stratum i]]), 0)), 0)</f>
        <v>0</v>
      </c>
      <c r="BA29">
        <f>IF(AND(Table14[[#This Row],[year t]]&gt;Table14[[#This Row],[End_PDT]],Table14[[#This Row],[year t]]&gt;Table14[[#This Row],[End_SDT]]), 0, Table14[[#This Row],[Ai,t]]*(Table14[[#This Row],[GHGBSL-soil-CO2,i,t (Eq 27)]]-Table14[[#This Row],[Deductionalloch (Eq 38)]]+Table14[[#This Row],[GHGBSL-soil-CH4,i,t]]+Table14[[#This Row],[GHGBSL-soil-N2O,i,t]]))</f>
        <v>0</v>
      </c>
      <c r="BB29" t="e" cm="1">
        <f t="array" ref="BB29">INDEX(#REF!, MATCH(1, (Table14[[#This Row],[year t]]=Table32[[#All],[year t]])*(Table14[[#This Row],[stratum i]]=Table32[[#All],[stratum i]]), 0))</f>
        <v>#REF!</v>
      </c>
      <c r="BC29" t="e" cm="1">
        <f t="array" ref="BC29">INDEX(#REF!, MATCH(1, (Table14[[#This Row],[year t]]=Table32[[#All],[year t]])*(Table14[[#This Row],[stratum i]]=Table32[[#All],[stratum i]]), 0))</f>
        <v>#REF!</v>
      </c>
      <c r="BD29" t="e" cm="1">
        <f t="array" ref="BD29">INDEX(#REF!, MATCH(1, (Table14[[#This Row],[year t]]=Table32[[#All],[year t]])*(Table14[[#This Row],[stratum i]]=Table32[[#All],[stratum i]]), 0))</f>
        <v>#REF!</v>
      </c>
      <c r="BE29" t="e" cm="1">
        <f t="array" ref="BE29">INDEX(#REF!, MATCH(1, (Table14[[#This Row],[year t]]=Table32[[#All],[year t]])*(Table14[[#This Row],[stratum i]]=Table32[[#All],[stratum i]]), 0))</f>
        <v>#REF!</v>
      </c>
      <c r="BM29" s="18">
        <v>2046</v>
      </c>
      <c r="BN29" s="18">
        <v>1</v>
      </c>
      <c r="BO29" t="e" cm="1">
        <f t="array" ref="BO29">INDEX(#REF!, MATCH(1, (Table132926[[#This Row],[year t]]=Table32[year t])*(Table132926[[#This Row],[stratum i]]=Table32[[#All],[stratum i]]), 0))</f>
        <v>#REF!</v>
      </c>
      <c r="BP29" t="e">
        <f>-44/12*Table132926[[#This Row],[∆CBSL-soil,i,t (tC/ha)]]</f>
        <v>#REF!</v>
      </c>
      <c r="BT29" t="s">
        <v>436</v>
      </c>
      <c r="BV29" s="18">
        <v>4</v>
      </c>
      <c r="BW29" s="17">
        <v>4</v>
      </c>
      <c r="BX29" s="32" t="e" cm="1">
        <f t="array" ref="BX29">INDEX(Table32[[#All],[Ai,t]], MATCH(1, (Table18[[#This Row],[year t]]=Table32[[#All],[year t]])*(Table18[[#This Row],[stratum i]]=Table32[[#All],[stratum i]]), 0))</f>
        <v>#N/A</v>
      </c>
      <c r="BY29" t="e" cm="1">
        <f t="array" ref="BY29">INDEX(#REF!, MATCH(1, (Table18[[#This Row],[year t]]=Table32[[#All],[year t]])*(Table18[[#This Row],[stratum i]]=Table32[[#All],[stratum i]]), 0))</f>
        <v>#REF!</v>
      </c>
      <c r="BZ29" t="e" cm="1">
        <f t="array" ref="BZ29">INDEX(#REF!, MATCH(1, (Table18[[#This Row],[year t]]=Table32[[#All],[year t]])*(Table18[[#This Row],[stratum i]]=Table32[[#All],[stratum i]]), 0))</f>
        <v>#REF!</v>
      </c>
      <c r="CA29" t="e" cm="1">
        <f t="array" ref="CA29">INDEX(#REF!, MATCH(1, (Table18[[#This Row],[year t]]=Table32[[#All],[year t]])*(Table18[[#This Row],[stratum i]]=Table32[[#All],[stratum i]]), 0))</f>
        <v>#REF!</v>
      </c>
      <c r="CB29" t="e">
        <f>IF(soil_CH4_approach = "Proxies", Table18[[#This Row],[ƒ (GHG emission proxy: CH4)]]*GWP_CH4, IF(soil_CH4_approach = "IPCC emission factors", Table18[[#This Row],[IPCC Emission factor EF(CH4)]]*Table18[[#This Row],[Ai,t]]*GWP_CH4, Table18[[#This Row],[CH4(BSL-soil,I,t)]]*GWP_CH4))</f>
        <v>#REF!</v>
      </c>
      <c r="CC29" t="e" cm="1">
        <f t="array" ref="CC29">INDEX(#REF!, MATCH(1, (Table18[[#This Row],[year t]]=Table32[[#All],[year t]])*(Table18[[#This Row],[stratum i]]=Table32[[#All],[stratum i]]), 0))</f>
        <v>#REF!</v>
      </c>
      <c r="CD29" t="e" cm="1">
        <f t="array" ref="CD29">INDEX(#REF!, MATCH(1, (Table18[[#This Row],[year t]]=Table32[[#All],[year t]])*(Table18[[#This Row],[stratum i]]=Table32[[#All],[stratum i]]), 0))</f>
        <v>#REF!</v>
      </c>
      <c r="CE29" t="e" cm="1">
        <f t="array" ref="CE29">INDEX(#REF!, MATCH(1, (Table18[[#This Row],[year t]]=Table32[[#All],[year t]])*(Table18[[#This Row],[stratum i]]=Table32[[#All],[stratum i]]), 0))</f>
        <v>#REF!</v>
      </c>
      <c r="CF29" t="e">
        <f>IF(soil_N2O_approach = "Proxies", Table18[[#This Row],[ƒ (N2O emission proxy: N2O)]]*GWP_N2O, IF(soil_N2O_approach = "IPCC emission factors", Table18[[#This Row],[IPCC Emission factor EF(N2O)]]*Table18[[#This Row],[Ai,t]]*GWP_N2O, Table18[[#This Row],[N2O (BSL-soil,I,t)]]*GWP_N2O))</f>
        <v>#REF!</v>
      </c>
    </row>
    <row r="30" spans="3:84" x14ac:dyDescent="0.2">
      <c r="C30" s="18">
        <v>2047</v>
      </c>
      <c r="D30">
        <f>-SUMIF(Table12[[#All],[year t]], "&lt;="&amp;Table11[[#This Row],[year t]], Table12[[#All],[∆𝐶𝐵𝑆𝐿−𝑏𝑖𝑜𝑚𝑎𝑠𝑠,𝑖,t (equation 23)]])*44/12</f>
        <v>0</v>
      </c>
      <c r="E30">
        <f>SUMIF(Table12[[#All],[year t]], "&lt;="&amp;Table11[[#This Row],[year t]], Table12[[#All],[𝐺𝐻𝐺𝐵𝑆𝐿−𝑠𝑜𝑖𝑙,𝑖,t]])</f>
        <v>0</v>
      </c>
      <c r="F30">
        <f>SUMIF(Table12[[#All],[year t]], "&lt;="&amp;Table11[[#This Row],[year t]], Table12[[#All],[𝐺𝐻𝐺𝐵𝑆𝐿−𝑓𝑢𝑒𝑙,𝑖,t]])</f>
        <v>0</v>
      </c>
      <c r="G30">
        <f>Table11[[#This Row],[GHG(BSL-biomass)]]+Table11[[#This Row],[GHG(BSL-soil)]]+Table11[[#This Row],[GHG(BSL-fuel)]]</f>
        <v>0</v>
      </c>
      <c r="J30" s="18">
        <v>2047</v>
      </c>
      <c r="K30" s="18">
        <v>1</v>
      </c>
      <c r="L30" cm="1">
        <f t="array" ref="L30">INDEX(Table32[[#All],[ΔCTREE_BSL,i,t (AR Tool 14) t C/yr]], MATCH(1, (Table12[[#This Row],[year t]]=Table32[[#All],[year t]])*(Table12[[#This Row],[stratum i]]=Table32[[#All],[stratum i]]), 0))</f>
        <v>0</v>
      </c>
      <c r="M30" cm="1">
        <f t="array" ref="M30">IF(baseline_abground_nontree = "Included", INDEX(#REF!, MATCH(1, (Table12[[#This Row],[year t]]=Table32[[#All],[year t]])*(Table12[[#This Row],[stratum i]]=Table32[[#All],[stratum i]]), 0)), 0)</f>
        <v>0</v>
      </c>
      <c r="N30">
        <f>12/44*(Table12[[#This Row],[ΔCTREE_BSL,i,t (AR Tool 14) t CO2e/yr]]+Table12[[#This Row],[ΔCSHRUB_BSL,i,t (AR Tool 14) t CO2e/yr]])</f>
        <v>0</v>
      </c>
      <c r="O30" cm="1">
        <f t="array" ref="O30">IF(baseline_abground_nontree = "Included", IFERROR(INDEX(Table13[[#All],[ΔCBSL-herb,i,t (Eq 25)]], MATCH(1, (Table12[[#This Row],[stratum i]]=Table13[[#All],[stratum i]])*(Table12[[#This Row],[year t]]&gt;=#REF!)*(Table12[[#This Row],[year t]]&lt;=Table13[[#All],[year t]]), 0)), 0), 0)</f>
        <v>0</v>
      </c>
      <c r="P30">
        <f>Table12[[#This Row],[ΔCBSL-tree/shrub,i,t (t C/yr) (Eq 24)]]+Table12[[#This Row],[ΔCBSL-herb,i,t (t C/yr)]]-Table12[[#This Row],[ΔCBSL-agbiomass,i,t; t C yr-1 (submergence)]]</f>
        <v>0</v>
      </c>
      <c r="Q30" cm="1">
        <f t="array" ref="Q30">IFERROR(INDEX(Table14[[#All],[GHGBSL-soil,i,t (Eq 26)]], MATCH(1, (Table12[[#This Row],[year t]]=Table14[[#All],[year t]])*(Table12[[#This Row],[stratum i]]=Table14[[#All],[stratum i]]), 0)), 0)</f>
        <v>0</v>
      </c>
      <c r="R30">
        <f>IF(baseline_ff_CO2 = "Included", Table12[[#This Row],[ET(FC,I,t) AR-Tool 5]], 0)</f>
        <v>0</v>
      </c>
      <c r="S30" t="e" cm="1">
        <f t="array" ref="S30">INDEX(#REF!, MATCH(1, (Table12[[#This Row],[year t]]=Table32[[#All],[year t]])*(Table12[[#This Row],[stratum i]]=Table32[[#All],[stratum i]]), 0))</f>
        <v>#REF!</v>
      </c>
      <c r="T30" cm="1">
        <f t="array" ref="T30">IFERROR(INDEX(Table30[[#All],[ΔCBSL-agbiomass,i,t (equation 22) t C yr-1]], MATCH(1, (Table12[[#This Row],[stratum i]]=Table30[[#All],[Stratum i]])*(Table12[[#This Row],[year t]]&lt;Table30[[#All],[Year of reporting]]), 0)), 0)</f>
        <v>0</v>
      </c>
      <c r="V30" s="18"/>
      <c r="W30" s="18" t="e" cm="1">
        <f t="array" ref="W30">INDEX(Table34[[#All],[Submergence]], MATCH(1, (Table30[[#This Row],[Stratum i]]=Table34[[#All],[stratum i]])*(Table30[[#This Row],[Year of reporting]]=Table34[[#All],[year t]]), 0))</f>
        <v>#N/A</v>
      </c>
      <c r="X30" s="18" t="e" cm="1">
        <f t="array" ref="X30">INDEX(Table34[[#All],[Submergence_T]], MATCH(1, (Table30[[#This Row],[Stratum i]]=Table34[[#All],[stratum i]])*(Table30[[#This Row],[Year of reporting]]=Table34[[#All],[year t]]), 0))</f>
        <v>#N/A</v>
      </c>
      <c r="Y30" s="18"/>
      <c r="Z30" s="18" t="e" cm="1">
        <f t="array" ref="Z30">INDEX(Table34[[#All],[Area submerged %]], MATCH(1, (Table30[[#This Row],[Stratum i]]=Table34[[#All],[stratum i]])*(Table30[[#This Row],[Year of reporting]]=Table34[[#All],[year t]]), 0))</f>
        <v>#N/A</v>
      </c>
      <c r="AA30" s="18" t="e" cm="1">
        <f t="array" ref="AA30">INDEX(Table34[[#All],[CBSL-agbiomass,i,t (AR tool 14, tC)]], MATCH(1, (Table30[[#This Row],[Stratum i]]=Table34[[#All],[stratum i]])*(Table30[[#This Row],[Year of reporting]]=Table34[[#All],[year t]]), 0))</f>
        <v>#N/A</v>
      </c>
      <c r="AB30" s="18" t="e" cm="1">
        <f t="array" ref="AB30">INDEX(Table34[[#All],[CBSL-agbiomass,i,t-T (AR tool 14, tC)]], MATCH(1, (Table30[[#This Row],[Stratum i]]=Table34[[#All],[stratum i]])*(Table30[[#This Row],[Year of reporting]]=Table34[[#All],[year t]]), 0))</f>
        <v>#N/A</v>
      </c>
      <c r="AC30"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0" s="18">
        <v>2047</v>
      </c>
      <c r="AH30" s="18">
        <v>1</v>
      </c>
      <c r="AI30" s="49" t="e" cm="1">
        <f t="array" ref="AI30">INDEX(#REF!, MATCH(1, (Table13[[#This Row],[year t]]=Table32[[#All],[year t]])*(Table13[[#This Row],[stratum i]]=Table32[[#All],[stratum i]]), 0))</f>
        <v>#REF!</v>
      </c>
      <c r="AJ30" s="49" t="e">
        <f>Table13[[#This Row],[ΔCBSL-herb,i,t (tC/ha)]]</f>
        <v>#REF!</v>
      </c>
      <c r="AO30" s="18">
        <v>2047</v>
      </c>
      <c r="AP30" s="18">
        <v>1</v>
      </c>
      <c r="AQ30" s="18" cm="1">
        <f t="array" ref="AQ30">INDEX(Table32[[#All],[Ai,t]], MATCH(1, (Table14[[#This Row],[year t]]=Table32[[#All],[year t]])*(Table14[[#This Row],[stratum i]]=Table32[[#All],[stratum i]]), 0))</f>
        <v>1090.4420357142858</v>
      </c>
      <c r="AR30" t="str">
        <f>IF(AND(INDEX(Table31[[#All],[Soil type (t=0)]], MATCH(Table14[[#This Row],[stratum i]], Table31[[#All],[Stratum i]]))="Peat soil", Table14[[#This Row],[year t]]&lt;=Table14[[#This Row],[End_PDT]]), "Peat soil", "Non-peat soil")</f>
        <v>Non-peat soil</v>
      </c>
      <c r="AS30">
        <f>IF(Emission_reduction_from_stock_loss?, INDEX(Table2[[#All],[End_PDT]], MATCH(Table14[[#This Row],[stratum i]], Table2[[#All],[stratum i]])), crediting_period)</f>
        <v>40</v>
      </c>
      <c r="AT30">
        <f>IF(Emission_reduction_from_stock_loss?, INDEX(Table2[[#All],[End_SDT]], MATCH(Table14[[#This Row],[stratum i]], Table2[[#All],[stratum i]])), crediting_period)</f>
        <v>40</v>
      </c>
      <c r="AU30" cm="1">
        <f t="array" ref="AU3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0" t="e" cm="1">
        <f t="array" ref="AV30">INDEX(#REF!, MATCH(1, (Table14[[#This Row],[year t]]=Table32[[#All],[year t]])*(Table14[[#This Row],[stratum i]]=Table32[[#All],[stratum i]]), 0))</f>
        <v>#REF!</v>
      </c>
      <c r="AW3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0" s="57">
        <f>(Table14[[#This Row],[GHGBSL-soil-CO2,i,t (Eq 27)]]-Table14[[#This Row],[Deductionalloch (Eq 38)]])*Table14[[#This Row],[Ai,t]]</f>
        <v>0</v>
      </c>
      <c r="AY30" cm="1">
        <f t="array" ref="AY30">IF(baseline_soil_CH4 = "Included", INDEX(Table18[[#All],[GHGBSL-soil-CH4,i,t (Eq 59)]], MATCH(1, (Table14[[#This Row],[year t]]=Table18[[#All],[year t]])*(Table14[[#This Row],[stratum i]]=Table18[[#All],[stratum i]]), 0)), 0)</f>
        <v>0</v>
      </c>
      <c r="AZ30" cm="1">
        <f t="array" ref="AZ30">IF(baseline_soil_N2O = "Included", INDEX(Table18[[#All],[GHGBSL-soil-N2O,i,t (Eq 62)]], MATCH(1, (Table14[[#This Row],[year t]]=Table18[[#All],[year t]])*(Table14[[#This Row],[stratum i]]=Table18[[#All],[stratum i]]), 0)), 0)</f>
        <v>0</v>
      </c>
      <c r="BA30">
        <f>IF(AND(Table14[[#This Row],[year t]]&gt;Table14[[#This Row],[End_PDT]],Table14[[#This Row],[year t]]&gt;Table14[[#This Row],[End_SDT]]), 0, Table14[[#This Row],[Ai,t]]*(Table14[[#This Row],[GHGBSL-soil-CO2,i,t (Eq 27)]]-Table14[[#This Row],[Deductionalloch (Eq 38)]]+Table14[[#This Row],[GHGBSL-soil-CH4,i,t]]+Table14[[#This Row],[GHGBSL-soil-N2O,i,t]]))</f>
        <v>0</v>
      </c>
      <c r="BB30" t="e" cm="1">
        <f t="array" ref="BB30">INDEX(#REF!, MATCH(1, (Table14[[#This Row],[year t]]=Table32[[#All],[year t]])*(Table14[[#This Row],[stratum i]]=Table32[[#All],[stratum i]]), 0))</f>
        <v>#REF!</v>
      </c>
      <c r="BC30" t="e" cm="1">
        <f t="array" ref="BC30">INDEX(#REF!, MATCH(1, (Table14[[#This Row],[year t]]=Table32[[#All],[year t]])*(Table14[[#This Row],[stratum i]]=Table32[[#All],[stratum i]]), 0))</f>
        <v>#REF!</v>
      </c>
      <c r="BD30" t="e" cm="1">
        <f t="array" ref="BD30">INDEX(#REF!, MATCH(1, (Table14[[#This Row],[year t]]=Table32[[#All],[year t]])*(Table14[[#This Row],[stratum i]]=Table32[[#All],[stratum i]]), 0))</f>
        <v>#REF!</v>
      </c>
      <c r="BE30" t="e" cm="1">
        <f t="array" ref="BE30">INDEX(#REF!, MATCH(1, (Table14[[#This Row],[year t]]=Table32[[#All],[year t]])*(Table14[[#This Row],[stratum i]]=Table32[[#All],[stratum i]]), 0))</f>
        <v>#REF!</v>
      </c>
      <c r="BM30" s="18">
        <v>2047</v>
      </c>
      <c r="BN30" s="18">
        <v>1</v>
      </c>
      <c r="BO30" t="e" cm="1">
        <f t="array" ref="BO30">INDEX(#REF!, MATCH(1, (Table132926[[#This Row],[year t]]=Table32[year t])*(Table132926[[#This Row],[stratum i]]=Table32[[#All],[stratum i]]), 0))</f>
        <v>#REF!</v>
      </c>
      <c r="BP30" t="e">
        <f>-44/12*Table132926[[#This Row],[∆CBSL-soil,i,t (tC/ha)]]</f>
        <v>#REF!</v>
      </c>
      <c r="BV30" s="17">
        <v>5</v>
      </c>
      <c r="BW30" s="18">
        <v>4</v>
      </c>
      <c r="BX30" t="e" cm="1">
        <f t="array" ref="BX30">INDEX(Table32[[#All],[Ai,t]], MATCH(1, (Table18[[#This Row],[year t]]=Table32[[#All],[year t]])*(Table18[[#This Row],[stratum i]]=Table32[[#All],[stratum i]]), 0))</f>
        <v>#N/A</v>
      </c>
      <c r="BY30" t="e" cm="1">
        <f t="array" ref="BY30">INDEX(#REF!, MATCH(1, (Table18[[#This Row],[year t]]=Table32[[#All],[year t]])*(Table18[[#This Row],[stratum i]]=Table32[[#All],[stratum i]]), 0))</f>
        <v>#REF!</v>
      </c>
      <c r="BZ30" t="e" cm="1">
        <f t="array" ref="BZ30">INDEX(#REF!, MATCH(1, (Table18[[#This Row],[year t]]=Table32[[#All],[year t]])*(Table18[[#This Row],[stratum i]]=Table32[[#All],[stratum i]]), 0))</f>
        <v>#REF!</v>
      </c>
      <c r="CA30" t="e" cm="1">
        <f t="array" ref="CA30">INDEX(#REF!, MATCH(1, (Table18[[#This Row],[year t]]=Table32[[#All],[year t]])*(Table18[[#This Row],[stratum i]]=Table32[[#All],[stratum i]]), 0))</f>
        <v>#REF!</v>
      </c>
      <c r="CB30" t="e">
        <f>IF(soil_CH4_approach = "Proxies", Table18[[#This Row],[ƒ (GHG emission proxy: CH4)]]*GWP_CH4, IF(soil_CH4_approach = "IPCC emission factors", Table18[[#This Row],[IPCC Emission factor EF(CH4)]]*Table18[[#This Row],[Ai,t]]*GWP_CH4, Table18[[#This Row],[CH4(BSL-soil,I,t)]]*GWP_CH4))</f>
        <v>#REF!</v>
      </c>
      <c r="CC30" t="e" cm="1">
        <f t="array" ref="CC30">INDEX(#REF!, MATCH(1, (Table18[[#This Row],[year t]]=Table32[[#All],[year t]])*(Table18[[#This Row],[stratum i]]=Table32[[#All],[stratum i]]), 0))</f>
        <v>#REF!</v>
      </c>
      <c r="CD30" t="e" cm="1">
        <f t="array" ref="CD30">INDEX(#REF!, MATCH(1, (Table18[[#This Row],[year t]]=Table32[[#All],[year t]])*(Table18[[#This Row],[stratum i]]=Table32[[#All],[stratum i]]), 0))</f>
        <v>#REF!</v>
      </c>
      <c r="CE30" t="e" cm="1">
        <f t="array" ref="CE30">INDEX(#REF!, MATCH(1, (Table18[[#This Row],[year t]]=Table32[[#All],[year t]])*(Table18[[#This Row],[stratum i]]=Table32[[#All],[stratum i]]), 0))</f>
        <v>#REF!</v>
      </c>
      <c r="CF30" t="e">
        <f>IF(soil_N2O_approach = "Proxies", Table18[[#This Row],[ƒ (N2O emission proxy: N2O)]]*GWP_N2O, IF(soil_N2O_approach = "IPCC emission factors", Table18[[#This Row],[IPCC Emission factor EF(N2O)]]*Table18[[#This Row],[Ai,t]]*GWP_N2O, Table18[[#This Row],[N2O (BSL-soil,I,t)]]*GWP_N2O))</f>
        <v>#REF!</v>
      </c>
    </row>
    <row r="31" spans="3:84" x14ac:dyDescent="0.2">
      <c r="C31" s="18">
        <v>2048</v>
      </c>
      <c r="D31">
        <f>-SUMIF(Table12[[#All],[year t]], "&lt;="&amp;Table11[[#This Row],[year t]], Table12[[#All],[∆𝐶𝐵𝑆𝐿−𝑏𝑖𝑜𝑚𝑎𝑠𝑠,𝑖,t (equation 23)]])*44/12</f>
        <v>0</v>
      </c>
      <c r="E31">
        <f>SUMIF(Table12[[#All],[year t]], "&lt;="&amp;Table11[[#This Row],[year t]], Table12[[#All],[𝐺𝐻𝐺𝐵𝑆𝐿−𝑠𝑜𝑖𝑙,𝑖,t]])</f>
        <v>0</v>
      </c>
      <c r="F31">
        <f>SUMIF(Table12[[#All],[year t]], "&lt;="&amp;Table11[[#This Row],[year t]], Table12[[#All],[𝐺𝐻𝐺𝐵𝑆𝐿−𝑓𝑢𝑒𝑙,𝑖,t]])</f>
        <v>0</v>
      </c>
      <c r="G31">
        <f>Table11[[#This Row],[GHG(BSL-biomass)]]+Table11[[#This Row],[GHG(BSL-soil)]]+Table11[[#This Row],[GHG(BSL-fuel)]]</f>
        <v>0</v>
      </c>
      <c r="J31" s="18">
        <v>2048</v>
      </c>
      <c r="K31" s="18">
        <v>1</v>
      </c>
      <c r="L31" cm="1">
        <f t="array" ref="L31">INDEX(Table32[[#All],[ΔCTREE_BSL,i,t (AR Tool 14) t C/yr]], MATCH(1, (Table12[[#This Row],[year t]]=Table32[[#All],[year t]])*(Table12[[#This Row],[stratum i]]=Table32[[#All],[stratum i]]), 0))</f>
        <v>0</v>
      </c>
      <c r="M31" cm="1">
        <f t="array" ref="M31">IF(baseline_abground_nontree = "Included", INDEX(#REF!, MATCH(1, (Table12[[#This Row],[year t]]=Table32[[#All],[year t]])*(Table12[[#This Row],[stratum i]]=Table32[[#All],[stratum i]]), 0)), 0)</f>
        <v>0</v>
      </c>
      <c r="N31">
        <f>12/44*(Table12[[#This Row],[ΔCTREE_BSL,i,t (AR Tool 14) t CO2e/yr]]+Table12[[#This Row],[ΔCSHRUB_BSL,i,t (AR Tool 14) t CO2e/yr]])</f>
        <v>0</v>
      </c>
      <c r="O31" cm="1">
        <f t="array" ref="O31">IF(baseline_abground_nontree = "Included", IFERROR(INDEX(Table13[[#All],[ΔCBSL-herb,i,t (Eq 25)]], MATCH(1, (Table12[[#This Row],[stratum i]]=Table13[[#All],[stratum i]])*(Table12[[#This Row],[year t]]&gt;=#REF!)*(Table12[[#This Row],[year t]]&lt;=Table13[[#All],[year t]]), 0)), 0), 0)</f>
        <v>0</v>
      </c>
      <c r="P31">
        <f>Table12[[#This Row],[ΔCBSL-tree/shrub,i,t (t C/yr) (Eq 24)]]+Table12[[#This Row],[ΔCBSL-herb,i,t (t C/yr)]]-Table12[[#This Row],[ΔCBSL-agbiomass,i,t; t C yr-1 (submergence)]]</f>
        <v>0</v>
      </c>
      <c r="Q31" cm="1">
        <f t="array" ref="Q31">IFERROR(INDEX(Table14[[#All],[GHGBSL-soil,i,t (Eq 26)]], MATCH(1, (Table12[[#This Row],[year t]]=Table14[[#All],[year t]])*(Table12[[#This Row],[stratum i]]=Table14[[#All],[stratum i]]), 0)), 0)</f>
        <v>0</v>
      </c>
      <c r="R31">
        <f>IF(baseline_ff_CO2 = "Included", Table12[[#This Row],[ET(FC,I,t) AR-Tool 5]], 0)</f>
        <v>0</v>
      </c>
      <c r="S31" t="e" cm="1">
        <f t="array" ref="S31">INDEX(#REF!, MATCH(1, (Table12[[#This Row],[year t]]=Table32[[#All],[year t]])*(Table12[[#This Row],[stratum i]]=Table32[[#All],[stratum i]]), 0))</f>
        <v>#REF!</v>
      </c>
      <c r="T31" cm="1">
        <f t="array" ref="T31">IFERROR(INDEX(Table30[[#All],[ΔCBSL-agbiomass,i,t (equation 22) t C yr-1]], MATCH(1, (Table12[[#This Row],[stratum i]]=Table30[[#All],[Stratum i]])*(Table12[[#This Row],[year t]]&lt;Table30[[#All],[Year of reporting]]), 0)), 0)</f>
        <v>0</v>
      </c>
      <c r="V31" s="17"/>
      <c r="W31" s="17" t="e" cm="1">
        <f t="array" ref="W31">INDEX(Table34[[#All],[Submergence]], MATCH(1, (Table30[[#This Row],[Stratum i]]=Table34[[#All],[stratum i]])*(Table30[[#This Row],[Year of reporting]]=Table34[[#All],[year t]]), 0))</f>
        <v>#N/A</v>
      </c>
      <c r="X31" s="17" t="e" cm="1">
        <f t="array" ref="X31">INDEX(Table34[[#All],[Submergence_T]], MATCH(1, (Table30[[#This Row],[Stratum i]]=Table34[[#All],[stratum i]])*(Table30[[#This Row],[Year of reporting]]=Table34[[#All],[year t]]), 0))</f>
        <v>#N/A</v>
      </c>
      <c r="Y31" s="17"/>
      <c r="Z31" s="17" t="e" cm="1">
        <f t="array" ref="Z31">INDEX(Table34[[#All],[Area submerged %]], MATCH(1, (Table30[[#This Row],[Stratum i]]=Table34[[#All],[stratum i]])*(Table30[[#This Row],[Year of reporting]]=Table34[[#All],[year t]]), 0))</f>
        <v>#N/A</v>
      </c>
      <c r="AA31" s="18" t="e" cm="1">
        <f t="array" ref="AA31">INDEX(Table34[[#All],[CBSL-agbiomass,i,t (AR tool 14, tC)]], MATCH(1, (Table30[[#This Row],[Stratum i]]=Table34[[#All],[stratum i]])*(Table30[[#This Row],[Year of reporting]]=Table34[[#All],[year t]]), 0))</f>
        <v>#N/A</v>
      </c>
      <c r="AB31" s="18" t="e" cm="1">
        <f t="array" ref="AB31">INDEX(Table34[[#All],[CBSL-agbiomass,i,t-T (AR tool 14, tC)]], MATCH(1, (Table30[[#This Row],[Stratum i]]=Table34[[#All],[stratum i]])*(Table30[[#This Row],[Year of reporting]]=Table34[[#All],[year t]]), 0))</f>
        <v>#N/A</v>
      </c>
      <c r="AC31"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1" s="18">
        <v>2048</v>
      </c>
      <c r="AH31" s="18">
        <v>1</v>
      </c>
      <c r="AI31" s="49" t="e" cm="1">
        <f t="array" ref="AI31">INDEX(#REF!, MATCH(1, (Table13[[#This Row],[year t]]=Table32[[#All],[year t]])*(Table13[[#This Row],[stratum i]]=Table32[[#All],[stratum i]]), 0))</f>
        <v>#REF!</v>
      </c>
      <c r="AJ31" s="49" t="e">
        <f>Table13[[#This Row],[ΔCBSL-herb,i,t (tC/ha)]]</f>
        <v>#REF!</v>
      </c>
      <c r="AO31" s="18">
        <v>2048</v>
      </c>
      <c r="AP31" s="18">
        <v>1</v>
      </c>
      <c r="AQ31" s="17" cm="1">
        <f t="array" ref="AQ31">INDEX(Table32[[#All],[Ai,t]], MATCH(1, (Table14[[#This Row],[year t]]=Table32[[#All],[year t]])*(Table14[[#This Row],[stratum i]]=Table32[[#All],[stratum i]]), 0))</f>
        <v>1090.4420357142858</v>
      </c>
      <c r="AR31" t="str">
        <f>IF(AND(INDEX(Table31[[#All],[Soil type (t=0)]], MATCH(Table14[[#This Row],[stratum i]], Table31[[#All],[Stratum i]]))="Peat soil", Table14[[#This Row],[year t]]&lt;=Table14[[#This Row],[End_PDT]]), "Peat soil", "Non-peat soil")</f>
        <v>Non-peat soil</v>
      </c>
      <c r="AS31">
        <f>IF(Emission_reduction_from_stock_loss?, INDEX(Table2[[#All],[End_PDT]], MATCH(Table14[[#This Row],[stratum i]], Table2[[#All],[stratum i]])), crediting_period)</f>
        <v>40</v>
      </c>
      <c r="AT31">
        <f>IF(Emission_reduction_from_stock_loss?, INDEX(Table2[[#All],[End_SDT]], MATCH(Table14[[#This Row],[stratum i]], Table2[[#All],[stratum i]])), crediting_period)</f>
        <v>40</v>
      </c>
      <c r="AU31" cm="1">
        <f t="array" ref="AU3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1" t="e" cm="1">
        <f t="array" ref="AV31">INDEX(#REF!, MATCH(1, (Table14[[#This Row],[year t]]=Table32[[#All],[year t]])*(Table14[[#This Row],[stratum i]]=Table32[[#All],[stratum i]]), 0))</f>
        <v>#REF!</v>
      </c>
      <c r="AW3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1" s="57">
        <f>(Table14[[#This Row],[GHGBSL-soil-CO2,i,t (Eq 27)]]-Table14[[#This Row],[Deductionalloch (Eq 38)]])*Table14[[#This Row],[Ai,t]]</f>
        <v>0</v>
      </c>
      <c r="AY31" cm="1">
        <f t="array" ref="AY31">IF(baseline_soil_CH4 = "Included", INDEX(Table18[[#All],[GHGBSL-soil-CH4,i,t (Eq 59)]], MATCH(1, (Table14[[#This Row],[year t]]=Table18[[#All],[year t]])*(Table14[[#This Row],[stratum i]]=Table18[[#All],[stratum i]]), 0)), 0)</f>
        <v>0</v>
      </c>
      <c r="AZ31" cm="1">
        <f t="array" ref="AZ31">IF(baseline_soil_N2O = "Included", INDEX(Table18[[#All],[GHGBSL-soil-N2O,i,t (Eq 62)]], MATCH(1, (Table14[[#This Row],[year t]]=Table18[[#All],[year t]])*(Table14[[#This Row],[stratum i]]=Table18[[#All],[stratum i]]), 0)), 0)</f>
        <v>0</v>
      </c>
      <c r="BA31">
        <f>IF(AND(Table14[[#This Row],[year t]]&gt;Table14[[#This Row],[End_PDT]],Table14[[#This Row],[year t]]&gt;Table14[[#This Row],[End_SDT]]), 0, Table14[[#This Row],[Ai,t]]*(Table14[[#This Row],[GHGBSL-soil-CO2,i,t (Eq 27)]]-Table14[[#This Row],[Deductionalloch (Eq 38)]]+Table14[[#This Row],[GHGBSL-soil-CH4,i,t]]+Table14[[#This Row],[GHGBSL-soil-N2O,i,t]]))</f>
        <v>0</v>
      </c>
      <c r="BB31" t="e" cm="1">
        <f t="array" ref="BB31">INDEX(#REF!, MATCH(1, (Table14[[#This Row],[year t]]=Table32[[#All],[year t]])*(Table14[[#This Row],[stratum i]]=Table32[[#All],[stratum i]]), 0))</f>
        <v>#REF!</v>
      </c>
      <c r="BC31" t="e" cm="1">
        <f t="array" ref="BC31">INDEX(#REF!, MATCH(1, (Table14[[#This Row],[year t]]=Table32[[#All],[year t]])*(Table14[[#This Row],[stratum i]]=Table32[[#All],[stratum i]]), 0))</f>
        <v>#REF!</v>
      </c>
      <c r="BD31" t="e" cm="1">
        <f t="array" ref="BD31">INDEX(#REF!, MATCH(1, (Table14[[#This Row],[year t]]=Table32[[#All],[year t]])*(Table14[[#This Row],[stratum i]]=Table32[[#All],[stratum i]]), 0))</f>
        <v>#REF!</v>
      </c>
      <c r="BE31" t="e" cm="1">
        <f t="array" ref="BE31">INDEX(#REF!, MATCH(1, (Table14[[#This Row],[year t]]=Table32[[#All],[year t]])*(Table14[[#This Row],[stratum i]]=Table32[[#All],[stratum i]]), 0))</f>
        <v>#REF!</v>
      </c>
      <c r="BM31" s="18">
        <v>2048</v>
      </c>
      <c r="BN31" s="18">
        <v>1</v>
      </c>
      <c r="BO31" t="e" cm="1">
        <f t="array" ref="BO31">INDEX(#REF!, MATCH(1, (Table132926[[#This Row],[year t]]=Table32[year t])*(Table132926[[#This Row],[stratum i]]=Table32[[#All],[stratum i]]), 0))</f>
        <v>#REF!</v>
      </c>
      <c r="BP31" t="e">
        <f>-44/12*Table132926[[#This Row],[∆CBSL-soil,i,t (tC/ha)]]</f>
        <v>#REF!</v>
      </c>
      <c r="BV31" s="18">
        <v>6</v>
      </c>
      <c r="BW31" s="17">
        <v>4</v>
      </c>
      <c r="BX31" s="32" t="e" cm="1">
        <f t="array" ref="BX31">INDEX(Table32[[#All],[Ai,t]], MATCH(1, (Table18[[#This Row],[year t]]=Table32[[#All],[year t]])*(Table18[[#This Row],[stratum i]]=Table32[[#All],[stratum i]]), 0))</f>
        <v>#N/A</v>
      </c>
      <c r="BY31" t="e" cm="1">
        <f t="array" ref="BY31">INDEX(#REF!, MATCH(1, (Table18[[#This Row],[year t]]=Table32[[#All],[year t]])*(Table18[[#This Row],[stratum i]]=Table32[[#All],[stratum i]]), 0))</f>
        <v>#REF!</v>
      </c>
      <c r="BZ31" t="e" cm="1">
        <f t="array" ref="BZ31">INDEX(#REF!, MATCH(1, (Table18[[#This Row],[year t]]=Table32[[#All],[year t]])*(Table18[[#This Row],[stratum i]]=Table32[[#All],[stratum i]]), 0))</f>
        <v>#REF!</v>
      </c>
      <c r="CA31" t="e" cm="1">
        <f t="array" ref="CA31">INDEX(#REF!, MATCH(1, (Table18[[#This Row],[year t]]=Table32[[#All],[year t]])*(Table18[[#This Row],[stratum i]]=Table32[[#All],[stratum i]]), 0))</f>
        <v>#REF!</v>
      </c>
      <c r="CB31" t="e">
        <f>IF(soil_CH4_approach = "Proxies", Table18[[#This Row],[ƒ (GHG emission proxy: CH4)]]*GWP_CH4, IF(soil_CH4_approach = "IPCC emission factors", Table18[[#This Row],[IPCC Emission factor EF(CH4)]]*Table18[[#This Row],[Ai,t]]*GWP_CH4, Table18[[#This Row],[CH4(BSL-soil,I,t)]]*GWP_CH4))</f>
        <v>#REF!</v>
      </c>
      <c r="CC31" t="e" cm="1">
        <f t="array" ref="CC31">INDEX(#REF!, MATCH(1, (Table18[[#This Row],[year t]]=Table32[[#All],[year t]])*(Table18[[#This Row],[stratum i]]=Table32[[#All],[stratum i]]), 0))</f>
        <v>#REF!</v>
      </c>
      <c r="CD31" t="e" cm="1">
        <f t="array" ref="CD31">INDEX(#REF!, MATCH(1, (Table18[[#This Row],[year t]]=Table32[[#All],[year t]])*(Table18[[#This Row],[stratum i]]=Table32[[#All],[stratum i]]), 0))</f>
        <v>#REF!</v>
      </c>
      <c r="CE31" t="e" cm="1">
        <f t="array" ref="CE31">INDEX(#REF!, MATCH(1, (Table18[[#This Row],[year t]]=Table32[[#All],[year t]])*(Table18[[#This Row],[stratum i]]=Table32[[#All],[stratum i]]), 0))</f>
        <v>#REF!</v>
      </c>
      <c r="CF31" t="e">
        <f>IF(soil_N2O_approach = "Proxies", Table18[[#This Row],[ƒ (N2O emission proxy: N2O)]]*GWP_N2O, IF(soil_N2O_approach = "IPCC emission factors", Table18[[#This Row],[IPCC Emission factor EF(N2O)]]*Table18[[#This Row],[Ai,t]]*GWP_N2O, Table18[[#This Row],[N2O (BSL-soil,I,t)]]*GWP_N2O))</f>
        <v>#REF!</v>
      </c>
    </row>
    <row r="32" spans="3:84" x14ac:dyDescent="0.2">
      <c r="C32" s="18">
        <v>2049</v>
      </c>
      <c r="D32">
        <f>-SUMIF(Table12[[#All],[year t]], "&lt;="&amp;Table11[[#This Row],[year t]], Table12[[#All],[∆𝐶𝐵𝑆𝐿−𝑏𝑖𝑜𝑚𝑎𝑠𝑠,𝑖,t (equation 23)]])*44/12</f>
        <v>0</v>
      </c>
      <c r="E32">
        <f>SUMIF(Table12[[#All],[year t]], "&lt;="&amp;Table11[[#This Row],[year t]], Table12[[#All],[𝐺𝐻𝐺𝐵𝑆𝐿−𝑠𝑜𝑖𝑙,𝑖,t]])</f>
        <v>0</v>
      </c>
      <c r="F32">
        <f>SUMIF(Table12[[#All],[year t]], "&lt;="&amp;Table11[[#This Row],[year t]], Table12[[#All],[𝐺𝐻𝐺𝐵𝑆𝐿−𝑓𝑢𝑒𝑙,𝑖,t]])</f>
        <v>0</v>
      </c>
      <c r="G32">
        <f>Table11[[#This Row],[GHG(BSL-biomass)]]+Table11[[#This Row],[GHG(BSL-soil)]]+Table11[[#This Row],[GHG(BSL-fuel)]]</f>
        <v>0</v>
      </c>
      <c r="J32" s="18">
        <v>2049</v>
      </c>
      <c r="K32" s="18">
        <v>1</v>
      </c>
      <c r="L32" cm="1">
        <f t="array" ref="L32">INDEX(Table32[[#All],[ΔCTREE_BSL,i,t (AR Tool 14) t C/yr]], MATCH(1, (Table12[[#This Row],[year t]]=Table32[[#All],[year t]])*(Table12[[#This Row],[stratum i]]=Table32[[#All],[stratum i]]), 0))</f>
        <v>0</v>
      </c>
      <c r="M32" cm="1">
        <f t="array" ref="M32">IF(baseline_abground_nontree = "Included", INDEX(#REF!, MATCH(1, (Table12[[#This Row],[year t]]=Table32[[#All],[year t]])*(Table12[[#This Row],[stratum i]]=Table32[[#All],[stratum i]]), 0)), 0)</f>
        <v>0</v>
      </c>
      <c r="N32">
        <f>12/44*(Table12[[#This Row],[ΔCTREE_BSL,i,t (AR Tool 14) t CO2e/yr]]+Table12[[#This Row],[ΔCSHRUB_BSL,i,t (AR Tool 14) t CO2e/yr]])</f>
        <v>0</v>
      </c>
      <c r="O32" cm="1">
        <f t="array" ref="O32">IF(baseline_abground_nontree = "Included", IFERROR(INDEX(Table13[[#All],[ΔCBSL-herb,i,t (Eq 25)]], MATCH(1, (Table12[[#This Row],[stratum i]]=Table13[[#All],[stratum i]])*(Table12[[#This Row],[year t]]&gt;=#REF!)*(Table12[[#This Row],[year t]]&lt;=Table13[[#All],[year t]]), 0)), 0), 0)</f>
        <v>0</v>
      </c>
      <c r="P32">
        <f>Table12[[#This Row],[ΔCBSL-tree/shrub,i,t (t C/yr) (Eq 24)]]+Table12[[#This Row],[ΔCBSL-herb,i,t (t C/yr)]]-Table12[[#This Row],[ΔCBSL-agbiomass,i,t; t C yr-1 (submergence)]]</f>
        <v>0</v>
      </c>
      <c r="Q32" cm="1">
        <f t="array" ref="Q32">IFERROR(INDEX(Table14[[#All],[GHGBSL-soil,i,t (Eq 26)]], MATCH(1, (Table12[[#This Row],[year t]]=Table14[[#All],[year t]])*(Table12[[#This Row],[stratum i]]=Table14[[#All],[stratum i]]), 0)), 0)</f>
        <v>0</v>
      </c>
      <c r="R32">
        <f>IF(baseline_ff_CO2 = "Included", Table12[[#This Row],[ET(FC,I,t) AR-Tool 5]], 0)</f>
        <v>0</v>
      </c>
      <c r="S32" t="e" cm="1">
        <f t="array" ref="S32">INDEX(#REF!, MATCH(1, (Table12[[#This Row],[year t]]=Table32[[#All],[year t]])*(Table12[[#This Row],[stratum i]]=Table32[[#All],[stratum i]]), 0))</f>
        <v>#REF!</v>
      </c>
      <c r="T32" cm="1">
        <f t="array" ref="T32">IFERROR(INDEX(Table30[[#All],[ΔCBSL-agbiomass,i,t (equation 22) t C yr-1]], MATCH(1, (Table12[[#This Row],[stratum i]]=Table30[[#All],[Stratum i]])*(Table12[[#This Row],[year t]]&lt;Table30[[#All],[Year of reporting]]), 0)), 0)</f>
        <v>0</v>
      </c>
      <c r="V32" s="18"/>
      <c r="W32" s="18" t="e" cm="1">
        <f t="array" ref="W32">INDEX(Table34[[#All],[Submergence]], MATCH(1, (Table30[[#This Row],[Stratum i]]=Table34[[#All],[stratum i]])*(Table30[[#This Row],[Year of reporting]]=Table34[[#All],[year t]]), 0))</f>
        <v>#N/A</v>
      </c>
      <c r="X32" s="18" t="e" cm="1">
        <f t="array" ref="X32">INDEX(Table34[[#All],[Submergence_T]], MATCH(1, (Table30[[#This Row],[Stratum i]]=Table34[[#All],[stratum i]])*(Table30[[#This Row],[Year of reporting]]=Table34[[#All],[year t]]), 0))</f>
        <v>#N/A</v>
      </c>
      <c r="Y32" s="18"/>
      <c r="Z32" s="18" t="e" cm="1">
        <f t="array" ref="Z32">INDEX(Table34[[#All],[Area submerged %]], MATCH(1, (Table30[[#This Row],[Stratum i]]=Table34[[#All],[stratum i]])*(Table30[[#This Row],[Year of reporting]]=Table34[[#All],[year t]]), 0))</f>
        <v>#N/A</v>
      </c>
      <c r="AA32" s="18" t="e" cm="1">
        <f t="array" ref="AA32">INDEX(Table34[[#All],[CBSL-agbiomass,i,t (AR tool 14, tC)]], MATCH(1, (Table30[[#This Row],[Stratum i]]=Table34[[#All],[stratum i]])*(Table30[[#This Row],[Year of reporting]]=Table34[[#All],[year t]]), 0))</f>
        <v>#N/A</v>
      </c>
      <c r="AB32" s="18" t="e" cm="1">
        <f t="array" ref="AB32">INDEX(Table34[[#All],[CBSL-agbiomass,i,t-T (AR tool 14, tC)]], MATCH(1, (Table30[[#This Row],[Stratum i]]=Table34[[#All],[stratum i]])*(Table30[[#This Row],[Year of reporting]]=Table34[[#All],[year t]]), 0))</f>
        <v>#N/A</v>
      </c>
      <c r="AC32"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2" s="18">
        <v>2049</v>
      </c>
      <c r="AH32" s="18">
        <v>1</v>
      </c>
      <c r="AI32" s="49" t="e" cm="1">
        <f t="array" ref="AI32">INDEX(#REF!, MATCH(1, (Table13[[#This Row],[year t]]=Table32[[#All],[year t]])*(Table13[[#This Row],[stratum i]]=Table32[[#All],[stratum i]]), 0))</f>
        <v>#REF!</v>
      </c>
      <c r="AJ32" s="49" t="e">
        <f>Table13[[#This Row],[ΔCBSL-herb,i,t (tC/ha)]]</f>
        <v>#REF!</v>
      </c>
      <c r="AO32" s="18">
        <v>2049</v>
      </c>
      <c r="AP32" s="18">
        <v>1</v>
      </c>
      <c r="AQ32" s="18" cm="1">
        <f t="array" ref="AQ32">INDEX(Table32[[#All],[Ai,t]], MATCH(1, (Table14[[#This Row],[year t]]=Table32[[#All],[year t]])*(Table14[[#This Row],[stratum i]]=Table32[[#All],[stratum i]]), 0))</f>
        <v>1090.4420357142858</v>
      </c>
      <c r="AR32" t="str">
        <f>IF(AND(INDEX(Table31[[#All],[Soil type (t=0)]], MATCH(Table14[[#This Row],[stratum i]], Table31[[#All],[Stratum i]]))="Peat soil", Table14[[#This Row],[year t]]&lt;=Table14[[#This Row],[End_PDT]]), "Peat soil", "Non-peat soil")</f>
        <v>Non-peat soil</v>
      </c>
      <c r="AS32">
        <f>IF(Emission_reduction_from_stock_loss?, INDEX(Table2[[#All],[End_PDT]], MATCH(Table14[[#This Row],[stratum i]], Table2[[#All],[stratum i]])), crediting_period)</f>
        <v>40</v>
      </c>
      <c r="AT32">
        <f>IF(Emission_reduction_from_stock_loss?, INDEX(Table2[[#All],[End_SDT]], MATCH(Table14[[#This Row],[stratum i]], Table2[[#All],[stratum i]])), crediting_period)</f>
        <v>40</v>
      </c>
      <c r="AU32" cm="1">
        <f t="array" ref="AU3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2" t="e" cm="1">
        <f t="array" ref="AV32">INDEX(#REF!, MATCH(1, (Table14[[#This Row],[year t]]=Table32[[#All],[year t]])*(Table14[[#This Row],[stratum i]]=Table32[[#All],[stratum i]]), 0))</f>
        <v>#REF!</v>
      </c>
      <c r="AW3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2" s="57">
        <f>(Table14[[#This Row],[GHGBSL-soil-CO2,i,t (Eq 27)]]-Table14[[#This Row],[Deductionalloch (Eq 38)]])*Table14[[#This Row],[Ai,t]]</f>
        <v>0</v>
      </c>
      <c r="AY32" cm="1">
        <f t="array" ref="AY32">IF(baseline_soil_CH4 = "Included", INDEX(Table18[[#All],[GHGBSL-soil-CH4,i,t (Eq 59)]], MATCH(1, (Table14[[#This Row],[year t]]=Table18[[#All],[year t]])*(Table14[[#This Row],[stratum i]]=Table18[[#All],[stratum i]]), 0)), 0)</f>
        <v>0</v>
      </c>
      <c r="AZ32" cm="1">
        <f t="array" ref="AZ32">IF(baseline_soil_N2O = "Included", INDEX(Table18[[#All],[GHGBSL-soil-N2O,i,t (Eq 62)]], MATCH(1, (Table14[[#This Row],[year t]]=Table18[[#All],[year t]])*(Table14[[#This Row],[stratum i]]=Table18[[#All],[stratum i]]), 0)), 0)</f>
        <v>0</v>
      </c>
      <c r="BA32">
        <f>IF(AND(Table14[[#This Row],[year t]]&gt;Table14[[#This Row],[End_PDT]],Table14[[#This Row],[year t]]&gt;Table14[[#This Row],[End_SDT]]), 0, Table14[[#This Row],[Ai,t]]*(Table14[[#This Row],[GHGBSL-soil-CO2,i,t (Eq 27)]]-Table14[[#This Row],[Deductionalloch (Eq 38)]]+Table14[[#This Row],[GHGBSL-soil-CH4,i,t]]+Table14[[#This Row],[GHGBSL-soil-N2O,i,t]]))</f>
        <v>0</v>
      </c>
      <c r="BB32" t="e" cm="1">
        <f t="array" ref="BB32">INDEX(#REF!, MATCH(1, (Table14[[#This Row],[year t]]=Table32[[#All],[year t]])*(Table14[[#This Row],[stratum i]]=Table32[[#All],[stratum i]]), 0))</f>
        <v>#REF!</v>
      </c>
      <c r="BC32" t="e" cm="1">
        <f t="array" ref="BC32">INDEX(#REF!, MATCH(1, (Table14[[#This Row],[year t]]=Table32[[#All],[year t]])*(Table14[[#This Row],[stratum i]]=Table32[[#All],[stratum i]]), 0))</f>
        <v>#REF!</v>
      </c>
      <c r="BD32" t="e" cm="1">
        <f t="array" ref="BD32">INDEX(#REF!, MATCH(1, (Table14[[#This Row],[year t]]=Table32[[#All],[year t]])*(Table14[[#This Row],[stratum i]]=Table32[[#All],[stratum i]]), 0))</f>
        <v>#REF!</v>
      </c>
      <c r="BE32" t="e" cm="1">
        <f t="array" ref="BE32">INDEX(#REF!, MATCH(1, (Table14[[#This Row],[year t]]=Table32[[#All],[year t]])*(Table14[[#This Row],[stratum i]]=Table32[[#All],[stratum i]]), 0))</f>
        <v>#REF!</v>
      </c>
      <c r="BM32" s="18">
        <v>2049</v>
      </c>
      <c r="BN32" s="18">
        <v>1</v>
      </c>
      <c r="BO32" t="e" cm="1">
        <f t="array" ref="BO32">INDEX(#REF!, MATCH(1, (Table132926[[#This Row],[year t]]=Table32[year t])*(Table132926[[#This Row],[stratum i]]=Table32[[#All],[stratum i]]), 0))</f>
        <v>#REF!</v>
      </c>
      <c r="BP32" t="e">
        <f>-44/12*Table132926[[#This Row],[∆CBSL-soil,i,t (tC/ha)]]</f>
        <v>#REF!</v>
      </c>
      <c r="BV32" s="17">
        <v>7</v>
      </c>
      <c r="BW32" s="18">
        <v>4</v>
      </c>
      <c r="BX32" t="e" cm="1">
        <f t="array" ref="BX32">INDEX(Table32[[#All],[Ai,t]], MATCH(1, (Table18[[#This Row],[year t]]=Table32[[#All],[year t]])*(Table18[[#This Row],[stratum i]]=Table32[[#All],[stratum i]]), 0))</f>
        <v>#N/A</v>
      </c>
      <c r="BY32" t="e" cm="1">
        <f t="array" ref="BY32">INDEX(#REF!, MATCH(1, (Table18[[#This Row],[year t]]=Table32[[#All],[year t]])*(Table18[[#This Row],[stratum i]]=Table32[[#All],[stratum i]]), 0))</f>
        <v>#REF!</v>
      </c>
      <c r="BZ32" t="e" cm="1">
        <f t="array" ref="BZ32">INDEX(#REF!, MATCH(1, (Table18[[#This Row],[year t]]=Table32[[#All],[year t]])*(Table18[[#This Row],[stratum i]]=Table32[[#All],[stratum i]]), 0))</f>
        <v>#REF!</v>
      </c>
      <c r="CA32" t="e" cm="1">
        <f t="array" ref="CA32">INDEX(#REF!, MATCH(1, (Table18[[#This Row],[year t]]=Table32[[#All],[year t]])*(Table18[[#This Row],[stratum i]]=Table32[[#All],[stratum i]]), 0))</f>
        <v>#REF!</v>
      </c>
      <c r="CB32" t="e">
        <f>IF(soil_CH4_approach = "Proxies", Table18[[#This Row],[ƒ (GHG emission proxy: CH4)]]*GWP_CH4, IF(soil_CH4_approach = "IPCC emission factors", Table18[[#This Row],[IPCC Emission factor EF(CH4)]]*Table18[[#This Row],[Ai,t]]*GWP_CH4, Table18[[#This Row],[CH4(BSL-soil,I,t)]]*GWP_CH4))</f>
        <v>#REF!</v>
      </c>
      <c r="CC32" t="e" cm="1">
        <f t="array" ref="CC32">INDEX(#REF!, MATCH(1, (Table18[[#This Row],[year t]]=Table32[[#All],[year t]])*(Table18[[#This Row],[stratum i]]=Table32[[#All],[stratum i]]), 0))</f>
        <v>#REF!</v>
      </c>
      <c r="CD32" t="e" cm="1">
        <f t="array" ref="CD32">INDEX(#REF!, MATCH(1, (Table18[[#This Row],[year t]]=Table32[[#All],[year t]])*(Table18[[#This Row],[stratum i]]=Table32[[#All],[stratum i]]), 0))</f>
        <v>#REF!</v>
      </c>
      <c r="CE32" t="e" cm="1">
        <f t="array" ref="CE32">INDEX(#REF!, MATCH(1, (Table18[[#This Row],[year t]]=Table32[[#All],[year t]])*(Table18[[#This Row],[stratum i]]=Table32[[#All],[stratum i]]), 0))</f>
        <v>#REF!</v>
      </c>
      <c r="CF32" t="e">
        <f>IF(soil_N2O_approach = "Proxies", Table18[[#This Row],[ƒ (N2O emission proxy: N2O)]]*GWP_N2O, IF(soil_N2O_approach = "IPCC emission factors", Table18[[#This Row],[IPCC Emission factor EF(N2O)]]*Table18[[#This Row],[Ai,t]]*GWP_N2O, Table18[[#This Row],[N2O (BSL-soil,I,t)]]*GWP_N2O))</f>
        <v>#REF!</v>
      </c>
    </row>
    <row r="33" spans="3:84" x14ac:dyDescent="0.2">
      <c r="C33" s="18">
        <v>2050</v>
      </c>
      <c r="D33">
        <f>-SUMIF(Table12[[#All],[year t]], "&lt;="&amp;Table11[[#This Row],[year t]], Table12[[#All],[∆𝐶𝐵𝑆𝐿−𝑏𝑖𝑜𝑚𝑎𝑠𝑠,𝑖,t (equation 23)]])*44/12</f>
        <v>0</v>
      </c>
      <c r="E33">
        <f>SUMIF(Table12[[#All],[year t]], "&lt;="&amp;Table11[[#This Row],[year t]], Table12[[#All],[𝐺𝐻𝐺𝐵𝑆𝐿−𝑠𝑜𝑖𝑙,𝑖,t]])</f>
        <v>0</v>
      </c>
      <c r="F33">
        <f>SUMIF(Table12[[#All],[year t]], "&lt;="&amp;Table11[[#This Row],[year t]], Table12[[#All],[𝐺𝐻𝐺𝐵𝑆𝐿−𝑓𝑢𝑒𝑙,𝑖,t]])</f>
        <v>0</v>
      </c>
      <c r="G33">
        <f>Table11[[#This Row],[GHG(BSL-biomass)]]+Table11[[#This Row],[GHG(BSL-soil)]]+Table11[[#This Row],[GHG(BSL-fuel)]]</f>
        <v>0</v>
      </c>
      <c r="J33" s="18">
        <v>2050</v>
      </c>
      <c r="K33" s="18">
        <v>1</v>
      </c>
      <c r="L33" cm="1">
        <f t="array" ref="L33">INDEX(Table32[[#All],[ΔCTREE_BSL,i,t (AR Tool 14) t C/yr]], MATCH(1, (Table12[[#This Row],[year t]]=Table32[[#All],[year t]])*(Table12[[#This Row],[stratum i]]=Table32[[#All],[stratum i]]), 0))</f>
        <v>0</v>
      </c>
      <c r="M33" cm="1">
        <f t="array" ref="M33">IF(baseline_abground_nontree = "Included", INDEX(#REF!, MATCH(1, (Table12[[#This Row],[year t]]=Table32[[#All],[year t]])*(Table12[[#This Row],[stratum i]]=Table32[[#All],[stratum i]]), 0)), 0)</f>
        <v>0</v>
      </c>
      <c r="N33">
        <f>12/44*(Table12[[#This Row],[ΔCTREE_BSL,i,t (AR Tool 14) t CO2e/yr]]+Table12[[#This Row],[ΔCSHRUB_BSL,i,t (AR Tool 14) t CO2e/yr]])</f>
        <v>0</v>
      </c>
      <c r="O33" cm="1">
        <f t="array" ref="O33">IF(baseline_abground_nontree = "Included", IFERROR(INDEX(Table13[[#All],[ΔCBSL-herb,i,t (Eq 25)]], MATCH(1, (Table12[[#This Row],[stratum i]]=Table13[[#All],[stratum i]])*(Table12[[#This Row],[year t]]&gt;=#REF!)*(Table12[[#This Row],[year t]]&lt;=Table13[[#All],[year t]]), 0)), 0), 0)</f>
        <v>0</v>
      </c>
      <c r="P33">
        <f>Table12[[#This Row],[ΔCBSL-tree/shrub,i,t (t C/yr) (Eq 24)]]+Table12[[#This Row],[ΔCBSL-herb,i,t (t C/yr)]]-Table12[[#This Row],[ΔCBSL-agbiomass,i,t; t C yr-1 (submergence)]]</f>
        <v>0</v>
      </c>
      <c r="Q33" cm="1">
        <f t="array" ref="Q33">IFERROR(INDEX(Table14[[#All],[GHGBSL-soil,i,t (Eq 26)]], MATCH(1, (Table12[[#This Row],[year t]]=Table14[[#All],[year t]])*(Table12[[#This Row],[stratum i]]=Table14[[#All],[stratum i]]), 0)), 0)</f>
        <v>0</v>
      </c>
      <c r="R33">
        <f>IF(baseline_ff_CO2 = "Included", Table12[[#This Row],[ET(FC,I,t) AR-Tool 5]], 0)</f>
        <v>0</v>
      </c>
      <c r="S33" t="e" cm="1">
        <f t="array" ref="S33">INDEX(#REF!, MATCH(1, (Table12[[#This Row],[year t]]=Table32[[#All],[year t]])*(Table12[[#This Row],[stratum i]]=Table32[[#All],[stratum i]]), 0))</f>
        <v>#REF!</v>
      </c>
      <c r="T33" cm="1">
        <f t="array" ref="T33">IFERROR(INDEX(Table30[[#All],[ΔCBSL-agbiomass,i,t (equation 22) t C yr-1]], MATCH(1, (Table12[[#This Row],[stratum i]]=Table30[[#All],[Stratum i]])*(Table12[[#This Row],[year t]]&lt;Table30[[#All],[Year of reporting]]), 0)), 0)</f>
        <v>0</v>
      </c>
      <c r="V33" s="17"/>
      <c r="W33" s="17" t="e" cm="1">
        <f t="array" ref="W33">INDEX(Table34[[#All],[Submergence]], MATCH(1, (Table30[[#This Row],[Stratum i]]=Table34[[#All],[stratum i]])*(Table30[[#This Row],[Year of reporting]]=Table34[[#All],[year t]]), 0))</f>
        <v>#N/A</v>
      </c>
      <c r="X33" s="17" t="e" cm="1">
        <f t="array" ref="X33">INDEX(Table34[[#All],[Submergence_T]], MATCH(1, (Table30[[#This Row],[Stratum i]]=Table34[[#All],[stratum i]])*(Table30[[#This Row],[Year of reporting]]=Table34[[#All],[year t]]), 0))</f>
        <v>#N/A</v>
      </c>
      <c r="Y33" s="17"/>
      <c r="Z33" s="17" t="e" cm="1">
        <f t="array" ref="Z33">INDEX(Table34[[#All],[Area submerged %]], MATCH(1, (Table30[[#This Row],[Stratum i]]=Table34[[#All],[stratum i]])*(Table30[[#This Row],[Year of reporting]]=Table34[[#All],[year t]]), 0))</f>
        <v>#N/A</v>
      </c>
      <c r="AA33" s="18" t="e" cm="1">
        <f t="array" ref="AA33">INDEX(Table34[[#All],[CBSL-agbiomass,i,t (AR tool 14, tC)]], MATCH(1, (Table30[[#This Row],[Stratum i]]=Table34[[#All],[stratum i]])*(Table30[[#This Row],[Year of reporting]]=Table34[[#All],[year t]]), 0))</f>
        <v>#N/A</v>
      </c>
      <c r="AB33" s="18" t="e" cm="1">
        <f t="array" ref="AB33">INDEX(Table34[[#All],[CBSL-agbiomass,i,t-T (AR tool 14, tC)]], MATCH(1, (Table30[[#This Row],[Stratum i]]=Table34[[#All],[stratum i]])*(Table30[[#This Row],[Year of reporting]]=Table34[[#All],[year t]]), 0))</f>
        <v>#N/A</v>
      </c>
      <c r="AC33"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3" s="18">
        <v>2050</v>
      </c>
      <c r="AH33" s="18">
        <v>1</v>
      </c>
      <c r="AI33" s="49" t="e" cm="1">
        <f t="array" ref="AI33">INDEX(#REF!, MATCH(1, (Table13[[#This Row],[year t]]=Table32[[#All],[year t]])*(Table13[[#This Row],[stratum i]]=Table32[[#All],[stratum i]]), 0))</f>
        <v>#REF!</v>
      </c>
      <c r="AJ33" s="49" t="e">
        <f>Table13[[#This Row],[ΔCBSL-herb,i,t (tC/ha)]]</f>
        <v>#REF!</v>
      </c>
      <c r="AO33" s="18">
        <v>2050</v>
      </c>
      <c r="AP33" s="18">
        <v>1</v>
      </c>
      <c r="AQ33" s="17" cm="1">
        <f t="array" ref="AQ33">INDEX(Table32[[#All],[Ai,t]], MATCH(1, (Table14[[#This Row],[year t]]=Table32[[#All],[year t]])*(Table14[[#This Row],[stratum i]]=Table32[[#All],[stratum i]]), 0))</f>
        <v>1090.4420357142858</v>
      </c>
      <c r="AR33" t="str">
        <f>IF(AND(INDEX(Table31[[#All],[Soil type (t=0)]], MATCH(Table14[[#This Row],[stratum i]], Table31[[#All],[Stratum i]]))="Peat soil", Table14[[#This Row],[year t]]&lt;=Table14[[#This Row],[End_PDT]]), "Peat soil", "Non-peat soil")</f>
        <v>Non-peat soil</v>
      </c>
      <c r="AS33">
        <f>IF(Emission_reduction_from_stock_loss?, INDEX(Table2[[#All],[End_PDT]], MATCH(Table14[[#This Row],[stratum i]], Table2[[#All],[stratum i]])), crediting_period)</f>
        <v>40</v>
      </c>
      <c r="AT33">
        <f>IF(Emission_reduction_from_stock_loss?, INDEX(Table2[[#All],[End_SDT]], MATCH(Table14[[#This Row],[stratum i]], Table2[[#All],[stratum i]])), crediting_period)</f>
        <v>40</v>
      </c>
      <c r="AU33" cm="1">
        <f t="array" ref="AU3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3" t="e" cm="1">
        <f t="array" ref="AV33">INDEX(#REF!, MATCH(1, (Table14[[#This Row],[year t]]=Table32[[#All],[year t]])*(Table14[[#This Row],[stratum i]]=Table32[[#All],[stratum i]]), 0))</f>
        <v>#REF!</v>
      </c>
      <c r="AW3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3" s="57">
        <f>(Table14[[#This Row],[GHGBSL-soil-CO2,i,t (Eq 27)]]-Table14[[#This Row],[Deductionalloch (Eq 38)]])*Table14[[#This Row],[Ai,t]]</f>
        <v>0</v>
      </c>
      <c r="AY33" cm="1">
        <f t="array" ref="AY33">IF(baseline_soil_CH4 = "Included", INDEX(Table18[[#All],[GHGBSL-soil-CH4,i,t (Eq 59)]], MATCH(1, (Table14[[#This Row],[year t]]=Table18[[#All],[year t]])*(Table14[[#This Row],[stratum i]]=Table18[[#All],[stratum i]]), 0)), 0)</f>
        <v>0</v>
      </c>
      <c r="AZ33" cm="1">
        <f t="array" ref="AZ33">IF(baseline_soil_N2O = "Included", INDEX(Table18[[#All],[GHGBSL-soil-N2O,i,t (Eq 62)]], MATCH(1, (Table14[[#This Row],[year t]]=Table18[[#All],[year t]])*(Table14[[#This Row],[stratum i]]=Table18[[#All],[stratum i]]), 0)), 0)</f>
        <v>0</v>
      </c>
      <c r="BA33">
        <f>IF(AND(Table14[[#This Row],[year t]]&gt;Table14[[#This Row],[End_PDT]],Table14[[#This Row],[year t]]&gt;Table14[[#This Row],[End_SDT]]), 0, Table14[[#This Row],[Ai,t]]*(Table14[[#This Row],[GHGBSL-soil-CO2,i,t (Eq 27)]]-Table14[[#This Row],[Deductionalloch (Eq 38)]]+Table14[[#This Row],[GHGBSL-soil-CH4,i,t]]+Table14[[#This Row],[GHGBSL-soil-N2O,i,t]]))</f>
        <v>0</v>
      </c>
      <c r="BB33" t="e" cm="1">
        <f t="array" ref="BB33">INDEX(#REF!, MATCH(1, (Table14[[#This Row],[year t]]=Table32[[#All],[year t]])*(Table14[[#This Row],[stratum i]]=Table32[[#All],[stratum i]]), 0))</f>
        <v>#REF!</v>
      </c>
      <c r="BC33" t="e" cm="1">
        <f t="array" ref="BC33">INDEX(#REF!, MATCH(1, (Table14[[#This Row],[year t]]=Table32[[#All],[year t]])*(Table14[[#This Row],[stratum i]]=Table32[[#All],[stratum i]]), 0))</f>
        <v>#REF!</v>
      </c>
      <c r="BD33" t="e" cm="1">
        <f t="array" ref="BD33">INDEX(#REF!, MATCH(1, (Table14[[#This Row],[year t]]=Table32[[#All],[year t]])*(Table14[[#This Row],[stratum i]]=Table32[[#All],[stratum i]]), 0))</f>
        <v>#REF!</v>
      </c>
      <c r="BE33" t="e" cm="1">
        <f t="array" ref="BE33">INDEX(#REF!, MATCH(1, (Table14[[#This Row],[year t]]=Table32[[#All],[year t]])*(Table14[[#This Row],[stratum i]]=Table32[[#All],[stratum i]]), 0))</f>
        <v>#REF!</v>
      </c>
      <c r="BM33" s="18">
        <v>2050</v>
      </c>
      <c r="BN33" s="18">
        <v>1</v>
      </c>
      <c r="BO33" t="e" cm="1">
        <f t="array" ref="BO33">INDEX(#REF!, MATCH(1, (Table132926[[#This Row],[year t]]=Table32[year t])*(Table132926[[#This Row],[stratum i]]=Table32[[#All],[stratum i]]), 0))</f>
        <v>#REF!</v>
      </c>
      <c r="BP33" t="e">
        <f>-44/12*Table132926[[#This Row],[∆CBSL-soil,i,t (tC/ha)]]</f>
        <v>#REF!</v>
      </c>
      <c r="BV33" s="17">
        <v>1</v>
      </c>
      <c r="BW33" s="17">
        <v>5</v>
      </c>
      <c r="BX33" s="32" t="e" cm="1">
        <f t="array" ref="BX33">INDEX(Table32[[#All],[Ai,t]], MATCH(1, (Table18[[#This Row],[year t]]=Table32[[#All],[year t]])*(Table18[[#This Row],[stratum i]]=Table32[[#All],[stratum i]]), 0))</f>
        <v>#N/A</v>
      </c>
      <c r="BY33" t="e" cm="1">
        <f t="array" ref="BY33">INDEX(#REF!, MATCH(1, (Table18[[#This Row],[year t]]=Table32[[#All],[year t]])*(Table18[[#This Row],[stratum i]]=Table32[[#All],[stratum i]]), 0))</f>
        <v>#REF!</v>
      </c>
      <c r="BZ33" t="e" cm="1">
        <f t="array" ref="BZ33">INDEX(#REF!, MATCH(1, (Table18[[#This Row],[year t]]=Table32[[#All],[year t]])*(Table18[[#This Row],[stratum i]]=Table32[[#All],[stratum i]]), 0))</f>
        <v>#REF!</v>
      </c>
      <c r="CA33" t="e" cm="1">
        <f t="array" ref="CA33">INDEX(#REF!, MATCH(1, (Table18[[#This Row],[year t]]=Table32[[#All],[year t]])*(Table18[[#This Row],[stratum i]]=Table32[[#All],[stratum i]]), 0))</f>
        <v>#REF!</v>
      </c>
      <c r="CB33" t="e">
        <f>IF(soil_CH4_approach = "Proxies", Table18[[#This Row],[ƒ (GHG emission proxy: CH4)]]*GWP_CH4, IF(soil_CH4_approach = "IPCC emission factors", Table18[[#This Row],[IPCC Emission factor EF(CH4)]]*Table18[[#This Row],[Ai,t]]*GWP_CH4, Table18[[#This Row],[CH4(BSL-soil,I,t)]]*GWP_CH4))</f>
        <v>#REF!</v>
      </c>
      <c r="CC33" t="e" cm="1">
        <f t="array" ref="CC33">INDEX(#REF!, MATCH(1, (Table18[[#This Row],[year t]]=Table32[[#All],[year t]])*(Table18[[#This Row],[stratum i]]=Table32[[#All],[stratum i]]), 0))</f>
        <v>#REF!</v>
      </c>
      <c r="CD33" t="e" cm="1">
        <f t="array" ref="CD33">INDEX(#REF!, MATCH(1, (Table18[[#This Row],[year t]]=Table32[[#All],[year t]])*(Table18[[#This Row],[stratum i]]=Table32[[#All],[stratum i]]), 0))</f>
        <v>#REF!</v>
      </c>
      <c r="CE33" t="e" cm="1">
        <f t="array" ref="CE33">INDEX(#REF!, MATCH(1, (Table18[[#This Row],[year t]]=Table32[[#All],[year t]])*(Table18[[#This Row],[stratum i]]=Table32[[#All],[stratum i]]), 0))</f>
        <v>#REF!</v>
      </c>
      <c r="CF33" t="e">
        <f>IF(soil_N2O_approach = "Proxies", Table18[[#This Row],[ƒ (N2O emission proxy: N2O)]]*GWP_N2O, IF(soil_N2O_approach = "IPCC emission factors", Table18[[#This Row],[IPCC Emission factor EF(N2O)]]*Table18[[#This Row],[Ai,t]]*GWP_N2O, Table18[[#This Row],[N2O (BSL-soil,I,t)]]*GWP_N2O))</f>
        <v>#REF!</v>
      </c>
    </row>
    <row r="34" spans="3:84" x14ac:dyDescent="0.2">
      <c r="C34" s="18">
        <v>2051</v>
      </c>
      <c r="D34">
        <f>-SUMIF(Table12[[#All],[year t]], "&lt;="&amp;Table11[[#This Row],[year t]], Table12[[#All],[∆𝐶𝐵𝑆𝐿−𝑏𝑖𝑜𝑚𝑎𝑠𝑠,𝑖,t (equation 23)]])*44/12</f>
        <v>0</v>
      </c>
      <c r="E34">
        <f>SUMIF(Table12[[#All],[year t]], "&lt;="&amp;Table11[[#This Row],[year t]], Table12[[#All],[𝐺𝐻𝐺𝐵𝑆𝐿−𝑠𝑜𝑖𝑙,𝑖,t]])</f>
        <v>0</v>
      </c>
      <c r="F34">
        <f>SUMIF(Table12[[#All],[year t]], "&lt;="&amp;Table11[[#This Row],[year t]], Table12[[#All],[𝐺𝐻𝐺𝐵𝑆𝐿−𝑓𝑢𝑒𝑙,𝑖,t]])</f>
        <v>0</v>
      </c>
      <c r="G34">
        <f>Table11[[#This Row],[GHG(BSL-biomass)]]+Table11[[#This Row],[GHG(BSL-soil)]]+Table11[[#This Row],[GHG(BSL-fuel)]]</f>
        <v>0</v>
      </c>
      <c r="J34" s="18">
        <v>2051</v>
      </c>
      <c r="K34" s="18">
        <v>1</v>
      </c>
      <c r="L34" cm="1">
        <f t="array" ref="L34">INDEX(Table32[[#All],[ΔCTREE_BSL,i,t (AR Tool 14) t C/yr]], MATCH(1, (Table12[[#This Row],[year t]]=Table32[[#All],[year t]])*(Table12[[#This Row],[stratum i]]=Table32[[#All],[stratum i]]), 0))</f>
        <v>0</v>
      </c>
      <c r="M34" cm="1">
        <f t="array" ref="M34">IF(baseline_abground_nontree = "Included", INDEX(#REF!, MATCH(1, (Table12[[#This Row],[year t]]=Table32[[#All],[year t]])*(Table12[[#This Row],[stratum i]]=Table32[[#All],[stratum i]]), 0)), 0)</f>
        <v>0</v>
      </c>
      <c r="N34">
        <f>12/44*(Table12[[#This Row],[ΔCTREE_BSL,i,t (AR Tool 14) t CO2e/yr]]+Table12[[#This Row],[ΔCSHRUB_BSL,i,t (AR Tool 14) t CO2e/yr]])</f>
        <v>0</v>
      </c>
      <c r="O34" cm="1">
        <f t="array" ref="O34">IF(baseline_abground_nontree = "Included", IFERROR(INDEX(Table13[[#All],[ΔCBSL-herb,i,t (Eq 25)]], MATCH(1, (Table12[[#This Row],[stratum i]]=Table13[[#All],[stratum i]])*(Table12[[#This Row],[year t]]&gt;=#REF!)*(Table12[[#This Row],[year t]]&lt;=Table13[[#All],[year t]]), 0)), 0), 0)</f>
        <v>0</v>
      </c>
      <c r="P34">
        <f>Table12[[#This Row],[ΔCBSL-tree/shrub,i,t (t C/yr) (Eq 24)]]+Table12[[#This Row],[ΔCBSL-herb,i,t (t C/yr)]]-Table12[[#This Row],[ΔCBSL-agbiomass,i,t; t C yr-1 (submergence)]]</f>
        <v>0</v>
      </c>
      <c r="Q34" cm="1">
        <f t="array" ref="Q34">IFERROR(INDEX(Table14[[#All],[GHGBSL-soil,i,t (Eq 26)]], MATCH(1, (Table12[[#This Row],[year t]]=Table14[[#All],[year t]])*(Table12[[#This Row],[stratum i]]=Table14[[#All],[stratum i]]), 0)), 0)</f>
        <v>0</v>
      </c>
      <c r="R34">
        <f>IF(baseline_ff_CO2 = "Included", Table12[[#This Row],[ET(FC,I,t) AR-Tool 5]], 0)</f>
        <v>0</v>
      </c>
      <c r="S34" t="e" cm="1">
        <f t="array" ref="S34">INDEX(#REF!, MATCH(1, (Table12[[#This Row],[year t]]=Table32[[#All],[year t]])*(Table12[[#This Row],[stratum i]]=Table32[[#All],[stratum i]]), 0))</f>
        <v>#REF!</v>
      </c>
      <c r="T34" cm="1">
        <f t="array" ref="T34">IFERROR(INDEX(Table30[[#All],[ΔCBSL-agbiomass,i,t (equation 22) t C yr-1]], MATCH(1, (Table12[[#This Row],[stratum i]]=Table30[[#All],[Stratum i]])*(Table12[[#This Row],[year t]]&lt;Table30[[#All],[Year of reporting]]), 0)), 0)</f>
        <v>0</v>
      </c>
      <c r="V34" s="18"/>
      <c r="W34" s="18" t="e" cm="1">
        <f t="array" ref="W34">INDEX(Table34[[#All],[Submergence]], MATCH(1, (Table30[[#This Row],[Stratum i]]=Table34[[#All],[stratum i]])*(Table30[[#This Row],[Year of reporting]]=Table34[[#All],[year t]]), 0))</f>
        <v>#N/A</v>
      </c>
      <c r="X34" s="18" t="e" cm="1">
        <f t="array" ref="X34">INDEX(Table34[[#All],[Submergence_T]], MATCH(1, (Table30[[#This Row],[Stratum i]]=Table34[[#All],[stratum i]])*(Table30[[#This Row],[Year of reporting]]=Table34[[#All],[year t]]), 0))</f>
        <v>#N/A</v>
      </c>
      <c r="Y34" s="18"/>
      <c r="Z34" s="18" t="e" cm="1">
        <f t="array" ref="Z34">INDEX(Table34[[#All],[Area submerged %]], MATCH(1, (Table30[[#This Row],[Stratum i]]=Table34[[#All],[stratum i]])*(Table30[[#This Row],[Year of reporting]]=Table34[[#All],[year t]]), 0))</f>
        <v>#N/A</v>
      </c>
      <c r="AA34" s="18" t="e" cm="1">
        <f t="array" ref="AA34">INDEX(Table34[[#All],[CBSL-agbiomass,i,t (AR tool 14, tC)]], MATCH(1, (Table30[[#This Row],[Stratum i]]=Table34[[#All],[stratum i]])*(Table30[[#This Row],[Year of reporting]]=Table34[[#All],[year t]]), 0))</f>
        <v>#N/A</v>
      </c>
      <c r="AB34" s="18" t="e" cm="1">
        <f t="array" ref="AB34">INDEX(Table34[[#All],[CBSL-agbiomass,i,t-T (AR tool 14, tC)]], MATCH(1, (Table30[[#This Row],[Stratum i]]=Table34[[#All],[stratum i]])*(Table30[[#This Row],[Year of reporting]]=Table34[[#All],[year t]]), 0))</f>
        <v>#N/A</v>
      </c>
      <c r="AC34" s="18"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4" s="18">
        <v>2051</v>
      </c>
      <c r="AH34" s="18">
        <v>1</v>
      </c>
      <c r="AI34" s="49" t="e" cm="1">
        <f t="array" ref="AI34">INDEX(#REF!, MATCH(1, (Table13[[#This Row],[year t]]=Table32[[#All],[year t]])*(Table13[[#This Row],[stratum i]]=Table32[[#All],[stratum i]]), 0))</f>
        <v>#REF!</v>
      </c>
      <c r="AJ34" s="49" t="e">
        <f>Table13[[#This Row],[ΔCBSL-herb,i,t (tC/ha)]]</f>
        <v>#REF!</v>
      </c>
      <c r="AO34" s="18">
        <v>2051</v>
      </c>
      <c r="AP34" s="18">
        <v>1</v>
      </c>
      <c r="AQ34" s="18" cm="1">
        <f t="array" ref="AQ34">INDEX(Table32[[#All],[Ai,t]], MATCH(1, (Table14[[#This Row],[year t]]=Table32[[#All],[year t]])*(Table14[[#This Row],[stratum i]]=Table32[[#All],[stratum i]]), 0))</f>
        <v>1090.4420357142858</v>
      </c>
      <c r="AR34" t="str">
        <f>IF(AND(INDEX(Table31[[#All],[Soil type (t=0)]], MATCH(Table14[[#This Row],[stratum i]], Table31[[#All],[Stratum i]]))="Peat soil", Table14[[#This Row],[year t]]&lt;=Table14[[#This Row],[End_PDT]]), "Peat soil", "Non-peat soil")</f>
        <v>Non-peat soil</v>
      </c>
      <c r="AS34">
        <f>IF(Emission_reduction_from_stock_loss?, INDEX(Table2[[#All],[End_PDT]], MATCH(Table14[[#This Row],[stratum i]], Table2[[#All],[stratum i]])), crediting_period)</f>
        <v>40</v>
      </c>
      <c r="AT34">
        <f>IF(Emission_reduction_from_stock_loss?, INDEX(Table2[[#All],[End_SDT]], MATCH(Table14[[#This Row],[stratum i]], Table2[[#All],[stratum i]])), crediting_period)</f>
        <v>40</v>
      </c>
      <c r="AU34" cm="1">
        <f t="array" ref="AU3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4" t="e" cm="1">
        <f t="array" ref="AV34">INDEX(#REF!, MATCH(1, (Table14[[#This Row],[year t]]=Table32[[#All],[year t]])*(Table14[[#This Row],[stratum i]]=Table32[[#All],[stratum i]]), 0))</f>
        <v>#REF!</v>
      </c>
      <c r="AW3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4" s="57">
        <f>(Table14[[#This Row],[GHGBSL-soil-CO2,i,t (Eq 27)]]-Table14[[#This Row],[Deductionalloch (Eq 38)]])*Table14[[#This Row],[Ai,t]]</f>
        <v>0</v>
      </c>
      <c r="AY34" cm="1">
        <f t="array" ref="AY34">IF(baseline_soil_CH4 = "Included", INDEX(Table18[[#All],[GHGBSL-soil-CH4,i,t (Eq 59)]], MATCH(1, (Table14[[#This Row],[year t]]=Table18[[#All],[year t]])*(Table14[[#This Row],[stratum i]]=Table18[[#All],[stratum i]]), 0)), 0)</f>
        <v>0</v>
      </c>
      <c r="AZ34" cm="1">
        <f t="array" ref="AZ34">IF(baseline_soil_N2O = "Included", INDEX(Table18[[#All],[GHGBSL-soil-N2O,i,t (Eq 62)]], MATCH(1, (Table14[[#This Row],[year t]]=Table18[[#All],[year t]])*(Table14[[#This Row],[stratum i]]=Table18[[#All],[stratum i]]), 0)), 0)</f>
        <v>0</v>
      </c>
      <c r="BA34">
        <f>IF(AND(Table14[[#This Row],[year t]]&gt;Table14[[#This Row],[End_PDT]],Table14[[#This Row],[year t]]&gt;Table14[[#This Row],[End_SDT]]), 0, Table14[[#This Row],[Ai,t]]*(Table14[[#This Row],[GHGBSL-soil-CO2,i,t (Eq 27)]]-Table14[[#This Row],[Deductionalloch (Eq 38)]]+Table14[[#This Row],[GHGBSL-soil-CH4,i,t]]+Table14[[#This Row],[GHGBSL-soil-N2O,i,t]]))</f>
        <v>0</v>
      </c>
      <c r="BB34" t="e" cm="1">
        <f t="array" ref="BB34">INDEX(#REF!, MATCH(1, (Table14[[#This Row],[year t]]=Table32[[#All],[year t]])*(Table14[[#This Row],[stratum i]]=Table32[[#All],[stratum i]]), 0))</f>
        <v>#REF!</v>
      </c>
      <c r="BC34" t="e" cm="1">
        <f t="array" ref="BC34">INDEX(#REF!, MATCH(1, (Table14[[#This Row],[year t]]=Table32[[#All],[year t]])*(Table14[[#This Row],[stratum i]]=Table32[[#All],[stratum i]]), 0))</f>
        <v>#REF!</v>
      </c>
      <c r="BD34" t="e" cm="1">
        <f t="array" ref="BD34">INDEX(#REF!, MATCH(1, (Table14[[#This Row],[year t]]=Table32[[#All],[year t]])*(Table14[[#This Row],[stratum i]]=Table32[[#All],[stratum i]]), 0))</f>
        <v>#REF!</v>
      </c>
      <c r="BE34" t="e" cm="1">
        <f t="array" ref="BE34">INDEX(#REF!, MATCH(1, (Table14[[#This Row],[year t]]=Table32[[#All],[year t]])*(Table14[[#This Row],[stratum i]]=Table32[[#All],[stratum i]]), 0))</f>
        <v>#REF!</v>
      </c>
      <c r="BM34" s="18">
        <v>2051</v>
      </c>
      <c r="BN34" s="18">
        <v>1</v>
      </c>
      <c r="BO34" t="e" cm="1">
        <f t="array" ref="BO34">INDEX(#REF!, MATCH(1, (Table132926[[#This Row],[year t]]=Table32[year t])*(Table132926[[#This Row],[stratum i]]=Table32[[#All],[stratum i]]), 0))</f>
        <v>#REF!</v>
      </c>
      <c r="BP34" t="e">
        <f>-44/12*Table132926[[#This Row],[∆CBSL-soil,i,t (tC/ha)]]</f>
        <v>#REF!</v>
      </c>
      <c r="BV34" s="18">
        <v>2</v>
      </c>
      <c r="BW34" s="18">
        <v>5</v>
      </c>
      <c r="BX34" t="e" cm="1">
        <f t="array" ref="BX34">INDEX(Table32[[#All],[Ai,t]], MATCH(1, (Table18[[#This Row],[year t]]=Table32[[#All],[year t]])*(Table18[[#This Row],[stratum i]]=Table32[[#All],[stratum i]]), 0))</f>
        <v>#N/A</v>
      </c>
      <c r="BY34" t="e" cm="1">
        <f t="array" ref="BY34">INDEX(#REF!, MATCH(1, (Table18[[#This Row],[year t]]=Table32[[#All],[year t]])*(Table18[[#This Row],[stratum i]]=Table32[[#All],[stratum i]]), 0))</f>
        <v>#REF!</v>
      </c>
      <c r="BZ34" t="e" cm="1">
        <f t="array" ref="BZ34">INDEX(#REF!, MATCH(1, (Table18[[#This Row],[year t]]=Table32[[#All],[year t]])*(Table18[[#This Row],[stratum i]]=Table32[[#All],[stratum i]]), 0))</f>
        <v>#REF!</v>
      </c>
      <c r="CA34" t="e" cm="1">
        <f t="array" ref="CA34">INDEX(#REF!, MATCH(1, (Table18[[#This Row],[year t]]=Table32[[#All],[year t]])*(Table18[[#This Row],[stratum i]]=Table32[[#All],[stratum i]]), 0))</f>
        <v>#REF!</v>
      </c>
      <c r="CB34" t="e">
        <f>IF(soil_CH4_approach = "Proxies", Table18[[#This Row],[ƒ (GHG emission proxy: CH4)]]*GWP_CH4, IF(soil_CH4_approach = "IPCC emission factors", Table18[[#This Row],[IPCC Emission factor EF(CH4)]]*Table18[[#This Row],[Ai,t]]*GWP_CH4, Table18[[#This Row],[CH4(BSL-soil,I,t)]]*GWP_CH4))</f>
        <v>#REF!</v>
      </c>
      <c r="CC34" t="e" cm="1">
        <f t="array" ref="CC34">INDEX(#REF!, MATCH(1, (Table18[[#This Row],[year t]]=Table32[[#All],[year t]])*(Table18[[#This Row],[stratum i]]=Table32[[#All],[stratum i]]), 0))</f>
        <v>#REF!</v>
      </c>
      <c r="CD34" t="e" cm="1">
        <f t="array" ref="CD34">INDEX(#REF!, MATCH(1, (Table18[[#This Row],[year t]]=Table32[[#All],[year t]])*(Table18[[#This Row],[stratum i]]=Table32[[#All],[stratum i]]), 0))</f>
        <v>#REF!</v>
      </c>
      <c r="CE34" t="e" cm="1">
        <f t="array" ref="CE34">INDEX(#REF!, MATCH(1, (Table18[[#This Row],[year t]]=Table32[[#All],[year t]])*(Table18[[#This Row],[stratum i]]=Table32[[#All],[stratum i]]), 0))</f>
        <v>#REF!</v>
      </c>
      <c r="CF34" t="e">
        <f>IF(soil_N2O_approach = "Proxies", Table18[[#This Row],[ƒ (N2O emission proxy: N2O)]]*GWP_N2O, IF(soil_N2O_approach = "IPCC emission factors", Table18[[#This Row],[IPCC Emission factor EF(N2O)]]*Table18[[#This Row],[Ai,t]]*GWP_N2O, Table18[[#This Row],[N2O (BSL-soil,I,t)]]*GWP_N2O))</f>
        <v>#REF!</v>
      </c>
    </row>
    <row r="35" spans="3:84" x14ac:dyDescent="0.2">
      <c r="C35" s="18">
        <v>2052</v>
      </c>
      <c r="D35">
        <f>-SUMIF(Table12[[#All],[year t]], "&lt;="&amp;Table11[[#This Row],[year t]], Table12[[#All],[∆𝐶𝐵𝑆𝐿−𝑏𝑖𝑜𝑚𝑎𝑠𝑠,𝑖,t (equation 23)]])*44/12</f>
        <v>0</v>
      </c>
      <c r="E35">
        <f>SUMIF(Table12[[#All],[year t]], "&lt;="&amp;Table11[[#This Row],[year t]], Table12[[#All],[𝐺𝐻𝐺𝐵𝑆𝐿−𝑠𝑜𝑖𝑙,𝑖,t]])</f>
        <v>0</v>
      </c>
      <c r="F35">
        <f>SUMIF(Table12[[#All],[year t]], "&lt;="&amp;Table11[[#This Row],[year t]], Table12[[#All],[𝐺𝐻𝐺𝐵𝑆𝐿−𝑓𝑢𝑒𝑙,𝑖,t]])</f>
        <v>0</v>
      </c>
      <c r="G35">
        <f>Table11[[#This Row],[GHG(BSL-biomass)]]+Table11[[#This Row],[GHG(BSL-soil)]]+Table11[[#This Row],[GHG(BSL-fuel)]]</f>
        <v>0</v>
      </c>
      <c r="J35" s="18">
        <v>2052</v>
      </c>
      <c r="K35" s="18">
        <v>1</v>
      </c>
      <c r="L35" cm="1">
        <f t="array" ref="L35">INDEX(Table32[[#All],[ΔCTREE_BSL,i,t (AR Tool 14) t C/yr]], MATCH(1, (Table12[[#This Row],[year t]]=Table32[[#All],[year t]])*(Table12[[#This Row],[stratum i]]=Table32[[#All],[stratum i]]), 0))</f>
        <v>0</v>
      </c>
      <c r="M35" cm="1">
        <f t="array" ref="M35">IF(baseline_abground_nontree = "Included", INDEX(#REF!, MATCH(1, (Table12[[#This Row],[year t]]=Table32[[#All],[year t]])*(Table12[[#This Row],[stratum i]]=Table32[[#All],[stratum i]]), 0)), 0)</f>
        <v>0</v>
      </c>
      <c r="N35">
        <f>12/44*(Table12[[#This Row],[ΔCTREE_BSL,i,t (AR Tool 14) t CO2e/yr]]+Table12[[#This Row],[ΔCSHRUB_BSL,i,t (AR Tool 14) t CO2e/yr]])</f>
        <v>0</v>
      </c>
      <c r="O35" cm="1">
        <f t="array" ref="O35">IF(baseline_abground_nontree = "Included", IFERROR(INDEX(Table13[[#All],[ΔCBSL-herb,i,t (Eq 25)]], MATCH(1, (Table12[[#This Row],[stratum i]]=Table13[[#All],[stratum i]])*(Table12[[#This Row],[year t]]&gt;=#REF!)*(Table12[[#This Row],[year t]]&lt;=Table13[[#All],[year t]]), 0)), 0), 0)</f>
        <v>0</v>
      </c>
      <c r="P35">
        <f>Table12[[#This Row],[ΔCBSL-tree/shrub,i,t (t C/yr) (Eq 24)]]+Table12[[#This Row],[ΔCBSL-herb,i,t (t C/yr)]]-Table12[[#This Row],[ΔCBSL-agbiomass,i,t; t C yr-1 (submergence)]]</f>
        <v>0</v>
      </c>
      <c r="Q35" cm="1">
        <f t="array" ref="Q35">IFERROR(INDEX(Table14[[#All],[GHGBSL-soil,i,t (Eq 26)]], MATCH(1, (Table12[[#This Row],[year t]]=Table14[[#All],[year t]])*(Table12[[#This Row],[stratum i]]=Table14[[#All],[stratum i]]), 0)), 0)</f>
        <v>0</v>
      </c>
      <c r="R35">
        <f>IF(baseline_ff_CO2 = "Included", Table12[[#This Row],[ET(FC,I,t) AR-Tool 5]], 0)</f>
        <v>0</v>
      </c>
      <c r="S35" t="e" cm="1">
        <f t="array" ref="S35">INDEX(#REF!, MATCH(1, (Table12[[#This Row],[year t]]=Table32[[#All],[year t]])*(Table12[[#This Row],[stratum i]]=Table32[[#All],[stratum i]]), 0))</f>
        <v>#REF!</v>
      </c>
      <c r="T35" cm="1">
        <f t="array" ref="T35">IFERROR(INDEX(Table30[[#All],[ΔCBSL-agbiomass,i,t (equation 22) t C yr-1]], MATCH(1, (Table12[[#This Row],[stratum i]]=Table30[[#All],[Stratum i]])*(Table12[[#This Row],[year t]]&lt;Table30[[#All],[Year of reporting]]), 0)), 0)</f>
        <v>0</v>
      </c>
      <c r="V35" s="17"/>
      <c r="W35" s="17" t="e" cm="1">
        <f t="array" ref="W35">INDEX(Table34[[#All],[Submergence]], MATCH(1, (Table30[[#This Row],[Stratum i]]=Table34[[#All],[stratum i]])*(Table30[[#This Row],[Year of reporting]]=Table34[[#All],[year t]]), 0))</f>
        <v>#N/A</v>
      </c>
      <c r="X35" s="17" t="e" cm="1">
        <f t="array" ref="X35">INDEX(Table34[[#All],[Submergence_T]], MATCH(1, (Table30[[#This Row],[Stratum i]]=Table34[[#All],[stratum i]])*(Table30[[#This Row],[Year of reporting]]=Table34[[#All],[year t]]), 0))</f>
        <v>#N/A</v>
      </c>
      <c r="Y35" s="17"/>
      <c r="Z35" s="17" t="e" cm="1">
        <f t="array" ref="Z35">INDEX(Table34[[#All],[Area submerged %]], MATCH(1, (Table30[[#This Row],[Stratum i]]=Table34[[#All],[stratum i]])*(Table30[[#This Row],[Year of reporting]]=Table34[[#All],[year t]]), 0))</f>
        <v>#N/A</v>
      </c>
      <c r="AA35" s="18" t="e" cm="1">
        <f t="array" ref="AA35">INDEX(Table34[[#All],[CBSL-agbiomass,i,t (AR tool 14, tC)]], MATCH(1, (Table30[[#This Row],[Stratum i]]=Table34[[#All],[stratum i]])*(Table30[[#This Row],[Year of reporting]]=Table34[[#All],[year t]]), 0))</f>
        <v>#N/A</v>
      </c>
      <c r="AB35" s="18" t="e" cm="1">
        <f t="array" ref="AB35">INDEX(Table34[[#All],[CBSL-agbiomass,i,t-T (AR tool 14, tC)]], MATCH(1, (Table30[[#This Row],[Stratum i]]=Table34[[#All],[stratum i]])*(Table30[[#This Row],[Year of reporting]]=Table34[[#All],[year t]]), 0))</f>
        <v>#N/A</v>
      </c>
      <c r="AC35" s="17"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5" s="18">
        <v>2052</v>
      </c>
      <c r="AH35" s="18">
        <v>1</v>
      </c>
      <c r="AI35" s="49" t="e" cm="1">
        <f t="array" ref="AI35">INDEX(#REF!, MATCH(1, (Table13[[#This Row],[year t]]=Table32[[#All],[year t]])*(Table13[[#This Row],[stratum i]]=Table32[[#All],[stratum i]]), 0))</f>
        <v>#REF!</v>
      </c>
      <c r="AJ35" s="49" t="e">
        <f>Table13[[#This Row],[ΔCBSL-herb,i,t (tC/ha)]]</f>
        <v>#REF!</v>
      </c>
      <c r="AO35" s="18">
        <v>2052</v>
      </c>
      <c r="AP35" s="18">
        <v>1</v>
      </c>
      <c r="AQ35" s="17" cm="1">
        <f t="array" ref="AQ35">INDEX(Table32[[#All],[Ai,t]], MATCH(1, (Table14[[#This Row],[year t]]=Table32[[#All],[year t]])*(Table14[[#This Row],[stratum i]]=Table32[[#All],[stratum i]]), 0))</f>
        <v>1090.4420357142858</v>
      </c>
      <c r="AR35" t="str">
        <f>IF(AND(INDEX(Table31[[#All],[Soil type (t=0)]], MATCH(Table14[[#This Row],[stratum i]], Table31[[#All],[Stratum i]]))="Peat soil", Table14[[#This Row],[year t]]&lt;=Table14[[#This Row],[End_PDT]]), "Peat soil", "Non-peat soil")</f>
        <v>Non-peat soil</v>
      </c>
      <c r="AS35">
        <f>IF(Emission_reduction_from_stock_loss?, INDEX(Table2[[#All],[End_PDT]], MATCH(Table14[[#This Row],[stratum i]], Table2[[#All],[stratum i]])), crediting_period)</f>
        <v>40</v>
      </c>
      <c r="AT35">
        <f>IF(Emission_reduction_from_stock_loss?, INDEX(Table2[[#All],[End_SDT]], MATCH(Table14[[#This Row],[stratum i]], Table2[[#All],[stratum i]])), crediting_period)</f>
        <v>40</v>
      </c>
      <c r="AU35" cm="1">
        <f t="array" ref="AU3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5" t="e" cm="1">
        <f t="array" ref="AV35">INDEX(#REF!, MATCH(1, (Table14[[#This Row],[year t]]=Table32[[#All],[year t]])*(Table14[[#This Row],[stratum i]]=Table32[[#All],[stratum i]]), 0))</f>
        <v>#REF!</v>
      </c>
      <c r="AW3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5" s="57">
        <f>(Table14[[#This Row],[GHGBSL-soil-CO2,i,t (Eq 27)]]-Table14[[#This Row],[Deductionalloch (Eq 38)]])*Table14[[#This Row],[Ai,t]]</f>
        <v>0</v>
      </c>
      <c r="AY35" cm="1">
        <f t="array" ref="AY35">IF(baseline_soil_CH4 = "Included", INDEX(Table18[[#All],[GHGBSL-soil-CH4,i,t (Eq 59)]], MATCH(1, (Table14[[#This Row],[year t]]=Table18[[#All],[year t]])*(Table14[[#This Row],[stratum i]]=Table18[[#All],[stratum i]]), 0)), 0)</f>
        <v>0</v>
      </c>
      <c r="AZ35" cm="1">
        <f t="array" ref="AZ35">IF(baseline_soil_N2O = "Included", INDEX(Table18[[#All],[GHGBSL-soil-N2O,i,t (Eq 62)]], MATCH(1, (Table14[[#This Row],[year t]]=Table18[[#All],[year t]])*(Table14[[#This Row],[stratum i]]=Table18[[#All],[stratum i]]), 0)), 0)</f>
        <v>0</v>
      </c>
      <c r="BA35">
        <f>IF(AND(Table14[[#This Row],[year t]]&gt;Table14[[#This Row],[End_PDT]],Table14[[#This Row],[year t]]&gt;Table14[[#This Row],[End_SDT]]), 0, Table14[[#This Row],[Ai,t]]*(Table14[[#This Row],[GHGBSL-soil-CO2,i,t (Eq 27)]]-Table14[[#This Row],[Deductionalloch (Eq 38)]]+Table14[[#This Row],[GHGBSL-soil-CH4,i,t]]+Table14[[#This Row],[GHGBSL-soil-N2O,i,t]]))</f>
        <v>0</v>
      </c>
      <c r="BB35" t="e" cm="1">
        <f t="array" ref="BB35">INDEX(#REF!, MATCH(1, (Table14[[#This Row],[year t]]=Table32[[#All],[year t]])*(Table14[[#This Row],[stratum i]]=Table32[[#All],[stratum i]]), 0))</f>
        <v>#REF!</v>
      </c>
      <c r="BC35" t="e" cm="1">
        <f t="array" ref="BC35">INDEX(#REF!, MATCH(1, (Table14[[#This Row],[year t]]=Table32[[#All],[year t]])*(Table14[[#This Row],[stratum i]]=Table32[[#All],[stratum i]]), 0))</f>
        <v>#REF!</v>
      </c>
      <c r="BD35" t="e" cm="1">
        <f t="array" ref="BD35">INDEX(#REF!, MATCH(1, (Table14[[#This Row],[year t]]=Table32[[#All],[year t]])*(Table14[[#This Row],[stratum i]]=Table32[[#All],[stratum i]]), 0))</f>
        <v>#REF!</v>
      </c>
      <c r="BE35" t="e" cm="1">
        <f t="array" ref="BE35">INDEX(#REF!, MATCH(1, (Table14[[#This Row],[year t]]=Table32[[#All],[year t]])*(Table14[[#This Row],[stratum i]]=Table32[[#All],[stratum i]]), 0))</f>
        <v>#REF!</v>
      </c>
      <c r="BM35" s="18">
        <v>2052</v>
      </c>
      <c r="BN35" s="18">
        <v>1</v>
      </c>
      <c r="BO35" t="e" cm="1">
        <f t="array" ref="BO35">INDEX(#REF!, MATCH(1, (Table132926[[#This Row],[year t]]=Table32[year t])*(Table132926[[#This Row],[stratum i]]=Table32[[#All],[stratum i]]), 0))</f>
        <v>#REF!</v>
      </c>
      <c r="BP35" t="e">
        <f>-44/12*Table132926[[#This Row],[∆CBSL-soil,i,t (tC/ha)]]</f>
        <v>#REF!</v>
      </c>
      <c r="BV35" s="17">
        <v>3</v>
      </c>
      <c r="BW35" s="17">
        <v>5</v>
      </c>
      <c r="BX35" s="32" t="e" cm="1">
        <f t="array" ref="BX35">INDEX(Table32[[#All],[Ai,t]], MATCH(1, (Table18[[#This Row],[year t]]=Table32[[#All],[year t]])*(Table18[[#This Row],[stratum i]]=Table32[[#All],[stratum i]]), 0))</f>
        <v>#N/A</v>
      </c>
      <c r="BY35" t="e" cm="1">
        <f t="array" ref="BY35">INDEX(#REF!, MATCH(1, (Table18[[#This Row],[year t]]=Table32[[#All],[year t]])*(Table18[[#This Row],[stratum i]]=Table32[[#All],[stratum i]]), 0))</f>
        <v>#REF!</v>
      </c>
      <c r="BZ35" t="e" cm="1">
        <f t="array" ref="BZ35">INDEX(#REF!, MATCH(1, (Table18[[#This Row],[year t]]=Table32[[#All],[year t]])*(Table18[[#This Row],[stratum i]]=Table32[[#All],[stratum i]]), 0))</f>
        <v>#REF!</v>
      </c>
      <c r="CA35" t="e" cm="1">
        <f t="array" ref="CA35">INDEX(#REF!, MATCH(1, (Table18[[#This Row],[year t]]=Table32[[#All],[year t]])*(Table18[[#This Row],[stratum i]]=Table32[[#All],[stratum i]]), 0))</f>
        <v>#REF!</v>
      </c>
      <c r="CB35" t="e">
        <f>IF(soil_CH4_approach = "Proxies", Table18[[#This Row],[ƒ (GHG emission proxy: CH4)]]*GWP_CH4, IF(soil_CH4_approach = "IPCC emission factors", Table18[[#This Row],[IPCC Emission factor EF(CH4)]]*Table18[[#This Row],[Ai,t]]*GWP_CH4, Table18[[#This Row],[CH4(BSL-soil,I,t)]]*GWP_CH4))</f>
        <v>#REF!</v>
      </c>
      <c r="CC35" t="e" cm="1">
        <f t="array" ref="CC35">INDEX(#REF!, MATCH(1, (Table18[[#This Row],[year t]]=Table32[[#All],[year t]])*(Table18[[#This Row],[stratum i]]=Table32[[#All],[stratum i]]), 0))</f>
        <v>#REF!</v>
      </c>
      <c r="CD35" t="e" cm="1">
        <f t="array" ref="CD35">INDEX(#REF!, MATCH(1, (Table18[[#This Row],[year t]]=Table32[[#All],[year t]])*(Table18[[#This Row],[stratum i]]=Table32[[#All],[stratum i]]), 0))</f>
        <v>#REF!</v>
      </c>
      <c r="CE35" t="e" cm="1">
        <f t="array" ref="CE35">INDEX(#REF!, MATCH(1, (Table18[[#This Row],[year t]]=Table32[[#All],[year t]])*(Table18[[#This Row],[stratum i]]=Table32[[#All],[stratum i]]), 0))</f>
        <v>#REF!</v>
      </c>
      <c r="CF35" t="e">
        <f>IF(soil_N2O_approach = "Proxies", Table18[[#This Row],[ƒ (N2O emission proxy: N2O)]]*GWP_N2O, IF(soil_N2O_approach = "IPCC emission factors", Table18[[#This Row],[IPCC Emission factor EF(N2O)]]*Table18[[#This Row],[Ai,t]]*GWP_N2O, Table18[[#This Row],[N2O (BSL-soil,I,t)]]*GWP_N2O))</f>
        <v>#REF!</v>
      </c>
    </row>
    <row r="36" spans="3:84" x14ac:dyDescent="0.2">
      <c r="C36" s="18">
        <v>2053</v>
      </c>
      <c r="D36">
        <f>-SUMIF(Table12[[#All],[year t]], "&lt;="&amp;Table11[[#This Row],[year t]], Table12[[#All],[∆𝐶𝐵𝑆𝐿−𝑏𝑖𝑜𝑚𝑎𝑠𝑠,𝑖,t (equation 23)]])*44/12</f>
        <v>0</v>
      </c>
      <c r="E36">
        <f>SUMIF(Table12[[#All],[year t]], "&lt;="&amp;Table11[[#This Row],[year t]], Table12[[#All],[𝐺𝐻𝐺𝐵𝑆𝐿−𝑠𝑜𝑖𝑙,𝑖,t]])</f>
        <v>0</v>
      </c>
      <c r="F36">
        <f>SUMIF(Table12[[#All],[year t]], "&lt;="&amp;Table11[[#This Row],[year t]], Table12[[#All],[𝐺𝐻𝐺𝐵𝑆𝐿−𝑓𝑢𝑒𝑙,𝑖,t]])</f>
        <v>0</v>
      </c>
      <c r="G36">
        <f>Table11[[#This Row],[GHG(BSL-biomass)]]+Table11[[#This Row],[GHG(BSL-soil)]]+Table11[[#This Row],[GHG(BSL-fuel)]]</f>
        <v>0</v>
      </c>
      <c r="J36" s="18">
        <v>2053</v>
      </c>
      <c r="K36" s="18">
        <v>1</v>
      </c>
      <c r="L36" cm="1">
        <f t="array" ref="L36">INDEX(Table32[[#All],[ΔCTREE_BSL,i,t (AR Tool 14) t C/yr]], MATCH(1, (Table12[[#This Row],[year t]]=Table32[[#All],[year t]])*(Table12[[#This Row],[stratum i]]=Table32[[#All],[stratum i]]), 0))</f>
        <v>0</v>
      </c>
      <c r="M36" cm="1">
        <f t="array" ref="M36">IF(baseline_abground_nontree = "Included", INDEX(#REF!, MATCH(1, (Table12[[#This Row],[year t]]=Table32[[#All],[year t]])*(Table12[[#This Row],[stratum i]]=Table32[[#All],[stratum i]]), 0)), 0)</f>
        <v>0</v>
      </c>
      <c r="N36">
        <f>12/44*(Table12[[#This Row],[ΔCTREE_BSL,i,t (AR Tool 14) t CO2e/yr]]+Table12[[#This Row],[ΔCSHRUB_BSL,i,t (AR Tool 14) t CO2e/yr]])</f>
        <v>0</v>
      </c>
      <c r="O36" cm="1">
        <f t="array" ref="O36">IF(baseline_abground_nontree = "Included", IFERROR(INDEX(Table13[[#All],[ΔCBSL-herb,i,t (Eq 25)]], MATCH(1, (Table12[[#This Row],[stratum i]]=Table13[[#All],[stratum i]])*(Table12[[#This Row],[year t]]&gt;=#REF!)*(Table12[[#This Row],[year t]]&lt;=Table13[[#All],[year t]]), 0)), 0), 0)</f>
        <v>0</v>
      </c>
      <c r="P36">
        <f>Table12[[#This Row],[ΔCBSL-tree/shrub,i,t (t C/yr) (Eq 24)]]+Table12[[#This Row],[ΔCBSL-herb,i,t (t C/yr)]]-Table12[[#This Row],[ΔCBSL-agbiomass,i,t; t C yr-1 (submergence)]]</f>
        <v>0</v>
      </c>
      <c r="Q36" cm="1">
        <f t="array" ref="Q36">IFERROR(INDEX(Table14[[#All],[GHGBSL-soil,i,t (Eq 26)]], MATCH(1, (Table12[[#This Row],[year t]]=Table14[[#All],[year t]])*(Table12[[#This Row],[stratum i]]=Table14[[#All],[stratum i]]), 0)), 0)</f>
        <v>0</v>
      </c>
      <c r="R36">
        <f>IF(baseline_ff_CO2 = "Included", Table12[[#This Row],[ET(FC,I,t) AR-Tool 5]], 0)</f>
        <v>0</v>
      </c>
      <c r="S36" t="e" cm="1">
        <f t="array" ref="S36">INDEX(#REF!, MATCH(1, (Table12[[#This Row],[year t]]=Table32[[#All],[year t]])*(Table12[[#This Row],[stratum i]]=Table32[[#All],[stratum i]]), 0))</f>
        <v>#REF!</v>
      </c>
      <c r="T36" cm="1">
        <f t="array" ref="T36">IFERROR(INDEX(Table30[[#All],[ΔCBSL-agbiomass,i,t (equation 22) t C yr-1]], MATCH(1, (Table12[[#This Row],[stratum i]]=Table30[[#All],[Stratum i]])*(Table12[[#This Row],[year t]]&lt;Table30[[#All],[Year of reporting]]), 0)), 0)</f>
        <v>0</v>
      </c>
      <c r="V36" s="43"/>
      <c r="W36" s="43" t="e" cm="1">
        <f t="array" ref="W36">INDEX(Table34[[#All],[Submergence]], MATCH(1, (Table30[[#This Row],[Stratum i]]=Table34[[#All],[stratum i]])*(Table30[[#This Row],[Year of reporting]]=Table34[[#All],[year t]]), 0))</f>
        <v>#N/A</v>
      </c>
      <c r="X36" s="43" t="e" cm="1">
        <f t="array" ref="X36">INDEX(Table34[[#All],[Submergence_T]], MATCH(1, (Table30[[#This Row],[Stratum i]]=Table34[[#All],[stratum i]])*(Table30[[#This Row],[Year of reporting]]=Table34[[#All],[year t]]), 0))</f>
        <v>#N/A</v>
      </c>
      <c r="Y36" s="43"/>
      <c r="Z36" s="43" t="e" cm="1">
        <f t="array" ref="Z36">INDEX(Table34[[#All],[Area submerged %]], MATCH(1, (Table30[[#This Row],[Stratum i]]=Table34[[#All],[stratum i]])*(Table30[[#This Row],[Year of reporting]]=Table34[[#All],[year t]]), 0))</f>
        <v>#N/A</v>
      </c>
      <c r="AA36" s="18" t="e" cm="1">
        <f t="array" ref="AA36">INDEX(Table34[[#All],[CBSL-agbiomass,i,t (AR tool 14, tC)]], MATCH(1, (Table30[[#This Row],[Stratum i]]=Table34[[#All],[stratum i]])*(Table30[[#This Row],[Year of reporting]]=Table34[[#All],[year t]]), 0))</f>
        <v>#N/A</v>
      </c>
      <c r="AB36" s="18" t="e" cm="1">
        <f t="array" ref="AB36">INDEX(Table34[[#All],[CBSL-agbiomass,i,t-T (AR tool 14, tC)]], MATCH(1, (Table30[[#This Row],[Stratum i]]=Table34[[#All],[stratum i]])*(Table30[[#This Row],[Year of reporting]]=Table34[[#All],[year t]]), 0))</f>
        <v>#N/A</v>
      </c>
      <c r="AC36" s="43" t="e">
        <f>IF(Table30[[#This Row],[Submergence]], IF((Table30[[#This Row],[CBSL-agbiomass,i,t (AR tool 14, tC)]]-Table30[[#This Row],[CBSL-agbiomass,i,t-T (AR tool 14, tC)]])/Table30[[#This Row],[T]]*Table30[[#This Row],[Area submerged%]]&gt;0, (Table30[[#This Row],[CBSL-agbiomass,i,t (AR tool 14, tC)]]-Table30[[#This Row],[CBSL-agbiomass,i,t-T (AR tool 14, tC)]])/Table30[[#This Row],[T]]*Table30[[#This Row],[Area submerged%]], 0), 0)</f>
        <v>#N/A</v>
      </c>
      <c r="AG36" s="18">
        <v>2053</v>
      </c>
      <c r="AH36" s="18">
        <v>1</v>
      </c>
      <c r="AI36" s="49" t="e" cm="1">
        <f t="array" ref="AI36">INDEX(#REF!, MATCH(1, (Table13[[#This Row],[year t]]=Table32[[#All],[year t]])*(Table13[[#This Row],[stratum i]]=Table32[[#All],[stratum i]]), 0))</f>
        <v>#REF!</v>
      </c>
      <c r="AJ36" s="49" t="e">
        <f>Table13[[#This Row],[ΔCBSL-herb,i,t (tC/ha)]]</f>
        <v>#REF!</v>
      </c>
      <c r="AO36" s="18">
        <v>2053</v>
      </c>
      <c r="AP36" s="18">
        <v>1</v>
      </c>
      <c r="AQ36" s="18" cm="1">
        <f t="array" ref="AQ36">INDEX(Table32[[#All],[Ai,t]], MATCH(1, (Table14[[#This Row],[year t]]=Table32[[#All],[year t]])*(Table14[[#This Row],[stratum i]]=Table32[[#All],[stratum i]]), 0))</f>
        <v>1090.4420357142858</v>
      </c>
      <c r="AR36" t="str">
        <f>IF(AND(INDEX(Table31[[#All],[Soil type (t=0)]], MATCH(Table14[[#This Row],[stratum i]], Table31[[#All],[Stratum i]]))="Peat soil", Table14[[#This Row],[year t]]&lt;=Table14[[#This Row],[End_PDT]]), "Peat soil", "Non-peat soil")</f>
        <v>Non-peat soil</v>
      </c>
      <c r="AS36">
        <f>IF(Emission_reduction_from_stock_loss?, INDEX(Table2[[#All],[End_PDT]], MATCH(Table14[[#This Row],[stratum i]], Table2[[#All],[stratum i]])), crediting_period)</f>
        <v>40</v>
      </c>
      <c r="AT36">
        <f>IF(Emission_reduction_from_stock_loss?, INDEX(Table2[[#All],[End_SDT]], MATCH(Table14[[#This Row],[stratum i]], Table2[[#All],[stratum i]])), crediting_period)</f>
        <v>40</v>
      </c>
      <c r="AU36" cm="1">
        <f t="array" ref="AU3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6" t="e" cm="1">
        <f t="array" ref="AV36">INDEX(#REF!, MATCH(1, (Table14[[#This Row],[year t]]=Table32[[#All],[year t]])*(Table14[[#This Row],[stratum i]]=Table32[[#All],[stratum i]]), 0))</f>
        <v>#REF!</v>
      </c>
      <c r="AW3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6" s="57">
        <f>(Table14[[#This Row],[GHGBSL-soil-CO2,i,t (Eq 27)]]-Table14[[#This Row],[Deductionalloch (Eq 38)]])*Table14[[#This Row],[Ai,t]]</f>
        <v>0</v>
      </c>
      <c r="AY36" cm="1">
        <f t="array" ref="AY36">IF(baseline_soil_CH4 = "Included", INDEX(Table18[[#All],[GHGBSL-soil-CH4,i,t (Eq 59)]], MATCH(1, (Table14[[#This Row],[year t]]=Table18[[#All],[year t]])*(Table14[[#This Row],[stratum i]]=Table18[[#All],[stratum i]]), 0)), 0)</f>
        <v>0</v>
      </c>
      <c r="AZ36" cm="1">
        <f t="array" ref="AZ36">IF(baseline_soil_N2O = "Included", INDEX(Table18[[#All],[GHGBSL-soil-N2O,i,t (Eq 62)]], MATCH(1, (Table14[[#This Row],[year t]]=Table18[[#All],[year t]])*(Table14[[#This Row],[stratum i]]=Table18[[#All],[stratum i]]), 0)), 0)</f>
        <v>0</v>
      </c>
      <c r="BA36">
        <f>IF(AND(Table14[[#This Row],[year t]]&gt;Table14[[#This Row],[End_PDT]],Table14[[#This Row],[year t]]&gt;Table14[[#This Row],[End_SDT]]), 0, Table14[[#This Row],[Ai,t]]*(Table14[[#This Row],[GHGBSL-soil-CO2,i,t (Eq 27)]]-Table14[[#This Row],[Deductionalloch (Eq 38)]]+Table14[[#This Row],[GHGBSL-soil-CH4,i,t]]+Table14[[#This Row],[GHGBSL-soil-N2O,i,t]]))</f>
        <v>0</v>
      </c>
      <c r="BB36" t="e" cm="1">
        <f t="array" ref="BB36">INDEX(#REF!, MATCH(1, (Table14[[#This Row],[year t]]=Table32[[#All],[year t]])*(Table14[[#This Row],[stratum i]]=Table32[[#All],[stratum i]]), 0))</f>
        <v>#REF!</v>
      </c>
      <c r="BC36" t="e" cm="1">
        <f t="array" ref="BC36">INDEX(#REF!, MATCH(1, (Table14[[#This Row],[year t]]=Table32[[#All],[year t]])*(Table14[[#This Row],[stratum i]]=Table32[[#All],[stratum i]]), 0))</f>
        <v>#REF!</v>
      </c>
      <c r="BD36" t="e" cm="1">
        <f t="array" ref="BD36">INDEX(#REF!, MATCH(1, (Table14[[#This Row],[year t]]=Table32[[#All],[year t]])*(Table14[[#This Row],[stratum i]]=Table32[[#All],[stratum i]]), 0))</f>
        <v>#REF!</v>
      </c>
      <c r="BE36" t="e" cm="1">
        <f t="array" ref="BE36">INDEX(#REF!, MATCH(1, (Table14[[#This Row],[year t]]=Table32[[#All],[year t]])*(Table14[[#This Row],[stratum i]]=Table32[[#All],[stratum i]]), 0))</f>
        <v>#REF!</v>
      </c>
      <c r="BM36" s="18">
        <v>2053</v>
      </c>
      <c r="BN36" s="18">
        <v>1</v>
      </c>
      <c r="BO36" t="e" cm="1">
        <f t="array" ref="BO36">INDEX(#REF!, MATCH(1, (Table132926[[#This Row],[year t]]=Table32[year t])*(Table132926[[#This Row],[stratum i]]=Table32[[#All],[stratum i]]), 0))</f>
        <v>#REF!</v>
      </c>
      <c r="BP36" t="e">
        <f>-44/12*Table132926[[#This Row],[∆CBSL-soil,i,t (tC/ha)]]</f>
        <v>#REF!</v>
      </c>
      <c r="BV36" s="18">
        <v>4</v>
      </c>
      <c r="BW36" s="18">
        <v>5</v>
      </c>
      <c r="BX36" t="e" cm="1">
        <f t="array" ref="BX36">INDEX(Table32[[#All],[Ai,t]], MATCH(1, (Table18[[#This Row],[year t]]=Table32[[#All],[year t]])*(Table18[[#This Row],[stratum i]]=Table32[[#All],[stratum i]]), 0))</f>
        <v>#N/A</v>
      </c>
      <c r="BY36" t="e" cm="1">
        <f t="array" ref="BY36">INDEX(#REF!, MATCH(1, (Table18[[#This Row],[year t]]=Table32[[#All],[year t]])*(Table18[[#This Row],[stratum i]]=Table32[[#All],[stratum i]]), 0))</f>
        <v>#REF!</v>
      </c>
      <c r="BZ36" t="e" cm="1">
        <f t="array" ref="BZ36">INDEX(#REF!, MATCH(1, (Table18[[#This Row],[year t]]=Table32[[#All],[year t]])*(Table18[[#This Row],[stratum i]]=Table32[[#All],[stratum i]]), 0))</f>
        <v>#REF!</v>
      </c>
      <c r="CA36" t="e" cm="1">
        <f t="array" ref="CA36">INDEX(#REF!, MATCH(1, (Table18[[#This Row],[year t]]=Table32[[#All],[year t]])*(Table18[[#This Row],[stratum i]]=Table32[[#All],[stratum i]]), 0))</f>
        <v>#REF!</v>
      </c>
      <c r="CB36" t="e">
        <f>IF(soil_CH4_approach = "Proxies", Table18[[#This Row],[ƒ (GHG emission proxy: CH4)]]*GWP_CH4, IF(soil_CH4_approach = "IPCC emission factors", Table18[[#This Row],[IPCC Emission factor EF(CH4)]]*Table18[[#This Row],[Ai,t]]*GWP_CH4, Table18[[#This Row],[CH4(BSL-soil,I,t)]]*GWP_CH4))</f>
        <v>#REF!</v>
      </c>
      <c r="CC36" t="e" cm="1">
        <f t="array" ref="CC36">INDEX(#REF!, MATCH(1, (Table18[[#This Row],[year t]]=Table32[[#All],[year t]])*(Table18[[#This Row],[stratum i]]=Table32[[#All],[stratum i]]), 0))</f>
        <v>#REF!</v>
      </c>
      <c r="CD36" t="e" cm="1">
        <f t="array" ref="CD36">INDEX(#REF!, MATCH(1, (Table18[[#This Row],[year t]]=Table32[[#All],[year t]])*(Table18[[#This Row],[stratum i]]=Table32[[#All],[stratum i]]), 0))</f>
        <v>#REF!</v>
      </c>
      <c r="CE36" t="e" cm="1">
        <f t="array" ref="CE36">INDEX(#REF!, MATCH(1, (Table18[[#This Row],[year t]]=Table32[[#All],[year t]])*(Table18[[#This Row],[stratum i]]=Table32[[#All],[stratum i]]), 0))</f>
        <v>#REF!</v>
      </c>
      <c r="CF36" t="e">
        <f>IF(soil_N2O_approach = "Proxies", Table18[[#This Row],[ƒ (N2O emission proxy: N2O)]]*GWP_N2O, IF(soil_N2O_approach = "IPCC emission factors", Table18[[#This Row],[IPCC Emission factor EF(N2O)]]*Table18[[#This Row],[Ai,t]]*GWP_N2O, Table18[[#This Row],[N2O (BSL-soil,I,t)]]*GWP_N2O))</f>
        <v>#REF!</v>
      </c>
    </row>
    <row r="37" spans="3:84" x14ac:dyDescent="0.2">
      <c r="C37" s="18">
        <v>2054</v>
      </c>
      <c r="D37">
        <f>-SUMIF(Table12[[#All],[year t]], "&lt;="&amp;Table11[[#This Row],[year t]], Table12[[#All],[∆𝐶𝐵𝑆𝐿−𝑏𝑖𝑜𝑚𝑎𝑠𝑠,𝑖,t (equation 23)]])*44/12</f>
        <v>0</v>
      </c>
      <c r="E37">
        <f>SUMIF(Table12[[#All],[year t]], "&lt;="&amp;Table11[[#This Row],[year t]], Table12[[#All],[𝐺𝐻𝐺𝐵𝑆𝐿−𝑠𝑜𝑖𝑙,𝑖,t]])</f>
        <v>0</v>
      </c>
      <c r="F37">
        <f>SUMIF(Table12[[#All],[year t]], "&lt;="&amp;Table11[[#This Row],[year t]], Table12[[#All],[𝐺𝐻𝐺𝐵𝑆𝐿−𝑓𝑢𝑒𝑙,𝑖,t]])</f>
        <v>0</v>
      </c>
      <c r="G37">
        <f>Table11[[#This Row],[GHG(BSL-biomass)]]+Table11[[#This Row],[GHG(BSL-soil)]]+Table11[[#This Row],[GHG(BSL-fuel)]]</f>
        <v>0</v>
      </c>
      <c r="J37" s="18">
        <v>2054</v>
      </c>
      <c r="K37" s="18">
        <v>1</v>
      </c>
      <c r="L37" cm="1">
        <f t="array" ref="L37">INDEX(Table32[[#All],[ΔCTREE_BSL,i,t (AR Tool 14) t C/yr]], MATCH(1, (Table12[[#This Row],[year t]]=Table32[[#All],[year t]])*(Table12[[#This Row],[stratum i]]=Table32[[#All],[stratum i]]), 0))</f>
        <v>0</v>
      </c>
      <c r="M37" cm="1">
        <f t="array" ref="M37">IF(baseline_abground_nontree = "Included", INDEX(#REF!, MATCH(1, (Table12[[#This Row],[year t]]=Table32[[#All],[year t]])*(Table12[[#This Row],[stratum i]]=Table32[[#All],[stratum i]]), 0)), 0)</f>
        <v>0</v>
      </c>
      <c r="N37">
        <f>12/44*(Table12[[#This Row],[ΔCTREE_BSL,i,t (AR Tool 14) t CO2e/yr]]+Table12[[#This Row],[ΔCSHRUB_BSL,i,t (AR Tool 14) t CO2e/yr]])</f>
        <v>0</v>
      </c>
      <c r="O37" cm="1">
        <f t="array" ref="O37">IF(baseline_abground_nontree = "Included", IFERROR(INDEX(Table13[[#All],[ΔCBSL-herb,i,t (Eq 25)]], MATCH(1, (Table12[[#This Row],[stratum i]]=Table13[[#All],[stratum i]])*(Table12[[#This Row],[year t]]&gt;=#REF!)*(Table12[[#This Row],[year t]]&lt;=Table13[[#All],[year t]]), 0)), 0), 0)</f>
        <v>0</v>
      </c>
      <c r="P37">
        <f>Table12[[#This Row],[ΔCBSL-tree/shrub,i,t (t C/yr) (Eq 24)]]+Table12[[#This Row],[ΔCBSL-herb,i,t (t C/yr)]]-Table12[[#This Row],[ΔCBSL-agbiomass,i,t; t C yr-1 (submergence)]]</f>
        <v>0</v>
      </c>
      <c r="Q37" cm="1">
        <f t="array" ref="Q37">IFERROR(INDEX(Table14[[#All],[GHGBSL-soil,i,t (Eq 26)]], MATCH(1, (Table12[[#This Row],[year t]]=Table14[[#All],[year t]])*(Table12[[#This Row],[stratum i]]=Table14[[#All],[stratum i]]), 0)), 0)</f>
        <v>0</v>
      </c>
      <c r="R37">
        <f>IF(baseline_ff_CO2 = "Included", Table12[[#This Row],[ET(FC,I,t) AR-Tool 5]], 0)</f>
        <v>0</v>
      </c>
      <c r="S37" t="e" cm="1">
        <f t="array" ref="S37">INDEX(#REF!, MATCH(1, (Table12[[#This Row],[year t]]=Table32[[#All],[year t]])*(Table12[[#This Row],[stratum i]]=Table32[[#All],[stratum i]]), 0))</f>
        <v>#REF!</v>
      </c>
      <c r="T37" cm="1">
        <f t="array" ref="T37">IFERROR(INDEX(Table30[[#All],[ΔCBSL-agbiomass,i,t (equation 22) t C yr-1]], MATCH(1, (Table12[[#This Row],[stratum i]]=Table30[[#All],[Stratum i]])*(Table12[[#This Row],[year t]]&lt;Table30[[#All],[Year of reporting]]), 0)), 0)</f>
        <v>0</v>
      </c>
      <c r="AG37" s="18">
        <v>2054</v>
      </c>
      <c r="AH37" s="18">
        <v>1</v>
      </c>
      <c r="AI37" s="49" t="e" cm="1">
        <f t="array" ref="AI37">INDEX(#REF!, MATCH(1, (Table13[[#This Row],[year t]]=Table32[[#All],[year t]])*(Table13[[#This Row],[stratum i]]=Table32[[#All],[stratum i]]), 0))</f>
        <v>#REF!</v>
      </c>
      <c r="AJ37" s="49" t="e">
        <f>Table13[[#This Row],[ΔCBSL-herb,i,t (tC/ha)]]</f>
        <v>#REF!</v>
      </c>
      <c r="AO37" s="18">
        <v>2054</v>
      </c>
      <c r="AP37" s="18">
        <v>1</v>
      </c>
      <c r="AQ37" s="18" cm="1">
        <f t="array" ref="AQ37">INDEX(Table32[[#All],[Ai,t]], MATCH(1, (Table14[[#This Row],[year t]]=Table32[[#All],[year t]])*(Table14[[#This Row],[stratum i]]=Table32[[#All],[stratum i]]), 0))</f>
        <v>1090.4420357142858</v>
      </c>
      <c r="AR37" t="str">
        <f>IF(AND(INDEX(Table31[[#All],[Soil type (t=0)]], MATCH(Table14[[#This Row],[stratum i]], Table31[[#All],[Stratum i]]))="Peat soil", Table14[[#This Row],[year t]]&lt;=Table14[[#This Row],[End_PDT]]), "Peat soil", "Non-peat soil")</f>
        <v>Non-peat soil</v>
      </c>
      <c r="AS37">
        <f>IF(Emission_reduction_from_stock_loss?, INDEX(Table2[[#All],[End_PDT]], MATCH(Table14[[#This Row],[stratum i]], Table2[[#All],[stratum i]])), crediting_period)</f>
        <v>40</v>
      </c>
      <c r="AT37">
        <f>IF(Emission_reduction_from_stock_loss?, INDEX(Table2[[#All],[End_SDT]], MATCH(Table14[[#This Row],[stratum i]], Table2[[#All],[stratum i]])), crediting_period)</f>
        <v>40</v>
      </c>
      <c r="AU37" cm="1">
        <f t="array" ref="AU3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7" t="e" cm="1">
        <f t="array" ref="AV37">INDEX(#REF!, MATCH(1, (Table14[[#This Row],[year t]]=Table32[[#All],[year t]])*(Table14[[#This Row],[stratum i]]=Table32[[#All],[stratum i]]), 0))</f>
        <v>#REF!</v>
      </c>
      <c r="AW3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7" s="57">
        <f>(Table14[[#This Row],[GHGBSL-soil-CO2,i,t (Eq 27)]]-Table14[[#This Row],[Deductionalloch (Eq 38)]])*Table14[[#This Row],[Ai,t]]</f>
        <v>0</v>
      </c>
      <c r="AY37" cm="1">
        <f t="array" ref="AY37">IF(baseline_soil_CH4 = "Included", INDEX(Table18[[#All],[GHGBSL-soil-CH4,i,t (Eq 59)]], MATCH(1, (Table14[[#This Row],[year t]]=Table18[[#All],[year t]])*(Table14[[#This Row],[stratum i]]=Table18[[#All],[stratum i]]), 0)), 0)</f>
        <v>0</v>
      </c>
      <c r="AZ37" cm="1">
        <f t="array" ref="AZ37">IF(baseline_soil_N2O = "Included", INDEX(Table18[[#All],[GHGBSL-soil-N2O,i,t (Eq 62)]], MATCH(1, (Table14[[#This Row],[year t]]=Table18[[#All],[year t]])*(Table14[[#This Row],[stratum i]]=Table18[[#All],[stratum i]]), 0)), 0)</f>
        <v>0</v>
      </c>
      <c r="BA37">
        <f>IF(AND(Table14[[#This Row],[year t]]&gt;Table14[[#This Row],[End_PDT]],Table14[[#This Row],[year t]]&gt;Table14[[#This Row],[End_SDT]]), 0, Table14[[#This Row],[Ai,t]]*(Table14[[#This Row],[GHGBSL-soil-CO2,i,t (Eq 27)]]-Table14[[#This Row],[Deductionalloch (Eq 38)]]+Table14[[#This Row],[GHGBSL-soil-CH4,i,t]]+Table14[[#This Row],[GHGBSL-soil-N2O,i,t]]))</f>
        <v>0</v>
      </c>
      <c r="BB37" t="e" cm="1">
        <f t="array" ref="BB37">INDEX(#REF!, MATCH(1, (Table14[[#This Row],[year t]]=Table32[[#All],[year t]])*(Table14[[#This Row],[stratum i]]=Table32[[#All],[stratum i]]), 0))</f>
        <v>#REF!</v>
      </c>
      <c r="BC37" t="e" cm="1">
        <f t="array" ref="BC37">INDEX(#REF!, MATCH(1, (Table14[[#This Row],[year t]]=Table32[[#All],[year t]])*(Table14[[#This Row],[stratum i]]=Table32[[#All],[stratum i]]), 0))</f>
        <v>#REF!</v>
      </c>
      <c r="BD37" t="e" cm="1">
        <f t="array" ref="BD37">INDEX(#REF!, MATCH(1, (Table14[[#This Row],[year t]]=Table32[[#All],[year t]])*(Table14[[#This Row],[stratum i]]=Table32[[#All],[stratum i]]), 0))</f>
        <v>#REF!</v>
      </c>
      <c r="BE37" t="e" cm="1">
        <f t="array" ref="BE37">INDEX(#REF!, MATCH(1, (Table14[[#This Row],[year t]]=Table32[[#All],[year t]])*(Table14[[#This Row],[stratum i]]=Table32[[#All],[stratum i]]), 0))</f>
        <v>#REF!</v>
      </c>
      <c r="BM37" s="18">
        <v>2054</v>
      </c>
      <c r="BN37" s="18">
        <v>1</v>
      </c>
      <c r="BO37" t="e" cm="1">
        <f t="array" ref="BO37">INDEX(#REF!, MATCH(1, (Table132926[[#This Row],[year t]]=Table32[year t])*(Table132926[[#This Row],[stratum i]]=Table32[[#All],[stratum i]]), 0))</f>
        <v>#REF!</v>
      </c>
      <c r="BP37" t="e">
        <f>-44/12*Table132926[[#This Row],[∆CBSL-soil,i,t (tC/ha)]]</f>
        <v>#REF!</v>
      </c>
      <c r="BV37" s="17">
        <v>5</v>
      </c>
      <c r="BW37" s="18">
        <v>5</v>
      </c>
      <c r="BX37" t="e" cm="1">
        <f t="array" ref="BX37">INDEX(Table32[[#All],[Ai,t]], MATCH(1, (Table18[[#This Row],[year t]]=Table32[[#All],[year t]])*(Table18[[#This Row],[stratum i]]=Table32[[#All],[stratum i]]), 0))</f>
        <v>#N/A</v>
      </c>
      <c r="BY37" t="e" cm="1">
        <f t="array" ref="BY37">INDEX(#REF!, MATCH(1, (Table18[[#This Row],[year t]]=Table32[[#All],[year t]])*(Table18[[#This Row],[stratum i]]=Table32[[#All],[stratum i]]), 0))</f>
        <v>#REF!</v>
      </c>
      <c r="BZ37" t="e" cm="1">
        <f t="array" ref="BZ37">INDEX(#REF!, MATCH(1, (Table18[[#This Row],[year t]]=Table32[[#All],[year t]])*(Table18[[#This Row],[stratum i]]=Table32[[#All],[stratum i]]), 0))</f>
        <v>#REF!</v>
      </c>
      <c r="CA37" t="e" cm="1">
        <f t="array" ref="CA37">INDEX(#REF!, MATCH(1, (Table18[[#This Row],[year t]]=Table32[[#All],[year t]])*(Table18[[#This Row],[stratum i]]=Table32[[#All],[stratum i]]), 0))</f>
        <v>#REF!</v>
      </c>
      <c r="CB37" t="e">
        <f>IF(soil_CH4_approach = "Proxies", Table18[[#This Row],[ƒ (GHG emission proxy: CH4)]]*GWP_CH4, IF(soil_CH4_approach = "IPCC emission factors", Table18[[#This Row],[IPCC Emission factor EF(CH4)]]*Table18[[#This Row],[Ai,t]]*GWP_CH4, Table18[[#This Row],[CH4(BSL-soil,I,t)]]*GWP_CH4))</f>
        <v>#REF!</v>
      </c>
      <c r="CC37" t="e" cm="1">
        <f t="array" ref="CC37">INDEX(#REF!, MATCH(1, (Table18[[#This Row],[year t]]=Table32[[#All],[year t]])*(Table18[[#This Row],[stratum i]]=Table32[[#All],[stratum i]]), 0))</f>
        <v>#REF!</v>
      </c>
      <c r="CD37" t="e" cm="1">
        <f t="array" ref="CD37">INDEX(#REF!, MATCH(1, (Table18[[#This Row],[year t]]=Table32[[#All],[year t]])*(Table18[[#This Row],[stratum i]]=Table32[[#All],[stratum i]]), 0))</f>
        <v>#REF!</v>
      </c>
      <c r="CE37" t="e" cm="1">
        <f t="array" ref="CE37">INDEX(#REF!, MATCH(1, (Table18[[#This Row],[year t]]=Table32[[#All],[year t]])*(Table18[[#This Row],[stratum i]]=Table32[[#All],[stratum i]]), 0))</f>
        <v>#REF!</v>
      </c>
      <c r="CF37" t="e">
        <f>IF(soil_N2O_approach = "Proxies", Table18[[#This Row],[ƒ (N2O emission proxy: N2O)]]*GWP_N2O, IF(soil_N2O_approach = "IPCC emission factors", Table18[[#This Row],[IPCC Emission factor EF(N2O)]]*Table18[[#This Row],[Ai,t]]*GWP_N2O, Table18[[#This Row],[N2O (BSL-soil,I,t)]]*GWP_N2O))</f>
        <v>#REF!</v>
      </c>
    </row>
    <row r="38" spans="3:84" x14ac:dyDescent="0.2">
      <c r="C38" s="18">
        <v>2055</v>
      </c>
      <c r="D38">
        <f>-SUMIF(Table12[[#All],[year t]], "&lt;="&amp;Table11[[#This Row],[year t]], Table12[[#All],[∆𝐶𝐵𝑆𝐿−𝑏𝑖𝑜𝑚𝑎𝑠𝑠,𝑖,t (equation 23)]])*44/12</f>
        <v>0</v>
      </c>
      <c r="E38">
        <f>SUMIF(Table12[[#All],[year t]], "&lt;="&amp;Table11[[#This Row],[year t]], Table12[[#All],[𝐺𝐻𝐺𝐵𝑆𝐿−𝑠𝑜𝑖𝑙,𝑖,t]])</f>
        <v>0</v>
      </c>
      <c r="F38">
        <f>SUMIF(Table12[[#All],[year t]], "&lt;="&amp;Table11[[#This Row],[year t]], Table12[[#All],[𝐺𝐻𝐺𝐵𝑆𝐿−𝑓𝑢𝑒𝑙,𝑖,t]])</f>
        <v>0</v>
      </c>
      <c r="G38">
        <f>Table11[[#This Row],[GHG(BSL-biomass)]]+Table11[[#This Row],[GHG(BSL-soil)]]+Table11[[#This Row],[GHG(BSL-fuel)]]</f>
        <v>0</v>
      </c>
      <c r="J38" s="18">
        <v>2055</v>
      </c>
      <c r="K38" s="18">
        <v>1</v>
      </c>
      <c r="L38" cm="1">
        <f t="array" ref="L38">INDEX(Table32[[#All],[ΔCTREE_BSL,i,t (AR Tool 14) t C/yr]], MATCH(1, (Table12[[#This Row],[year t]]=Table32[[#All],[year t]])*(Table12[[#This Row],[stratum i]]=Table32[[#All],[stratum i]]), 0))</f>
        <v>0</v>
      </c>
      <c r="M38" cm="1">
        <f t="array" ref="M38">IF(baseline_abground_nontree = "Included", INDEX(#REF!, MATCH(1, (Table12[[#This Row],[year t]]=Table32[[#All],[year t]])*(Table12[[#This Row],[stratum i]]=Table32[[#All],[stratum i]]), 0)), 0)</f>
        <v>0</v>
      </c>
      <c r="N38">
        <f>12/44*(Table12[[#This Row],[ΔCTREE_BSL,i,t (AR Tool 14) t CO2e/yr]]+Table12[[#This Row],[ΔCSHRUB_BSL,i,t (AR Tool 14) t CO2e/yr]])</f>
        <v>0</v>
      </c>
      <c r="O38" cm="1">
        <f t="array" ref="O38">IF(baseline_abground_nontree = "Included", IFERROR(INDEX(Table13[[#All],[ΔCBSL-herb,i,t (Eq 25)]], MATCH(1, (Table12[[#This Row],[stratum i]]=Table13[[#All],[stratum i]])*(Table12[[#This Row],[year t]]&gt;=#REF!)*(Table12[[#This Row],[year t]]&lt;=Table13[[#All],[year t]]), 0)), 0), 0)</f>
        <v>0</v>
      </c>
      <c r="P38">
        <f>Table12[[#This Row],[ΔCBSL-tree/shrub,i,t (t C/yr) (Eq 24)]]+Table12[[#This Row],[ΔCBSL-herb,i,t (t C/yr)]]-Table12[[#This Row],[ΔCBSL-agbiomass,i,t; t C yr-1 (submergence)]]</f>
        <v>0</v>
      </c>
      <c r="Q38" cm="1">
        <f t="array" ref="Q38">IFERROR(INDEX(Table14[[#All],[GHGBSL-soil,i,t (Eq 26)]], MATCH(1, (Table12[[#This Row],[year t]]=Table14[[#All],[year t]])*(Table12[[#This Row],[stratum i]]=Table14[[#All],[stratum i]]), 0)), 0)</f>
        <v>0</v>
      </c>
      <c r="R38">
        <f>IF(baseline_ff_CO2 = "Included", Table12[[#This Row],[ET(FC,I,t) AR-Tool 5]], 0)</f>
        <v>0</v>
      </c>
      <c r="S38" t="e" cm="1">
        <f t="array" ref="S38">INDEX(#REF!, MATCH(1, (Table12[[#This Row],[year t]]=Table32[[#All],[year t]])*(Table12[[#This Row],[stratum i]]=Table32[[#All],[stratum i]]), 0))</f>
        <v>#REF!</v>
      </c>
      <c r="T38" cm="1">
        <f t="array" ref="T38">IFERROR(INDEX(Table30[[#All],[ΔCBSL-agbiomass,i,t (equation 22) t C yr-1]], MATCH(1, (Table12[[#This Row],[stratum i]]=Table30[[#All],[Stratum i]])*(Table12[[#This Row],[year t]]&lt;Table30[[#All],[Year of reporting]]), 0)), 0)</f>
        <v>0</v>
      </c>
      <c r="AG38" s="18">
        <v>2055</v>
      </c>
      <c r="AH38" s="18">
        <v>1</v>
      </c>
      <c r="AI38" s="49" t="e" cm="1">
        <f t="array" ref="AI38">INDEX(#REF!, MATCH(1, (Table13[[#This Row],[year t]]=Table32[[#All],[year t]])*(Table13[[#This Row],[stratum i]]=Table32[[#All],[stratum i]]), 0))</f>
        <v>#REF!</v>
      </c>
      <c r="AJ38" s="49" t="e">
        <f>Table13[[#This Row],[ΔCBSL-herb,i,t (tC/ha)]]</f>
        <v>#REF!</v>
      </c>
      <c r="AO38" s="18">
        <v>2055</v>
      </c>
      <c r="AP38" s="18">
        <v>1</v>
      </c>
      <c r="AQ38" s="18" cm="1">
        <f t="array" ref="AQ38">INDEX(Table32[[#All],[Ai,t]], MATCH(1, (Table14[[#This Row],[year t]]=Table32[[#All],[year t]])*(Table14[[#This Row],[stratum i]]=Table32[[#All],[stratum i]]), 0))</f>
        <v>1090.4420357142858</v>
      </c>
      <c r="AR38" t="str">
        <f>IF(AND(INDEX(Table31[[#All],[Soil type (t=0)]], MATCH(Table14[[#This Row],[stratum i]], Table31[[#All],[Stratum i]]))="Peat soil", Table14[[#This Row],[year t]]&lt;=Table14[[#This Row],[End_PDT]]), "Peat soil", "Non-peat soil")</f>
        <v>Non-peat soil</v>
      </c>
      <c r="AS38">
        <f>IF(Emission_reduction_from_stock_loss?, INDEX(Table2[[#All],[End_PDT]], MATCH(Table14[[#This Row],[stratum i]], Table2[[#All],[stratum i]])), crediting_period)</f>
        <v>40</v>
      </c>
      <c r="AT38">
        <f>IF(Emission_reduction_from_stock_loss?, INDEX(Table2[[#All],[End_SDT]], MATCH(Table14[[#This Row],[stratum i]], Table2[[#All],[stratum i]])), crediting_period)</f>
        <v>40</v>
      </c>
      <c r="AU38" cm="1">
        <f t="array" ref="AU3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8" t="e" cm="1">
        <f t="array" ref="AV38">INDEX(#REF!, MATCH(1, (Table14[[#This Row],[year t]]=Table32[[#All],[year t]])*(Table14[[#This Row],[stratum i]]=Table32[[#All],[stratum i]]), 0))</f>
        <v>#REF!</v>
      </c>
      <c r="AW3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8" s="57">
        <f>(Table14[[#This Row],[GHGBSL-soil-CO2,i,t (Eq 27)]]-Table14[[#This Row],[Deductionalloch (Eq 38)]])*Table14[[#This Row],[Ai,t]]</f>
        <v>0</v>
      </c>
      <c r="AY38" cm="1">
        <f t="array" ref="AY38">IF(baseline_soil_CH4 = "Included", INDEX(Table18[[#All],[GHGBSL-soil-CH4,i,t (Eq 59)]], MATCH(1, (Table14[[#This Row],[year t]]=Table18[[#All],[year t]])*(Table14[[#This Row],[stratum i]]=Table18[[#All],[stratum i]]), 0)), 0)</f>
        <v>0</v>
      </c>
      <c r="AZ38" cm="1">
        <f t="array" ref="AZ38">IF(baseline_soil_N2O = "Included", INDEX(Table18[[#All],[GHGBSL-soil-N2O,i,t (Eq 62)]], MATCH(1, (Table14[[#This Row],[year t]]=Table18[[#All],[year t]])*(Table14[[#This Row],[stratum i]]=Table18[[#All],[stratum i]]), 0)), 0)</f>
        <v>0</v>
      </c>
      <c r="BA38">
        <f>IF(AND(Table14[[#This Row],[year t]]&gt;Table14[[#This Row],[End_PDT]],Table14[[#This Row],[year t]]&gt;Table14[[#This Row],[End_SDT]]), 0, Table14[[#This Row],[Ai,t]]*(Table14[[#This Row],[GHGBSL-soil-CO2,i,t (Eq 27)]]-Table14[[#This Row],[Deductionalloch (Eq 38)]]+Table14[[#This Row],[GHGBSL-soil-CH4,i,t]]+Table14[[#This Row],[GHGBSL-soil-N2O,i,t]]))</f>
        <v>0</v>
      </c>
      <c r="BB38" t="e" cm="1">
        <f t="array" ref="BB38">INDEX(#REF!, MATCH(1, (Table14[[#This Row],[year t]]=Table32[[#All],[year t]])*(Table14[[#This Row],[stratum i]]=Table32[[#All],[stratum i]]), 0))</f>
        <v>#REF!</v>
      </c>
      <c r="BC38" t="e" cm="1">
        <f t="array" ref="BC38">INDEX(#REF!, MATCH(1, (Table14[[#This Row],[year t]]=Table32[[#All],[year t]])*(Table14[[#This Row],[stratum i]]=Table32[[#All],[stratum i]]), 0))</f>
        <v>#REF!</v>
      </c>
      <c r="BD38" t="e" cm="1">
        <f t="array" ref="BD38">INDEX(#REF!, MATCH(1, (Table14[[#This Row],[year t]]=Table32[[#All],[year t]])*(Table14[[#This Row],[stratum i]]=Table32[[#All],[stratum i]]), 0))</f>
        <v>#REF!</v>
      </c>
      <c r="BE38" t="e" cm="1">
        <f t="array" ref="BE38">INDEX(#REF!, MATCH(1, (Table14[[#This Row],[year t]]=Table32[[#All],[year t]])*(Table14[[#This Row],[stratum i]]=Table32[[#All],[stratum i]]), 0))</f>
        <v>#REF!</v>
      </c>
      <c r="BM38" s="18">
        <v>2055</v>
      </c>
      <c r="BN38" s="18">
        <v>1</v>
      </c>
      <c r="BO38" t="e" cm="1">
        <f t="array" ref="BO38">INDEX(#REF!, MATCH(1, (Table132926[[#This Row],[year t]]=Table32[year t])*(Table132926[[#This Row],[stratum i]]=Table32[[#All],[stratum i]]), 0))</f>
        <v>#REF!</v>
      </c>
      <c r="BP38" t="e">
        <f>-44/12*Table132926[[#This Row],[∆CBSL-soil,i,t (tC/ha)]]</f>
        <v>#REF!</v>
      </c>
      <c r="BV38" s="18">
        <v>6</v>
      </c>
      <c r="BW38" s="18">
        <v>5</v>
      </c>
      <c r="BX38" t="e" cm="1">
        <f t="array" ref="BX38">INDEX(Table32[[#All],[Ai,t]], MATCH(1, (Table18[[#This Row],[year t]]=Table32[[#All],[year t]])*(Table18[[#This Row],[stratum i]]=Table32[[#All],[stratum i]]), 0))</f>
        <v>#N/A</v>
      </c>
      <c r="BY38" t="e" cm="1">
        <f t="array" ref="BY38">INDEX(#REF!, MATCH(1, (Table18[[#This Row],[year t]]=Table32[[#All],[year t]])*(Table18[[#This Row],[stratum i]]=Table32[[#All],[stratum i]]), 0))</f>
        <v>#REF!</v>
      </c>
      <c r="BZ38" t="e" cm="1">
        <f t="array" ref="BZ38">INDEX(#REF!, MATCH(1, (Table18[[#This Row],[year t]]=Table32[[#All],[year t]])*(Table18[[#This Row],[stratum i]]=Table32[[#All],[stratum i]]), 0))</f>
        <v>#REF!</v>
      </c>
      <c r="CA38" t="e" cm="1">
        <f t="array" ref="CA38">INDEX(#REF!, MATCH(1, (Table18[[#This Row],[year t]]=Table32[[#All],[year t]])*(Table18[[#This Row],[stratum i]]=Table32[[#All],[stratum i]]), 0))</f>
        <v>#REF!</v>
      </c>
      <c r="CB38" t="e">
        <f>IF(soil_CH4_approach = "Proxies", Table18[[#This Row],[ƒ (GHG emission proxy: CH4)]]*GWP_CH4, IF(soil_CH4_approach = "IPCC emission factors", Table18[[#This Row],[IPCC Emission factor EF(CH4)]]*Table18[[#This Row],[Ai,t]]*GWP_CH4, Table18[[#This Row],[CH4(BSL-soil,I,t)]]*GWP_CH4))</f>
        <v>#REF!</v>
      </c>
      <c r="CC38" t="e" cm="1">
        <f t="array" ref="CC38">INDEX(#REF!, MATCH(1, (Table18[[#This Row],[year t]]=Table32[[#All],[year t]])*(Table18[[#This Row],[stratum i]]=Table32[[#All],[stratum i]]), 0))</f>
        <v>#REF!</v>
      </c>
      <c r="CD38" t="e" cm="1">
        <f t="array" ref="CD38">INDEX(#REF!, MATCH(1, (Table18[[#This Row],[year t]]=Table32[[#All],[year t]])*(Table18[[#This Row],[stratum i]]=Table32[[#All],[stratum i]]), 0))</f>
        <v>#REF!</v>
      </c>
      <c r="CE38" t="e" cm="1">
        <f t="array" ref="CE38">INDEX(#REF!, MATCH(1, (Table18[[#This Row],[year t]]=Table32[[#All],[year t]])*(Table18[[#This Row],[stratum i]]=Table32[[#All],[stratum i]]), 0))</f>
        <v>#REF!</v>
      </c>
      <c r="CF38" t="e">
        <f>IF(soil_N2O_approach = "Proxies", Table18[[#This Row],[ƒ (N2O emission proxy: N2O)]]*GWP_N2O, IF(soil_N2O_approach = "IPCC emission factors", Table18[[#This Row],[IPCC Emission factor EF(N2O)]]*Table18[[#This Row],[Ai,t]]*GWP_N2O, Table18[[#This Row],[N2O (BSL-soil,I,t)]]*GWP_N2O))</f>
        <v>#REF!</v>
      </c>
    </row>
    <row r="39" spans="3:84" x14ac:dyDescent="0.2">
      <c r="C39" s="18">
        <v>2056</v>
      </c>
      <c r="D39">
        <f>-SUMIF(Table12[[#All],[year t]], "&lt;="&amp;Table11[[#This Row],[year t]], Table12[[#All],[∆𝐶𝐵𝑆𝐿−𝑏𝑖𝑜𝑚𝑎𝑠𝑠,𝑖,t (equation 23)]])*44/12</f>
        <v>0</v>
      </c>
      <c r="E39">
        <f>SUMIF(Table12[[#All],[year t]], "&lt;="&amp;Table11[[#This Row],[year t]], Table12[[#All],[𝐺𝐻𝐺𝐵𝑆𝐿−𝑠𝑜𝑖𝑙,𝑖,t]])</f>
        <v>0</v>
      </c>
      <c r="F39">
        <f>SUMIF(Table12[[#All],[year t]], "&lt;="&amp;Table11[[#This Row],[year t]], Table12[[#All],[𝐺𝐻𝐺𝐵𝑆𝐿−𝑓𝑢𝑒𝑙,𝑖,t]])</f>
        <v>0</v>
      </c>
      <c r="G39">
        <f>Table11[[#This Row],[GHG(BSL-biomass)]]+Table11[[#This Row],[GHG(BSL-soil)]]+Table11[[#This Row],[GHG(BSL-fuel)]]</f>
        <v>0</v>
      </c>
      <c r="J39" s="18">
        <v>2056</v>
      </c>
      <c r="K39" s="18">
        <v>1</v>
      </c>
      <c r="L39" cm="1">
        <f t="array" ref="L39">INDEX(Table32[[#All],[ΔCTREE_BSL,i,t (AR Tool 14) t C/yr]], MATCH(1, (Table12[[#This Row],[year t]]=Table32[[#All],[year t]])*(Table12[[#This Row],[stratum i]]=Table32[[#All],[stratum i]]), 0))</f>
        <v>0</v>
      </c>
      <c r="M39" cm="1">
        <f t="array" ref="M39">IF(baseline_abground_nontree = "Included", INDEX(#REF!, MATCH(1, (Table12[[#This Row],[year t]]=Table32[[#All],[year t]])*(Table12[[#This Row],[stratum i]]=Table32[[#All],[stratum i]]), 0)), 0)</f>
        <v>0</v>
      </c>
      <c r="N39">
        <f>12/44*(Table12[[#This Row],[ΔCTREE_BSL,i,t (AR Tool 14) t CO2e/yr]]+Table12[[#This Row],[ΔCSHRUB_BSL,i,t (AR Tool 14) t CO2e/yr]])</f>
        <v>0</v>
      </c>
      <c r="O39" cm="1">
        <f t="array" ref="O39">IF(baseline_abground_nontree = "Included", IFERROR(INDEX(Table13[[#All],[ΔCBSL-herb,i,t (Eq 25)]], MATCH(1, (Table12[[#This Row],[stratum i]]=Table13[[#All],[stratum i]])*(Table12[[#This Row],[year t]]&gt;=#REF!)*(Table12[[#This Row],[year t]]&lt;=Table13[[#All],[year t]]), 0)), 0), 0)</f>
        <v>0</v>
      </c>
      <c r="P39">
        <f>Table12[[#This Row],[ΔCBSL-tree/shrub,i,t (t C/yr) (Eq 24)]]+Table12[[#This Row],[ΔCBSL-herb,i,t (t C/yr)]]-Table12[[#This Row],[ΔCBSL-agbiomass,i,t; t C yr-1 (submergence)]]</f>
        <v>0</v>
      </c>
      <c r="Q39" cm="1">
        <f t="array" ref="Q39">IFERROR(INDEX(Table14[[#All],[GHGBSL-soil,i,t (Eq 26)]], MATCH(1, (Table12[[#This Row],[year t]]=Table14[[#All],[year t]])*(Table12[[#This Row],[stratum i]]=Table14[[#All],[stratum i]]), 0)), 0)</f>
        <v>0</v>
      </c>
      <c r="R39">
        <f>IF(baseline_ff_CO2 = "Included", Table12[[#This Row],[ET(FC,I,t) AR-Tool 5]], 0)</f>
        <v>0</v>
      </c>
      <c r="S39" t="e" cm="1">
        <f t="array" ref="S39">INDEX(#REF!, MATCH(1, (Table12[[#This Row],[year t]]=Table32[[#All],[year t]])*(Table12[[#This Row],[stratum i]]=Table32[[#All],[stratum i]]), 0))</f>
        <v>#REF!</v>
      </c>
      <c r="T39" cm="1">
        <f t="array" ref="T39">IFERROR(INDEX(Table30[[#All],[ΔCBSL-agbiomass,i,t (equation 22) t C yr-1]], MATCH(1, (Table12[[#This Row],[stratum i]]=Table30[[#All],[Stratum i]])*(Table12[[#This Row],[year t]]&lt;Table30[[#All],[Year of reporting]]), 0)), 0)</f>
        <v>0</v>
      </c>
      <c r="AG39" s="18">
        <v>2056</v>
      </c>
      <c r="AH39" s="18">
        <v>1</v>
      </c>
      <c r="AI39" s="49" t="e" cm="1">
        <f t="array" ref="AI39">INDEX(#REF!, MATCH(1, (Table13[[#This Row],[year t]]=Table32[[#All],[year t]])*(Table13[[#This Row],[stratum i]]=Table32[[#All],[stratum i]]), 0))</f>
        <v>#REF!</v>
      </c>
      <c r="AJ39" s="49" t="e">
        <f>Table13[[#This Row],[ΔCBSL-herb,i,t (tC/ha)]]</f>
        <v>#REF!</v>
      </c>
      <c r="AO39" s="18">
        <v>2056</v>
      </c>
      <c r="AP39" s="18">
        <v>1</v>
      </c>
      <c r="AQ39" s="18" cm="1">
        <f t="array" ref="AQ39">INDEX(Table32[[#All],[Ai,t]], MATCH(1, (Table14[[#This Row],[year t]]=Table32[[#All],[year t]])*(Table14[[#This Row],[stratum i]]=Table32[[#All],[stratum i]]), 0))</f>
        <v>1090.4420357142858</v>
      </c>
      <c r="AR39" t="str">
        <f>IF(AND(INDEX(Table31[[#All],[Soil type (t=0)]], MATCH(Table14[[#This Row],[stratum i]], Table31[[#All],[Stratum i]]))="Peat soil", Table14[[#This Row],[year t]]&lt;=Table14[[#This Row],[End_PDT]]), "Peat soil", "Non-peat soil")</f>
        <v>Non-peat soil</v>
      </c>
      <c r="AS39">
        <f>IF(Emission_reduction_from_stock_loss?, INDEX(Table2[[#All],[End_PDT]], MATCH(Table14[[#This Row],[stratum i]], Table2[[#All],[stratum i]])), crediting_period)</f>
        <v>40</v>
      </c>
      <c r="AT39">
        <f>IF(Emission_reduction_from_stock_loss?, INDEX(Table2[[#All],[End_SDT]], MATCH(Table14[[#This Row],[stratum i]], Table2[[#All],[stratum i]])), crediting_period)</f>
        <v>40</v>
      </c>
      <c r="AU39" cm="1">
        <f t="array" ref="AU3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39" t="e" cm="1">
        <f t="array" ref="AV39">INDEX(#REF!, MATCH(1, (Table14[[#This Row],[year t]]=Table32[[#All],[year t]])*(Table14[[#This Row],[stratum i]]=Table32[[#All],[stratum i]]), 0))</f>
        <v>#REF!</v>
      </c>
      <c r="AW3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39" s="57">
        <f>(Table14[[#This Row],[GHGBSL-soil-CO2,i,t (Eq 27)]]-Table14[[#This Row],[Deductionalloch (Eq 38)]])*Table14[[#This Row],[Ai,t]]</f>
        <v>0</v>
      </c>
      <c r="AY39" cm="1">
        <f t="array" ref="AY39">IF(baseline_soil_CH4 = "Included", INDEX(Table18[[#All],[GHGBSL-soil-CH4,i,t (Eq 59)]], MATCH(1, (Table14[[#This Row],[year t]]=Table18[[#All],[year t]])*(Table14[[#This Row],[stratum i]]=Table18[[#All],[stratum i]]), 0)), 0)</f>
        <v>0</v>
      </c>
      <c r="AZ39" cm="1">
        <f t="array" ref="AZ39">IF(baseline_soil_N2O = "Included", INDEX(Table18[[#All],[GHGBSL-soil-N2O,i,t (Eq 62)]], MATCH(1, (Table14[[#This Row],[year t]]=Table18[[#All],[year t]])*(Table14[[#This Row],[stratum i]]=Table18[[#All],[stratum i]]), 0)), 0)</f>
        <v>0</v>
      </c>
      <c r="BA39">
        <f>IF(AND(Table14[[#This Row],[year t]]&gt;Table14[[#This Row],[End_PDT]],Table14[[#This Row],[year t]]&gt;Table14[[#This Row],[End_SDT]]), 0, Table14[[#This Row],[Ai,t]]*(Table14[[#This Row],[GHGBSL-soil-CO2,i,t (Eq 27)]]-Table14[[#This Row],[Deductionalloch (Eq 38)]]+Table14[[#This Row],[GHGBSL-soil-CH4,i,t]]+Table14[[#This Row],[GHGBSL-soil-N2O,i,t]]))</f>
        <v>0</v>
      </c>
      <c r="BB39" t="e" cm="1">
        <f t="array" ref="BB39">INDEX(#REF!, MATCH(1, (Table14[[#This Row],[year t]]=Table32[[#All],[year t]])*(Table14[[#This Row],[stratum i]]=Table32[[#All],[stratum i]]), 0))</f>
        <v>#REF!</v>
      </c>
      <c r="BC39" t="e" cm="1">
        <f t="array" ref="BC39">INDEX(#REF!, MATCH(1, (Table14[[#This Row],[year t]]=Table32[[#All],[year t]])*(Table14[[#This Row],[stratum i]]=Table32[[#All],[stratum i]]), 0))</f>
        <v>#REF!</v>
      </c>
      <c r="BD39" t="e" cm="1">
        <f t="array" ref="BD39">INDEX(#REF!, MATCH(1, (Table14[[#This Row],[year t]]=Table32[[#All],[year t]])*(Table14[[#This Row],[stratum i]]=Table32[[#All],[stratum i]]), 0))</f>
        <v>#REF!</v>
      </c>
      <c r="BE39" t="e" cm="1">
        <f t="array" ref="BE39">INDEX(#REF!, MATCH(1, (Table14[[#This Row],[year t]]=Table32[[#All],[year t]])*(Table14[[#This Row],[stratum i]]=Table32[[#All],[stratum i]]), 0))</f>
        <v>#REF!</v>
      </c>
      <c r="BM39" s="18">
        <v>2056</v>
      </c>
      <c r="BN39" s="18">
        <v>1</v>
      </c>
      <c r="BO39" t="e" cm="1">
        <f t="array" ref="BO39">INDEX(#REF!, MATCH(1, (Table132926[[#This Row],[year t]]=Table32[year t])*(Table132926[[#This Row],[stratum i]]=Table32[[#All],[stratum i]]), 0))</f>
        <v>#REF!</v>
      </c>
      <c r="BP39" t="e">
        <f>-44/12*Table132926[[#This Row],[∆CBSL-soil,i,t (tC/ha)]]</f>
        <v>#REF!</v>
      </c>
      <c r="BV39" s="17">
        <v>7</v>
      </c>
      <c r="BW39" s="18">
        <v>5</v>
      </c>
      <c r="BX39" t="e" cm="1">
        <f t="array" ref="BX39">INDEX(Table32[[#All],[Ai,t]], MATCH(1, (Table18[[#This Row],[year t]]=Table32[[#All],[year t]])*(Table18[[#This Row],[stratum i]]=Table32[[#All],[stratum i]]), 0))</f>
        <v>#N/A</v>
      </c>
      <c r="BY39" t="e" cm="1">
        <f t="array" ref="BY39">INDEX(#REF!, MATCH(1, (Table18[[#This Row],[year t]]=Table32[[#All],[year t]])*(Table18[[#This Row],[stratum i]]=Table32[[#All],[stratum i]]), 0))</f>
        <v>#REF!</v>
      </c>
      <c r="BZ39" t="e" cm="1">
        <f t="array" ref="BZ39">INDEX(#REF!, MATCH(1, (Table18[[#This Row],[year t]]=Table32[[#All],[year t]])*(Table18[[#This Row],[stratum i]]=Table32[[#All],[stratum i]]), 0))</f>
        <v>#REF!</v>
      </c>
      <c r="CA39" t="e" cm="1">
        <f t="array" ref="CA39">INDEX(#REF!, MATCH(1, (Table18[[#This Row],[year t]]=Table32[[#All],[year t]])*(Table18[[#This Row],[stratum i]]=Table32[[#All],[stratum i]]), 0))</f>
        <v>#REF!</v>
      </c>
      <c r="CB39" t="e">
        <f>IF(soil_CH4_approach = "Proxies", Table18[[#This Row],[ƒ (GHG emission proxy: CH4)]]*GWP_CH4, IF(soil_CH4_approach = "IPCC emission factors", Table18[[#This Row],[IPCC Emission factor EF(CH4)]]*Table18[[#This Row],[Ai,t]]*GWP_CH4, Table18[[#This Row],[CH4(BSL-soil,I,t)]]*GWP_CH4))</f>
        <v>#REF!</v>
      </c>
      <c r="CC39" t="e" cm="1">
        <f t="array" ref="CC39">INDEX(#REF!, MATCH(1, (Table18[[#This Row],[year t]]=Table32[[#All],[year t]])*(Table18[[#This Row],[stratum i]]=Table32[[#All],[stratum i]]), 0))</f>
        <v>#REF!</v>
      </c>
      <c r="CD39" t="e" cm="1">
        <f t="array" ref="CD39">INDEX(#REF!, MATCH(1, (Table18[[#This Row],[year t]]=Table32[[#All],[year t]])*(Table18[[#This Row],[stratum i]]=Table32[[#All],[stratum i]]), 0))</f>
        <v>#REF!</v>
      </c>
      <c r="CE39" t="e" cm="1">
        <f t="array" ref="CE39">INDEX(#REF!, MATCH(1, (Table18[[#This Row],[year t]]=Table32[[#All],[year t]])*(Table18[[#This Row],[stratum i]]=Table32[[#All],[stratum i]]), 0))</f>
        <v>#REF!</v>
      </c>
      <c r="CF39" t="e">
        <f>IF(soil_N2O_approach = "Proxies", Table18[[#This Row],[ƒ (N2O emission proxy: N2O)]]*GWP_N2O, IF(soil_N2O_approach = "IPCC emission factors", Table18[[#This Row],[IPCC Emission factor EF(N2O)]]*Table18[[#This Row],[Ai,t]]*GWP_N2O, Table18[[#This Row],[N2O (BSL-soil,I,t)]]*GWP_N2O))</f>
        <v>#REF!</v>
      </c>
    </row>
    <row r="40" spans="3:84" x14ac:dyDescent="0.2">
      <c r="C40" s="18">
        <v>2057</v>
      </c>
      <c r="D40">
        <f>-SUMIF(Table12[[#All],[year t]], "&lt;="&amp;Table11[[#This Row],[year t]], Table12[[#All],[∆𝐶𝐵𝑆𝐿−𝑏𝑖𝑜𝑚𝑎𝑠𝑠,𝑖,t (equation 23)]])*44/12</f>
        <v>0</v>
      </c>
      <c r="E40">
        <f>SUMIF(Table12[[#All],[year t]], "&lt;="&amp;Table11[[#This Row],[year t]], Table12[[#All],[𝐺𝐻𝐺𝐵𝑆𝐿−𝑠𝑜𝑖𝑙,𝑖,t]])</f>
        <v>0</v>
      </c>
      <c r="F40">
        <f>SUMIF(Table12[[#All],[year t]], "&lt;="&amp;Table11[[#This Row],[year t]], Table12[[#All],[𝐺𝐻𝐺𝐵𝑆𝐿−𝑓𝑢𝑒𝑙,𝑖,t]])</f>
        <v>0</v>
      </c>
      <c r="G40">
        <f>Table11[[#This Row],[GHG(BSL-biomass)]]+Table11[[#This Row],[GHG(BSL-soil)]]+Table11[[#This Row],[GHG(BSL-fuel)]]</f>
        <v>0</v>
      </c>
      <c r="J40" s="18">
        <v>2057</v>
      </c>
      <c r="K40" s="18">
        <v>1</v>
      </c>
      <c r="L40" cm="1">
        <f t="array" ref="L40">INDEX(Table32[[#All],[ΔCTREE_BSL,i,t (AR Tool 14) t C/yr]], MATCH(1, (Table12[[#This Row],[year t]]=Table32[[#All],[year t]])*(Table12[[#This Row],[stratum i]]=Table32[[#All],[stratum i]]), 0))</f>
        <v>0</v>
      </c>
      <c r="M40" cm="1">
        <f t="array" ref="M40">IF(baseline_abground_nontree = "Included", INDEX(#REF!, MATCH(1, (Table12[[#This Row],[year t]]=Table32[[#All],[year t]])*(Table12[[#This Row],[stratum i]]=Table32[[#All],[stratum i]]), 0)), 0)</f>
        <v>0</v>
      </c>
      <c r="N40">
        <f>12/44*(Table12[[#This Row],[ΔCTREE_BSL,i,t (AR Tool 14) t CO2e/yr]]+Table12[[#This Row],[ΔCSHRUB_BSL,i,t (AR Tool 14) t CO2e/yr]])</f>
        <v>0</v>
      </c>
      <c r="O40" cm="1">
        <f t="array" ref="O40">IF(baseline_abground_nontree = "Included", IFERROR(INDEX(Table13[[#All],[ΔCBSL-herb,i,t (Eq 25)]], MATCH(1, (Table12[[#This Row],[stratum i]]=Table13[[#All],[stratum i]])*(Table12[[#This Row],[year t]]&gt;=#REF!)*(Table12[[#This Row],[year t]]&lt;=Table13[[#All],[year t]]), 0)), 0), 0)</f>
        <v>0</v>
      </c>
      <c r="P40">
        <f>Table12[[#This Row],[ΔCBSL-tree/shrub,i,t (t C/yr) (Eq 24)]]+Table12[[#This Row],[ΔCBSL-herb,i,t (t C/yr)]]-Table12[[#This Row],[ΔCBSL-agbiomass,i,t; t C yr-1 (submergence)]]</f>
        <v>0</v>
      </c>
      <c r="Q40" cm="1">
        <f t="array" ref="Q40">IFERROR(INDEX(Table14[[#All],[GHGBSL-soil,i,t (Eq 26)]], MATCH(1, (Table12[[#This Row],[year t]]=Table14[[#All],[year t]])*(Table12[[#This Row],[stratum i]]=Table14[[#All],[stratum i]]), 0)), 0)</f>
        <v>0</v>
      </c>
      <c r="R40">
        <f>IF(baseline_ff_CO2 = "Included", Table12[[#This Row],[ET(FC,I,t) AR-Tool 5]], 0)</f>
        <v>0</v>
      </c>
      <c r="S40" t="e" cm="1">
        <f t="array" ref="S40">INDEX(#REF!, MATCH(1, (Table12[[#This Row],[year t]]=Table32[[#All],[year t]])*(Table12[[#This Row],[stratum i]]=Table32[[#All],[stratum i]]), 0))</f>
        <v>#REF!</v>
      </c>
      <c r="T40" cm="1">
        <f t="array" ref="T40">IFERROR(INDEX(Table30[[#All],[ΔCBSL-agbiomass,i,t (equation 22) t C yr-1]], MATCH(1, (Table12[[#This Row],[stratum i]]=Table30[[#All],[Stratum i]])*(Table12[[#This Row],[year t]]&lt;Table30[[#All],[Year of reporting]]), 0)), 0)</f>
        <v>0</v>
      </c>
      <c r="AG40" s="18">
        <v>2057</v>
      </c>
      <c r="AH40" s="18">
        <v>1</v>
      </c>
      <c r="AI40" s="49" t="e" cm="1">
        <f t="array" ref="AI40">INDEX(#REF!, MATCH(1, (Table13[[#This Row],[year t]]=Table32[[#All],[year t]])*(Table13[[#This Row],[stratum i]]=Table32[[#All],[stratum i]]), 0))</f>
        <v>#REF!</v>
      </c>
      <c r="AJ40" s="49" t="e">
        <f>Table13[[#This Row],[ΔCBSL-herb,i,t (tC/ha)]]</f>
        <v>#REF!</v>
      </c>
      <c r="AO40" s="18">
        <v>2057</v>
      </c>
      <c r="AP40" s="18">
        <v>1</v>
      </c>
      <c r="AQ40" s="18" cm="1">
        <f t="array" ref="AQ40">INDEX(Table32[[#All],[Ai,t]], MATCH(1, (Table14[[#This Row],[year t]]=Table32[[#All],[year t]])*(Table14[[#This Row],[stratum i]]=Table32[[#All],[stratum i]]), 0))</f>
        <v>1090.4420357142858</v>
      </c>
      <c r="AR40" t="str">
        <f>IF(AND(INDEX(Table31[[#All],[Soil type (t=0)]], MATCH(Table14[[#This Row],[stratum i]], Table31[[#All],[Stratum i]]))="Peat soil", Table14[[#This Row],[year t]]&lt;=Table14[[#This Row],[End_PDT]]), "Peat soil", "Non-peat soil")</f>
        <v>Non-peat soil</v>
      </c>
      <c r="AS40">
        <f>IF(Emission_reduction_from_stock_loss?, INDEX(Table2[[#All],[End_PDT]], MATCH(Table14[[#This Row],[stratum i]], Table2[[#All],[stratum i]])), crediting_period)</f>
        <v>40</v>
      </c>
      <c r="AT40">
        <f>IF(Emission_reduction_from_stock_loss?, INDEX(Table2[[#All],[End_SDT]], MATCH(Table14[[#This Row],[stratum i]], Table2[[#All],[stratum i]])), crediting_period)</f>
        <v>40</v>
      </c>
      <c r="AU40" cm="1">
        <f t="array" ref="AU4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0" t="e" cm="1">
        <f t="array" ref="AV40">INDEX(#REF!, MATCH(1, (Table14[[#This Row],[year t]]=Table32[[#All],[year t]])*(Table14[[#This Row],[stratum i]]=Table32[[#All],[stratum i]]), 0))</f>
        <v>#REF!</v>
      </c>
      <c r="AW4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0" s="57">
        <f>(Table14[[#This Row],[GHGBSL-soil-CO2,i,t (Eq 27)]]-Table14[[#This Row],[Deductionalloch (Eq 38)]])*Table14[[#This Row],[Ai,t]]</f>
        <v>0</v>
      </c>
      <c r="AY40" cm="1">
        <f t="array" ref="AY40">IF(baseline_soil_CH4 = "Included", INDEX(Table18[[#All],[GHGBSL-soil-CH4,i,t (Eq 59)]], MATCH(1, (Table14[[#This Row],[year t]]=Table18[[#All],[year t]])*(Table14[[#This Row],[stratum i]]=Table18[[#All],[stratum i]]), 0)), 0)</f>
        <v>0</v>
      </c>
      <c r="AZ40" cm="1">
        <f t="array" ref="AZ40">IF(baseline_soil_N2O = "Included", INDEX(Table18[[#All],[GHGBSL-soil-N2O,i,t (Eq 62)]], MATCH(1, (Table14[[#This Row],[year t]]=Table18[[#All],[year t]])*(Table14[[#This Row],[stratum i]]=Table18[[#All],[stratum i]]), 0)), 0)</f>
        <v>0</v>
      </c>
      <c r="BA40">
        <f>IF(AND(Table14[[#This Row],[year t]]&gt;Table14[[#This Row],[End_PDT]],Table14[[#This Row],[year t]]&gt;Table14[[#This Row],[End_SDT]]), 0, Table14[[#This Row],[Ai,t]]*(Table14[[#This Row],[GHGBSL-soil-CO2,i,t (Eq 27)]]-Table14[[#This Row],[Deductionalloch (Eq 38)]]+Table14[[#This Row],[GHGBSL-soil-CH4,i,t]]+Table14[[#This Row],[GHGBSL-soil-N2O,i,t]]))</f>
        <v>0</v>
      </c>
      <c r="BB40" t="e" cm="1">
        <f t="array" ref="BB40">INDEX(#REF!, MATCH(1, (Table14[[#This Row],[year t]]=Table32[[#All],[year t]])*(Table14[[#This Row],[stratum i]]=Table32[[#All],[stratum i]]), 0))</f>
        <v>#REF!</v>
      </c>
      <c r="BC40" t="e" cm="1">
        <f t="array" ref="BC40">INDEX(#REF!, MATCH(1, (Table14[[#This Row],[year t]]=Table32[[#All],[year t]])*(Table14[[#This Row],[stratum i]]=Table32[[#All],[stratum i]]), 0))</f>
        <v>#REF!</v>
      </c>
      <c r="BD40" t="e" cm="1">
        <f t="array" ref="BD40">INDEX(#REF!, MATCH(1, (Table14[[#This Row],[year t]]=Table32[[#All],[year t]])*(Table14[[#This Row],[stratum i]]=Table32[[#All],[stratum i]]), 0))</f>
        <v>#REF!</v>
      </c>
      <c r="BE40" t="e" cm="1">
        <f t="array" ref="BE40">INDEX(#REF!, MATCH(1, (Table14[[#This Row],[year t]]=Table32[[#All],[year t]])*(Table14[[#This Row],[stratum i]]=Table32[[#All],[stratum i]]), 0))</f>
        <v>#REF!</v>
      </c>
      <c r="BF40" s="30"/>
      <c r="BM40" s="18">
        <v>2057</v>
      </c>
      <c r="BN40" s="18">
        <v>1</v>
      </c>
      <c r="BO40" t="e" cm="1">
        <f t="array" ref="BO40">INDEX(#REF!, MATCH(1, (Table132926[[#This Row],[year t]]=Table32[year t])*(Table132926[[#This Row],[stratum i]]=Table32[[#All],[stratum i]]), 0))</f>
        <v>#REF!</v>
      </c>
      <c r="BP40" t="e">
        <f>-44/12*Table132926[[#This Row],[∆CBSL-soil,i,t (tC/ha)]]</f>
        <v>#REF!</v>
      </c>
    </row>
    <row r="41" spans="3:84" x14ac:dyDescent="0.2">
      <c r="C41" s="18">
        <v>2058</v>
      </c>
      <c r="D41">
        <f>-SUMIF(Table12[[#All],[year t]], "&lt;="&amp;Table11[[#This Row],[year t]], Table12[[#All],[∆𝐶𝐵𝑆𝐿−𝑏𝑖𝑜𝑚𝑎𝑠𝑠,𝑖,t (equation 23)]])*44/12</f>
        <v>0</v>
      </c>
      <c r="E41">
        <f>SUMIF(Table12[[#All],[year t]], "&lt;="&amp;Table11[[#This Row],[year t]], Table12[[#All],[𝐺𝐻𝐺𝐵𝑆𝐿−𝑠𝑜𝑖𝑙,𝑖,t]])</f>
        <v>0</v>
      </c>
      <c r="F41">
        <f>SUMIF(Table12[[#All],[year t]], "&lt;="&amp;Table11[[#This Row],[year t]], Table12[[#All],[𝐺𝐻𝐺𝐵𝑆𝐿−𝑓𝑢𝑒𝑙,𝑖,t]])</f>
        <v>0</v>
      </c>
      <c r="G41">
        <f>Table11[[#This Row],[GHG(BSL-biomass)]]+Table11[[#This Row],[GHG(BSL-soil)]]+Table11[[#This Row],[GHG(BSL-fuel)]]</f>
        <v>0</v>
      </c>
      <c r="J41" s="18">
        <v>2058</v>
      </c>
      <c r="K41" s="18">
        <v>1</v>
      </c>
      <c r="L41" cm="1">
        <f t="array" ref="L41">INDEX(Table32[[#All],[ΔCTREE_BSL,i,t (AR Tool 14) t C/yr]], MATCH(1, (Table12[[#This Row],[year t]]=Table32[[#All],[year t]])*(Table12[[#This Row],[stratum i]]=Table32[[#All],[stratum i]]), 0))</f>
        <v>0</v>
      </c>
      <c r="M41" cm="1">
        <f t="array" ref="M41">IF(baseline_abground_nontree = "Included", INDEX(#REF!, MATCH(1, (Table12[[#This Row],[year t]]=Table32[[#All],[year t]])*(Table12[[#This Row],[stratum i]]=Table32[[#All],[stratum i]]), 0)), 0)</f>
        <v>0</v>
      </c>
      <c r="N41">
        <f>12/44*(Table12[[#This Row],[ΔCTREE_BSL,i,t (AR Tool 14) t CO2e/yr]]+Table12[[#This Row],[ΔCSHRUB_BSL,i,t (AR Tool 14) t CO2e/yr]])</f>
        <v>0</v>
      </c>
      <c r="O41" cm="1">
        <f t="array" ref="O41">IF(baseline_abground_nontree = "Included", IFERROR(INDEX(Table13[[#All],[ΔCBSL-herb,i,t (Eq 25)]], MATCH(1, (Table12[[#This Row],[stratum i]]=Table13[[#All],[stratum i]])*(Table12[[#This Row],[year t]]&gt;=#REF!)*(Table12[[#This Row],[year t]]&lt;=Table13[[#All],[year t]]), 0)), 0), 0)</f>
        <v>0</v>
      </c>
      <c r="P41">
        <f>Table12[[#This Row],[ΔCBSL-tree/shrub,i,t (t C/yr) (Eq 24)]]+Table12[[#This Row],[ΔCBSL-herb,i,t (t C/yr)]]-Table12[[#This Row],[ΔCBSL-agbiomass,i,t; t C yr-1 (submergence)]]</f>
        <v>0</v>
      </c>
      <c r="Q41" cm="1">
        <f t="array" ref="Q41">IFERROR(INDEX(Table14[[#All],[GHGBSL-soil,i,t (Eq 26)]], MATCH(1, (Table12[[#This Row],[year t]]=Table14[[#All],[year t]])*(Table12[[#This Row],[stratum i]]=Table14[[#All],[stratum i]]), 0)), 0)</f>
        <v>0</v>
      </c>
      <c r="R41">
        <f>IF(baseline_ff_CO2 = "Included", Table12[[#This Row],[ET(FC,I,t) AR-Tool 5]], 0)</f>
        <v>0</v>
      </c>
      <c r="S41" t="e" cm="1">
        <f t="array" ref="S41">INDEX(#REF!, MATCH(1, (Table12[[#This Row],[year t]]=Table32[[#All],[year t]])*(Table12[[#This Row],[stratum i]]=Table32[[#All],[stratum i]]), 0))</f>
        <v>#REF!</v>
      </c>
      <c r="T41" cm="1">
        <f t="array" ref="T41">IFERROR(INDEX(Table30[[#All],[ΔCBSL-agbiomass,i,t (equation 22) t C yr-1]], MATCH(1, (Table12[[#This Row],[stratum i]]=Table30[[#All],[Stratum i]])*(Table12[[#This Row],[year t]]&lt;Table30[[#All],[Year of reporting]]), 0)), 0)</f>
        <v>0</v>
      </c>
      <c r="AG41" s="18">
        <v>2058</v>
      </c>
      <c r="AH41" s="18">
        <v>1</v>
      </c>
      <c r="AI41" s="49" t="e" cm="1">
        <f t="array" ref="AI41">INDEX(#REF!, MATCH(1, (Table13[[#This Row],[year t]]=Table32[[#All],[year t]])*(Table13[[#This Row],[stratum i]]=Table32[[#All],[stratum i]]), 0))</f>
        <v>#REF!</v>
      </c>
      <c r="AJ41" s="49" t="e">
        <f>Table13[[#This Row],[ΔCBSL-herb,i,t (tC/ha)]]</f>
        <v>#REF!</v>
      </c>
      <c r="AO41" s="18">
        <v>2058</v>
      </c>
      <c r="AP41" s="18">
        <v>1</v>
      </c>
      <c r="AQ41" s="18" cm="1">
        <f t="array" ref="AQ41">INDEX(Table32[[#All],[Ai,t]], MATCH(1, (Table14[[#This Row],[year t]]=Table32[[#All],[year t]])*(Table14[[#This Row],[stratum i]]=Table32[[#All],[stratum i]]), 0))</f>
        <v>1090.4420357142858</v>
      </c>
      <c r="AR41" t="str">
        <f>IF(AND(INDEX(Table31[[#All],[Soil type (t=0)]], MATCH(Table14[[#This Row],[stratum i]], Table31[[#All],[Stratum i]]))="Peat soil", Table14[[#This Row],[year t]]&lt;=Table14[[#This Row],[End_PDT]]), "Peat soil", "Non-peat soil")</f>
        <v>Non-peat soil</v>
      </c>
      <c r="AS41">
        <f>IF(Emission_reduction_from_stock_loss?, INDEX(Table2[[#All],[End_PDT]], MATCH(Table14[[#This Row],[stratum i]], Table2[[#All],[stratum i]])), crediting_period)</f>
        <v>40</v>
      </c>
      <c r="AT41">
        <f>IF(Emission_reduction_from_stock_loss?, INDEX(Table2[[#All],[End_SDT]], MATCH(Table14[[#This Row],[stratum i]], Table2[[#All],[stratum i]])), crediting_period)</f>
        <v>40</v>
      </c>
      <c r="AU41" cm="1">
        <f t="array" ref="AU4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1" t="e" cm="1">
        <f t="array" ref="AV41">INDEX(#REF!, MATCH(1, (Table14[[#This Row],[year t]]=Table32[[#All],[year t]])*(Table14[[#This Row],[stratum i]]=Table32[[#All],[stratum i]]), 0))</f>
        <v>#REF!</v>
      </c>
      <c r="AW4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1" s="57">
        <f>(Table14[[#This Row],[GHGBSL-soil-CO2,i,t (Eq 27)]]-Table14[[#This Row],[Deductionalloch (Eq 38)]])*Table14[[#This Row],[Ai,t]]</f>
        <v>0</v>
      </c>
      <c r="AY41" cm="1">
        <f t="array" ref="AY41">IF(baseline_soil_CH4 = "Included", INDEX(Table18[[#All],[GHGBSL-soil-CH4,i,t (Eq 59)]], MATCH(1, (Table14[[#This Row],[year t]]=Table18[[#All],[year t]])*(Table14[[#This Row],[stratum i]]=Table18[[#All],[stratum i]]), 0)), 0)</f>
        <v>0</v>
      </c>
      <c r="AZ41" cm="1">
        <f t="array" ref="AZ41">IF(baseline_soil_N2O = "Included", INDEX(Table18[[#All],[GHGBSL-soil-N2O,i,t (Eq 62)]], MATCH(1, (Table14[[#This Row],[year t]]=Table18[[#All],[year t]])*(Table14[[#This Row],[stratum i]]=Table18[[#All],[stratum i]]), 0)), 0)</f>
        <v>0</v>
      </c>
      <c r="BA41">
        <f>IF(AND(Table14[[#This Row],[year t]]&gt;Table14[[#This Row],[End_PDT]],Table14[[#This Row],[year t]]&gt;Table14[[#This Row],[End_SDT]]), 0, Table14[[#This Row],[Ai,t]]*(Table14[[#This Row],[GHGBSL-soil-CO2,i,t (Eq 27)]]-Table14[[#This Row],[Deductionalloch (Eq 38)]]+Table14[[#This Row],[GHGBSL-soil-CH4,i,t]]+Table14[[#This Row],[GHGBSL-soil-N2O,i,t]]))</f>
        <v>0</v>
      </c>
      <c r="BB41" t="e" cm="1">
        <f t="array" ref="BB41">INDEX(#REF!, MATCH(1, (Table14[[#This Row],[year t]]=Table32[[#All],[year t]])*(Table14[[#This Row],[stratum i]]=Table32[[#All],[stratum i]]), 0))</f>
        <v>#REF!</v>
      </c>
      <c r="BC41" t="e" cm="1">
        <f t="array" ref="BC41">INDEX(#REF!, MATCH(1, (Table14[[#This Row],[year t]]=Table32[[#All],[year t]])*(Table14[[#This Row],[stratum i]]=Table32[[#All],[stratum i]]), 0))</f>
        <v>#REF!</v>
      </c>
      <c r="BD41" t="e" cm="1">
        <f t="array" ref="BD41">INDEX(#REF!, MATCH(1, (Table14[[#This Row],[year t]]=Table32[[#All],[year t]])*(Table14[[#This Row],[stratum i]]=Table32[[#All],[stratum i]]), 0))</f>
        <v>#REF!</v>
      </c>
      <c r="BE41" t="e" cm="1">
        <f t="array" ref="BE41">INDEX(#REF!, MATCH(1, (Table14[[#This Row],[year t]]=Table32[[#All],[year t]])*(Table14[[#This Row],[stratum i]]=Table32[[#All],[stratum i]]), 0))</f>
        <v>#REF!</v>
      </c>
      <c r="BF41" s="30"/>
      <c r="BM41" s="18">
        <v>2058</v>
      </c>
      <c r="BN41" s="18">
        <v>1</v>
      </c>
      <c r="BO41" t="e" cm="1">
        <f t="array" ref="BO41">INDEX(#REF!, MATCH(1, (Table132926[[#This Row],[year t]]=Table32[year t])*(Table132926[[#This Row],[stratum i]]=Table32[[#All],[stratum i]]), 0))</f>
        <v>#REF!</v>
      </c>
      <c r="BP41" t="e">
        <f>-44/12*Table132926[[#This Row],[∆CBSL-soil,i,t (tC/ha)]]</f>
        <v>#REF!</v>
      </c>
    </row>
    <row r="42" spans="3:84" x14ac:dyDescent="0.2">
      <c r="C42" s="18">
        <v>2059</v>
      </c>
      <c r="D42">
        <f>-SUMIF(Table12[[#All],[year t]], "&lt;="&amp;Table11[[#This Row],[year t]], Table12[[#All],[∆𝐶𝐵𝑆𝐿−𝑏𝑖𝑜𝑚𝑎𝑠𝑠,𝑖,t (equation 23)]])*44/12</f>
        <v>0</v>
      </c>
      <c r="E42">
        <f>SUMIF(Table12[[#All],[year t]], "&lt;="&amp;Table11[[#This Row],[year t]], Table12[[#All],[𝐺𝐻𝐺𝐵𝑆𝐿−𝑠𝑜𝑖𝑙,𝑖,t]])</f>
        <v>0</v>
      </c>
      <c r="F42">
        <f>SUMIF(Table12[[#All],[year t]], "&lt;="&amp;Table11[[#This Row],[year t]], Table12[[#All],[𝐺𝐻𝐺𝐵𝑆𝐿−𝑓𝑢𝑒𝑙,𝑖,t]])</f>
        <v>0</v>
      </c>
      <c r="G42">
        <f>Table11[[#This Row],[GHG(BSL-biomass)]]+Table11[[#This Row],[GHG(BSL-soil)]]+Table11[[#This Row],[GHG(BSL-fuel)]]</f>
        <v>0</v>
      </c>
      <c r="J42" s="18">
        <v>2059</v>
      </c>
      <c r="K42" s="18">
        <v>1</v>
      </c>
      <c r="L42" cm="1">
        <f t="array" ref="L42">INDEX(Table32[[#All],[ΔCTREE_BSL,i,t (AR Tool 14) t C/yr]], MATCH(1, (Table12[[#This Row],[year t]]=Table32[[#All],[year t]])*(Table12[[#This Row],[stratum i]]=Table32[[#All],[stratum i]]), 0))</f>
        <v>0</v>
      </c>
      <c r="M42" cm="1">
        <f t="array" ref="M42">IF(baseline_abground_nontree = "Included", INDEX(#REF!, MATCH(1, (Table12[[#This Row],[year t]]=Table32[[#All],[year t]])*(Table12[[#This Row],[stratum i]]=Table32[[#All],[stratum i]]), 0)), 0)</f>
        <v>0</v>
      </c>
      <c r="N42">
        <f>12/44*(Table12[[#This Row],[ΔCTREE_BSL,i,t (AR Tool 14) t CO2e/yr]]+Table12[[#This Row],[ΔCSHRUB_BSL,i,t (AR Tool 14) t CO2e/yr]])</f>
        <v>0</v>
      </c>
      <c r="O42" cm="1">
        <f t="array" ref="O42">IF(baseline_abground_nontree = "Included", IFERROR(INDEX(Table13[[#All],[ΔCBSL-herb,i,t (Eq 25)]], MATCH(1, (Table12[[#This Row],[stratum i]]=Table13[[#All],[stratum i]])*(Table12[[#This Row],[year t]]&gt;=#REF!)*(Table12[[#This Row],[year t]]&lt;=Table13[[#All],[year t]]), 0)), 0), 0)</f>
        <v>0</v>
      </c>
      <c r="P42">
        <f>Table12[[#This Row],[ΔCBSL-tree/shrub,i,t (t C/yr) (Eq 24)]]+Table12[[#This Row],[ΔCBSL-herb,i,t (t C/yr)]]-Table12[[#This Row],[ΔCBSL-agbiomass,i,t; t C yr-1 (submergence)]]</f>
        <v>0</v>
      </c>
      <c r="Q42" cm="1">
        <f t="array" ref="Q42">IFERROR(INDEX(Table14[[#All],[GHGBSL-soil,i,t (Eq 26)]], MATCH(1, (Table12[[#This Row],[year t]]=Table14[[#All],[year t]])*(Table12[[#This Row],[stratum i]]=Table14[[#All],[stratum i]]), 0)), 0)</f>
        <v>0</v>
      </c>
      <c r="R42">
        <f>IF(baseline_ff_CO2 = "Included", Table12[[#This Row],[ET(FC,I,t) AR-Tool 5]], 0)</f>
        <v>0</v>
      </c>
      <c r="S42" t="e" cm="1">
        <f t="array" ref="S42">INDEX(#REF!, MATCH(1, (Table12[[#This Row],[year t]]=Table32[[#All],[year t]])*(Table12[[#This Row],[stratum i]]=Table32[[#All],[stratum i]]), 0))</f>
        <v>#REF!</v>
      </c>
      <c r="T42" cm="1">
        <f t="array" ref="T42">IFERROR(INDEX(Table30[[#All],[ΔCBSL-agbiomass,i,t (equation 22) t C yr-1]], MATCH(1, (Table12[[#This Row],[stratum i]]=Table30[[#All],[Stratum i]])*(Table12[[#This Row],[year t]]&lt;Table30[[#All],[Year of reporting]]), 0)), 0)</f>
        <v>0</v>
      </c>
      <c r="AG42" s="18">
        <v>2059</v>
      </c>
      <c r="AH42" s="18">
        <v>1</v>
      </c>
      <c r="AI42" s="49" t="e" cm="1">
        <f t="array" ref="AI42">INDEX(#REF!, MATCH(1, (Table13[[#This Row],[year t]]=Table32[[#All],[year t]])*(Table13[[#This Row],[stratum i]]=Table32[[#All],[stratum i]]), 0))</f>
        <v>#REF!</v>
      </c>
      <c r="AJ42" s="49" t="e">
        <f>Table13[[#This Row],[ΔCBSL-herb,i,t (tC/ha)]]</f>
        <v>#REF!</v>
      </c>
      <c r="AO42" s="18">
        <v>2059</v>
      </c>
      <c r="AP42" s="18">
        <v>1</v>
      </c>
      <c r="AQ42" s="18" cm="1">
        <f t="array" ref="AQ42">INDEX(Table32[[#All],[Ai,t]], MATCH(1, (Table14[[#This Row],[year t]]=Table32[[#All],[year t]])*(Table14[[#This Row],[stratum i]]=Table32[[#All],[stratum i]]), 0))</f>
        <v>1090.4420357142858</v>
      </c>
      <c r="AR42" t="str">
        <f>IF(AND(INDEX(Table31[[#All],[Soil type (t=0)]], MATCH(Table14[[#This Row],[stratum i]], Table31[[#All],[Stratum i]]))="Peat soil", Table14[[#This Row],[year t]]&lt;=Table14[[#This Row],[End_PDT]]), "Peat soil", "Non-peat soil")</f>
        <v>Non-peat soil</v>
      </c>
      <c r="AS42">
        <f>IF(Emission_reduction_from_stock_loss?, INDEX(Table2[[#All],[End_PDT]], MATCH(Table14[[#This Row],[stratum i]], Table2[[#All],[stratum i]])), crediting_period)</f>
        <v>40</v>
      </c>
      <c r="AT42">
        <f>IF(Emission_reduction_from_stock_loss?, INDEX(Table2[[#All],[End_SDT]], MATCH(Table14[[#This Row],[stratum i]], Table2[[#All],[stratum i]])), crediting_period)</f>
        <v>40</v>
      </c>
      <c r="AU42" cm="1">
        <f t="array" ref="AU4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2" t="e" cm="1">
        <f t="array" ref="AV42">INDEX(#REF!, MATCH(1, (Table14[[#This Row],[year t]]=Table32[[#All],[year t]])*(Table14[[#This Row],[stratum i]]=Table32[[#All],[stratum i]]), 0))</f>
        <v>#REF!</v>
      </c>
      <c r="AW4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2" s="57">
        <f>(Table14[[#This Row],[GHGBSL-soil-CO2,i,t (Eq 27)]]-Table14[[#This Row],[Deductionalloch (Eq 38)]])*Table14[[#This Row],[Ai,t]]</f>
        <v>0</v>
      </c>
      <c r="AY42" cm="1">
        <f t="array" ref="AY42">IF(baseline_soil_CH4 = "Included", INDEX(Table18[[#All],[GHGBSL-soil-CH4,i,t (Eq 59)]], MATCH(1, (Table14[[#This Row],[year t]]=Table18[[#All],[year t]])*(Table14[[#This Row],[stratum i]]=Table18[[#All],[stratum i]]), 0)), 0)</f>
        <v>0</v>
      </c>
      <c r="AZ42" cm="1">
        <f t="array" ref="AZ42">IF(baseline_soil_N2O = "Included", INDEX(Table18[[#All],[GHGBSL-soil-N2O,i,t (Eq 62)]], MATCH(1, (Table14[[#This Row],[year t]]=Table18[[#All],[year t]])*(Table14[[#This Row],[stratum i]]=Table18[[#All],[stratum i]]), 0)), 0)</f>
        <v>0</v>
      </c>
      <c r="BA42">
        <f>IF(AND(Table14[[#This Row],[year t]]&gt;Table14[[#This Row],[End_PDT]],Table14[[#This Row],[year t]]&gt;Table14[[#This Row],[End_SDT]]), 0, Table14[[#This Row],[Ai,t]]*(Table14[[#This Row],[GHGBSL-soil-CO2,i,t (Eq 27)]]-Table14[[#This Row],[Deductionalloch (Eq 38)]]+Table14[[#This Row],[GHGBSL-soil-CH4,i,t]]+Table14[[#This Row],[GHGBSL-soil-N2O,i,t]]))</f>
        <v>0</v>
      </c>
      <c r="BB42" t="e" cm="1">
        <f t="array" ref="BB42">INDEX(#REF!, MATCH(1, (Table14[[#This Row],[year t]]=Table32[[#All],[year t]])*(Table14[[#This Row],[stratum i]]=Table32[[#All],[stratum i]]), 0))</f>
        <v>#REF!</v>
      </c>
      <c r="BC42" t="e" cm="1">
        <f t="array" ref="BC42">INDEX(#REF!, MATCH(1, (Table14[[#This Row],[year t]]=Table32[[#All],[year t]])*(Table14[[#This Row],[stratum i]]=Table32[[#All],[stratum i]]), 0))</f>
        <v>#REF!</v>
      </c>
      <c r="BD42" t="e" cm="1">
        <f t="array" ref="BD42">INDEX(#REF!, MATCH(1, (Table14[[#This Row],[year t]]=Table32[[#All],[year t]])*(Table14[[#This Row],[stratum i]]=Table32[[#All],[stratum i]]), 0))</f>
        <v>#REF!</v>
      </c>
      <c r="BE42" t="e" cm="1">
        <f t="array" ref="BE42">INDEX(#REF!, MATCH(1, (Table14[[#This Row],[year t]]=Table32[[#All],[year t]])*(Table14[[#This Row],[stratum i]]=Table32[[#All],[stratum i]]), 0))</f>
        <v>#REF!</v>
      </c>
      <c r="BF42" s="30"/>
      <c r="BM42" s="18">
        <v>2059</v>
      </c>
      <c r="BN42" s="18">
        <v>1</v>
      </c>
      <c r="BO42" t="e" cm="1">
        <f t="array" ref="BO42">INDEX(#REF!, MATCH(1, (Table132926[[#This Row],[year t]]=Table32[year t])*(Table132926[[#This Row],[stratum i]]=Table32[[#All],[stratum i]]), 0))</f>
        <v>#REF!</v>
      </c>
      <c r="BP42" t="e">
        <f>-44/12*Table132926[[#This Row],[∆CBSL-soil,i,t (tC/ha)]]</f>
        <v>#REF!</v>
      </c>
    </row>
    <row r="43" spans="3:84" x14ac:dyDescent="0.2">
      <c r="C43" s="18">
        <v>2060</v>
      </c>
      <c r="D43">
        <f>-SUMIF(Table12[[#All],[year t]], "&lt;="&amp;Table11[[#This Row],[year t]], Table12[[#All],[∆𝐶𝐵𝑆𝐿−𝑏𝑖𝑜𝑚𝑎𝑠𝑠,𝑖,t (equation 23)]])*44/12</f>
        <v>0</v>
      </c>
      <c r="E43">
        <f>SUMIF(Table12[[#All],[year t]], "&lt;="&amp;Table11[[#This Row],[year t]], Table12[[#All],[𝐺𝐻𝐺𝐵𝑆𝐿−𝑠𝑜𝑖𝑙,𝑖,t]])</f>
        <v>0</v>
      </c>
      <c r="F43">
        <f>SUMIF(Table12[[#All],[year t]], "&lt;="&amp;Table11[[#This Row],[year t]], Table12[[#All],[𝐺𝐻𝐺𝐵𝑆𝐿−𝑓𝑢𝑒𝑙,𝑖,t]])</f>
        <v>0</v>
      </c>
      <c r="G43">
        <f>Table11[[#This Row],[GHG(BSL-biomass)]]+Table11[[#This Row],[GHG(BSL-soil)]]+Table11[[#This Row],[GHG(BSL-fuel)]]</f>
        <v>0</v>
      </c>
      <c r="J43" s="18">
        <v>2060</v>
      </c>
      <c r="K43" s="18">
        <v>1</v>
      </c>
      <c r="L43" cm="1">
        <f t="array" ref="L43">INDEX(Table32[[#All],[ΔCTREE_BSL,i,t (AR Tool 14) t C/yr]], MATCH(1, (Table12[[#This Row],[year t]]=Table32[[#All],[year t]])*(Table12[[#This Row],[stratum i]]=Table32[[#All],[stratum i]]), 0))</f>
        <v>0</v>
      </c>
      <c r="M43" cm="1">
        <f t="array" ref="M43">IF(baseline_abground_nontree = "Included", INDEX(#REF!, MATCH(1, (Table12[[#This Row],[year t]]=Table32[[#All],[year t]])*(Table12[[#This Row],[stratum i]]=Table32[[#All],[stratum i]]), 0)), 0)</f>
        <v>0</v>
      </c>
      <c r="N43">
        <f>12/44*(Table12[[#This Row],[ΔCTREE_BSL,i,t (AR Tool 14) t CO2e/yr]]+Table12[[#This Row],[ΔCSHRUB_BSL,i,t (AR Tool 14) t CO2e/yr]])</f>
        <v>0</v>
      </c>
      <c r="O43" cm="1">
        <f t="array" ref="O43">IF(baseline_abground_nontree = "Included", IFERROR(INDEX(Table13[[#All],[ΔCBSL-herb,i,t (Eq 25)]], MATCH(1, (Table12[[#This Row],[stratum i]]=Table13[[#All],[stratum i]])*(Table12[[#This Row],[year t]]&gt;=#REF!)*(Table12[[#This Row],[year t]]&lt;=Table13[[#All],[year t]]), 0)), 0), 0)</f>
        <v>0</v>
      </c>
      <c r="P43">
        <f>Table12[[#This Row],[ΔCBSL-tree/shrub,i,t (t C/yr) (Eq 24)]]+Table12[[#This Row],[ΔCBSL-herb,i,t (t C/yr)]]-Table12[[#This Row],[ΔCBSL-agbiomass,i,t; t C yr-1 (submergence)]]</f>
        <v>0</v>
      </c>
      <c r="Q43" cm="1">
        <f t="array" ref="Q43">IFERROR(INDEX(Table14[[#All],[GHGBSL-soil,i,t (Eq 26)]], MATCH(1, (Table12[[#This Row],[year t]]=Table14[[#All],[year t]])*(Table12[[#This Row],[stratum i]]=Table14[[#All],[stratum i]]), 0)), 0)</f>
        <v>0</v>
      </c>
      <c r="R43">
        <f>IF(baseline_ff_CO2 = "Included", Table12[[#This Row],[ET(FC,I,t) AR-Tool 5]], 0)</f>
        <v>0</v>
      </c>
      <c r="S43" t="e" cm="1">
        <f t="array" ref="S43">INDEX(#REF!, MATCH(1, (Table12[[#This Row],[year t]]=Table32[[#All],[year t]])*(Table12[[#This Row],[stratum i]]=Table32[[#All],[stratum i]]), 0))</f>
        <v>#REF!</v>
      </c>
      <c r="T43" cm="1">
        <f t="array" ref="T43">IFERROR(INDEX(Table30[[#All],[ΔCBSL-agbiomass,i,t (equation 22) t C yr-1]], MATCH(1, (Table12[[#This Row],[stratum i]]=Table30[[#All],[Stratum i]])*(Table12[[#This Row],[year t]]&lt;Table30[[#All],[Year of reporting]]), 0)), 0)</f>
        <v>0</v>
      </c>
      <c r="AG43" s="18">
        <v>2060</v>
      </c>
      <c r="AH43" s="18">
        <v>1</v>
      </c>
      <c r="AI43" s="49" t="e" cm="1">
        <f t="array" ref="AI43">INDEX(#REF!, MATCH(1, (Table13[[#This Row],[year t]]=Table32[[#All],[year t]])*(Table13[[#This Row],[stratum i]]=Table32[[#All],[stratum i]]), 0))</f>
        <v>#REF!</v>
      </c>
      <c r="AJ43" s="49" t="e">
        <f>Table13[[#This Row],[ΔCBSL-herb,i,t (tC/ha)]]</f>
        <v>#REF!</v>
      </c>
      <c r="AO43" s="18">
        <v>2060</v>
      </c>
      <c r="AP43" s="18">
        <v>1</v>
      </c>
      <c r="AQ43" s="18" cm="1">
        <f t="array" ref="AQ43">INDEX(Table32[[#All],[Ai,t]], MATCH(1, (Table14[[#This Row],[year t]]=Table32[[#All],[year t]])*(Table14[[#This Row],[stratum i]]=Table32[[#All],[stratum i]]), 0))</f>
        <v>1090.4420357142858</v>
      </c>
      <c r="AR43" t="str">
        <f>IF(AND(INDEX(Table31[[#All],[Soil type (t=0)]], MATCH(Table14[[#This Row],[stratum i]], Table31[[#All],[Stratum i]]))="Peat soil", Table14[[#This Row],[year t]]&lt;=Table14[[#This Row],[End_PDT]]), "Peat soil", "Non-peat soil")</f>
        <v>Non-peat soil</v>
      </c>
      <c r="AS43">
        <f>IF(Emission_reduction_from_stock_loss?, INDEX(Table2[[#All],[End_PDT]], MATCH(Table14[[#This Row],[stratum i]], Table2[[#All],[stratum i]])), crediting_period)</f>
        <v>40</v>
      </c>
      <c r="AT43">
        <f>IF(Emission_reduction_from_stock_loss?, INDEX(Table2[[#All],[End_SDT]], MATCH(Table14[[#This Row],[stratum i]], Table2[[#All],[stratum i]])), crediting_period)</f>
        <v>40</v>
      </c>
      <c r="AU43" cm="1">
        <f t="array" ref="AU4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3" t="e" cm="1">
        <f t="array" ref="AV43">INDEX(#REF!, MATCH(1, (Table14[[#This Row],[year t]]=Table32[[#All],[year t]])*(Table14[[#This Row],[stratum i]]=Table32[[#All],[stratum i]]), 0))</f>
        <v>#REF!</v>
      </c>
      <c r="AW4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3" s="57">
        <f>(Table14[[#This Row],[GHGBSL-soil-CO2,i,t (Eq 27)]]-Table14[[#This Row],[Deductionalloch (Eq 38)]])*Table14[[#This Row],[Ai,t]]</f>
        <v>0</v>
      </c>
      <c r="AY43" cm="1">
        <f t="array" ref="AY43">IF(baseline_soil_CH4 = "Included", INDEX(Table18[[#All],[GHGBSL-soil-CH4,i,t (Eq 59)]], MATCH(1, (Table14[[#This Row],[year t]]=Table18[[#All],[year t]])*(Table14[[#This Row],[stratum i]]=Table18[[#All],[stratum i]]), 0)), 0)</f>
        <v>0</v>
      </c>
      <c r="AZ43" cm="1">
        <f t="array" ref="AZ43">IF(baseline_soil_N2O = "Included", INDEX(Table18[[#All],[GHGBSL-soil-N2O,i,t (Eq 62)]], MATCH(1, (Table14[[#This Row],[year t]]=Table18[[#All],[year t]])*(Table14[[#This Row],[stratum i]]=Table18[[#All],[stratum i]]), 0)), 0)</f>
        <v>0</v>
      </c>
      <c r="BA43">
        <f>IF(AND(Table14[[#This Row],[year t]]&gt;Table14[[#This Row],[End_PDT]],Table14[[#This Row],[year t]]&gt;Table14[[#This Row],[End_SDT]]), 0, Table14[[#This Row],[Ai,t]]*(Table14[[#This Row],[GHGBSL-soil-CO2,i,t (Eq 27)]]-Table14[[#This Row],[Deductionalloch (Eq 38)]]+Table14[[#This Row],[GHGBSL-soil-CH4,i,t]]+Table14[[#This Row],[GHGBSL-soil-N2O,i,t]]))</f>
        <v>0</v>
      </c>
      <c r="BB43" t="e" cm="1">
        <f t="array" ref="BB43">INDEX(#REF!, MATCH(1, (Table14[[#This Row],[year t]]=Table32[[#All],[year t]])*(Table14[[#This Row],[stratum i]]=Table32[[#All],[stratum i]]), 0))</f>
        <v>#REF!</v>
      </c>
      <c r="BC43" t="e" cm="1">
        <f t="array" ref="BC43">INDEX(#REF!, MATCH(1, (Table14[[#This Row],[year t]]=Table32[[#All],[year t]])*(Table14[[#This Row],[stratum i]]=Table32[[#All],[stratum i]]), 0))</f>
        <v>#REF!</v>
      </c>
      <c r="BD43" t="e" cm="1">
        <f t="array" ref="BD43">INDEX(#REF!, MATCH(1, (Table14[[#This Row],[year t]]=Table32[[#All],[year t]])*(Table14[[#This Row],[stratum i]]=Table32[[#All],[stratum i]]), 0))</f>
        <v>#REF!</v>
      </c>
      <c r="BE43" t="e" cm="1">
        <f t="array" ref="BE43">INDEX(#REF!, MATCH(1, (Table14[[#This Row],[year t]]=Table32[[#All],[year t]])*(Table14[[#This Row],[stratum i]]=Table32[[#All],[stratum i]]), 0))</f>
        <v>#REF!</v>
      </c>
      <c r="BF43" s="30"/>
      <c r="BM43" s="18">
        <v>2060</v>
      </c>
      <c r="BN43" s="18">
        <v>1</v>
      </c>
      <c r="BO43" t="e" cm="1">
        <f t="array" ref="BO43">INDEX(#REF!, MATCH(1, (Table132926[[#This Row],[year t]]=Table32[year t])*(Table132926[[#This Row],[stratum i]]=Table32[[#All],[stratum i]]), 0))</f>
        <v>#REF!</v>
      </c>
      <c r="BP43" t="e">
        <f>-44/12*Table132926[[#This Row],[∆CBSL-soil,i,t (tC/ha)]]</f>
        <v>#REF!</v>
      </c>
    </row>
    <row r="44" spans="3:84" x14ac:dyDescent="0.2">
      <c r="C44" s="18">
        <v>2061</v>
      </c>
      <c r="D44">
        <f>-SUMIF(Table12[[#All],[year t]], "&lt;="&amp;Table11[[#This Row],[year t]], Table12[[#All],[∆𝐶𝐵𝑆𝐿−𝑏𝑖𝑜𝑚𝑎𝑠𝑠,𝑖,t (equation 23)]])*44/12</f>
        <v>0</v>
      </c>
      <c r="E44">
        <f>SUMIF(Table12[[#All],[year t]], "&lt;="&amp;Table11[[#This Row],[year t]], Table12[[#All],[𝐺𝐻𝐺𝐵𝑆𝐿−𝑠𝑜𝑖𝑙,𝑖,t]])</f>
        <v>0</v>
      </c>
      <c r="F44">
        <f>SUMIF(Table12[[#All],[year t]], "&lt;="&amp;Table11[[#This Row],[year t]], Table12[[#All],[𝐺𝐻𝐺𝐵𝑆𝐿−𝑓𝑢𝑒𝑙,𝑖,t]])</f>
        <v>0</v>
      </c>
      <c r="G44">
        <f>Table11[[#This Row],[GHG(BSL-biomass)]]+Table11[[#This Row],[GHG(BSL-soil)]]+Table11[[#This Row],[GHG(BSL-fuel)]]</f>
        <v>0</v>
      </c>
      <c r="J44" s="18">
        <v>2061</v>
      </c>
      <c r="K44" s="18">
        <v>1</v>
      </c>
      <c r="L44" cm="1">
        <f t="array" ref="L44">INDEX(Table32[[#All],[ΔCTREE_BSL,i,t (AR Tool 14) t C/yr]], MATCH(1, (Table12[[#This Row],[year t]]=Table32[[#All],[year t]])*(Table12[[#This Row],[stratum i]]=Table32[[#All],[stratum i]]), 0))</f>
        <v>0</v>
      </c>
      <c r="M44" cm="1">
        <f t="array" ref="M44">IF(baseline_abground_nontree = "Included", INDEX(#REF!, MATCH(1, (Table12[[#This Row],[year t]]=Table32[[#All],[year t]])*(Table12[[#This Row],[stratum i]]=Table32[[#All],[stratum i]]), 0)), 0)</f>
        <v>0</v>
      </c>
      <c r="N44">
        <f>12/44*(Table12[[#This Row],[ΔCTREE_BSL,i,t (AR Tool 14) t CO2e/yr]]+Table12[[#This Row],[ΔCSHRUB_BSL,i,t (AR Tool 14) t CO2e/yr]])</f>
        <v>0</v>
      </c>
      <c r="O44" cm="1">
        <f t="array" ref="O44">IF(baseline_abground_nontree = "Included", IFERROR(INDEX(Table13[[#All],[ΔCBSL-herb,i,t (Eq 25)]], MATCH(1, (Table12[[#This Row],[stratum i]]=Table13[[#All],[stratum i]])*(Table12[[#This Row],[year t]]&gt;=#REF!)*(Table12[[#This Row],[year t]]&lt;=Table13[[#All],[year t]]), 0)), 0), 0)</f>
        <v>0</v>
      </c>
      <c r="P44">
        <f>Table12[[#This Row],[ΔCBSL-tree/shrub,i,t (t C/yr) (Eq 24)]]+Table12[[#This Row],[ΔCBSL-herb,i,t (t C/yr)]]-Table12[[#This Row],[ΔCBSL-agbiomass,i,t; t C yr-1 (submergence)]]</f>
        <v>0</v>
      </c>
      <c r="Q44" cm="1">
        <f t="array" ref="Q44">IFERROR(INDEX(Table14[[#All],[GHGBSL-soil,i,t (Eq 26)]], MATCH(1, (Table12[[#This Row],[year t]]=Table14[[#All],[year t]])*(Table12[[#This Row],[stratum i]]=Table14[[#All],[stratum i]]), 0)), 0)</f>
        <v>0</v>
      </c>
      <c r="R44">
        <f>IF(baseline_ff_CO2 = "Included", Table12[[#This Row],[ET(FC,I,t) AR-Tool 5]], 0)</f>
        <v>0</v>
      </c>
      <c r="S44" t="e" cm="1">
        <f t="array" ref="S44">INDEX(#REF!, MATCH(1, (Table12[[#This Row],[year t]]=Table32[[#All],[year t]])*(Table12[[#This Row],[stratum i]]=Table32[[#All],[stratum i]]), 0))</f>
        <v>#REF!</v>
      </c>
      <c r="T44" cm="1">
        <f t="array" ref="T44">IFERROR(INDEX(Table30[[#All],[ΔCBSL-agbiomass,i,t (equation 22) t C yr-1]], MATCH(1, (Table12[[#This Row],[stratum i]]=Table30[[#All],[Stratum i]])*(Table12[[#This Row],[year t]]&lt;Table30[[#All],[Year of reporting]]), 0)), 0)</f>
        <v>0</v>
      </c>
      <c r="AG44" s="18">
        <v>2061</v>
      </c>
      <c r="AH44" s="18">
        <v>1</v>
      </c>
      <c r="AI44" s="49" t="e" cm="1">
        <f t="array" ref="AI44">INDEX(#REF!, MATCH(1, (Table13[[#This Row],[year t]]=Table32[[#All],[year t]])*(Table13[[#This Row],[stratum i]]=Table32[[#All],[stratum i]]), 0))</f>
        <v>#REF!</v>
      </c>
      <c r="AJ44" s="49" t="e">
        <f>Table13[[#This Row],[ΔCBSL-herb,i,t (tC/ha)]]</f>
        <v>#REF!</v>
      </c>
      <c r="AO44" s="18">
        <v>2061</v>
      </c>
      <c r="AP44" s="18">
        <v>1</v>
      </c>
      <c r="AQ44" s="18" cm="1">
        <f t="array" ref="AQ44">INDEX(Table32[[#All],[Ai,t]], MATCH(1, (Table14[[#This Row],[year t]]=Table32[[#All],[year t]])*(Table14[[#This Row],[stratum i]]=Table32[[#All],[stratum i]]), 0))</f>
        <v>1090.4420357142858</v>
      </c>
      <c r="AR44" t="str">
        <f>IF(AND(INDEX(Table31[[#All],[Soil type (t=0)]], MATCH(Table14[[#This Row],[stratum i]], Table31[[#All],[Stratum i]]))="Peat soil", Table14[[#This Row],[year t]]&lt;=Table14[[#This Row],[End_PDT]]), "Peat soil", "Non-peat soil")</f>
        <v>Non-peat soil</v>
      </c>
      <c r="AS44">
        <f>IF(Emission_reduction_from_stock_loss?, INDEX(Table2[[#All],[End_PDT]], MATCH(Table14[[#This Row],[stratum i]], Table2[[#All],[stratum i]])), crediting_period)</f>
        <v>40</v>
      </c>
      <c r="AT44">
        <f>IF(Emission_reduction_from_stock_loss?, INDEX(Table2[[#All],[End_SDT]], MATCH(Table14[[#This Row],[stratum i]], Table2[[#All],[stratum i]])), crediting_period)</f>
        <v>40</v>
      </c>
      <c r="AU44" cm="1">
        <f t="array" ref="AU4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4" t="e" cm="1">
        <f t="array" ref="AV44">INDEX(#REF!, MATCH(1, (Table14[[#This Row],[year t]]=Table32[[#All],[year t]])*(Table14[[#This Row],[stratum i]]=Table32[[#All],[stratum i]]), 0))</f>
        <v>#REF!</v>
      </c>
      <c r="AW4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4" s="57">
        <f>(Table14[[#This Row],[GHGBSL-soil-CO2,i,t (Eq 27)]]-Table14[[#This Row],[Deductionalloch (Eq 38)]])*Table14[[#This Row],[Ai,t]]</f>
        <v>0</v>
      </c>
      <c r="AY44" cm="1">
        <f t="array" ref="AY44">IF(baseline_soil_CH4 = "Included", INDEX(Table18[[#All],[GHGBSL-soil-CH4,i,t (Eq 59)]], MATCH(1, (Table14[[#This Row],[year t]]=Table18[[#All],[year t]])*(Table14[[#This Row],[stratum i]]=Table18[[#All],[stratum i]]), 0)), 0)</f>
        <v>0</v>
      </c>
      <c r="AZ44" cm="1">
        <f t="array" ref="AZ44">IF(baseline_soil_N2O = "Included", INDEX(Table18[[#All],[GHGBSL-soil-N2O,i,t (Eq 62)]], MATCH(1, (Table14[[#This Row],[year t]]=Table18[[#All],[year t]])*(Table14[[#This Row],[stratum i]]=Table18[[#All],[stratum i]]), 0)), 0)</f>
        <v>0</v>
      </c>
      <c r="BA44">
        <f>IF(AND(Table14[[#This Row],[year t]]&gt;Table14[[#This Row],[End_PDT]],Table14[[#This Row],[year t]]&gt;Table14[[#This Row],[End_SDT]]), 0, Table14[[#This Row],[Ai,t]]*(Table14[[#This Row],[GHGBSL-soil-CO2,i,t (Eq 27)]]-Table14[[#This Row],[Deductionalloch (Eq 38)]]+Table14[[#This Row],[GHGBSL-soil-CH4,i,t]]+Table14[[#This Row],[GHGBSL-soil-N2O,i,t]]))</f>
        <v>0</v>
      </c>
      <c r="BB44" t="e" cm="1">
        <f t="array" ref="BB44">INDEX(#REF!, MATCH(1, (Table14[[#This Row],[year t]]=Table32[[#All],[year t]])*(Table14[[#This Row],[stratum i]]=Table32[[#All],[stratum i]]), 0))</f>
        <v>#REF!</v>
      </c>
      <c r="BC44" t="e" cm="1">
        <f t="array" ref="BC44">INDEX(#REF!, MATCH(1, (Table14[[#This Row],[year t]]=Table32[[#All],[year t]])*(Table14[[#This Row],[stratum i]]=Table32[[#All],[stratum i]]), 0))</f>
        <v>#REF!</v>
      </c>
      <c r="BD44" t="e" cm="1">
        <f t="array" ref="BD44">INDEX(#REF!, MATCH(1, (Table14[[#This Row],[year t]]=Table32[[#All],[year t]])*(Table14[[#This Row],[stratum i]]=Table32[[#All],[stratum i]]), 0))</f>
        <v>#REF!</v>
      </c>
      <c r="BE44" t="e" cm="1">
        <f t="array" ref="BE44">INDEX(#REF!, MATCH(1, (Table14[[#This Row],[year t]]=Table32[[#All],[year t]])*(Table14[[#This Row],[stratum i]]=Table32[[#All],[stratum i]]), 0))</f>
        <v>#REF!</v>
      </c>
      <c r="BF44" s="30"/>
      <c r="BM44" s="18">
        <v>2061</v>
      </c>
      <c r="BN44" s="18">
        <v>1</v>
      </c>
      <c r="BO44" t="e" cm="1">
        <f t="array" ref="BO44">INDEX(#REF!, MATCH(1, (Table132926[[#This Row],[year t]]=Table32[year t])*(Table132926[[#This Row],[stratum i]]=Table32[[#All],[stratum i]]), 0))</f>
        <v>#REF!</v>
      </c>
      <c r="BP44" t="e">
        <f>-44/12*Table132926[[#This Row],[∆CBSL-soil,i,t (tC/ha)]]</f>
        <v>#REF!</v>
      </c>
    </row>
    <row r="45" spans="3:84" x14ac:dyDescent="0.2">
      <c r="J45" s="18">
        <v>2023</v>
      </c>
      <c r="K45">
        <v>2</v>
      </c>
      <c r="L45" cm="1">
        <f t="array" ref="L45">INDEX(Table32[[#All],[ΔCTREE_BSL,i,t (AR Tool 14) t C/yr]], MATCH(1, (Table12[[#This Row],[year t]]=Table32[[#All],[year t]])*(Table12[[#This Row],[stratum i]]=Table32[[#All],[stratum i]]), 0))</f>
        <v>0</v>
      </c>
      <c r="M45" cm="1">
        <f t="array" ref="M45">IF(baseline_abground_nontree = "Included", INDEX(#REF!, MATCH(1, (Table12[[#This Row],[year t]]=Table32[[#All],[year t]])*(Table12[[#This Row],[stratum i]]=Table32[[#All],[stratum i]]), 0)), 0)</f>
        <v>0</v>
      </c>
      <c r="N45">
        <f>12/44*(Table12[[#This Row],[ΔCTREE_BSL,i,t (AR Tool 14) t CO2e/yr]]+Table12[[#This Row],[ΔCSHRUB_BSL,i,t (AR Tool 14) t CO2e/yr]])</f>
        <v>0</v>
      </c>
      <c r="O45" cm="1">
        <f t="array" ref="O45">IF(baseline_abground_nontree = "Included", IFERROR(INDEX(Table13[[#All],[ΔCBSL-herb,i,t (Eq 25)]], MATCH(1, (Table12[[#This Row],[stratum i]]=Table13[[#All],[stratum i]])*(Table12[[#This Row],[year t]]&gt;=#REF!)*(Table12[[#This Row],[year t]]&lt;=Table13[[#All],[year t]]), 0)), 0), 0)</f>
        <v>0</v>
      </c>
      <c r="P45">
        <f>Table12[[#This Row],[ΔCBSL-tree/shrub,i,t (t C/yr) (Eq 24)]]+Table12[[#This Row],[ΔCBSL-herb,i,t (t C/yr)]]-Table12[[#This Row],[ΔCBSL-agbiomass,i,t; t C yr-1 (submergence)]]</f>
        <v>0</v>
      </c>
      <c r="Q45" cm="1">
        <f t="array" ref="Q45">IFERROR(INDEX(Table14[[#All],[GHGBSL-soil,i,t (Eq 26)]], MATCH(1, (Table12[[#This Row],[year t]]=Table14[[#All],[year t]])*(Table12[[#This Row],[stratum i]]=Table14[[#All],[stratum i]]), 0)), 0)</f>
        <v>0</v>
      </c>
      <c r="R45">
        <f>IF(baseline_ff_CO2 = "Included", Table12[[#This Row],[ET(FC,I,t) AR-Tool 5]], 0)</f>
        <v>0</v>
      </c>
      <c r="S45" t="e" cm="1">
        <f t="array" ref="S45">INDEX(#REF!, MATCH(1, (Table12[[#This Row],[year t]]=Table32[[#All],[year t]])*(Table12[[#This Row],[stratum i]]=Table32[[#All],[stratum i]]), 0))</f>
        <v>#REF!</v>
      </c>
      <c r="T45" cm="1">
        <f t="array" ref="T45">IFERROR(INDEX(Table30[[#All],[ΔCBSL-agbiomass,i,t (equation 22) t C yr-1]], MATCH(1, (Table12[[#This Row],[stratum i]]=Table30[[#All],[Stratum i]])*(Table12[[#This Row],[year t]]&lt;Table30[[#All],[Year of reporting]]), 0)), 0)</f>
        <v>0</v>
      </c>
      <c r="AG45" s="18">
        <v>2023</v>
      </c>
      <c r="AH45">
        <v>2</v>
      </c>
      <c r="AI45" s="49" t="e" cm="1">
        <f t="array" ref="AI45">INDEX(#REF!, MATCH(1, (Table13[[#This Row],[year t]]=Table32[[#All],[year t]])*(Table13[[#This Row],[stratum i]]=Table32[[#All],[stratum i]]), 0))</f>
        <v>#REF!</v>
      </c>
      <c r="AJ45" s="49" t="e">
        <f>Table13[[#This Row],[ΔCBSL-herb,i,t (tC/ha)]]</f>
        <v>#REF!</v>
      </c>
      <c r="AO45" s="18">
        <v>2023</v>
      </c>
      <c r="AP45">
        <v>2</v>
      </c>
      <c r="AQ45" s="18" cm="1">
        <f t="array" ref="AQ45">INDEX(Table32[[#All],[Ai,t]], MATCH(1, (Table14[[#This Row],[year t]]=Table32[[#All],[year t]])*(Table14[[#This Row],[stratum i]]=Table32[[#All],[stratum i]]), 0))</f>
        <v>1982.9786785714284</v>
      </c>
      <c r="AR45" t="str">
        <f>IF(AND(INDEX(Table31[[#All],[Soil type (t=0)]], MATCH(Table14[[#This Row],[stratum i]], Table31[[#All],[Stratum i]]))="Peat soil", Table14[[#This Row],[year t]]&lt;=Table14[[#This Row],[End_PDT]]), "Peat soil", "Non-peat soil")</f>
        <v>Non-peat soil</v>
      </c>
      <c r="AS45">
        <f>IF(Emission_reduction_from_stock_loss?, INDEX(Table2[[#All],[End_PDT]], MATCH(Table14[[#This Row],[stratum i]], Table2[[#All],[stratum i]])), crediting_period)</f>
        <v>40</v>
      </c>
      <c r="AT45">
        <f>IF(Emission_reduction_from_stock_loss?, INDEX(Table2[[#All],[End_SDT]], MATCH(Table14[[#This Row],[stratum i]], Table2[[#All],[stratum i]])), crediting_period)</f>
        <v>40</v>
      </c>
      <c r="AU45" cm="1">
        <f t="array" ref="AU4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5" t="e" cm="1">
        <f t="array" ref="AV45">INDEX(#REF!, MATCH(1, (Table14[[#This Row],[year t]]=Table32[[#All],[year t]])*(Table14[[#This Row],[stratum i]]=Table32[[#All],[stratum i]]), 0))</f>
        <v>#REF!</v>
      </c>
      <c r="AW4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5" s="57">
        <f>(Table14[[#This Row],[GHGBSL-soil-CO2,i,t (Eq 27)]]-Table14[[#This Row],[Deductionalloch (Eq 38)]])*Table14[[#This Row],[Ai,t]]</f>
        <v>0</v>
      </c>
      <c r="AY45" cm="1">
        <f t="array" ref="AY45">IF(baseline_soil_CH4 = "Included", INDEX(Table18[[#All],[GHGBSL-soil-CH4,i,t (Eq 59)]], MATCH(1, (Table14[[#This Row],[year t]]=Table18[[#All],[year t]])*(Table14[[#This Row],[stratum i]]=Table18[[#All],[stratum i]]), 0)), 0)</f>
        <v>0</v>
      </c>
      <c r="AZ45" cm="1">
        <f t="array" ref="AZ45">IF(baseline_soil_N2O = "Included", INDEX(Table18[[#All],[GHGBSL-soil-N2O,i,t (Eq 62)]], MATCH(1, (Table14[[#This Row],[year t]]=Table18[[#All],[year t]])*(Table14[[#This Row],[stratum i]]=Table18[[#All],[stratum i]]), 0)), 0)</f>
        <v>0</v>
      </c>
      <c r="BA45">
        <f>IF(AND(Table14[[#This Row],[year t]]&gt;Table14[[#This Row],[End_PDT]],Table14[[#This Row],[year t]]&gt;Table14[[#This Row],[End_SDT]]), 0, Table14[[#This Row],[Ai,t]]*(Table14[[#This Row],[GHGBSL-soil-CO2,i,t (Eq 27)]]-Table14[[#This Row],[Deductionalloch (Eq 38)]]+Table14[[#This Row],[GHGBSL-soil-CH4,i,t]]+Table14[[#This Row],[GHGBSL-soil-N2O,i,t]]))</f>
        <v>0</v>
      </c>
      <c r="BB45" t="e" cm="1">
        <f t="array" ref="BB45">INDEX(#REF!, MATCH(1, (Table14[[#This Row],[year t]]=Table32[[#All],[year t]])*(Table14[[#This Row],[stratum i]]=Table32[[#All],[stratum i]]), 0))</f>
        <v>#REF!</v>
      </c>
      <c r="BC45" t="e" cm="1">
        <f t="array" ref="BC45">INDEX(#REF!, MATCH(1, (Table14[[#This Row],[year t]]=Table32[[#All],[year t]])*(Table14[[#This Row],[stratum i]]=Table32[[#All],[stratum i]]), 0))</f>
        <v>#REF!</v>
      </c>
      <c r="BD45" t="e" cm="1">
        <f t="array" ref="BD45">INDEX(#REF!, MATCH(1, (Table14[[#This Row],[year t]]=Table32[[#All],[year t]])*(Table14[[#This Row],[stratum i]]=Table32[[#All],[stratum i]]), 0))</f>
        <v>#REF!</v>
      </c>
      <c r="BE45" t="e" cm="1">
        <f t="array" ref="BE45">INDEX(#REF!, MATCH(1, (Table14[[#This Row],[year t]]=Table32[[#All],[year t]])*(Table14[[#This Row],[stratum i]]=Table32[[#All],[stratum i]]), 0))</f>
        <v>#REF!</v>
      </c>
      <c r="BF45" s="30"/>
      <c r="BM45" s="18">
        <v>2023</v>
      </c>
      <c r="BN45">
        <v>2</v>
      </c>
      <c r="BO45" t="e" cm="1">
        <f t="array" ref="BO45">INDEX(#REF!, MATCH(1, (Table132926[[#This Row],[year t]]=Table32[year t])*(Table132926[[#This Row],[stratum i]]=Table32[[#All],[stratum i]]), 0))</f>
        <v>#REF!</v>
      </c>
      <c r="BP45" t="e">
        <f>-44/12*Table132926[[#This Row],[∆CBSL-soil,i,t (tC/ha)]]</f>
        <v>#REF!</v>
      </c>
    </row>
    <row r="46" spans="3:84" x14ac:dyDescent="0.2">
      <c r="J46" s="18">
        <v>2024</v>
      </c>
      <c r="K46">
        <v>2</v>
      </c>
      <c r="L46" cm="1">
        <f t="array" ref="L46">INDEX(Table32[[#All],[ΔCTREE_BSL,i,t (AR Tool 14) t C/yr]], MATCH(1, (Table12[[#This Row],[year t]]=Table32[[#All],[year t]])*(Table12[[#This Row],[stratum i]]=Table32[[#All],[stratum i]]), 0))</f>
        <v>0</v>
      </c>
      <c r="M46" cm="1">
        <f t="array" ref="M46">IF(baseline_abground_nontree = "Included", INDEX(#REF!, MATCH(1, (Table12[[#This Row],[year t]]=Table32[[#All],[year t]])*(Table12[[#This Row],[stratum i]]=Table32[[#All],[stratum i]]), 0)), 0)</f>
        <v>0</v>
      </c>
      <c r="N46">
        <f>12/44*(Table12[[#This Row],[ΔCTREE_BSL,i,t (AR Tool 14) t CO2e/yr]]+Table12[[#This Row],[ΔCSHRUB_BSL,i,t (AR Tool 14) t CO2e/yr]])</f>
        <v>0</v>
      </c>
      <c r="O46" cm="1">
        <f t="array" ref="O46">IF(baseline_abground_nontree = "Included", IFERROR(INDEX(Table13[[#All],[ΔCBSL-herb,i,t (Eq 25)]], MATCH(1, (Table12[[#This Row],[stratum i]]=Table13[[#All],[stratum i]])*(Table12[[#This Row],[year t]]&gt;=#REF!)*(Table12[[#This Row],[year t]]&lt;=Table13[[#All],[year t]]), 0)), 0), 0)</f>
        <v>0</v>
      </c>
      <c r="P46">
        <f>Table12[[#This Row],[ΔCBSL-tree/shrub,i,t (t C/yr) (Eq 24)]]+Table12[[#This Row],[ΔCBSL-herb,i,t (t C/yr)]]-Table12[[#This Row],[ΔCBSL-agbiomass,i,t; t C yr-1 (submergence)]]</f>
        <v>0</v>
      </c>
      <c r="Q46" cm="1">
        <f t="array" ref="Q46">IFERROR(INDEX(Table14[[#All],[GHGBSL-soil,i,t (Eq 26)]], MATCH(1, (Table12[[#This Row],[year t]]=Table14[[#All],[year t]])*(Table12[[#This Row],[stratum i]]=Table14[[#All],[stratum i]]), 0)), 0)</f>
        <v>0</v>
      </c>
      <c r="R46">
        <f>IF(baseline_ff_CO2 = "Included", Table12[[#This Row],[ET(FC,I,t) AR-Tool 5]], 0)</f>
        <v>0</v>
      </c>
      <c r="S46" t="e" cm="1">
        <f t="array" ref="S46">INDEX(#REF!, MATCH(1, (Table12[[#This Row],[year t]]=Table32[[#All],[year t]])*(Table12[[#This Row],[stratum i]]=Table32[[#All],[stratum i]]), 0))</f>
        <v>#REF!</v>
      </c>
      <c r="T46" cm="1">
        <f t="array" ref="T46">IFERROR(INDEX(Table30[[#All],[ΔCBSL-agbiomass,i,t (equation 22) t C yr-1]], MATCH(1, (Table12[[#This Row],[stratum i]]=Table30[[#All],[Stratum i]])*(Table12[[#This Row],[year t]]&lt;Table30[[#All],[Year of reporting]]), 0)), 0)</f>
        <v>0</v>
      </c>
      <c r="AG46" s="18">
        <v>2024</v>
      </c>
      <c r="AH46">
        <v>2</v>
      </c>
      <c r="AI46" s="49" t="e" cm="1">
        <f t="array" ref="AI46">INDEX(#REF!, MATCH(1, (Table13[[#This Row],[year t]]=Table32[[#All],[year t]])*(Table13[[#This Row],[stratum i]]=Table32[[#All],[stratum i]]), 0))</f>
        <v>#REF!</v>
      </c>
      <c r="AJ46" s="49" t="e">
        <f>Table13[[#This Row],[ΔCBSL-herb,i,t (tC/ha)]]</f>
        <v>#REF!</v>
      </c>
      <c r="AO46" s="18">
        <v>2024</v>
      </c>
      <c r="AP46">
        <v>2</v>
      </c>
      <c r="AQ46" s="18" cm="1">
        <f t="array" ref="AQ46">INDEX(Table32[[#All],[Ai,t]], MATCH(1, (Table14[[#This Row],[year t]]=Table32[[#All],[year t]])*(Table14[[#This Row],[stratum i]]=Table32[[#All],[stratum i]]), 0))</f>
        <v>1982.9786785714284</v>
      </c>
      <c r="AR46" t="str">
        <f>IF(AND(INDEX(Table31[[#All],[Soil type (t=0)]], MATCH(Table14[[#This Row],[stratum i]], Table31[[#All],[Stratum i]]))="Peat soil", Table14[[#This Row],[year t]]&lt;=Table14[[#This Row],[End_PDT]]), "Peat soil", "Non-peat soil")</f>
        <v>Non-peat soil</v>
      </c>
      <c r="AS46">
        <f>IF(Emission_reduction_from_stock_loss?, INDEX(Table2[[#All],[End_PDT]], MATCH(Table14[[#This Row],[stratum i]], Table2[[#All],[stratum i]])), crediting_period)</f>
        <v>40</v>
      </c>
      <c r="AT46">
        <f>IF(Emission_reduction_from_stock_loss?, INDEX(Table2[[#All],[End_SDT]], MATCH(Table14[[#This Row],[stratum i]], Table2[[#All],[stratum i]])), crediting_period)</f>
        <v>40</v>
      </c>
      <c r="AU46" cm="1">
        <f t="array" ref="AU4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6" t="e" cm="1">
        <f t="array" ref="AV46">INDEX(#REF!, MATCH(1, (Table14[[#This Row],[year t]]=Table32[[#All],[year t]])*(Table14[[#This Row],[stratum i]]=Table32[[#All],[stratum i]]), 0))</f>
        <v>#REF!</v>
      </c>
      <c r="AW4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6" s="57">
        <f>(Table14[[#This Row],[GHGBSL-soil-CO2,i,t (Eq 27)]]-Table14[[#This Row],[Deductionalloch (Eq 38)]])*Table14[[#This Row],[Ai,t]]</f>
        <v>0</v>
      </c>
      <c r="AY46" cm="1">
        <f t="array" ref="AY46">IF(baseline_soil_CH4 = "Included", INDEX(Table18[[#All],[GHGBSL-soil-CH4,i,t (Eq 59)]], MATCH(1, (Table14[[#This Row],[year t]]=Table18[[#All],[year t]])*(Table14[[#This Row],[stratum i]]=Table18[[#All],[stratum i]]), 0)), 0)</f>
        <v>0</v>
      </c>
      <c r="AZ46" cm="1">
        <f t="array" ref="AZ46">IF(baseline_soil_N2O = "Included", INDEX(Table18[[#All],[GHGBSL-soil-N2O,i,t (Eq 62)]], MATCH(1, (Table14[[#This Row],[year t]]=Table18[[#All],[year t]])*(Table14[[#This Row],[stratum i]]=Table18[[#All],[stratum i]]), 0)), 0)</f>
        <v>0</v>
      </c>
      <c r="BA46">
        <f>IF(AND(Table14[[#This Row],[year t]]&gt;Table14[[#This Row],[End_PDT]],Table14[[#This Row],[year t]]&gt;Table14[[#This Row],[End_SDT]]), 0, Table14[[#This Row],[Ai,t]]*(Table14[[#This Row],[GHGBSL-soil-CO2,i,t (Eq 27)]]-Table14[[#This Row],[Deductionalloch (Eq 38)]]+Table14[[#This Row],[GHGBSL-soil-CH4,i,t]]+Table14[[#This Row],[GHGBSL-soil-N2O,i,t]]))</f>
        <v>0</v>
      </c>
      <c r="BB46" t="e" cm="1">
        <f t="array" ref="BB46">INDEX(#REF!, MATCH(1, (Table14[[#This Row],[year t]]=Table32[[#All],[year t]])*(Table14[[#This Row],[stratum i]]=Table32[[#All],[stratum i]]), 0))</f>
        <v>#REF!</v>
      </c>
      <c r="BC46" t="e" cm="1">
        <f t="array" ref="BC46">INDEX(#REF!, MATCH(1, (Table14[[#This Row],[year t]]=Table32[[#All],[year t]])*(Table14[[#This Row],[stratum i]]=Table32[[#All],[stratum i]]), 0))</f>
        <v>#REF!</v>
      </c>
      <c r="BD46" t="e" cm="1">
        <f t="array" ref="BD46">INDEX(#REF!, MATCH(1, (Table14[[#This Row],[year t]]=Table32[[#All],[year t]])*(Table14[[#This Row],[stratum i]]=Table32[[#All],[stratum i]]), 0))</f>
        <v>#REF!</v>
      </c>
      <c r="BE46" t="e" cm="1">
        <f t="array" ref="BE46">INDEX(#REF!, MATCH(1, (Table14[[#This Row],[year t]]=Table32[[#All],[year t]])*(Table14[[#This Row],[stratum i]]=Table32[[#All],[stratum i]]), 0))</f>
        <v>#REF!</v>
      </c>
      <c r="BF46" s="30"/>
      <c r="BM46" s="18">
        <v>2024</v>
      </c>
      <c r="BN46">
        <v>2</v>
      </c>
      <c r="BO46" t="e" cm="1">
        <f t="array" ref="BO46">INDEX(#REF!, MATCH(1, (Table132926[[#This Row],[year t]]=Table32[year t])*(Table132926[[#This Row],[stratum i]]=Table32[[#All],[stratum i]]), 0))</f>
        <v>#REF!</v>
      </c>
      <c r="BP46" t="e">
        <f>-44/12*Table132926[[#This Row],[∆CBSL-soil,i,t (tC/ha)]]</f>
        <v>#REF!</v>
      </c>
    </row>
    <row r="47" spans="3:84" x14ac:dyDescent="0.2">
      <c r="J47" s="18">
        <v>2025</v>
      </c>
      <c r="K47">
        <v>2</v>
      </c>
      <c r="L47" cm="1">
        <f t="array" ref="L47">INDEX(Table32[[#All],[ΔCTREE_BSL,i,t (AR Tool 14) t C/yr]], MATCH(1, (Table12[[#This Row],[year t]]=Table32[[#All],[year t]])*(Table12[[#This Row],[stratum i]]=Table32[[#All],[stratum i]]), 0))</f>
        <v>0</v>
      </c>
      <c r="M47" cm="1">
        <f t="array" ref="M47">IF(baseline_abground_nontree = "Included", INDEX(#REF!, MATCH(1, (Table12[[#This Row],[year t]]=Table32[[#All],[year t]])*(Table12[[#This Row],[stratum i]]=Table32[[#All],[stratum i]]), 0)), 0)</f>
        <v>0</v>
      </c>
      <c r="N47">
        <f>12/44*(Table12[[#This Row],[ΔCTREE_BSL,i,t (AR Tool 14) t CO2e/yr]]+Table12[[#This Row],[ΔCSHRUB_BSL,i,t (AR Tool 14) t CO2e/yr]])</f>
        <v>0</v>
      </c>
      <c r="O47" cm="1">
        <f t="array" ref="O47">IF(baseline_abground_nontree = "Included", IFERROR(INDEX(Table13[[#All],[ΔCBSL-herb,i,t (Eq 25)]], MATCH(1, (Table12[[#This Row],[stratum i]]=Table13[[#All],[stratum i]])*(Table12[[#This Row],[year t]]&gt;=#REF!)*(Table12[[#This Row],[year t]]&lt;=Table13[[#All],[year t]]), 0)), 0), 0)</f>
        <v>0</v>
      </c>
      <c r="P47">
        <f>Table12[[#This Row],[ΔCBSL-tree/shrub,i,t (t C/yr) (Eq 24)]]+Table12[[#This Row],[ΔCBSL-herb,i,t (t C/yr)]]-Table12[[#This Row],[ΔCBSL-agbiomass,i,t; t C yr-1 (submergence)]]</f>
        <v>0</v>
      </c>
      <c r="Q47" cm="1">
        <f t="array" ref="Q47">IFERROR(INDEX(Table14[[#All],[GHGBSL-soil,i,t (Eq 26)]], MATCH(1, (Table12[[#This Row],[year t]]=Table14[[#All],[year t]])*(Table12[[#This Row],[stratum i]]=Table14[[#All],[stratum i]]), 0)), 0)</f>
        <v>0</v>
      </c>
      <c r="R47">
        <f>IF(baseline_ff_CO2 = "Included", Table12[[#This Row],[ET(FC,I,t) AR-Tool 5]], 0)</f>
        <v>0</v>
      </c>
      <c r="S47" t="e" cm="1">
        <f t="array" ref="S47">INDEX(#REF!, MATCH(1, (Table12[[#This Row],[year t]]=Table32[[#All],[year t]])*(Table12[[#This Row],[stratum i]]=Table32[[#All],[stratum i]]), 0))</f>
        <v>#REF!</v>
      </c>
      <c r="T47" cm="1">
        <f t="array" ref="T47">IFERROR(INDEX(Table30[[#All],[ΔCBSL-agbiomass,i,t (equation 22) t C yr-1]], MATCH(1, (Table12[[#This Row],[stratum i]]=Table30[[#All],[Stratum i]])*(Table12[[#This Row],[year t]]&lt;Table30[[#All],[Year of reporting]]), 0)), 0)</f>
        <v>0</v>
      </c>
      <c r="AG47" s="18">
        <v>2025</v>
      </c>
      <c r="AH47">
        <v>2</v>
      </c>
      <c r="AI47" s="49" t="e" cm="1">
        <f t="array" ref="AI47">INDEX(#REF!, MATCH(1, (Table13[[#This Row],[year t]]=Table32[[#All],[year t]])*(Table13[[#This Row],[stratum i]]=Table32[[#All],[stratum i]]), 0))</f>
        <v>#REF!</v>
      </c>
      <c r="AJ47" s="49" t="e">
        <f>Table13[[#This Row],[ΔCBSL-herb,i,t (tC/ha)]]</f>
        <v>#REF!</v>
      </c>
      <c r="AO47" s="18">
        <v>2025</v>
      </c>
      <c r="AP47">
        <v>2</v>
      </c>
      <c r="AQ47" s="18" cm="1">
        <f t="array" ref="AQ47">INDEX(Table32[[#All],[Ai,t]], MATCH(1, (Table14[[#This Row],[year t]]=Table32[[#All],[year t]])*(Table14[[#This Row],[stratum i]]=Table32[[#All],[stratum i]]), 0))</f>
        <v>1982.9786785714284</v>
      </c>
      <c r="AR47" t="str">
        <f>IF(AND(INDEX(Table31[[#All],[Soil type (t=0)]], MATCH(Table14[[#This Row],[stratum i]], Table31[[#All],[Stratum i]]))="Peat soil", Table14[[#This Row],[year t]]&lt;=Table14[[#This Row],[End_PDT]]), "Peat soil", "Non-peat soil")</f>
        <v>Non-peat soil</v>
      </c>
      <c r="AS47">
        <f>IF(Emission_reduction_from_stock_loss?, INDEX(Table2[[#All],[End_PDT]], MATCH(Table14[[#This Row],[stratum i]], Table2[[#All],[stratum i]])), crediting_period)</f>
        <v>40</v>
      </c>
      <c r="AT47">
        <f>IF(Emission_reduction_from_stock_loss?, INDEX(Table2[[#All],[End_SDT]], MATCH(Table14[[#This Row],[stratum i]], Table2[[#All],[stratum i]])), crediting_period)</f>
        <v>40</v>
      </c>
      <c r="AU47" cm="1">
        <f t="array" ref="AU4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7" t="e" cm="1">
        <f t="array" ref="AV47">INDEX(#REF!, MATCH(1, (Table14[[#This Row],[year t]]=Table32[[#All],[year t]])*(Table14[[#This Row],[stratum i]]=Table32[[#All],[stratum i]]), 0))</f>
        <v>#REF!</v>
      </c>
      <c r="AW4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7" s="57">
        <f>(Table14[[#This Row],[GHGBSL-soil-CO2,i,t (Eq 27)]]-Table14[[#This Row],[Deductionalloch (Eq 38)]])*Table14[[#This Row],[Ai,t]]</f>
        <v>0</v>
      </c>
      <c r="AY47" cm="1">
        <f t="array" ref="AY47">IF(baseline_soil_CH4 = "Included", INDEX(Table18[[#All],[GHGBSL-soil-CH4,i,t (Eq 59)]], MATCH(1, (Table14[[#This Row],[year t]]=Table18[[#All],[year t]])*(Table14[[#This Row],[stratum i]]=Table18[[#All],[stratum i]]), 0)), 0)</f>
        <v>0</v>
      </c>
      <c r="AZ47" cm="1">
        <f t="array" ref="AZ47">IF(baseline_soil_N2O = "Included", INDEX(Table18[[#All],[GHGBSL-soil-N2O,i,t (Eq 62)]], MATCH(1, (Table14[[#This Row],[year t]]=Table18[[#All],[year t]])*(Table14[[#This Row],[stratum i]]=Table18[[#All],[stratum i]]), 0)), 0)</f>
        <v>0</v>
      </c>
      <c r="BA47">
        <f>IF(AND(Table14[[#This Row],[year t]]&gt;Table14[[#This Row],[End_PDT]],Table14[[#This Row],[year t]]&gt;Table14[[#This Row],[End_SDT]]), 0, Table14[[#This Row],[Ai,t]]*(Table14[[#This Row],[GHGBSL-soil-CO2,i,t (Eq 27)]]-Table14[[#This Row],[Deductionalloch (Eq 38)]]+Table14[[#This Row],[GHGBSL-soil-CH4,i,t]]+Table14[[#This Row],[GHGBSL-soil-N2O,i,t]]))</f>
        <v>0</v>
      </c>
      <c r="BB47" t="e" cm="1">
        <f t="array" ref="BB47">INDEX(#REF!, MATCH(1, (Table14[[#This Row],[year t]]=Table32[[#All],[year t]])*(Table14[[#This Row],[stratum i]]=Table32[[#All],[stratum i]]), 0))</f>
        <v>#REF!</v>
      </c>
      <c r="BC47" t="e" cm="1">
        <f t="array" ref="BC47">INDEX(#REF!, MATCH(1, (Table14[[#This Row],[year t]]=Table32[[#All],[year t]])*(Table14[[#This Row],[stratum i]]=Table32[[#All],[stratum i]]), 0))</f>
        <v>#REF!</v>
      </c>
      <c r="BD47" t="e" cm="1">
        <f t="array" ref="BD47">INDEX(#REF!, MATCH(1, (Table14[[#This Row],[year t]]=Table32[[#All],[year t]])*(Table14[[#This Row],[stratum i]]=Table32[[#All],[stratum i]]), 0))</f>
        <v>#REF!</v>
      </c>
      <c r="BE47" t="e" cm="1">
        <f t="array" ref="BE47">INDEX(#REF!, MATCH(1, (Table14[[#This Row],[year t]]=Table32[[#All],[year t]])*(Table14[[#This Row],[stratum i]]=Table32[[#All],[stratum i]]), 0))</f>
        <v>#REF!</v>
      </c>
      <c r="BF47" s="30"/>
      <c r="BM47" s="18">
        <v>2025</v>
      </c>
      <c r="BN47">
        <v>2</v>
      </c>
      <c r="BO47" t="e" cm="1">
        <f t="array" ref="BO47">INDEX(#REF!, MATCH(1, (Table132926[[#This Row],[year t]]=Table32[year t])*(Table132926[[#This Row],[stratum i]]=Table32[[#All],[stratum i]]), 0))</f>
        <v>#REF!</v>
      </c>
      <c r="BP47" t="e">
        <f>-44/12*Table132926[[#This Row],[∆CBSL-soil,i,t (tC/ha)]]</f>
        <v>#REF!</v>
      </c>
    </row>
    <row r="48" spans="3:84" x14ac:dyDescent="0.2">
      <c r="J48" s="18">
        <v>2026</v>
      </c>
      <c r="K48">
        <v>2</v>
      </c>
      <c r="L48" cm="1">
        <f t="array" ref="L48">INDEX(Table32[[#All],[ΔCTREE_BSL,i,t (AR Tool 14) t C/yr]], MATCH(1, (Table12[[#This Row],[year t]]=Table32[[#All],[year t]])*(Table12[[#This Row],[stratum i]]=Table32[[#All],[stratum i]]), 0))</f>
        <v>0</v>
      </c>
      <c r="M48" cm="1">
        <f t="array" ref="M48">IF(baseline_abground_nontree = "Included", INDEX(#REF!, MATCH(1, (Table12[[#This Row],[year t]]=Table32[[#All],[year t]])*(Table12[[#This Row],[stratum i]]=Table32[[#All],[stratum i]]), 0)), 0)</f>
        <v>0</v>
      </c>
      <c r="N48">
        <f>12/44*(Table12[[#This Row],[ΔCTREE_BSL,i,t (AR Tool 14) t CO2e/yr]]+Table12[[#This Row],[ΔCSHRUB_BSL,i,t (AR Tool 14) t CO2e/yr]])</f>
        <v>0</v>
      </c>
      <c r="O48" cm="1">
        <f t="array" ref="O48">IF(baseline_abground_nontree = "Included", IFERROR(INDEX(Table13[[#All],[ΔCBSL-herb,i,t (Eq 25)]], MATCH(1, (Table12[[#This Row],[stratum i]]=Table13[[#All],[stratum i]])*(Table12[[#This Row],[year t]]&gt;=#REF!)*(Table12[[#This Row],[year t]]&lt;=Table13[[#All],[year t]]), 0)), 0), 0)</f>
        <v>0</v>
      </c>
      <c r="P48">
        <f>Table12[[#This Row],[ΔCBSL-tree/shrub,i,t (t C/yr) (Eq 24)]]+Table12[[#This Row],[ΔCBSL-herb,i,t (t C/yr)]]-Table12[[#This Row],[ΔCBSL-agbiomass,i,t; t C yr-1 (submergence)]]</f>
        <v>0</v>
      </c>
      <c r="Q48" cm="1">
        <f t="array" ref="Q48">IFERROR(INDEX(Table14[[#All],[GHGBSL-soil,i,t (Eq 26)]], MATCH(1, (Table12[[#This Row],[year t]]=Table14[[#All],[year t]])*(Table12[[#This Row],[stratum i]]=Table14[[#All],[stratum i]]), 0)), 0)</f>
        <v>0</v>
      </c>
      <c r="R48">
        <f>IF(baseline_ff_CO2 = "Included", Table12[[#This Row],[ET(FC,I,t) AR-Tool 5]], 0)</f>
        <v>0</v>
      </c>
      <c r="S48" t="e" cm="1">
        <f t="array" ref="S48">INDEX(#REF!, MATCH(1, (Table12[[#This Row],[year t]]=Table32[[#All],[year t]])*(Table12[[#This Row],[stratum i]]=Table32[[#All],[stratum i]]), 0))</f>
        <v>#REF!</v>
      </c>
      <c r="T48" cm="1">
        <f t="array" ref="T48">IFERROR(INDEX(Table30[[#All],[ΔCBSL-agbiomass,i,t (equation 22) t C yr-1]], MATCH(1, (Table12[[#This Row],[stratum i]]=Table30[[#All],[Stratum i]])*(Table12[[#This Row],[year t]]&lt;Table30[[#All],[Year of reporting]]), 0)), 0)</f>
        <v>0</v>
      </c>
      <c r="AG48" s="18">
        <v>2026</v>
      </c>
      <c r="AH48">
        <v>2</v>
      </c>
      <c r="AI48" s="49" t="e" cm="1">
        <f t="array" ref="AI48">INDEX(#REF!, MATCH(1, (Table13[[#This Row],[year t]]=Table32[[#All],[year t]])*(Table13[[#This Row],[stratum i]]=Table32[[#All],[stratum i]]), 0))</f>
        <v>#REF!</v>
      </c>
      <c r="AJ48" s="49" t="e">
        <f>Table13[[#This Row],[ΔCBSL-herb,i,t (tC/ha)]]</f>
        <v>#REF!</v>
      </c>
      <c r="AO48" s="18">
        <v>2026</v>
      </c>
      <c r="AP48">
        <v>2</v>
      </c>
      <c r="AQ48" s="18" cm="1">
        <f t="array" ref="AQ48">INDEX(Table32[[#All],[Ai,t]], MATCH(1, (Table14[[#This Row],[year t]]=Table32[[#All],[year t]])*(Table14[[#This Row],[stratum i]]=Table32[[#All],[stratum i]]), 0))</f>
        <v>1982.9786785714284</v>
      </c>
      <c r="AR48" t="str">
        <f>IF(AND(INDEX(Table31[[#All],[Soil type (t=0)]], MATCH(Table14[[#This Row],[stratum i]], Table31[[#All],[Stratum i]]))="Peat soil", Table14[[#This Row],[year t]]&lt;=Table14[[#This Row],[End_PDT]]), "Peat soil", "Non-peat soil")</f>
        <v>Non-peat soil</v>
      </c>
      <c r="AS48">
        <f>IF(Emission_reduction_from_stock_loss?, INDEX(Table2[[#All],[End_PDT]], MATCH(Table14[[#This Row],[stratum i]], Table2[[#All],[stratum i]])), crediting_period)</f>
        <v>40</v>
      </c>
      <c r="AT48">
        <f>IF(Emission_reduction_from_stock_loss?, INDEX(Table2[[#All],[End_SDT]], MATCH(Table14[[#This Row],[stratum i]], Table2[[#All],[stratum i]])), crediting_period)</f>
        <v>40</v>
      </c>
      <c r="AU48" cm="1">
        <f t="array" ref="AU4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8" t="e" cm="1">
        <f t="array" ref="AV48">INDEX(#REF!, MATCH(1, (Table14[[#This Row],[year t]]=Table32[[#All],[year t]])*(Table14[[#This Row],[stratum i]]=Table32[[#All],[stratum i]]), 0))</f>
        <v>#REF!</v>
      </c>
      <c r="AW4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8" s="57">
        <f>(Table14[[#This Row],[GHGBSL-soil-CO2,i,t (Eq 27)]]-Table14[[#This Row],[Deductionalloch (Eq 38)]])*Table14[[#This Row],[Ai,t]]</f>
        <v>0</v>
      </c>
      <c r="AY48" cm="1">
        <f t="array" ref="AY48">IF(baseline_soil_CH4 = "Included", INDEX(Table18[[#All],[GHGBSL-soil-CH4,i,t (Eq 59)]], MATCH(1, (Table14[[#This Row],[year t]]=Table18[[#All],[year t]])*(Table14[[#This Row],[stratum i]]=Table18[[#All],[stratum i]]), 0)), 0)</f>
        <v>0</v>
      </c>
      <c r="AZ48" cm="1">
        <f t="array" ref="AZ48">IF(baseline_soil_N2O = "Included", INDEX(Table18[[#All],[GHGBSL-soil-N2O,i,t (Eq 62)]], MATCH(1, (Table14[[#This Row],[year t]]=Table18[[#All],[year t]])*(Table14[[#This Row],[stratum i]]=Table18[[#All],[stratum i]]), 0)), 0)</f>
        <v>0</v>
      </c>
      <c r="BA48">
        <f>IF(AND(Table14[[#This Row],[year t]]&gt;Table14[[#This Row],[End_PDT]],Table14[[#This Row],[year t]]&gt;Table14[[#This Row],[End_SDT]]), 0, Table14[[#This Row],[Ai,t]]*(Table14[[#This Row],[GHGBSL-soil-CO2,i,t (Eq 27)]]-Table14[[#This Row],[Deductionalloch (Eq 38)]]+Table14[[#This Row],[GHGBSL-soil-CH4,i,t]]+Table14[[#This Row],[GHGBSL-soil-N2O,i,t]]))</f>
        <v>0</v>
      </c>
      <c r="BB48" t="e" cm="1">
        <f t="array" ref="BB48">INDEX(#REF!, MATCH(1, (Table14[[#This Row],[year t]]=Table32[[#All],[year t]])*(Table14[[#This Row],[stratum i]]=Table32[[#All],[stratum i]]), 0))</f>
        <v>#REF!</v>
      </c>
      <c r="BC48" t="e" cm="1">
        <f t="array" ref="BC48">INDEX(#REF!, MATCH(1, (Table14[[#This Row],[year t]]=Table32[[#All],[year t]])*(Table14[[#This Row],[stratum i]]=Table32[[#All],[stratum i]]), 0))</f>
        <v>#REF!</v>
      </c>
      <c r="BD48" t="e" cm="1">
        <f t="array" ref="BD48">INDEX(#REF!, MATCH(1, (Table14[[#This Row],[year t]]=Table32[[#All],[year t]])*(Table14[[#This Row],[stratum i]]=Table32[[#All],[stratum i]]), 0))</f>
        <v>#REF!</v>
      </c>
      <c r="BE48" t="e" cm="1">
        <f t="array" ref="BE48">INDEX(#REF!, MATCH(1, (Table14[[#This Row],[year t]]=Table32[[#All],[year t]])*(Table14[[#This Row],[stratum i]]=Table32[[#All],[stratum i]]), 0))</f>
        <v>#REF!</v>
      </c>
      <c r="BF48" s="30"/>
      <c r="BM48" s="18">
        <v>2026</v>
      </c>
      <c r="BN48">
        <v>2</v>
      </c>
      <c r="BO48" t="e" cm="1">
        <f t="array" ref="BO48">INDEX(#REF!, MATCH(1, (Table132926[[#This Row],[year t]]=Table32[year t])*(Table132926[[#This Row],[stratum i]]=Table32[[#All],[stratum i]]), 0))</f>
        <v>#REF!</v>
      </c>
      <c r="BP48" t="e">
        <f>-44/12*Table132926[[#This Row],[∆CBSL-soil,i,t (tC/ha)]]</f>
        <v>#REF!</v>
      </c>
    </row>
    <row r="49" spans="10:68" x14ac:dyDescent="0.2">
      <c r="J49" s="18">
        <v>2027</v>
      </c>
      <c r="K49">
        <v>2</v>
      </c>
      <c r="L49" cm="1">
        <f t="array" ref="L49">INDEX(Table32[[#All],[ΔCTREE_BSL,i,t (AR Tool 14) t C/yr]], MATCH(1, (Table12[[#This Row],[year t]]=Table32[[#All],[year t]])*(Table12[[#This Row],[stratum i]]=Table32[[#All],[stratum i]]), 0))</f>
        <v>0</v>
      </c>
      <c r="M49" cm="1">
        <f t="array" ref="M49">IF(baseline_abground_nontree = "Included", INDEX(#REF!, MATCH(1, (Table12[[#This Row],[year t]]=Table32[[#All],[year t]])*(Table12[[#This Row],[stratum i]]=Table32[[#All],[stratum i]]), 0)), 0)</f>
        <v>0</v>
      </c>
      <c r="N49">
        <f>12/44*(Table12[[#This Row],[ΔCTREE_BSL,i,t (AR Tool 14) t CO2e/yr]]+Table12[[#This Row],[ΔCSHRUB_BSL,i,t (AR Tool 14) t CO2e/yr]])</f>
        <v>0</v>
      </c>
      <c r="O49" cm="1">
        <f t="array" ref="O49">IF(baseline_abground_nontree = "Included", IFERROR(INDEX(Table13[[#All],[ΔCBSL-herb,i,t (Eq 25)]], MATCH(1, (Table12[[#This Row],[stratum i]]=Table13[[#All],[stratum i]])*(Table12[[#This Row],[year t]]&gt;=#REF!)*(Table12[[#This Row],[year t]]&lt;=Table13[[#All],[year t]]), 0)), 0), 0)</f>
        <v>0</v>
      </c>
      <c r="P49">
        <f>Table12[[#This Row],[ΔCBSL-tree/shrub,i,t (t C/yr) (Eq 24)]]+Table12[[#This Row],[ΔCBSL-herb,i,t (t C/yr)]]-Table12[[#This Row],[ΔCBSL-agbiomass,i,t; t C yr-1 (submergence)]]</f>
        <v>0</v>
      </c>
      <c r="Q49" cm="1">
        <f t="array" ref="Q49">IFERROR(INDEX(Table14[[#All],[GHGBSL-soil,i,t (Eq 26)]], MATCH(1, (Table12[[#This Row],[year t]]=Table14[[#All],[year t]])*(Table12[[#This Row],[stratum i]]=Table14[[#All],[stratum i]]), 0)), 0)</f>
        <v>0</v>
      </c>
      <c r="R49">
        <f>IF(baseline_ff_CO2 = "Included", Table12[[#This Row],[ET(FC,I,t) AR-Tool 5]], 0)</f>
        <v>0</v>
      </c>
      <c r="S49" t="e" cm="1">
        <f t="array" ref="S49">INDEX(#REF!, MATCH(1, (Table12[[#This Row],[year t]]=Table32[[#All],[year t]])*(Table12[[#This Row],[stratum i]]=Table32[[#All],[stratum i]]), 0))</f>
        <v>#REF!</v>
      </c>
      <c r="T49" cm="1">
        <f t="array" ref="T49">IFERROR(INDEX(Table30[[#All],[ΔCBSL-agbiomass,i,t (equation 22) t C yr-1]], MATCH(1, (Table12[[#This Row],[stratum i]]=Table30[[#All],[Stratum i]])*(Table12[[#This Row],[year t]]&lt;Table30[[#All],[Year of reporting]]), 0)), 0)</f>
        <v>0</v>
      </c>
      <c r="AG49" s="18">
        <v>2027</v>
      </c>
      <c r="AH49">
        <v>2</v>
      </c>
      <c r="AI49" s="49" t="e" cm="1">
        <f t="array" ref="AI49">INDEX(#REF!, MATCH(1, (Table13[[#This Row],[year t]]=Table32[[#All],[year t]])*(Table13[[#This Row],[stratum i]]=Table32[[#All],[stratum i]]), 0))</f>
        <v>#REF!</v>
      </c>
      <c r="AJ49" s="49" t="e">
        <f>Table13[[#This Row],[ΔCBSL-herb,i,t (tC/ha)]]</f>
        <v>#REF!</v>
      </c>
      <c r="AO49" s="18">
        <v>2027</v>
      </c>
      <c r="AP49">
        <v>2</v>
      </c>
      <c r="AQ49" s="18" cm="1">
        <f t="array" ref="AQ49">INDEX(Table32[[#All],[Ai,t]], MATCH(1, (Table14[[#This Row],[year t]]=Table32[[#All],[year t]])*(Table14[[#This Row],[stratum i]]=Table32[[#All],[stratum i]]), 0))</f>
        <v>1982.9786785714284</v>
      </c>
      <c r="AR49" t="str">
        <f>IF(AND(INDEX(Table31[[#All],[Soil type (t=0)]], MATCH(Table14[[#This Row],[stratum i]], Table31[[#All],[Stratum i]]))="Peat soil", Table14[[#This Row],[year t]]&lt;=Table14[[#This Row],[End_PDT]]), "Peat soil", "Non-peat soil")</f>
        <v>Non-peat soil</v>
      </c>
      <c r="AS49">
        <f>IF(Emission_reduction_from_stock_loss?, INDEX(Table2[[#All],[End_PDT]], MATCH(Table14[[#This Row],[stratum i]], Table2[[#All],[stratum i]])), crediting_period)</f>
        <v>40</v>
      </c>
      <c r="AT49">
        <f>IF(Emission_reduction_from_stock_loss?, INDEX(Table2[[#All],[End_SDT]], MATCH(Table14[[#This Row],[stratum i]], Table2[[#All],[stratum i]])), crediting_period)</f>
        <v>40</v>
      </c>
      <c r="AU49" cm="1">
        <f t="array" ref="AU4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49" t="e" cm="1">
        <f t="array" ref="AV49">INDEX(#REF!, MATCH(1, (Table14[[#This Row],[year t]]=Table32[[#All],[year t]])*(Table14[[#This Row],[stratum i]]=Table32[[#All],[stratum i]]), 0))</f>
        <v>#REF!</v>
      </c>
      <c r="AW4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49" s="57">
        <f>(Table14[[#This Row],[GHGBSL-soil-CO2,i,t (Eq 27)]]-Table14[[#This Row],[Deductionalloch (Eq 38)]])*Table14[[#This Row],[Ai,t]]</f>
        <v>0</v>
      </c>
      <c r="AY49" cm="1">
        <f t="array" ref="AY49">IF(baseline_soil_CH4 = "Included", INDEX(Table18[[#All],[GHGBSL-soil-CH4,i,t (Eq 59)]], MATCH(1, (Table14[[#This Row],[year t]]=Table18[[#All],[year t]])*(Table14[[#This Row],[stratum i]]=Table18[[#All],[stratum i]]), 0)), 0)</f>
        <v>0</v>
      </c>
      <c r="AZ49" cm="1">
        <f t="array" ref="AZ49">IF(baseline_soil_N2O = "Included", INDEX(Table18[[#All],[GHGBSL-soil-N2O,i,t (Eq 62)]], MATCH(1, (Table14[[#This Row],[year t]]=Table18[[#All],[year t]])*(Table14[[#This Row],[stratum i]]=Table18[[#All],[stratum i]]), 0)), 0)</f>
        <v>0</v>
      </c>
      <c r="BA49">
        <f>IF(AND(Table14[[#This Row],[year t]]&gt;Table14[[#This Row],[End_PDT]],Table14[[#This Row],[year t]]&gt;Table14[[#This Row],[End_SDT]]), 0, Table14[[#This Row],[Ai,t]]*(Table14[[#This Row],[GHGBSL-soil-CO2,i,t (Eq 27)]]-Table14[[#This Row],[Deductionalloch (Eq 38)]]+Table14[[#This Row],[GHGBSL-soil-CH4,i,t]]+Table14[[#This Row],[GHGBSL-soil-N2O,i,t]]))</f>
        <v>0</v>
      </c>
      <c r="BB49" t="e" cm="1">
        <f t="array" ref="BB49">INDEX(#REF!, MATCH(1, (Table14[[#This Row],[year t]]=Table32[[#All],[year t]])*(Table14[[#This Row],[stratum i]]=Table32[[#All],[stratum i]]), 0))</f>
        <v>#REF!</v>
      </c>
      <c r="BC49" t="e" cm="1">
        <f t="array" ref="BC49">INDEX(#REF!, MATCH(1, (Table14[[#This Row],[year t]]=Table32[[#All],[year t]])*(Table14[[#This Row],[stratum i]]=Table32[[#All],[stratum i]]), 0))</f>
        <v>#REF!</v>
      </c>
      <c r="BD49" t="e" cm="1">
        <f t="array" ref="BD49">INDEX(#REF!, MATCH(1, (Table14[[#This Row],[year t]]=Table32[[#All],[year t]])*(Table14[[#This Row],[stratum i]]=Table32[[#All],[stratum i]]), 0))</f>
        <v>#REF!</v>
      </c>
      <c r="BE49" t="e" cm="1">
        <f t="array" ref="BE49">INDEX(#REF!, MATCH(1, (Table14[[#This Row],[year t]]=Table32[[#All],[year t]])*(Table14[[#This Row],[stratum i]]=Table32[[#All],[stratum i]]), 0))</f>
        <v>#REF!</v>
      </c>
      <c r="BF49" s="30"/>
      <c r="BM49" s="18">
        <v>2027</v>
      </c>
      <c r="BN49">
        <v>2</v>
      </c>
      <c r="BO49" t="e" cm="1">
        <f t="array" ref="BO49">INDEX(#REF!, MATCH(1, (Table132926[[#This Row],[year t]]=Table32[year t])*(Table132926[[#This Row],[stratum i]]=Table32[[#All],[stratum i]]), 0))</f>
        <v>#REF!</v>
      </c>
      <c r="BP49" t="e">
        <f>-44/12*Table132926[[#This Row],[∆CBSL-soil,i,t (tC/ha)]]</f>
        <v>#REF!</v>
      </c>
    </row>
    <row r="50" spans="10:68" x14ac:dyDescent="0.2">
      <c r="J50" s="18">
        <v>2028</v>
      </c>
      <c r="K50">
        <v>2</v>
      </c>
      <c r="L50" cm="1">
        <f t="array" ref="L50">INDEX(Table32[[#All],[ΔCTREE_BSL,i,t (AR Tool 14) t C/yr]], MATCH(1, (Table12[[#This Row],[year t]]=Table32[[#All],[year t]])*(Table12[[#This Row],[stratum i]]=Table32[[#All],[stratum i]]), 0))</f>
        <v>0</v>
      </c>
      <c r="M50" cm="1">
        <f t="array" ref="M50">IF(baseline_abground_nontree = "Included", INDEX(#REF!, MATCH(1, (Table12[[#This Row],[year t]]=Table32[[#All],[year t]])*(Table12[[#This Row],[stratum i]]=Table32[[#All],[stratum i]]), 0)), 0)</f>
        <v>0</v>
      </c>
      <c r="N50">
        <f>12/44*(Table12[[#This Row],[ΔCTREE_BSL,i,t (AR Tool 14) t CO2e/yr]]+Table12[[#This Row],[ΔCSHRUB_BSL,i,t (AR Tool 14) t CO2e/yr]])</f>
        <v>0</v>
      </c>
      <c r="O50" cm="1">
        <f t="array" ref="O50">IF(baseline_abground_nontree = "Included", IFERROR(INDEX(Table13[[#All],[ΔCBSL-herb,i,t (Eq 25)]], MATCH(1, (Table12[[#This Row],[stratum i]]=Table13[[#All],[stratum i]])*(Table12[[#This Row],[year t]]&gt;=#REF!)*(Table12[[#This Row],[year t]]&lt;=Table13[[#All],[year t]]), 0)), 0), 0)</f>
        <v>0</v>
      </c>
      <c r="P50">
        <f>Table12[[#This Row],[ΔCBSL-tree/shrub,i,t (t C/yr) (Eq 24)]]+Table12[[#This Row],[ΔCBSL-herb,i,t (t C/yr)]]-Table12[[#This Row],[ΔCBSL-agbiomass,i,t; t C yr-1 (submergence)]]</f>
        <v>0</v>
      </c>
      <c r="Q50" cm="1">
        <f t="array" ref="Q50">IFERROR(INDEX(Table14[[#All],[GHGBSL-soil,i,t (Eq 26)]], MATCH(1, (Table12[[#This Row],[year t]]=Table14[[#All],[year t]])*(Table12[[#This Row],[stratum i]]=Table14[[#All],[stratum i]]), 0)), 0)</f>
        <v>0</v>
      </c>
      <c r="R50">
        <f>IF(baseline_ff_CO2 = "Included", Table12[[#This Row],[ET(FC,I,t) AR-Tool 5]], 0)</f>
        <v>0</v>
      </c>
      <c r="S50" t="e" cm="1">
        <f t="array" ref="S50">INDEX(#REF!, MATCH(1, (Table12[[#This Row],[year t]]=Table32[[#All],[year t]])*(Table12[[#This Row],[stratum i]]=Table32[[#All],[stratum i]]), 0))</f>
        <v>#REF!</v>
      </c>
      <c r="T50" cm="1">
        <f t="array" ref="T50">IFERROR(INDEX(Table30[[#All],[ΔCBSL-agbiomass,i,t (equation 22) t C yr-1]], MATCH(1, (Table12[[#This Row],[stratum i]]=Table30[[#All],[Stratum i]])*(Table12[[#This Row],[year t]]&lt;Table30[[#All],[Year of reporting]]), 0)), 0)</f>
        <v>0</v>
      </c>
      <c r="AG50" s="18">
        <v>2028</v>
      </c>
      <c r="AH50">
        <v>2</v>
      </c>
      <c r="AI50" s="49" t="e" cm="1">
        <f t="array" ref="AI50">INDEX(#REF!, MATCH(1, (Table13[[#This Row],[year t]]=Table32[[#All],[year t]])*(Table13[[#This Row],[stratum i]]=Table32[[#All],[stratum i]]), 0))</f>
        <v>#REF!</v>
      </c>
      <c r="AJ50" s="49" t="e">
        <f>Table13[[#This Row],[ΔCBSL-herb,i,t (tC/ha)]]</f>
        <v>#REF!</v>
      </c>
      <c r="AO50" s="18">
        <v>2028</v>
      </c>
      <c r="AP50">
        <v>2</v>
      </c>
      <c r="AQ50" s="18" cm="1">
        <f t="array" ref="AQ50">INDEX(Table32[[#All],[Ai,t]], MATCH(1, (Table14[[#This Row],[year t]]=Table32[[#All],[year t]])*(Table14[[#This Row],[stratum i]]=Table32[[#All],[stratum i]]), 0))</f>
        <v>1982.9786785714284</v>
      </c>
      <c r="AR50" t="str">
        <f>IF(AND(INDEX(Table31[[#All],[Soil type (t=0)]], MATCH(Table14[[#This Row],[stratum i]], Table31[[#All],[Stratum i]]))="Peat soil", Table14[[#This Row],[year t]]&lt;=Table14[[#This Row],[End_PDT]]), "Peat soil", "Non-peat soil")</f>
        <v>Non-peat soil</v>
      </c>
      <c r="AS50">
        <f>IF(Emission_reduction_from_stock_loss?, INDEX(Table2[[#All],[End_PDT]], MATCH(Table14[[#This Row],[stratum i]], Table2[[#All],[stratum i]])), crediting_period)</f>
        <v>40</v>
      </c>
      <c r="AT50">
        <f>IF(Emission_reduction_from_stock_loss?, INDEX(Table2[[#All],[End_SDT]], MATCH(Table14[[#This Row],[stratum i]], Table2[[#All],[stratum i]])), crediting_period)</f>
        <v>40</v>
      </c>
      <c r="AU50" cm="1">
        <f t="array" ref="AU5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0" t="e" cm="1">
        <f t="array" ref="AV50">INDEX(#REF!, MATCH(1, (Table14[[#This Row],[year t]]=Table32[[#All],[year t]])*(Table14[[#This Row],[stratum i]]=Table32[[#All],[stratum i]]), 0))</f>
        <v>#REF!</v>
      </c>
      <c r="AW5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0" s="57">
        <f>(Table14[[#This Row],[GHGBSL-soil-CO2,i,t (Eq 27)]]-Table14[[#This Row],[Deductionalloch (Eq 38)]])*Table14[[#This Row],[Ai,t]]</f>
        <v>0</v>
      </c>
      <c r="AY50" cm="1">
        <f t="array" ref="AY50">IF(baseline_soil_CH4 = "Included", INDEX(Table18[[#All],[GHGBSL-soil-CH4,i,t (Eq 59)]], MATCH(1, (Table14[[#This Row],[year t]]=Table18[[#All],[year t]])*(Table14[[#This Row],[stratum i]]=Table18[[#All],[stratum i]]), 0)), 0)</f>
        <v>0</v>
      </c>
      <c r="AZ50" cm="1">
        <f t="array" ref="AZ50">IF(baseline_soil_N2O = "Included", INDEX(Table18[[#All],[GHGBSL-soil-N2O,i,t (Eq 62)]], MATCH(1, (Table14[[#This Row],[year t]]=Table18[[#All],[year t]])*(Table14[[#This Row],[stratum i]]=Table18[[#All],[stratum i]]), 0)), 0)</f>
        <v>0</v>
      </c>
      <c r="BA50">
        <f>IF(AND(Table14[[#This Row],[year t]]&gt;Table14[[#This Row],[End_PDT]],Table14[[#This Row],[year t]]&gt;Table14[[#This Row],[End_SDT]]), 0, Table14[[#This Row],[Ai,t]]*(Table14[[#This Row],[GHGBSL-soil-CO2,i,t (Eq 27)]]-Table14[[#This Row],[Deductionalloch (Eq 38)]]+Table14[[#This Row],[GHGBSL-soil-CH4,i,t]]+Table14[[#This Row],[GHGBSL-soil-N2O,i,t]]))</f>
        <v>0</v>
      </c>
      <c r="BB50" t="e" cm="1">
        <f t="array" ref="BB50">INDEX(#REF!, MATCH(1, (Table14[[#This Row],[year t]]=Table32[[#All],[year t]])*(Table14[[#This Row],[stratum i]]=Table32[[#All],[stratum i]]), 0))</f>
        <v>#REF!</v>
      </c>
      <c r="BC50" t="e" cm="1">
        <f t="array" ref="BC50">INDEX(#REF!, MATCH(1, (Table14[[#This Row],[year t]]=Table32[[#All],[year t]])*(Table14[[#This Row],[stratum i]]=Table32[[#All],[stratum i]]), 0))</f>
        <v>#REF!</v>
      </c>
      <c r="BD50" t="e" cm="1">
        <f t="array" ref="BD50">INDEX(#REF!, MATCH(1, (Table14[[#This Row],[year t]]=Table32[[#All],[year t]])*(Table14[[#This Row],[stratum i]]=Table32[[#All],[stratum i]]), 0))</f>
        <v>#REF!</v>
      </c>
      <c r="BE50" t="e" cm="1">
        <f t="array" ref="BE50">INDEX(#REF!, MATCH(1, (Table14[[#This Row],[year t]]=Table32[[#All],[year t]])*(Table14[[#This Row],[stratum i]]=Table32[[#All],[stratum i]]), 0))</f>
        <v>#REF!</v>
      </c>
      <c r="BF50" s="30"/>
      <c r="BM50" s="18">
        <v>2028</v>
      </c>
      <c r="BN50">
        <v>2</v>
      </c>
      <c r="BO50" t="e" cm="1">
        <f t="array" ref="BO50">INDEX(#REF!, MATCH(1, (Table132926[[#This Row],[year t]]=Table32[year t])*(Table132926[[#This Row],[stratum i]]=Table32[[#All],[stratum i]]), 0))</f>
        <v>#REF!</v>
      </c>
      <c r="BP50" t="e">
        <f>-44/12*Table132926[[#This Row],[∆CBSL-soil,i,t (tC/ha)]]</f>
        <v>#REF!</v>
      </c>
    </row>
    <row r="51" spans="10:68" x14ac:dyDescent="0.2">
      <c r="J51" s="18">
        <v>2029</v>
      </c>
      <c r="K51">
        <v>2</v>
      </c>
      <c r="L51" cm="1">
        <f t="array" ref="L51">INDEX(Table32[[#All],[ΔCTREE_BSL,i,t (AR Tool 14) t C/yr]], MATCH(1, (Table12[[#This Row],[year t]]=Table32[[#All],[year t]])*(Table12[[#This Row],[stratum i]]=Table32[[#All],[stratum i]]), 0))</f>
        <v>0</v>
      </c>
      <c r="M51" cm="1">
        <f t="array" ref="M51">IF(baseline_abground_nontree = "Included", INDEX(#REF!, MATCH(1, (Table12[[#This Row],[year t]]=Table32[[#All],[year t]])*(Table12[[#This Row],[stratum i]]=Table32[[#All],[stratum i]]), 0)), 0)</f>
        <v>0</v>
      </c>
      <c r="N51">
        <f>12/44*(Table12[[#This Row],[ΔCTREE_BSL,i,t (AR Tool 14) t CO2e/yr]]+Table12[[#This Row],[ΔCSHRUB_BSL,i,t (AR Tool 14) t CO2e/yr]])</f>
        <v>0</v>
      </c>
      <c r="O51" cm="1">
        <f t="array" ref="O51">IF(baseline_abground_nontree = "Included", IFERROR(INDEX(Table13[[#All],[ΔCBSL-herb,i,t (Eq 25)]], MATCH(1, (Table12[[#This Row],[stratum i]]=Table13[[#All],[stratum i]])*(Table12[[#This Row],[year t]]&gt;=#REF!)*(Table12[[#This Row],[year t]]&lt;=Table13[[#All],[year t]]), 0)), 0), 0)</f>
        <v>0</v>
      </c>
      <c r="P51">
        <f>Table12[[#This Row],[ΔCBSL-tree/shrub,i,t (t C/yr) (Eq 24)]]+Table12[[#This Row],[ΔCBSL-herb,i,t (t C/yr)]]-Table12[[#This Row],[ΔCBSL-agbiomass,i,t; t C yr-1 (submergence)]]</f>
        <v>0</v>
      </c>
      <c r="Q51" cm="1">
        <f t="array" ref="Q51">IFERROR(INDEX(Table14[[#All],[GHGBSL-soil,i,t (Eq 26)]], MATCH(1, (Table12[[#This Row],[year t]]=Table14[[#All],[year t]])*(Table12[[#This Row],[stratum i]]=Table14[[#All],[stratum i]]), 0)), 0)</f>
        <v>0</v>
      </c>
      <c r="R51">
        <f>IF(baseline_ff_CO2 = "Included", Table12[[#This Row],[ET(FC,I,t) AR-Tool 5]], 0)</f>
        <v>0</v>
      </c>
      <c r="S51" t="e" cm="1">
        <f t="array" ref="S51">INDEX(#REF!, MATCH(1, (Table12[[#This Row],[year t]]=Table32[[#All],[year t]])*(Table12[[#This Row],[stratum i]]=Table32[[#All],[stratum i]]), 0))</f>
        <v>#REF!</v>
      </c>
      <c r="T51" cm="1">
        <f t="array" ref="T51">IFERROR(INDEX(Table30[[#All],[ΔCBSL-agbiomass,i,t (equation 22) t C yr-1]], MATCH(1, (Table12[[#This Row],[stratum i]]=Table30[[#All],[Stratum i]])*(Table12[[#This Row],[year t]]&lt;Table30[[#All],[Year of reporting]]), 0)), 0)</f>
        <v>0</v>
      </c>
      <c r="AG51" s="18">
        <v>2029</v>
      </c>
      <c r="AH51">
        <v>2</v>
      </c>
      <c r="AI51" s="49" t="e" cm="1">
        <f t="array" ref="AI51">INDEX(#REF!, MATCH(1, (Table13[[#This Row],[year t]]=Table32[[#All],[year t]])*(Table13[[#This Row],[stratum i]]=Table32[[#All],[stratum i]]), 0))</f>
        <v>#REF!</v>
      </c>
      <c r="AJ51" s="49" t="e">
        <f>Table13[[#This Row],[ΔCBSL-herb,i,t (tC/ha)]]</f>
        <v>#REF!</v>
      </c>
      <c r="AO51" s="18">
        <v>2029</v>
      </c>
      <c r="AP51">
        <v>2</v>
      </c>
      <c r="AQ51" s="18" cm="1">
        <f t="array" ref="AQ51">INDEX(Table32[[#All],[Ai,t]], MATCH(1, (Table14[[#This Row],[year t]]=Table32[[#All],[year t]])*(Table14[[#This Row],[stratum i]]=Table32[[#All],[stratum i]]), 0))</f>
        <v>1982.9786785714284</v>
      </c>
      <c r="AR51" t="str">
        <f>IF(AND(INDEX(Table31[[#All],[Soil type (t=0)]], MATCH(Table14[[#This Row],[stratum i]], Table31[[#All],[Stratum i]]))="Peat soil", Table14[[#This Row],[year t]]&lt;=Table14[[#This Row],[End_PDT]]), "Peat soil", "Non-peat soil")</f>
        <v>Non-peat soil</v>
      </c>
      <c r="AS51">
        <f>IF(Emission_reduction_from_stock_loss?, INDEX(Table2[[#All],[End_PDT]], MATCH(Table14[[#This Row],[stratum i]], Table2[[#All],[stratum i]])), crediting_period)</f>
        <v>40</v>
      </c>
      <c r="AT51">
        <f>IF(Emission_reduction_from_stock_loss?, INDEX(Table2[[#All],[End_SDT]], MATCH(Table14[[#This Row],[stratum i]], Table2[[#All],[stratum i]])), crediting_period)</f>
        <v>40</v>
      </c>
      <c r="AU51" cm="1">
        <f t="array" ref="AU5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1" t="e" cm="1">
        <f t="array" ref="AV51">INDEX(#REF!, MATCH(1, (Table14[[#This Row],[year t]]=Table32[[#All],[year t]])*(Table14[[#This Row],[stratum i]]=Table32[[#All],[stratum i]]), 0))</f>
        <v>#REF!</v>
      </c>
      <c r="AW5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1" s="57">
        <f>(Table14[[#This Row],[GHGBSL-soil-CO2,i,t (Eq 27)]]-Table14[[#This Row],[Deductionalloch (Eq 38)]])*Table14[[#This Row],[Ai,t]]</f>
        <v>0</v>
      </c>
      <c r="AY51" cm="1">
        <f t="array" ref="AY51">IF(baseline_soil_CH4 = "Included", INDEX(Table18[[#All],[GHGBSL-soil-CH4,i,t (Eq 59)]], MATCH(1, (Table14[[#This Row],[year t]]=Table18[[#All],[year t]])*(Table14[[#This Row],[stratum i]]=Table18[[#All],[stratum i]]), 0)), 0)</f>
        <v>0</v>
      </c>
      <c r="AZ51" cm="1">
        <f t="array" ref="AZ51">IF(baseline_soil_N2O = "Included", INDEX(Table18[[#All],[GHGBSL-soil-N2O,i,t (Eq 62)]], MATCH(1, (Table14[[#This Row],[year t]]=Table18[[#All],[year t]])*(Table14[[#This Row],[stratum i]]=Table18[[#All],[stratum i]]), 0)), 0)</f>
        <v>0</v>
      </c>
      <c r="BA51">
        <f>IF(AND(Table14[[#This Row],[year t]]&gt;Table14[[#This Row],[End_PDT]],Table14[[#This Row],[year t]]&gt;Table14[[#This Row],[End_SDT]]), 0, Table14[[#This Row],[Ai,t]]*(Table14[[#This Row],[GHGBSL-soil-CO2,i,t (Eq 27)]]-Table14[[#This Row],[Deductionalloch (Eq 38)]]+Table14[[#This Row],[GHGBSL-soil-CH4,i,t]]+Table14[[#This Row],[GHGBSL-soil-N2O,i,t]]))</f>
        <v>0</v>
      </c>
      <c r="BB51" t="e" cm="1">
        <f t="array" ref="BB51">INDEX(#REF!, MATCH(1, (Table14[[#This Row],[year t]]=Table32[[#All],[year t]])*(Table14[[#This Row],[stratum i]]=Table32[[#All],[stratum i]]), 0))</f>
        <v>#REF!</v>
      </c>
      <c r="BC51" t="e" cm="1">
        <f t="array" ref="BC51">INDEX(#REF!, MATCH(1, (Table14[[#This Row],[year t]]=Table32[[#All],[year t]])*(Table14[[#This Row],[stratum i]]=Table32[[#All],[stratum i]]), 0))</f>
        <v>#REF!</v>
      </c>
      <c r="BD51" t="e" cm="1">
        <f t="array" ref="BD51">INDEX(#REF!, MATCH(1, (Table14[[#This Row],[year t]]=Table32[[#All],[year t]])*(Table14[[#This Row],[stratum i]]=Table32[[#All],[stratum i]]), 0))</f>
        <v>#REF!</v>
      </c>
      <c r="BE51" t="e" cm="1">
        <f t="array" ref="BE51">INDEX(#REF!, MATCH(1, (Table14[[#This Row],[year t]]=Table32[[#All],[year t]])*(Table14[[#This Row],[stratum i]]=Table32[[#All],[stratum i]]), 0))</f>
        <v>#REF!</v>
      </c>
      <c r="BF51" s="30"/>
      <c r="BM51" s="18">
        <v>2029</v>
      </c>
      <c r="BN51">
        <v>2</v>
      </c>
      <c r="BO51" t="e" cm="1">
        <f t="array" ref="BO51">INDEX(#REF!, MATCH(1, (Table132926[[#This Row],[year t]]=Table32[year t])*(Table132926[[#This Row],[stratum i]]=Table32[[#All],[stratum i]]), 0))</f>
        <v>#REF!</v>
      </c>
      <c r="BP51" t="e">
        <f>-44/12*Table132926[[#This Row],[∆CBSL-soil,i,t (tC/ha)]]</f>
        <v>#REF!</v>
      </c>
    </row>
    <row r="52" spans="10:68" x14ac:dyDescent="0.2">
      <c r="J52" s="18">
        <v>2030</v>
      </c>
      <c r="K52">
        <v>2</v>
      </c>
      <c r="L52" cm="1">
        <f t="array" ref="L52">INDEX(Table32[[#All],[ΔCTREE_BSL,i,t (AR Tool 14) t C/yr]], MATCH(1, (Table12[[#This Row],[year t]]=Table32[[#All],[year t]])*(Table12[[#This Row],[stratum i]]=Table32[[#All],[stratum i]]), 0))</f>
        <v>0</v>
      </c>
      <c r="M52" cm="1">
        <f t="array" ref="M52">IF(baseline_abground_nontree = "Included", INDEX(#REF!, MATCH(1, (Table12[[#This Row],[year t]]=Table32[[#All],[year t]])*(Table12[[#This Row],[stratum i]]=Table32[[#All],[stratum i]]), 0)), 0)</f>
        <v>0</v>
      </c>
      <c r="N52">
        <f>12/44*(Table12[[#This Row],[ΔCTREE_BSL,i,t (AR Tool 14) t CO2e/yr]]+Table12[[#This Row],[ΔCSHRUB_BSL,i,t (AR Tool 14) t CO2e/yr]])</f>
        <v>0</v>
      </c>
      <c r="O52" cm="1">
        <f t="array" ref="O52">IF(baseline_abground_nontree = "Included", IFERROR(INDEX(Table13[[#All],[ΔCBSL-herb,i,t (Eq 25)]], MATCH(1, (Table12[[#This Row],[stratum i]]=Table13[[#All],[stratum i]])*(Table12[[#This Row],[year t]]&gt;=#REF!)*(Table12[[#This Row],[year t]]&lt;=Table13[[#All],[year t]]), 0)), 0), 0)</f>
        <v>0</v>
      </c>
      <c r="P52">
        <f>Table12[[#This Row],[ΔCBSL-tree/shrub,i,t (t C/yr) (Eq 24)]]+Table12[[#This Row],[ΔCBSL-herb,i,t (t C/yr)]]-Table12[[#This Row],[ΔCBSL-agbiomass,i,t; t C yr-1 (submergence)]]</f>
        <v>0</v>
      </c>
      <c r="Q52" cm="1">
        <f t="array" ref="Q52">IFERROR(INDEX(Table14[[#All],[GHGBSL-soil,i,t (Eq 26)]], MATCH(1, (Table12[[#This Row],[year t]]=Table14[[#All],[year t]])*(Table12[[#This Row],[stratum i]]=Table14[[#All],[stratum i]]), 0)), 0)</f>
        <v>0</v>
      </c>
      <c r="R52">
        <f>IF(baseline_ff_CO2 = "Included", Table12[[#This Row],[ET(FC,I,t) AR-Tool 5]], 0)</f>
        <v>0</v>
      </c>
      <c r="S52" t="e" cm="1">
        <f t="array" ref="S52">INDEX(#REF!, MATCH(1, (Table12[[#This Row],[year t]]=Table32[[#All],[year t]])*(Table12[[#This Row],[stratum i]]=Table32[[#All],[stratum i]]), 0))</f>
        <v>#REF!</v>
      </c>
      <c r="T52" cm="1">
        <f t="array" ref="T52">IFERROR(INDEX(Table30[[#All],[ΔCBSL-agbiomass,i,t (equation 22) t C yr-1]], MATCH(1, (Table12[[#This Row],[stratum i]]=Table30[[#All],[Stratum i]])*(Table12[[#This Row],[year t]]&lt;Table30[[#All],[Year of reporting]]), 0)), 0)</f>
        <v>0</v>
      </c>
      <c r="AG52" s="18">
        <v>2030</v>
      </c>
      <c r="AH52">
        <v>2</v>
      </c>
      <c r="AI52" s="49" t="e" cm="1">
        <f t="array" ref="AI52">INDEX(#REF!, MATCH(1, (Table13[[#This Row],[year t]]=Table32[[#All],[year t]])*(Table13[[#This Row],[stratum i]]=Table32[[#All],[stratum i]]), 0))</f>
        <v>#REF!</v>
      </c>
      <c r="AJ52" s="49" t="e">
        <f>Table13[[#This Row],[ΔCBSL-herb,i,t (tC/ha)]]</f>
        <v>#REF!</v>
      </c>
      <c r="AO52" s="18">
        <v>2030</v>
      </c>
      <c r="AP52">
        <v>2</v>
      </c>
      <c r="AQ52" s="18" cm="1">
        <f t="array" ref="AQ52">INDEX(Table32[[#All],[Ai,t]], MATCH(1, (Table14[[#This Row],[year t]]=Table32[[#All],[year t]])*(Table14[[#This Row],[stratum i]]=Table32[[#All],[stratum i]]), 0))</f>
        <v>1982.9786785714284</v>
      </c>
      <c r="AR52" t="str">
        <f>IF(AND(INDEX(Table31[[#All],[Soil type (t=0)]], MATCH(Table14[[#This Row],[stratum i]], Table31[[#All],[Stratum i]]))="Peat soil", Table14[[#This Row],[year t]]&lt;=Table14[[#This Row],[End_PDT]]), "Peat soil", "Non-peat soil")</f>
        <v>Non-peat soil</v>
      </c>
      <c r="AS52">
        <f>IF(Emission_reduction_from_stock_loss?, INDEX(Table2[[#All],[End_PDT]], MATCH(Table14[[#This Row],[stratum i]], Table2[[#All],[stratum i]])), crediting_period)</f>
        <v>40</v>
      </c>
      <c r="AT52">
        <f>IF(Emission_reduction_from_stock_loss?, INDEX(Table2[[#All],[End_SDT]], MATCH(Table14[[#This Row],[stratum i]], Table2[[#All],[stratum i]])), crediting_period)</f>
        <v>40</v>
      </c>
      <c r="AU52" cm="1">
        <f t="array" ref="AU5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2" t="e" cm="1">
        <f t="array" ref="AV52">INDEX(#REF!, MATCH(1, (Table14[[#This Row],[year t]]=Table32[[#All],[year t]])*(Table14[[#This Row],[stratum i]]=Table32[[#All],[stratum i]]), 0))</f>
        <v>#REF!</v>
      </c>
      <c r="AW5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2" s="57">
        <f>(Table14[[#This Row],[GHGBSL-soil-CO2,i,t (Eq 27)]]-Table14[[#This Row],[Deductionalloch (Eq 38)]])*Table14[[#This Row],[Ai,t]]</f>
        <v>0</v>
      </c>
      <c r="AY52" cm="1">
        <f t="array" ref="AY52">IF(baseline_soil_CH4 = "Included", INDEX(Table18[[#All],[GHGBSL-soil-CH4,i,t (Eq 59)]], MATCH(1, (Table14[[#This Row],[year t]]=Table18[[#All],[year t]])*(Table14[[#This Row],[stratum i]]=Table18[[#All],[stratum i]]), 0)), 0)</f>
        <v>0</v>
      </c>
      <c r="AZ52" cm="1">
        <f t="array" ref="AZ52">IF(baseline_soil_N2O = "Included", INDEX(Table18[[#All],[GHGBSL-soil-N2O,i,t (Eq 62)]], MATCH(1, (Table14[[#This Row],[year t]]=Table18[[#All],[year t]])*(Table14[[#This Row],[stratum i]]=Table18[[#All],[stratum i]]), 0)), 0)</f>
        <v>0</v>
      </c>
      <c r="BA52">
        <f>IF(AND(Table14[[#This Row],[year t]]&gt;Table14[[#This Row],[End_PDT]],Table14[[#This Row],[year t]]&gt;Table14[[#This Row],[End_SDT]]), 0, Table14[[#This Row],[Ai,t]]*(Table14[[#This Row],[GHGBSL-soil-CO2,i,t (Eq 27)]]-Table14[[#This Row],[Deductionalloch (Eq 38)]]+Table14[[#This Row],[GHGBSL-soil-CH4,i,t]]+Table14[[#This Row],[GHGBSL-soil-N2O,i,t]]))</f>
        <v>0</v>
      </c>
      <c r="BB52" t="e" cm="1">
        <f t="array" ref="BB52">INDEX(#REF!, MATCH(1, (Table14[[#This Row],[year t]]=Table32[[#All],[year t]])*(Table14[[#This Row],[stratum i]]=Table32[[#All],[stratum i]]), 0))</f>
        <v>#REF!</v>
      </c>
      <c r="BC52" t="e" cm="1">
        <f t="array" ref="BC52">INDEX(#REF!, MATCH(1, (Table14[[#This Row],[year t]]=Table32[[#All],[year t]])*(Table14[[#This Row],[stratum i]]=Table32[[#All],[stratum i]]), 0))</f>
        <v>#REF!</v>
      </c>
      <c r="BD52" t="e" cm="1">
        <f t="array" ref="BD52">INDEX(#REF!, MATCH(1, (Table14[[#This Row],[year t]]=Table32[[#All],[year t]])*(Table14[[#This Row],[stratum i]]=Table32[[#All],[stratum i]]), 0))</f>
        <v>#REF!</v>
      </c>
      <c r="BE52" t="e" cm="1">
        <f t="array" ref="BE52">INDEX(#REF!, MATCH(1, (Table14[[#This Row],[year t]]=Table32[[#All],[year t]])*(Table14[[#This Row],[stratum i]]=Table32[[#All],[stratum i]]), 0))</f>
        <v>#REF!</v>
      </c>
      <c r="BF52" s="30"/>
      <c r="BM52" s="18">
        <v>2030</v>
      </c>
      <c r="BN52">
        <v>2</v>
      </c>
      <c r="BO52" t="e" cm="1">
        <f t="array" ref="BO52">INDEX(#REF!, MATCH(1, (Table132926[[#This Row],[year t]]=Table32[year t])*(Table132926[[#This Row],[stratum i]]=Table32[[#All],[stratum i]]), 0))</f>
        <v>#REF!</v>
      </c>
      <c r="BP52" t="e">
        <f>-44/12*Table132926[[#This Row],[∆CBSL-soil,i,t (tC/ha)]]</f>
        <v>#REF!</v>
      </c>
    </row>
    <row r="53" spans="10:68" x14ac:dyDescent="0.2">
      <c r="J53" s="18">
        <v>2031</v>
      </c>
      <c r="K53">
        <v>2</v>
      </c>
      <c r="L53" cm="1">
        <f t="array" ref="L53">INDEX(Table32[[#All],[ΔCTREE_BSL,i,t (AR Tool 14) t C/yr]], MATCH(1, (Table12[[#This Row],[year t]]=Table32[[#All],[year t]])*(Table12[[#This Row],[stratum i]]=Table32[[#All],[stratum i]]), 0))</f>
        <v>0</v>
      </c>
      <c r="M53" cm="1">
        <f t="array" ref="M53">IF(baseline_abground_nontree = "Included", INDEX(#REF!, MATCH(1, (Table12[[#This Row],[year t]]=Table32[[#All],[year t]])*(Table12[[#This Row],[stratum i]]=Table32[[#All],[stratum i]]), 0)), 0)</f>
        <v>0</v>
      </c>
      <c r="N53">
        <f>12/44*(Table12[[#This Row],[ΔCTREE_BSL,i,t (AR Tool 14) t CO2e/yr]]+Table12[[#This Row],[ΔCSHRUB_BSL,i,t (AR Tool 14) t CO2e/yr]])</f>
        <v>0</v>
      </c>
      <c r="O53" cm="1">
        <f t="array" ref="O53">IF(baseline_abground_nontree = "Included", IFERROR(INDEX(Table13[[#All],[ΔCBSL-herb,i,t (Eq 25)]], MATCH(1, (Table12[[#This Row],[stratum i]]=Table13[[#All],[stratum i]])*(Table12[[#This Row],[year t]]&gt;=#REF!)*(Table12[[#This Row],[year t]]&lt;=Table13[[#All],[year t]]), 0)), 0), 0)</f>
        <v>0</v>
      </c>
      <c r="P53">
        <f>Table12[[#This Row],[ΔCBSL-tree/shrub,i,t (t C/yr) (Eq 24)]]+Table12[[#This Row],[ΔCBSL-herb,i,t (t C/yr)]]-Table12[[#This Row],[ΔCBSL-agbiomass,i,t; t C yr-1 (submergence)]]</f>
        <v>0</v>
      </c>
      <c r="Q53" cm="1">
        <f t="array" ref="Q53">IFERROR(INDEX(Table14[[#All],[GHGBSL-soil,i,t (Eq 26)]], MATCH(1, (Table12[[#This Row],[year t]]=Table14[[#All],[year t]])*(Table12[[#This Row],[stratum i]]=Table14[[#All],[stratum i]]), 0)), 0)</f>
        <v>0</v>
      </c>
      <c r="R53">
        <f>IF(baseline_ff_CO2 = "Included", Table12[[#This Row],[ET(FC,I,t) AR-Tool 5]], 0)</f>
        <v>0</v>
      </c>
      <c r="S53" t="e" cm="1">
        <f t="array" ref="S53">INDEX(#REF!, MATCH(1, (Table12[[#This Row],[year t]]=Table32[[#All],[year t]])*(Table12[[#This Row],[stratum i]]=Table32[[#All],[stratum i]]), 0))</f>
        <v>#REF!</v>
      </c>
      <c r="T53" cm="1">
        <f t="array" ref="T53">IFERROR(INDEX(Table30[[#All],[ΔCBSL-agbiomass,i,t (equation 22) t C yr-1]], MATCH(1, (Table12[[#This Row],[stratum i]]=Table30[[#All],[Stratum i]])*(Table12[[#This Row],[year t]]&lt;Table30[[#All],[Year of reporting]]), 0)), 0)</f>
        <v>0</v>
      </c>
      <c r="AG53" s="18">
        <v>2031</v>
      </c>
      <c r="AH53">
        <v>2</v>
      </c>
      <c r="AI53" s="49" t="e" cm="1">
        <f t="array" ref="AI53">INDEX(#REF!, MATCH(1, (Table13[[#This Row],[year t]]=Table32[[#All],[year t]])*(Table13[[#This Row],[stratum i]]=Table32[[#All],[stratum i]]), 0))</f>
        <v>#REF!</v>
      </c>
      <c r="AJ53" s="49" t="e">
        <f>Table13[[#This Row],[ΔCBSL-herb,i,t (tC/ha)]]</f>
        <v>#REF!</v>
      </c>
      <c r="AO53" s="18">
        <v>2031</v>
      </c>
      <c r="AP53">
        <v>2</v>
      </c>
      <c r="AQ53" s="18" cm="1">
        <f t="array" ref="AQ53">INDEX(Table32[[#All],[Ai,t]], MATCH(1, (Table14[[#This Row],[year t]]=Table32[[#All],[year t]])*(Table14[[#This Row],[stratum i]]=Table32[[#All],[stratum i]]), 0))</f>
        <v>1982.9786785714284</v>
      </c>
      <c r="AR53" t="str">
        <f>IF(AND(INDEX(Table31[[#All],[Soil type (t=0)]], MATCH(Table14[[#This Row],[stratum i]], Table31[[#All],[Stratum i]]))="Peat soil", Table14[[#This Row],[year t]]&lt;=Table14[[#This Row],[End_PDT]]), "Peat soil", "Non-peat soil")</f>
        <v>Non-peat soil</v>
      </c>
      <c r="AS53">
        <f>IF(Emission_reduction_from_stock_loss?, INDEX(Table2[[#All],[End_PDT]], MATCH(Table14[[#This Row],[stratum i]], Table2[[#All],[stratum i]])), crediting_period)</f>
        <v>40</v>
      </c>
      <c r="AT53">
        <f>IF(Emission_reduction_from_stock_loss?, INDEX(Table2[[#All],[End_SDT]], MATCH(Table14[[#This Row],[stratum i]], Table2[[#All],[stratum i]])), crediting_period)</f>
        <v>40</v>
      </c>
      <c r="AU53" cm="1">
        <f t="array" ref="AU5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3" t="e" cm="1">
        <f t="array" ref="AV53">INDEX(#REF!, MATCH(1, (Table14[[#This Row],[year t]]=Table32[[#All],[year t]])*(Table14[[#This Row],[stratum i]]=Table32[[#All],[stratum i]]), 0))</f>
        <v>#REF!</v>
      </c>
      <c r="AW5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3" s="57">
        <f>(Table14[[#This Row],[GHGBSL-soil-CO2,i,t (Eq 27)]]-Table14[[#This Row],[Deductionalloch (Eq 38)]])*Table14[[#This Row],[Ai,t]]</f>
        <v>0</v>
      </c>
      <c r="AY53" cm="1">
        <f t="array" ref="AY53">IF(baseline_soil_CH4 = "Included", INDEX(Table18[[#All],[GHGBSL-soil-CH4,i,t (Eq 59)]], MATCH(1, (Table14[[#This Row],[year t]]=Table18[[#All],[year t]])*(Table14[[#This Row],[stratum i]]=Table18[[#All],[stratum i]]), 0)), 0)</f>
        <v>0</v>
      </c>
      <c r="AZ53" cm="1">
        <f t="array" ref="AZ53">IF(baseline_soil_N2O = "Included", INDEX(Table18[[#All],[GHGBSL-soil-N2O,i,t (Eq 62)]], MATCH(1, (Table14[[#This Row],[year t]]=Table18[[#All],[year t]])*(Table14[[#This Row],[stratum i]]=Table18[[#All],[stratum i]]), 0)), 0)</f>
        <v>0</v>
      </c>
      <c r="BA53">
        <f>IF(AND(Table14[[#This Row],[year t]]&gt;Table14[[#This Row],[End_PDT]],Table14[[#This Row],[year t]]&gt;Table14[[#This Row],[End_SDT]]), 0, Table14[[#This Row],[Ai,t]]*(Table14[[#This Row],[GHGBSL-soil-CO2,i,t (Eq 27)]]-Table14[[#This Row],[Deductionalloch (Eq 38)]]+Table14[[#This Row],[GHGBSL-soil-CH4,i,t]]+Table14[[#This Row],[GHGBSL-soil-N2O,i,t]]))</f>
        <v>0</v>
      </c>
      <c r="BB53" t="e" cm="1">
        <f t="array" ref="BB53">INDEX(#REF!, MATCH(1, (Table14[[#This Row],[year t]]=Table32[[#All],[year t]])*(Table14[[#This Row],[stratum i]]=Table32[[#All],[stratum i]]), 0))</f>
        <v>#REF!</v>
      </c>
      <c r="BC53" t="e" cm="1">
        <f t="array" ref="BC53">INDEX(#REF!, MATCH(1, (Table14[[#This Row],[year t]]=Table32[[#All],[year t]])*(Table14[[#This Row],[stratum i]]=Table32[[#All],[stratum i]]), 0))</f>
        <v>#REF!</v>
      </c>
      <c r="BD53" t="e" cm="1">
        <f t="array" ref="BD53">INDEX(#REF!, MATCH(1, (Table14[[#This Row],[year t]]=Table32[[#All],[year t]])*(Table14[[#This Row],[stratum i]]=Table32[[#All],[stratum i]]), 0))</f>
        <v>#REF!</v>
      </c>
      <c r="BE53" t="e" cm="1">
        <f t="array" ref="BE53">INDEX(#REF!, MATCH(1, (Table14[[#This Row],[year t]]=Table32[[#All],[year t]])*(Table14[[#This Row],[stratum i]]=Table32[[#All],[stratum i]]), 0))</f>
        <v>#REF!</v>
      </c>
      <c r="BF53" s="30"/>
      <c r="BM53" s="18">
        <v>2031</v>
      </c>
      <c r="BN53">
        <v>2</v>
      </c>
      <c r="BO53" t="e" cm="1">
        <f t="array" ref="BO53">INDEX(#REF!, MATCH(1, (Table132926[[#This Row],[year t]]=Table32[year t])*(Table132926[[#This Row],[stratum i]]=Table32[[#All],[stratum i]]), 0))</f>
        <v>#REF!</v>
      </c>
      <c r="BP53" t="e">
        <f>-44/12*Table132926[[#This Row],[∆CBSL-soil,i,t (tC/ha)]]</f>
        <v>#REF!</v>
      </c>
    </row>
    <row r="54" spans="10:68" x14ac:dyDescent="0.2">
      <c r="J54" s="18">
        <v>2032</v>
      </c>
      <c r="K54">
        <v>2</v>
      </c>
      <c r="L54" cm="1">
        <f t="array" ref="L54">INDEX(Table32[[#All],[ΔCTREE_BSL,i,t (AR Tool 14) t C/yr]], MATCH(1, (Table12[[#This Row],[year t]]=Table32[[#All],[year t]])*(Table12[[#This Row],[stratum i]]=Table32[[#All],[stratum i]]), 0))</f>
        <v>0</v>
      </c>
      <c r="M54" cm="1">
        <f t="array" ref="M54">IF(baseline_abground_nontree = "Included", INDEX(#REF!, MATCH(1, (Table12[[#This Row],[year t]]=Table32[[#All],[year t]])*(Table12[[#This Row],[stratum i]]=Table32[[#All],[stratum i]]), 0)), 0)</f>
        <v>0</v>
      </c>
      <c r="N54">
        <f>12/44*(Table12[[#This Row],[ΔCTREE_BSL,i,t (AR Tool 14) t CO2e/yr]]+Table12[[#This Row],[ΔCSHRUB_BSL,i,t (AR Tool 14) t CO2e/yr]])</f>
        <v>0</v>
      </c>
      <c r="O54" cm="1">
        <f t="array" ref="O54">IF(baseline_abground_nontree = "Included", IFERROR(INDEX(Table13[[#All],[ΔCBSL-herb,i,t (Eq 25)]], MATCH(1, (Table12[[#This Row],[stratum i]]=Table13[[#All],[stratum i]])*(Table12[[#This Row],[year t]]&gt;=#REF!)*(Table12[[#This Row],[year t]]&lt;=Table13[[#All],[year t]]), 0)), 0), 0)</f>
        <v>0</v>
      </c>
      <c r="P54">
        <f>Table12[[#This Row],[ΔCBSL-tree/shrub,i,t (t C/yr) (Eq 24)]]+Table12[[#This Row],[ΔCBSL-herb,i,t (t C/yr)]]-Table12[[#This Row],[ΔCBSL-agbiomass,i,t; t C yr-1 (submergence)]]</f>
        <v>0</v>
      </c>
      <c r="Q54" cm="1">
        <f t="array" ref="Q54">IFERROR(INDEX(Table14[[#All],[GHGBSL-soil,i,t (Eq 26)]], MATCH(1, (Table12[[#This Row],[year t]]=Table14[[#All],[year t]])*(Table12[[#This Row],[stratum i]]=Table14[[#All],[stratum i]]), 0)), 0)</f>
        <v>0</v>
      </c>
      <c r="R54">
        <f>IF(baseline_ff_CO2 = "Included", Table12[[#This Row],[ET(FC,I,t) AR-Tool 5]], 0)</f>
        <v>0</v>
      </c>
      <c r="S54" t="e" cm="1">
        <f t="array" ref="S54">INDEX(#REF!, MATCH(1, (Table12[[#This Row],[year t]]=Table32[[#All],[year t]])*(Table12[[#This Row],[stratum i]]=Table32[[#All],[stratum i]]), 0))</f>
        <v>#REF!</v>
      </c>
      <c r="T54" cm="1">
        <f t="array" ref="T54">IFERROR(INDEX(Table30[[#All],[ΔCBSL-agbiomass,i,t (equation 22) t C yr-1]], MATCH(1, (Table12[[#This Row],[stratum i]]=Table30[[#All],[Stratum i]])*(Table12[[#This Row],[year t]]&lt;Table30[[#All],[Year of reporting]]), 0)), 0)</f>
        <v>0</v>
      </c>
      <c r="AG54" s="18">
        <v>2032</v>
      </c>
      <c r="AH54">
        <v>2</v>
      </c>
      <c r="AI54" s="49" t="e" cm="1">
        <f t="array" ref="AI54">INDEX(#REF!, MATCH(1, (Table13[[#This Row],[year t]]=Table32[[#All],[year t]])*(Table13[[#This Row],[stratum i]]=Table32[[#All],[stratum i]]), 0))</f>
        <v>#REF!</v>
      </c>
      <c r="AJ54" s="49" t="e">
        <f>Table13[[#This Row],[ΔCBSL-herb,i,t (tC/ha)]]</f>
        <v>#REF!</v>
      </c>
      <c r="AO54" s="18">
        <v>2032</v>
      </c>
      <c r="AP54">
        <v>2</v>
      </c>
      <c r="AQ54" s="18" cm="1">
        <f t="array" ref="AQ54">INDEX(Table32[[#All],[Ai,t]], MATCH(1, (Table14[[#This Row],[year t]]=Table32[[#All],[year t]])*(Table14[[#This Row],[stratum i]]=Table32[[#All],[stratum i]]), 0))</f>
        <v>1982.9786785714284</v>
      </c>
      <c r="AR54" t="str">
        <f>IF(AND(INDEX(Table31[[#All],[Soil type (t=0)]], MATCH(Table14[[#This Row],[stratum i]], Table31[[#All],[Stratum i]]))="Peat soil", Table14[[#This Row],[year t]]&lt;=Table14[[#This Row],[End_PDT]]), "Peat soil", "Non-peat soil")</f>
        <v>Non-peat soil</v>
      </c>
      <c r="AS54">
        <f>IF(Emission_reduction_from_stock_loss?, INDEX(Table2[[#All],[End_PDT]], MATCH(Table14[[#This Row],[stratum i]], Table2[[#All],[stratum i]])), crediting_period)</f>
        <v>40</v>
      </c>
      <c r="AT54">
        <f>IF(Emission_reduction_from_stock_loss?, INDEX(Table2[[#All],[End_SDT]], MATCH(Table14[[#This Row],[stratum i]], Table2[[#All],[stratum i]])), crediting_period)</f>
        <v>40</v>
      </c>
      <c r="AU54" cm="1">
        <f t="array" ref="AU5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4" t="e" cm="1">
        <f t="array" ref="AV54">INDEX(#REF!, MATCH(1, (Table14[[#This Row],[year t]]=Table32[[#All],[year t]])*(Table14[[#This Row],[stratum i]]=Table32[[#All],[stratum i]]), 0))</f>
        <v>#REF!</v>
      </c>
      <c r="AW5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4" s="57">
        <f>(Table14[[#This Row],[GHGBSL-soil-CO2,i,t (Eq 27)]]-Table14[[#This Row],[Deductionalloch (Eq 38)]])*Table14[[#This Row],[Ai,t]]</f>
        <v>0</v>
      </c>
      <c r="AY54" cm="1">
        <f t="array" ref="AY54">IF(baseline_soil_CH4 = "Included", INDEX(Table18[[#All],[GHGBSL-soil-CH4,i,t (Eq 59)]], MATCH(1, (Table14[[#This Row],[year t]]=Table18[[#All],[year t]])*(Table14[[#This Row],[stratum i]]=Table18[[#All],[stratum i]]), 0)), 0)</f>
        <v>0</v>
      </c>
      <c r="AZ54" cm="1">
        <f t="array" ref="AZ54">IF(baseline_soil_N2O = "Included", INDEX(Table18[[#All],[GHGBSL-soil-N2O,i,t (Eq 62)]], MATCH(1, (Table14[[#This Row],[year t]]=Table18[[#All],[year t]])*(Table14[[#This Row],[stratum i]]=Table18[[#All],[stratum i]]), 0)), 0)</f>
        <v>0</v>
      </c>
      <c r="BA54">
        <f>IF(AND(Table14[[#This Row],[year t]]&gt;Table14[[#This Row],[End_PDT]],Table14[[#This Row],[year t]]&gt;Table14[[#This Row],[End_SDT]]), 0, Table14[[#This Row],[Ai,t]]*(Table14[[#This Row],[GHGBSL-soil-CO2,i,t (Eq 27)]]-Table14[[#This Row],[Deductionalloch (Eq 38)]]+Table14[[#This Row],[GHGBSL-soil-CH4,i,t]]+Table14[[#This Row],[GHGBSL-soil-N2O,i,t]]))</f>
        <v>0</v>
      </c>
      <c r="BB54" t="e" cm="1">
        <f t="array" ref="BB54">INDEX(#REF!, MATCH(1, (Table14[[#This Row],[year t]]=Table32[[#All],[year t]])*(Table14[[#This Row],[stratum i]]=Table32[[#All],[stratum i]]), 0))</f>
        <v>#REF!</v>
      </c>
      <c r="BC54" t="e" cm="1">
        <f t="array" ref="BC54">INDEX(#REF!, MATCH(1, (Table14[[#This Row],[year t]]=Table32[[#All],[year t]])*(Table14[[#This Row],[stratum i]]=Table32[[#All],[stratum i]]), 0))</f>
        <v>#REF!</v>
      </c>
      <c r="BD54" t="e" cm="1">
        <f t="array" ref="BD54">INDEX(#REF!, MATCH(1, (Table14[[#This Row],[year t]]=Table32[[#All],[year t]])*(Table14[[#This Row],[stratum i]]=Table32[[#All],[stratum i]]), 0))</f>
        <v>#REF!</v>
      </c>
      <c r="BE54" t="e" cm="1">
        <f t="array" ref="BE54">INDEX(#REF!, MATCH(1, (Table14[[#This Row],[year t]]=Table32[[#All],[year t]])*(Table14[[#This Row],[stratum i]]=Table32[[#All],[stratum i]]), 0))</f>
        <v>#REF!</v>
      </c>
      <c r="BF54" s="30"/>
      <c r="BM54" s="18">
        <v>2032</v>
      </c>
      <c r="BN54">
        <v>2</v>
      </c>
      <c r="BO54" t="e" cm="1">
        <f t="array" ref="BO54">INDEX(#REF!, MATCH(1, (Table132926[[#This Row],[year t]]=Table32[year t])*(Table132926[[#This Row],[stratum i]]=Table32[[#All],[stratum i]]), 0))</f>
        <v>#REF!</v>
      </c>
      <c r="BP54" t="e">
        <f>-44/12*Table132926[[#This Row],[∆CBSL-soil,i,t (tC/ha)]]</f>
        <v>#REF!</v>
      </c>
    </row>
    <row r="55" spans="10:68" x14ac:dyDescent="0.2">
      <c r="J55" s="18">
        <v>2033</v>
      </c>
      <c r="K55">
        <v>2</v>
      </c>
      <c r="L55" cm="1">
        <f t="array" ref="L55">INDEX(Table32[[#All],[ΔCTREE_BSL,i,t (AR Tool 14) t C/yr]], MATCH(1, (Table12[[#This Row],[year t]]=Table32[[#All],[year t]])*(Table12[[#This Row],[stratum i]]=Table32[[#All],[stratum i]]), 0))</f>
        <v>0</v>
      </c>
      <c r="M55" cm="1">
        <f t="array" ref="M55">IF(baseline_abground_nontree = "Included", INDEX(#REF!, MATCH(1, (Table12[[#This Row],[year t]]=Table32[[#All],[year t]])*(Table12[[#This Row],[stratum i]]=Table32[[#All],[stratum i]]), 0)), 0)</f>
        <v>0</v>
      </c>
      <c r="N55">
        <f>12/44*(Table12[[#This Row],[ΔCTREE_BSL,i,t (AR Tool 14) t CO2e/yr]]+Table12[[#This Row],[ΔCSHRUB_BSL,i,t (AR Tool 14) t CO2e/yr]])</f>
        <v>0</v>
      </c>
      <c r="O55" cm="1">
        <f t="array" ref="O55">IF(baseline_abground_nontree = "Included", IFERROR(INDEX(Table13[[#All],[ΔCBSL-herb,i,t (Eq 25)]], MATCH(1, (Table12[[#This Row],[stratum i]]=Table13[[#All],[stratum i]])*(Table12[[#This Row],[year t]]&gt;=#REF!)*(Table12[[#This Row],[year t]]&lt;=Table13[[#All],[year t]]), 0)), 0), 0)</f>
        <v>0</v>
      </c>
      <c r="P55">
        <f>Table12[[#This Row],[ΔCBSL-tree/shrub,i,t (t C/yr) (Eq 24)]]+Table12[[#This Row],[ΔCBSL-herb,i,t (t C/yr)]]-Table12[[#This Row],[ΔCBSL-agbiomass,i,t; t C yr-1 (submergence)]]</f>
        <v>0</v>
      </c>
      <c r="Q55" cm="1">
        <f t="array" ref="Q55">IFERROR(INDEX(Table14[[#All],[GHGBSL-soil,i,t (Eq 26)]], MATCH(1, (Table12[[#This Row],[year t]]=Table14[[#All],[year t]])*(Table12[[#This Row],[stratum i]]=Table14[[#All],[stratum i]]), 0)), 0)</f>
        <v>0</v>
      </c>
      <c r="R55">
        <f>IF(baseline_ff_CO2 = "Included", Table12[[#This Row],[ET(FC,I,t) AR-Tool 5]], 0)</f>
        <v>0</v>
      </c>
      <c r="S55" t="e" cm="1">
        <f t="array" ref="S55">INDEX(#REF!, MATCH(1, (Table12[[#This Row],[year t]]=Table32[[#All],[year t]])*(Table12[[#This Row],[stratum i]]=Table32[[#All],[stratum i]]), 0))</f>
        <v>#REF!</v>
      </c>
      <c r="T55" cm="1">
        <f t="array" ref="T55">IFERROR(INDEX(Table30[[#All],[ΔCBSL-agbiomass,i,t (equation 22) t C yr-1]], MATCH(1, (Table12[[#This Row],[stratum i]]=Table30[[#All],[Stratum i]])*(Table12[[#This Row],[year t]]&lt;Table30[[#All],[Year of reporting]]), 0)), 0)</f>
        <v>0</v>
      </c>
      <c r="AG55" s="18">
        <v>2033</v>
      </c>
      <c r="AH55">
        <v>2</v>
      </c>
      <c r="AI55" s="49" t="e" cm="1">
        <f t="array" ref="AI55">INDEX(#REF!, MATCH(1, (Table13[[#This Row],[year t]]=Table32[[#All],[year t]])*(Table13[[#This Row],[stratum i]]=Table32[[#All],[stratum i]]), 0))</f>
        <v>#REF!</v>
      </c>
      <c r="AJ55" s="49" t="e">
        <f>Table13[[#This Row],[ΔCBSL-herb,i,t (tC/ha)]]</f>
        <v>#REF!</v>
      </c>
      <c r="AO55" s="18">
        <v>2033</v>
      </c>
      <c r="AP55">
        <v>2</v>
      </c>
      <c r="AQ55" s="18" cm="1">
        <f t="array" ref="AQ55">INDEX(Table32[[#All],[Ai,t]], MATCH(1, (Table14[[#This Row],[year t]]=Table32[[#All],[year t]])*(Table14[[#This Row],[stratum i]]=Table32[[#All],[stratum i]]), 0))</f>
        <v>1982.9786785714284</v>
      </c>
      <c r="AR55" t="str">
        <f>IF(AND(INDEX(Table31[[#All],[Soil type (t=0)]], MATCH(Table14[[#This Row],[stratum i]], Table31[[#All],[Stratum i]]))="Peat soil", Table14[[#This Row],[year t]]&lt;=Table14[[#This Row],[End_PDT]]), "Peat soil", "Non-peat soil")</f>
        <v>Non-peat soil</v>
      </c>
      <c r="AS55">
        <f>IF(Emission_reduction_from_stock_loss?, INDEX(Table2[[#All],[End_PDT]], MATCH(Table14[[#This Row],[stratum i]], Table2[[#All],[stratum i]])), crediting_period)</f>
        <v>40</v>
      </c>
      <c r="AT55">
        <f>IF(Emission_reduction_from_stock_loss?, INDEX(Table2[[#All],[End_SDT]], MATCH(Table14[[#This Row],[stratum i]], Table2[[#All],[stratum i]])), crediting_period)</f>
        <v>40</v>
      </c>
      <c r="AU55" cm="1">
        <f t="array" ref="AU5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5" t="e" cm="1">
        <f t="array" ref="AV55">INDEX(#REF!, MATCH(1, (Table14[[#This Row],[year t]]=Table32[[#All],[year t]])*(Table14[[#This Row],[stratum i]]=Table32[[#All],[stratum i]]), 0))</f>
        <v>#REF!</v>
      </c>
      <c r="AW5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5" s="57">
        <f>(Table14[[#This Row],[GHGBSL-soil-CO2,i,t (Eq 27)]]-Table14[[#This Row],[Deductionalloch (Eq 38)]])*Table14[[#This Row],[Ai,t]]</f>
        <v>0</v>
      </c>
      <c r="AY55" cm="1">
        <f t="array" ref="AY55">IF(baseline_soil_CH4 = "Included", INDEX(Table18[[#All],[GHGBSL-soil-CH4,i,t (Eq 59)]], MATCH(1, (Table14[[#This Row],[year t]]=Table18[[#All],[year t]])*(Table14[[#This Row],[stratum i]]=Table18[[#All],[stratum i]]), 0)), 0)</f>
        <v>0</v>
      </c>
      <c r="AZ55" cm="1">
        <f t="array" ref="AZ55">IF(baseline_soil_N2O = "Included", INDEX(Table18[[#All],[GHGBSL-soil-N2O,i,t (Eq 62)]], MATCH(1, (Table14[[#This Row],[year t]]=Table18[[#All],[year t]])*(Table14[[#This Row],[stratum i]]=Table18[[#All],[stratum i]]), 0)), 0)</f>
        <v>0</v>
      </c>
      <c r="BA55">
        <f>IF(AND(Table14[[#This Row],[year t]]&gt;Table14[[#This Row],[End_PDT]],Table14[[#This Row],[year t]]&gt;Table14[[#This Row],[End_SDT]]), 0, Table14[[#This Row],[Ai,t]]*(Table14[[#This Row],[GHGBSL-soil-CO2,i,t (Eq 27)]]-Table14[[#This Row],[Deductionalloch (Eq 38)]]+Table14[[#This Row],[GHGBSL-soil-CH4,i,t]]+Table14[[#This Row],[GHGBSL-soil-N2O,i,t]]))</f>
        <v>0</v>
      </c>
      <c r="BB55" t="e" cm="1">
        <f t="array" ref="BB55">INDEX(#REF!, MATCH(1, (Table14[[#This Row],[year t]]=Table32[[#All],[year t]])*(Table14[[#This Row],[stratum i]]=Table32[[#All],[stratum i]]), 0))</f>
        <v>#REF!</v>
      </c>
      <c r="BC55" t="e" cm="1">
        <f t="array" ref="BC55">INDEX(#REF!, MATCH(1, (Table14[[#This Row],[year t]]=Table32[[#All],[year t]])*(Table14[[#This Row],[stratum i]]=Table32[[#All],[stratum i]]), 0))</f>
        <v>#REF!</v>
      </c>
      <c r="BD55" t="e" cm="1">
        <f t="array" ref="BD55">INDEX(#REF!, MATCH(1, (Table14[[#This Row],[year t]]=Table32[[#All],[year t]])*(Table14[[#This Row],[stratum i]]=Table32[[#All],[stratum i]]), 0))</f>
        <v>#REF!</v>
      </c>
      <c r="BE55" t="e" cm="1">
        <f t="array" ref="BE55">INDEX(#REF!, MATCH(1, (Table14[[#This Row],[year t]]=Table32[[#All],[year t]])*(Table14[[#This Row],[stratum i]]=Table32[[#All],[stratum i]]), 0))</f>
        <v>#REF!</v>
      </c>
      <c r="BF55" s="30"/>
      <c r="BM55" s="18">
        <v>2033</v>
      </c>
      <c r="BN55">
        <v>2</v>
      </c>
      <c r="BO55" t="e" cm="1">
        <f t="array" ref="BO55">INDEX(#REF!, MATCH(1, (Table132926[[#This Row],[year t]]=Table32[year t])*(Table132926[[#This Row],[stratum i]]=Table32[[#All],[stratum i]]), 0))</f>
        <v>#REF!</v>
      </c>
      <c r="BP55" t="e">
        <f>-44/12*Table132926[[#This Row],[∆CBSL-soil,i,t (tC/ha)]]</f>
        <v>#REF!</v>
      </c>
    </row>
    <row r="56" spans="10:68" x14ac:dyDescent="0.2">
      <c r="J56" s="18">
        <v>2034</v>
      </c>
      <c r="K56">
        <v>2</v>
      </c>
      <c r="L56" cm="1">
        <f t="array" ref="L56">INDEX(Table32[[#All],[ΔCTREE_BSL,i,t (AR Tool 14) t C/yr]], MATCH(1, (Table12[[#This Row],[year t]]=Table32[[#All],[year t]])*(Table12[[#This Row],[stratum i]]=Table32[[#All],[stratum i]]), 0))</f>
        <v>0</v>
      </c>
      <c r="M56" cm="1">
        <f t="array" ref="M56">IF(baseline_abground_nontree = "Included", INDEX(#REF!, MATCH(1, (Table12[[#This Row],[year t]]=Table32[[#All],[year t]])*(Table12[[#This Row],[stratum i]]=Table32[[#All],[stratum i]]), 0)), 0)</f>
        <v>0</v>
      </c>
      <c r="N56">
        <f>12/44*(Table12[[#This Row],[ΔCTREE_BSL,i,t (AR Tool 14) t CO2e/yr]]+Table12[[#This Row],[ΔCSHRUB_BSL,i,t (AR Tool 14) t CO2e/yr]])</f>
        <v>0</v>
      </c>
      <c r="O56" cm="1">
        <f t="array" ref="O56">IF(baseline_abground_nontree = "Included", IFERROR(INDEX(Table13[[#All],[ΔCBSL-herb,i,t (Eq 25)]], MATCH(1, (Table12[[#This Row],[stratum i]]=Table13[[#All],[stratum i]])*(Table12[[#This Row],[year t]]&gt;=#REF!)*(Table12[[#This Row],[year t]]&lt;=Table13[[#All],[year t]]), 0)), 0), 0)</f>
        <v>0</v>
      </c>
      <c r="P56">
        <f>Table12[[#This Row],[ΔCBSL-tree/shrub,i,t (t C/yr) (Eq 24)]]+Table12[[#This Row],[ΔCBSL-herb,i,t (t C/yr)]]-Table12[[#This Row],[ΔCBSL-agbiomass,i,t; t C yr-1 (submergence)]]</f>
        <v>0</v>
      </c>
      <c r="Q56" cm="1">
        <f t="array" ref="Q56">IFERROR(INDEX(Table14[[#All],[GHGBSL-soil,i,t (Eq 26)]], MATCH(1, (Table12[[#This Row],[year t]]=Table14[[#All],[year t]])*(Table12[[#This Row],[stratum i]]=Table14[[#All],[stratum i]]), 0)), 0)</f>
        <v>0</v>
      </c>
      <c r="R56">
        <f>IF(baseline_ff_CO2 = "Included", Table12[[#This Row],[ET(FC,I,t) AR-Tool 5]], 0)</f>
        <v>0</v>
      </c>
      <c r="S56" t="e" cm="1">
        <f t="array" ref="S56">INDEX(#REF!, MATCH(1, (Table12[[#This Row],[year t]]=Table32[[#All],[year t]])*(Table12[[#This Row],[stratum i]]=Table32[[#All],[stratum i]]), 0))</f>
        <v>#REF!</v>
      </c>
      <c r="T56" cm="1">
        <f t="array" ref="T56">IFERROR(INDEX(Table30[[#All],[ΔCBSL-agbiomass,i,t (equation 22) t C yr-1]], MATCH(1, (Table12[[#This Row],[stratum i]]=Table30[[#All],[Stratum i]])*(Table12[[#This Row],[year t]]&lt;Table30[[#All],[Year of reporting]]), 0)), 0)</f>
        <v>0</v>
      </c>
      <c r="AG56" s="18">
        <v>2034</v>
      </c>
      <c r="AH56">
        <v>2</v>
      </c>
      <c r="AI56" s="49" t="e" cm="1">
        <f t="array" ref="AI56">INDEX(#REF!, MATCH(1, (Table13[[#This Row],[year t]]=Table32[[#All],[year t]])*(Table13[[#This Row],[stratum i]]=Table32[[#All],[stratum i]]), 0))</f>
        <v>#REF!</v>
      </c>
      <c r="AJ56" s="49" t="e">
        <f>Table13[[#This Row],[ΔCBSL-herb,i,t (tC/ha)]]</f>
        <v>#REF!</v>
      </c>
      <c r="AO56" s="18">
        <v>2034</v>
      </c>
      <c r="AP56">
        <v>2</v>
      </c>
      <c r="AQ56" s="18" cm="1">
        <f t="array" ref="AQ56">INDEX(Table32[[#All],[Ai,t]], MATCH(1, (Table14[[#This Row],[year t]]=Table32[[#All],[year t]])*(Table14[[#This Row],[stratum i]]=Table32[[#All],[stratum i]]), 0))</f>
        <v>1982.9786785714284</v>
      </c>
      <c r="AR56" t="str">
        <f>IF(AND(INDEX(Table31[[#All],[Soil type (t=0)]], MATCH(Table14[[#This Row],[stratum i]], Table31[[#All],[Stratum i]]))="Peat soil", Table14[[#This Row],[year t]]&lt;=Table14[[#This Row],[End_PDT]]), "Peat soil", "Non-peat soil")</f>
        <v>Non-peat soil</v>
      </c>
      <c r="AS56">
        <f>IF(Emission_reduction_from_stock_loss?, INDEX(Table2[[#All],[End_PDT]], MATCH(Table14[[#This Row],[stratum i]], Table2[[#All],[stratum i]])), crediting_period)</f>
        <v>40</v>
      </c>
      <c r="AT56">
        <f>IF(Emission_reduction_from_stock_loss?, INDEX(Table2[[#All],[End_SDT]], MATCH(Table14[[#This Row],[stratum i]], Table2[[#All],[stratum i]])), crediting_period)</f>
        <v>40</v>
      </c>
      <c r="AU56" cm="1">
        <f t="array" ref="AU5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6" t="e" cm="1">
        <f t="array" ref="AV56">INDEX(#REF!, MATCH(1, (Table14[[#This Row],[year t]]=Table32[[#All],[year t]])*(Table14[[#This Row],[stratum i]]=Table32[[#All],[stratum i]]), 0))</f>
        <v>#REF!</v>
      </c>
      <c r="AW5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6" s="57">
        <f>(Table14[[#This Row],[GHGBSL-soil-CO2,i,t (Eq 27)]]-Table14[[#This Row],[Deductionalloch (Eq 38)]])*Table14[[#This Row],[Ai,t]]</f>
        <v>0</v>
      </c>
      <c r="AY56" cm="1">
        <f t="array" ref="AY56">IF(baseline_soil_CH4 = "Included", INDEX(Table18[[#All],[GHGBSL-soil-CH4,i,t (Eq 59)]], MATCH(1, (Table14[[#This Row],[year t]]=Table18[[#All],[year t]])*(Table14[[#This Row],[stratum i]]=Table18[[#All],[stratum i]]), 0)), 0)</f>
        <v>0</v>
      </c>
      <c r="AZ56" cm="1">
        <f t="array" ref="AZ56">IF(baseline_soil_N2O = "Included", INDEX(Table18[[#All],[GHGBSL-soil-N2O,i,t (Eq 62)]], MATCH(1, (Table14[[#This Row],[year t]]=Table18[[#All],[year t]])*(Table14[[#This Row],[stratum i]]=Table18[[#All],[stratum i]]), 0)), 0)</f>
        <v>0</v>
      </c>
      <c r="BA56">
        <f>IF(AND(Table14[[#This Row],[year t]]&gt;Table14[[#This Row],[End_PDT]],Table14[[#This Row],[year t]]&gt;Table14[[#This Row],[End_SDT]]), 0, Table14[[#This Row],[Ai,t]]*(Table14[[#This Row],[GHGBSL-soil-CO2,i,t (Eq 27)]]-Table14[[#This Row],[Deductionalloch (Eq 38)]]+Table14[[#This Row],[GHGBSL-soil-CH4,i,t]]+Table14[[#This Row],[GHGBSL-soil-N2O,i,t]]))</f>
        <v>0</v>
      </c>
      <c r="BB56" t="e" cm="1">
        <f t="array" ref="BB56">INDEX(#REF!, MATCH(1, (Table14[[#This Row],[year t]]=Table32[[#All],[year t]])*(Table14[[#This Row],[stratum i]]=Table32[[#All],[stratum i]]), 0))</f>
        <v>#REF!</v>
      </c>
      <c r="BC56" t="e" cm="1">
        <f t="array" ref="BC56">INDEX(#REF!, MATCH(1, (Table14[[#This Row],[year t]]=Table32[[#All],[year t]])*(Table14[[#This Row],[stratum i]]=Table32[[#All],[stratum i]]), 0))</f>
        <v>#REF!</v>
      </c>
      <c r="BD56" t="e" cm="1">
        <f t="array" ref="BD56">INDEX(#REF!, MATCH(1, (Table14[[#This Row],[year t]]=Table32[[#All],[year t]])*(Table14[[#This Row],[stratum i]]=Table32[[#All],[stratum i]]), 0))</f>
        <v>#REF!</v>
      </c>
      <c r="BE56" t="e" cm="1">
        <f t="array" ref="BE56">INDEX(#REF!, MATCH(1, (Table14[[#This Row],[year t]]=Table32[[#All],[year t]])*(Table14[[#This Row],[stratum i]]=Table32[[#All],[stratum i]]), 0))</f>
        <v>#REF!</v>
      </c>
      <c r="BF56" s="30"/>
      <c r="BM56" s="18">
        <v>2034</v>
      </c>
      <c r="BN56">
        <v>2</v>
      </c>
      <c r="BO56" t="e" cm="1">
        <f t="array" ref="BO56">INDEX(#REF!, MATCH(1, (Table132926[[#This Row],[year t]]=Table32[year t])*(Table132926[[#This Row],[stratum i]]=Table32[[#All],[stratum i]]), 0))</f>
        <v>#REF!</v>
      </c>
      <c r="BP56" t="e">
        <f>-44/12*Table132926[[#This Row],[∆CBSL-soil,i,t (tC/ha)]]</f>
        <v>#REF!</v>
      </c>
    </row>
    <row r="57" spans="10:68" x14ac:dyDescent="0.2">
      <c r="J57" s="18">
        <v>2035</v>
      </c>
      <c r="K57">
        <v>2</v>
      </c>
      <c r="L57" cm="1">
        <f t="array" ref="L57">INDEX(Table32[[#All],[ΔCTREE_BSL,i,t (AR Tool 14) t C/yr]], MATCH(1, (Table12[[#This Row],[year t]]=Table32[[#All],[year t]])*(Table12[[#This Row],[stratum i]]=Table32[[#All],[stratum i]]), 0))</f>
        <v>0</v>
      </c>
      <c r="M57" cm="1">
        <f t="array" ref="M57">IF(baseline_abground_nontree = "Included", INDEX(#REF!, MATCH(1, (Table12[[#This Row],[year t]]=Table32[[#All],[year t]])*(Table12[[#This Row],[stratum i]]=Table32[[#All],[stratum i]]), 0)), 0)</f>
        <v>0</v>
      </c>
      <c r="N57">
        <f>12/44*(Table12[[#This Row],[ΔCTREE_BSL,i,t (AR Tool 14) t CO2e/yr]]+Table12[[#This Row],[ΔCSHRUB_BSL,i,t (AR Tool 14) t CO2e/yr]])</f>
        <v>0</v>
      </c>
      <c r="O57" cm="1">
        <f t="array" ref="O57">IF(baseline_abground_nontree = "Included", IFERROR(INDEX(Table13[[#All],[ΔCBSL-herb,i,t (Eq 25)]], MATCH(1, (Table12[[#This Row],[stratum i]]=Table13[[#All],[stratum i]])*(Table12[[#This Row],[year t]]&gt;=#REF!)*(Table12[[#This Row],[year t]]&lt;=Table13[[#All],[year t]]), 0)), 0), 0)</f>
        <v>0</v>
      </c>
      <c r="P57">
        <f>Table12[[#This Row],[ΔCBSL-tree/shrub,i,t (t C/yr) (Eq 24)]]+Table12[[#This Row],[ΔCBSL-herb,i,t (t C/yr)]]-Table12[[#This Row],[ΔCBSL-agbiomass,i,t; t C yr-1 (submergence)]]</f>
        <v>0</v>
      </c>
      <c r="Q57" cm="1">
        <f t="array" ref="Q57">IFERROR(INDEX(Table14[[#All],[GHGBSL-soil,i,t (Eq 26)]], MATCH(1, (Table12[[#This Row],[year t]]=Table14[[#All],[year t]])*(Table12[[#This Row],[stratum i]]=Table14[[#All],[stratum i]]), 0)), 0)</f>
        <v>0</v>
      </c>
      <c r="R57">
        <f>IF(baseline_ff_CO2 = "Included", Table12[[#This Row],[ET(FC,I,t) AR-Tool 5]], 0)</f>
        <v>0</v>
      </c>
      <c r="S57" t="e" cm="1">
        <f t="array" ref="S57">INDEX(#REF!, MATCH(1, (Table12[[#This Row],[year t]]=Table32[[#All],[year t]])*(Table12[[#This Row],[stratum i]]=Table32[[#All],[stratum i]]), 0))</f>
        <v>#REF!</v>
      </c>
      <c r="T57" cm="1">
        <f t="array" ref="T57">IFERROR(INDEX(Table30[[#All],[ΔCBSL-agbiomass,i,t (equation 22) t C yr-1]], MATCH(1, (Table12[[#This Row],[stratum i]]=Table30[[#All],[Stratum i]])*(Table12[[#This Row],[year t]]&lt;Table30[[#All],[Year of reporting]]), 0)), 0)</f>
        <v>0</v>
      </c>
      <c r="AG57" s="18">
        <v>2035</v>
      </c>
      <c r="AH57">
        <v>2</v>
      </c>
      <c r="AI57" s="49" t="e" cm="1">
        <f t="array" ref="AI57">INDEX(#REF!, MATCH(1, (Table13[[#This Row],[year t]]=Table32[[#All],[year t]])*(Table13[[#This Row],[stratum i]]=Table32[[#All],[stratum i]]), 0))</f>
        <v>#REF!</v>
      </c>
      <c r="AJ57" s="49" t="e">
        <f>Table13[[#This Row],[ΔCBSL-herb,i,t (tC/ha)]]</f>
        <v>#REF!</v>
      </c>
      <c r="AO57" s="18">
        <v>2035</v>
      </c>
      <c r="AP57">
        <v>2</v>
      </c>
      <c r="AQ57" s="18" cm="1">
        <f t="array" ref="AQ57">INDEX(Table32[[#All],[Ai,t]], MATCH(1, (Table14[[#This Row],[year t]]=Table32[[#All],[year t]])*(Table14[[#This Row],[stratum i]]=Table32[[#All],[stratum i]]), 0))</f>
        <v>1982.9786785714284</v>
      </c>
      <c r="AR57" t="str">
        <f>IF(AND(INDEX(Table31[[#All],[Soil type (t=0)]], MATCH(Table14[[#This Row],[stratum i]], Table31[[#All],[Stratum i]]))="Peat soil", Table14[[#This Row],[year t]]&lt;=Table14[[#This Row],[End_PDT]]), "Peat soil", "Non-peat soil")</f>
        <v>Non-peat soil</v>
      </c>
      <c r="AS57">
        <f>IF(Emission_reduction_from_stock_loss?, INDEX(Table2[[#All],[End_PDT]], MATCH(Table14[[#This Row],[stratum i]], Table2[[#All],[stratum i]])), crediting_period)</f>
        <v>40</v>
      </c>
      <c r="AT57">
        <f>IF(Emission_reduction_from_stock_loss?, INDEX(Table2[[#All],[End_SDT]], MATCH(Table14[[#This Row],[stratum i]], Table2[[#All],[stratum i]])), crediting_period)</f>
        <v>40</v>
      </c>
      <c r="AU57" cm="1">
        <f t="array" ref="AU5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7" t="e" cm="1">
        <f t="array" ref="AV57">INDEX(#REF!, MATCH(1, (Table14[[#This Row],[year t]]=Table32[[#All],[year t]])*(Table14[[#This Row],[stratum i]]=Table32[[#All],[stratum i]]), 0))</f>
        <v>#REF!</v>
      </c>
      <c r="AW5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7" s="57">
        <f>(Table14[[#This Row],[GHGBSL-soil-CO2,i,t (Eq 27)]]-Table14[[#This Row],[Deductionalloch (Eq 38)]])*Table14[[#This Row],[Ai,t]]</f>
        <v>0</v>
      </c>
      <c r="AY57" cm="1">
        <f t="array" ref="AY57">IF(baseline_soil_CH4 = "Included", INDEX(Table18[[#All],[GHGBSL-soil-CH4,i,t (Eq 59)]], MATCH(1, (Table14[[#This Row],[year t]]=Table18[[#All],[year t]])*(Table14[[#This Row],[stratum i]]=Table18[[#All],[stratum i]]), 0)), 0)</f>
        <v>0</v>
      </c>
      <c r="AZ57" cm="1">
        <f t="array" ref="AZ57">IF(baseline_soil_N2O = "Included", INDEX(Table18[[#All],[GHGBSL-soil-N2O,i,t (Eq 62)]], MATCH(1, (Table14[[#This Row],[year t]]=Table18[[#All],[year t]])*(Table14[[#This Row],[stratum i]]=Table18[[#All],[stratum i]]), 0)), 0)</f>
        <v>0</v>
      </c>
      <c r="BA57">
        <f>IF(AND(Table14[[#This Row],[year t]]&gt;Table14[[#This Row],[End_PDT]],Table14[[#This Row],[year t]]&gt;Table14[[#This Row],[End_SDT]]), 0, Table14[[#This Row],[Ai,t]]*(Table14[[#This Row],[GHGBSL-soil-CO2,i,t (Eq 27)]]-Table14[[#This Row],[Deductionalloch (Eq 38)]]+Table14[[#This Row],[GHGBSL-soil-CH4,i,t]]+Table14[[#This Row],[GHGBSL-soil-N2O,i,t]]))</f>
        <v>0</v>
      </c>
      <c r="BB57" t="e" cm="1">
        <f t="array" ref="BB57">INDEX(#REF!, MATCH(1, (Table14[[#This Row],[year t]]=Table32[[#All],[year t]])*(Table14[[#This Row],[stratum i]]=Table32[[#All],[stratum i]]), 0))</f>
        <v>#REF!</v>
      </c>
      <c r="BC57" t="e" cm="1">
        <f t="array" ref="BC57">INDEX(#REF!, MATCH(1, (Table14[[#This Row],[year t]]=Table32[[#All],[year t]])*(Table14[[#This Row],[stratum i]]=Table32[[#All],[stratum i]]), 0))</f>
        <v>#REF!</v>
      </c>
      <c r="BD57" t="e" cm="1">
        <f t="array" ref="BD57">INDEX(#REF!, MATCH(1, (Table14[[#This Row],[year t]]=Table32[[#All],[year t]])*(Table14[[#This Row],[stratum i]]=Table32[[#All],[stratum i]]), 0))</f>
        <v>#REF!</v>
      </c>
      <c r="BE57" t="e" cm="1">
        <f t="array" ref="BE57">INDEX(#REF!, MATCH(1, (Table14[[#This Row],[year t]]=Table32[[#All],[year t]])*(Table14[[#This Row],[stratum i]]=Table32[[#All],[stratum i]]), 0))</f>
        <v>#REF!</v>
      </c>
      <c r="BF57" s="30"/>
      <c r="BM57" s="18">
        <v>2035</v>
      </c>
      <c r="BN57">
        <v>2</v>
      </c>
      <c r="BO57" t="e" cm="1">
        <f t="array" ref="BO57">INDEX(#REF!, MATCH(1, (Table132926[[#This Row],[year t]]=Table32[year t])*(Table132926[[#This Row],[stratum i]]=Table32[[#All],[stratum i]]), 0))</f>
        <v>#REF!</v>
      </c>
      <c r="BP57" t="e">
        <f>-44/12*Table132926[[#This Row],[∆CBSL-soil,i,t (tC/ha)]]</f>
        <v>#REF!</v>
      </c>
    </row>
    <row r="58" spans="10:68" x14ac:dyDescent="0.2">
      <c r="J58" s="18">
        <v>2036</v>
      </c>
      <c r="K58">
        <v>2</v>
      </c>
      <c r="L58" cm="1">
        <f t="array" ref="L58">INDEX(Table32[[#All],[ΔCTREE_BSL,i,t (AR Tool 14) t C/yr]], MATCH(1, (Table12[[#This Row],[year t]]=Table32[[#All],[year t]])*(Table12[[#This Row],[stratum i]]=Table32[[#All],[stratum i]]), 0))</f>
        <v>0</v>
      </c>
      <c r="M58" cm="1">
        <f t="array" ref="M58">IF(baseline_abground_nontree = "Included", INDEX(#REF!, MATCH(1, (Table12[[#This Row],[year t]]=Table32[[#All],[year t]])*(Table12[[#This Row],[stratum i]]=Table32[[#All],[stratum i]]), 0)), 0)</f>
        <v>0</v>
      </c>
      <c r="N58">
        <f>12/44*(Table12[[#This Row],[ΔCTREE_BSL,i,t (AR Tool 14) t CO2e/yr]]+Table12[[#This Row],[ΔCSHRUB_BSL,i,t (AR Tool 14) t CO2e/yr]])</f>
        <v>0</v>
      </c>
      <c r="O58" cm="1">
        <f t="array" ref="O58">IF(baseline_abground_nontree = "Included", IFERROR(INDEX(Table13[[#All],[ΔCBSL-herb,i,t (Eq 25)]], MATCH(1, (Table12[[#This Row],[stratum i]]=Table13[[#All],[stratum i]])*(Table12[[#This Row],[year t]]&gt;=#REF!)*(Table12[[#This Row],[year t]]&lt;=Table13[[#All],[year t]]), 0)), 0), 0)</f>
        <v>0</v>
      </c>
      <c r="P58">
        <f>Table12[[#This Row],[ΔCBSL-tree/shrub,i,t (t C/yr) (Eq 24)]]+Table12[[#This Row],[ΔCBSL-herb,i,t (t C/yr)]]-Table12[[#This Row],[ΔCBSL-agbiomass,i,t; t C yr-1 (submergence)]]</f>
        <v>0</v>
      </c>
      <c r="Q58" cm="1">
        <f t="array" ref="Q58">IFERROR(INDEX(Table14[[#All],[GHGBSL-soil,i,t (Eq 26)]], MATCH(1, (Table12[[#This Row],[year t]]=Table14[[#All],[year t]])*(Table12[[#This Row],[stratum i]]=Table14[[#All],[stratum i]]), 0)), 0)</f>
        <v>0</v>
      </c>
      <c r="R58">
        <f>IF(baseline_ff_CO2 = "Included", Table12[[#This Row],[ET(FC,I,t) AR-Tool 5]], 0)</f>
        <v>0</v>
      </c>
      <c r="S58" t="e" cm="1">
        <f t="array" ref="S58">INDEX(#REF!, MATCH(1, (Table12[[#This Row],[year t]]=Table32[[#All],[year t]])*(Table12[[#This Row],[stratum i]]=Table32[[#All],[stratum i]]), 0))</f>
        <v>#REF!</v>
      </c>
      <c r="T58" cm="1">
        <f t="array" ref="T58">IFERROR(INDEX(Table30[[#All],[ΔCBSL-agbiomass,i,t (equation 22) t C yr-1]], MATCH(1, (Table12[[#This Row],[stratum i]]=Table30[[#All],[Stratum i]])*(Table12[[#This Row],[year t]]&lt;Table30[[#All],[Year of reporting]]), 0)), 0)</f>
        <v>0</v>
      </c>
      <c r="AG58" s="18">
        <v>2036</v>
      </c>
      <c r="AH58">
        <v>2</v>
      </c>
      <c r="AI58" s="49" t="e" cm="1">
        <f t="array" ref="AI58">INDEX(#REF!, MATCH(1, (Table13[[#This Row],[year t]]=Table32[[#All],[year t]])*(Table13[[#This Row],[stratum i]]=Table32[[#All],[stratum i]]), 0))</f>
        <v>#REF!</v>
      </c>
      <c r="AJ58" s="49" t="e">
        <f>Table13[[#This Row],[ΔCBSL-herb,i,t (tC/ha)]]</f>
        <v>#REF!</v>
      </c>
      <c r="AO58" s="18">
        <v>2036</v>
      </c>
      <c r="AP58">
        <v>2</v>
      </c>
      <c r="AQ58" s="18" cm="1">
        <f t="array" ref="AQ58">INDEX(Table32[[#All],[Ai,t]], MATCH(1, (Table14[[#This Row],[year t]]=Table32[[#All],[year t]])*(Table14[[#This Row],[stratum i]]=Table32[[#All],[stratum i]]), 0))</f>
        <v>1982.9786785714284</v>
      </c>
      <c r="AR58" t="str">
        <f>IF(AND(INDEX(Table31[[#All],[Soil type (t=0)]], MATCH(Table14[[#This Row],[stratum i]], Table31[[#All],[Stratum i]]))="Peat soil", Table14[[#This Row],[year t]]&lt;=Table14[[#This Row],[End_PDT]]), "Peat soil", "Non-peat soil")</f>
        <v>Non-peat soil</v>
      </c>
      <c r="AS58">
        <f>IF(Emission_reduction_from_stock_loss?, INDEX(Table2[[#All],[End_PDT]], MATCH(Table14[[#This Row],[stratum i]], Table2[[#All],[stratum i]])), crediting_period)</f>
        <v>40</v>
      </c>
      <c r="AT58">
        <f>IF(Emission_reduction_from_stock_loss?, INDEX(Table2[[#All],[End_SDT]], MATCH(Table14[[#This Row],[stratum i]], Table2[[#All],[stratum i]])), crediting_period)</f>
        <v>40</v>
      </c>
      <c r="AU58" cm="1">
        <f t="array" ref="AU5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8" t="e" cm="1">
        <f t="array" ref="AV58">INDEX(#REF!, MATCH(1, (Table14[[#This Row],[year t]]=Table32[[#All],[year t]])*(Table14[[#This Row],[stratum i]]=Table32[[#All],[stratum i]]), 0))</f>
        <v>#REF!</v>
      </c>
      <c r="AW5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8" s="57">
        <f>(Table14[[#This Row],[GHGBSL-soil-CO2,i,t (Eq 27)]]-Table14[[#This Row],[Deductionalloch (Eq 38)]])*Table14[[#This Row],[Ai,t]]</f>
        <v>0</v>
      </c>
      <c r="AY58" cm="1">
        <f t="array" ref="AY58">IF(baseline_soil_CH4 = "Included", INDEX(Table18[[#All],[GHGBSL-soil-CH4,i,t (Eq 59)]], MATCH(1, (Table14[[#This Row],[year t]]=Table18[[#All],[year t]])*(Table14[[#This Row],[stratum i]]=Table18[[#All],[stratum i]]), 0)), 0)</f>
        <v>0</v>
      </c>
      <c r="AZ58" cm="1">
        <f t="array" ref="AZ58">IF(baseline_soil_N2O = "Included", INDEX(Table18[[#All],[GHGBSL-soil-N2O,i,t (Eq 62)]], MATCH(1, (Table14[[#This Row],[year t]]=Table18[[#All],[year t]])*(Table14[[#This Row],[stratum i]]=Table18[[#All],[stratum i]]), 0)), 0)</f>
        <v>0</v>
      </c>
      <c r="BA58">
        <f>IF(AND(Table14[[#This Row],[year t]]&gt;Table14[[#This Row],[End_PDT]],Table14[[#This Row],[year t]]&gt;Table14[[#This Row],[End_SDT]]), 0, Table14[[#This Row],[Ai,t]]*(Table14[[#This Row],[GHGBSL-soil-CO2,i,t (Eq 27)]]-Table14[[#This Row],[Deductionalloch (Eq 38)]]+Table14[[#This Row],[GHGBSL-soil-CH4,i,t]]+Table14[[#This Row],[GHGBSL-soil-N2O,i,t]]))</f>
        <v>0</v>
      </c>
      <c r="BB58" t="e" cm="1">
        <f t="array" ref="BB58">INDEX(#REF!, MATCH(1, (Table14[[#This Row],[year t]]=Table32[[#All],[year t]])*(Table14[[#This Row],[stratum i]]=Table32[[#All],[stratum i]]), 0))</f>
        <v>#REF!</v>
      </c>
      <c r="BC58" t="e" cm="1">
        <f t="array" ref="BC58">INDEX(#REF!, MATCH(1, (Table14[[#This Row],[year t]]=Table32[[#All],[year t]])*(Table14[[#This Row],[stratum i]]=Table32[[#All],[stratum i]]), 0))</f>
        <v>#REF!</v>
      </c>
      <c r="BD58" t="e" cm="1">
        <f t="array" ref="BD58">INDEX(#REF!, MATCH(1, (Table14[[#This Row],[year t]]=Table32[[#All],[year t]])*(Table14[[#This Row],[stratum i]]=Table32[[#All],[stratum i]]), 0))</f>
        <v>#REF!</v>
      </c>
      <c r="BE58" t="e" cm="1">
        <f t="array" ref="BE58">INDEX(#REF!, MATCH(1, (Table14[[#This Row],[year t]]=Table32[[#All],[year t]])*(Table14[[#This Row],[stratum i]]=Table32[[#All],[stratum i]]), 0))</f>
        <v>#REF!</v>
      </c>
      <c r="BF58" s="30"/>
      <c r="BM58" s="18">
        <v>2036</v>
      </c>
      <c r="BN58">
        <v>2</v>
      </c>
      <c r="BO58" t="e" cm="1">
        <f t="array" ref="BO58">INDEX(#REF!, MATCH(1, (Table132926[[#This Row],[year t]]=Table32[year t])*(Table132926[[#This Row],[stratum i]]=Table32[[#All],[stratum i]]), 0))</f>
        <v>#REF!</v>
      </c>
      <c r="BP58" t="e">
        <f>-44/12*Table132926[[#This Row],[∆CBSL-soil,i,t (tC/ha)]]</f>
        <v>#REF!</v>
      </c>
    </row>
    <row r="59" spans="10:68" x14ac:dyDescent="0.2">
      <c r="J59" s="18">
        <v>2037</v>
      </c>
      <c r="K59">
        <v>2</v>
      </c>
      <c r="L59" cm="1">
        <f t="array" ref="L59">INDEX(Table32[[#All],[ΔCTREE_BSL,i,t (AR Tool 14) t C/yr]], MATCH(1, (Table12[[#This Row],[year t]]=Table32[[#All],[year t]])*(Table12[[#This Row],[stratum i]]=Table32[[#All],[stratum i]]), 0))</f>
        <v>0</v>
      </c>
      <c r="M59" cm="1">
        <f t="array" ref="M59">IF(baseline_abground_nontree = "Included", INDEX(#REF!, MATCH(1, (Table12[[#This Row],[year t]]=Table32[[#All],[year t]])*(Table12[[#This Row],[stratum i]]=Table32[[#All],[stratum i]]), 0)), 0)</f>
        <v>0</v>
      </c>
      <c r="N59">
        <f>12/44*(Table12[[#This Row],[ΔCTREE_BSL,i,t (AR Tool 14) t CO2e/yr]]+Table12[[#This Row],[ΔCSHRUB_BSL,i,t (AR Tool 14) t CO2e/yr]])</f>
        <v>0</v>
      </c>
      <c r="O59" cm="1">
        <f t="array" ref="O59">IF(baseline_abground_nontree = "Included", IFERROR(INDEX(Table13[[#All],[ΔCBSL-herb,i,t (Eq 25)]], MATCH(1, (Table12[[#This Row],[stratum i]]=Table13[[#All],[stratum i]])*(Table12[[#This Row],[year t]]&gt;=#REF!)*(Table12[[#This Row],[year t]]&lt;=Table13[[#All],[year t]]), 0)), 0), 0)</f>
        <v>0</v>
      </c>
      <c r="P59">
        <f>Table12[[#This Row],[ΔCBSL-tree/shrub,i,t (t C/yr) (Eq 24)]]+Table12[[#This Row],[ΔCBSL-herb,i,t (t C/yr)]]-Table12[[#This Row],[ΔCBSL-agbiomass,i,t; t C yr-1 (submergence)]]</f>
        <v>0</v>
      </c>
      <c r="Q59" cm="1">
        <f t="array" ref="Q59">IFERROR(INDEX(Table14[[#All],[GHGBSL-soil,i,t (Eq 26)]], MATCH(1, (Table12[[#This Row],[year t]]=Table14[[#All],[year t]])*(Table12[[#This Row],[stratum i]]=Table14[[#All],[stratum i]]), 0)), 0)</f>
        <v>0</v>
      </c>
      <c r="R59">
        <f>IF(baseline_ff_CO2 = "Included", Table12[[#This Row],[ET(FC,I,t) AR-Tool 5]], 0)</f>
        <v>0</v>
      </c>
      <c r="S59" t="e" cm="1">
        <f t="array" ref="S59">INDEX(#REF!, MATCH(1, (Table12[[#This Row],[year t]]=Table32[[#All],[year t]])*(Table12[[#This Row],[stratum i]]=Table32[[#All],[stratum i]]), 0))</f>
        <v>#REF!</v>
      </c>
      <c r="T59" cm="1">
        <f t="array" ref="T59">IFERROR(INDEX(Table30[[#All],[ΔCBSL-agbiomass,i,t (equation 22) t C yr-1]], MATCH(1, (Table12[[#This Row],[stratum i]]=Table30[[#All],[Stratum i]])*(Table12[[#This Row],[year t]]&lt;Table30[[#All],[Year of reporting]]), 0)), 0)</f>
        <v>0</v>
      </c>
      <c r="AG59" s="18">
        <v>2037</v>
      </c>
      <c r="AH59">
        <v>2</v>
      </c>
      <c r="AI59" s="49" t="e" cm="1">
        <f t="array" ref="AI59">INDEX(#REF!, MATCH(1, (Table13[[#This Row],[year t]]=Table32[[#All],[year t]])*(Table13[[#This Row],[stratum i]]=Table32[[#All],[stratum i]]), 0))</f>
        <v>#REF!</v>
      </c>
      <c r="AJ59" s="49" t="e">
        <f>Table13[[#This Row],[ΔCBSL-herb,i,t (tC/ha)]]</f>
        <v>#REF!</v>
      </c>
      <c r="AO59" s="18">
        <v>2037</v>
      </c>
      <c r="AP59">
        <v>2</v>
      </c>
      <c r="AQ59" s="18" cm="1">
        <f t="array" ref="AQ59">INDEX(Table32[[#All],[Ai,t]], MATCH(1, (Table14[[#This Row],[year t]]=Table32[[#All],[year t]])*(Table14[[#This Row],[stratum i]]=Table32[[#All],[stratum i]]), 0))</f>
        <v>1982.9786785714284</v>
      </c>
      <c r="AR59" t="str">
        <f>IF(AND(INDEX(Table31[[#All],[Soil type (t=0)]], MATCH(Table14[[#This Row],[stratum i]], Table31[[#All],[Stratum i]]))="Peat soil", Table14[[#This Row],[year t]]&lt;=Table14[[#This Row],[End_PDT]]), "Peat soil", "Non-peat soil")</f>
        <v>Non-peat soil</v>
      </c>
      <c r="AS59">
        <f>IF(Emission_reduction_from_stock_loss?, INDEX(Table2[[#All],[End_PDT]], MATCH(Table14[[#This Row],[stratum i]], Table2[[#All],[stratum i]])), crediting_period)</f>
        <v>40</v>
      </c>
      <c r="AT59">
        <f>IF(Emission_reduction_from_stock_loss?, INDEX(Table2[[#All],[End_SDT]], MATCH(Table14[[#This Row],[stratum i]], Table2[[#All],[stratum i]])), crediting_period)</f>
        <v>40</v>
      </c>
      <c r="AU59" cm="1">
        <f t="array" ref="AU5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59" t="e" cm="1">
        <f t="array" ref="AV59">INDEX(#REF!, MATCH(1, (Table14[[#This Row],[year t]]=Table32[[#All],[year t]])*(Table14[[#This Row],[stratum i]]=Table32[[#All],[stratum i]]), 0))</f>
        <v>#REF!</v>
      </c>
      <c r="AW5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59" s="57">
        <f>(Table14[[#This Row],[GHGBSL-soil-CO2,i,t (Eq 27)]]-Table14[[#This Row],[Deductionalloch (Eq 38)]])*Table14[[#This Row],[Ai,t]]</f>
        <v>0</v>
      </c>
      <c r="AY59" cm="1">
        <f t="array" ref="AY59">IF(baseline_soil_CH4 = "Included", INDEX(Table18[[#All],[GHGBSL-soil-CH4,i,t (Eq 59)]], MATCH(1, (Table14[[#This Row],[year t]]=Table18[[#All],[year t]])*(Table14[[#This Row],[stratum i]]=Table18[[#All],[stratum i]]), 0)), 0)</f>
        <v>0</v>
      </c>
      <c r="AZ59" cm="1">
        <f t="array" ref="AZ59">IF(baseline_soil_N2O = "Included", INDEX(Table18[[#All],[GHGBSL-soil-N2O,i,t (Eq 62)]], MATCH(1, (Table14[[#This Row],[year t]]=Table18[[#All],[year t]])*(Table14[[#This Row],[stratum i]]=Table18[[#All],[stratum i]]), 0)), 0)</f>
        <v>0</v>
      </c>
      <c r="BA59">
        <f>IF(AND(Table14[[#This Row],[year t]]&gt;Table14[[#This Row],[End_PDT]],Table14[[#This Row],[year t]]&gt;Table14[[#This Row],[End_SDT]]), 0, Table14[[#This Row],[Ai,t]]*(Table14[[#This Row],[GHGBSL-soil-CO2,i,t (Eq 27)]]-Table14[[#This Row],[Deductionalloch (Eq 38)]]+Table14[[#This Row],[GHGBSL-soil-CH4,i,t]]+Table14[[#This Row],[GHGBSL-soil-N2O,i,t]]))</f>
        <v>0</v>
      </c>
      <c r="BB59" t="e" cm="1">
        <f t="array" ref="BB59">INDEX(#REF!, MATCH(1, (Table14[[#This Row],[year t]]=Table32[[#All],[year t]])*(Table14[[#This Row],[stratum i]]=Table32[[#All],[stratum i]]), 0))</f>
        <v>#REF!</v>
      </c>
      <c r="BC59" t="e" cm="1">
        <f t="array" ref="BC59">INDEX(#REF!, MATCH(1, (Table14[[#This Row],[year t]]=Table32[[#All],[year t]])*(Table14[[#This Row],[stratum i]]=Table32[[#All],[stratum i]]), 0))</f>
        <v>#REF!</v>
      </c>
      <c r="BD59" t="e" cm="1">
        <f t="array" ref="BD59">INDEX(#REF!, MATCH(1, (Table14[[#This Row],[year t]]=Table32[[#All],[year t]])*(Table14[[#This Row],[stratum i]]=Table32[[#All],[stratum i]]), 0))</f>
        <v>#REF!</v>
      </c>
      <c r="BE59" t="e" cm="1">
        <f t="array" ref="BE59">INDEX(#REF!, MATCH(1, (Table14[[#This Row],[year t]]=Table32[[#All],[year t]])*(Table14[[#This Row],[stratum i]]=Table32[[#All],[stratum i]]), 0))</f>
        <v>#REF!</v>
      </c>
      <c r="BF59" s="30"/>
      <c r="BM59" s="18">
        <v>2037</v>
      </c>
      <c r="BN59">
        <v>2</v>
      </c>
      <c r="BO59" t="e" cm="1">
        <f t="array" ref="BO59">INDEX(#REF!, MATCH(1, (Table132926[[#This Row],[year t]]=Table32[year t])*(Table132926[[#This Row],[stratum i]]=Table32[[#All],[stratum i]]), 0))</f>
        <v>#REF!</v>
      </c>
      <c r="BP59" t="e">
        <f>-44/12*Table132926[[#This Row],[∆CBSL-soil,i,t (tC/ha)]]</f>
        <v>#REF!</v>
      </c>
    </row>
    <row r="60" spans="10:68" x14ac:dyDescent="0.2">
      <c r="J60" s="18">
        <v>2038</v>
      </c>
      <c r="K60">
        <v>2</v>
      </c>
      <c r="L60" cm="1">
        <f t="array" ref="L60">INDEX(Table32[[#All],[ΔCTREE_BSL,i,t (AR Tool 14) t C/yr]], MATCH(1, (Table12[[#This Row],[year t]]=Table32[[#All],[year t]])*(Table12[[#This Row],[stratum i]]=Table32[[#All],[stratum i]]), 0))</f>
        <v>0</v>
      </c>
      <c r="M60" cm="1">
        <f t="array" ref="M60">IF(baseline_abground_nontree = "Included", INDEX(#REF!, MATCH(1, (Table12[[#This Row],[year t]]=Table32[[#All],[year t]])*(Table12[[#This Row],[stratum i]]=Table32[[#All],[stratum i]]), 0)), 0)</f>
        <v>0</v>
      </c>
      <c r="N60">
        <f>12/44*(Table12[[#This Row],[ΔCTREE_BSL,i,t (AR Tool 14) t CO2e/yr]]+Table12[[#This Row],[ΔCSHRUB_BSL,i,t (AR Tool 14) t CO2e/yr]])</f>
        <v>0</v>
      </c>
      <c r="O60" cm="1">
        <f t="array" ref="O60">IF(baseline_abground_nontree = "Included", IFERROR(INDEX(Table13[[#All],[ΔCBSL-herb,i,t (Eq 25)]], MATCH(1, (Table12[[#This Row],[stratum i]]=Table13[[#All],[stratum i]])*(Table12[[#This Row],[year t]]&gt;=#REF!)*(Table12[[#This Row],[year t]]&lt;=Table13[[#All],[year t]]), 0)), 0), 0)</f>
        <v>0</v>
      </c>
      <c r="P60">
        <f>Table12[[#This Row],[ΔCBSL-tree/shrub,i,t (t C/yr) (Eq 24)]]+Table12[[#This Row],[ΔCBSL-herb,i,t (t C/yr)]]-Table12[[#This Row],[ΔCBSL-agbiomass,i,t; t C yr-1 (submergence)]]</f>
        <v>0</v>
      </c>
      <c r="Q60" cm="1">
        <f t="array" ref="Q60">IFERROR(INDEX(Table14[[#All],[GHGBSL-soil,i,t (Eq 26)]], MATCH(1, (Table12[[#This Row],[year t]]=Table14[[#All],[year t]])*(Table12[[#This Row],[stratum i]]=Table14[[#All],[stratum i]]), 0)), 0)</f>
        <v>0</v>
      </c>
      <c r="R60">
        <f>IF(baseline_ff_CO2 = "Included", Table12[[#This Row],[ET(FC,I,t) AR-Tool 5]], 0)</f>
        <v>0</v>
      </c>
      <c r="S60" t="e" cm="1">
        <f t="array" ref="S60">INDEX(#REF!, MATCH(1, (Table12[[#This Row],[year t]]=Table32[[#All],[year t]])*(Table12[[#This Row],[stratum i]]=Table32[[#All],[stratum i]]), 0))</f>
        <v>#REF!</v>
      </c>
      <c r="T60" cm="1">
        <f t="array" ref="T60">IFERROR(INDEX(Table30[[#All],[ΔCBSL-agbiomass,i,t (equation 22) t C yr-1]], MATCH(1, (Table12[[#This Row],[stratum i]]=Table30[[#All],[Stratum i]])*(Table12[[#This Row],[year t]]&lt;Table30[[#All],[Year of reporting]]), 0)), 0)</f>
        <v>0</v>
      </c>
      <c r="AG60" s="18">
        <v>2038</v>
      </c>
      <c r="AH60">
        <v>2</v>
      </c>
      <c r="AI60" s="49" t="e" cm="1">
        <f t="array" ref="AI60">INDEX(#REF!, MATCH(1, (Table13[[#This Row],[year t]]=Table32[[#All],[year t]])*(Table13[[#This Row],[stratum i]]=Table32[[#All],[stratum i]]), 0))</f>
        <v>#REF!</v>
      </c>
      <c r="AJ60" s="49" t="e">
        <f>Table13[[#This Row],[ΔCBSL-herb,i,t (tC/ha)]]</f>
        <v>#REF!</v>
      </c>
      <c r="AO60" s="18">
        <v>2038</v>
      </c>
      <c r="AP60">
        <v>2</v>
      </c>
      <c r="AQ60" s="18" cm="1">
        <f t="array" ref="AQ60">INDEX(Table32[[#All],[Ai,t]], MATCH(1, (Table14[[#This Row],[year t]]=Table32[[#All],[year t]])*(Table14[[#This Row],[stratum i]]=Table32[[#All],[stratum i]]), 0))</f>
        <v>1982.9786785714284</v>
      </c>
      <c r="AR60" t="str">
        <f>IF(AND(INDEX(Table31[[#All],[Soil type (t=0)]], MATCH(Table14[[#This Row],[stratum i]], Table31[[#All],[Stratum i]]))="Peat soil", Table14[[#This Row],[year t]]&lt;=Table14[[#This Row],[End_PDT]]), "Peat soil", "Non-peat soil")</f>
        <v>Non-peat soil</v>
      </c>
      <c r="AS60">
        <f>IF(Emission_reduction_from_stock_loss?, INDEX(Table2[[#All],[End_PDT]], MATCH(Table14[[#This Row],[stratum i]], Table2[[#All],[stratum i]])), crediting_period)</f>
        <v>40</v>
      </c>
      <c r="AT60">
        <f>IF(Emission_reduction_from_stock_loss?, INDEX(Table2[[#All],[End_SDT]], MATCH(Table14[[#This Row],[stratum i]], Table2[[#All],[stratum i]])), crediting_period)</f>
        <v>40</v>
      </c>
      <c r="AU60" cm="1">
        <f t="array" ref="AU6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0" t="e" cm="1">
        <f t="array" ref="AV60">INDEX(#REF!, MATCH(1, (Table14[[#This Row],[year t]]=Table32[[#All],[year t]])*(Table14[[#This Row],[stratum i]]=Table32[[#All],[stratum i]]), 0))</f>
        <v>#REF!</v>
      </c>
      <c r="AW6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0" s="57">
        <f>(Table14[[#This Row],[GHGBSL-soil-CO2,i,t (Eq 27)]]-Table14[[#This Row],[Deductionalloch (Eq 38)]])*Table14[[#This Row],[Ai,t]]</f>
        <v>0</v>
      </c>
      <c r="AY60" cm="1">
        <f t="array" ref="AY60">IF(baseline_soil_CH4 = "Included", INDEX(Table18[[#All],[GHGBSL-soil-CH4,i,t (Eq 59)]], MATCH(1, (Table14[[#This Row],[year t]]=Table18[[#All],[year t]])*(Table14[[#This Row],[stratum i]]=Table18[[#All],[stratum i]]), 0)), 0)</f>
        <v>0</v>
      </c>
      <c r="AZ60" cm="1">
        <f t="array" ref="AZ60">IF(baseline_soil_N2O = "Included", INDEX(Table18[[#All],[GHGBSL-soil-N2O,i,t (Eq 62)]], MATCH(1, (Table14[[#This Row],[year t]]=Table18[[#All],[year t]])*(Table14[[#This Row],[stratum i]]=Table18[[#All],[stratum i]]), 0)), 0)</f>
        <v>0</v>
      </c>
      <c r="BA60">
        <f>IF(AND(Table14[[#This Row],[year t]]&gt;Table14[[#This Row],[End_PDT]],Table14[[#This Row],[year t]]&gt;Table14[[#This Row],[End_SDT]]), 0, Table14[[#This Row],[Ai,t]]*(Table14[[#This Row],[GHGBSL-soil-CO2,i,t (Eq 27)]]-Table14[[#This Row],[Deductionalloch (Eq 38)]]+Table14[[#This Row],[GHGBSL-soil-CH4,i,t]]+Table14[[#This Row],[GHGBSL-soil-N2O,i,t]]))</f>
        <v>0</v>
      </c>
      <c r="BB60" t="e" cm="1">
        <f t="array" ref="BB60">INDEX(#REF!, MATCH(1, (Table14[[#This Row],[year t]]=Table32[[#All],[year t]])*(Table14[[#This Row],[stratum i]]=Table32[[#All],[stratum i]]), 0))</f>
        <v>#REF!</v>
      </c>
      <c r="BC60" t="e" cm="1">
        <f t="array" ref="BC60">INDEX(#REF!, MATCH(1, (Table14[[#This Row],[year t]]=Table32[[#All],[year t]])*(Table14[[#This Row],[stratum i]]=Table32[[#All],[stratum i]]), 0))</f>
        <v>#REF!</v>
      </c>
      <c r="BD60" t="e" cm="1">
        <f t="array" ref="BD60">INDEX(#REF!, MATCH(1, (Table14[[#This Row],[year t]]=Table32[[#All],[year t]])*(Table14[[#This Row],[stratum i]]=Table32[[#All],[stratum i]]), 0))</f>
        <v>#REF!</v>
      </c>
      <c r="BE60" t="e" cm="1">
        <f t="array" ref="BE60">INDEX(#REF!, MATCH(1, (Table14[[#This Row],[year t]]=Table32[[#All],[year t]])*(Table14[[#This Row],[stratum i]]=Table32[[#All],[stratum i]]), 0))</f>
        <v>#REF!</v>
      </c>
      <c r="BF60" s="30"/>
      <c r="BM60" s="18">
        <v>2038</v>
      </c>
      <c r="BN60">
        <v>2</v>
      </c>
      <c r="BO60" t="e" cm="1">
        <f t="array" ref="BO60">INDEX(#REF!, MATCH(1, (Table132926[[#This Row],[year t]]=Table32[year t])*(Table132926[[#This Row],[stratum i]]=Table32[[#All],[stratum i]]), 0))</f>
        <v>#REF!</v>
      </c>
      <c r="BP60" t="e">
        <f>-44/12*Table132926[[#This Row],[∆CBSL-soil,i,t (tC/ha)]]</f>
        <v>#REF!</v>
      </c>
    </row>
    <row r="61" spans="10:68" x14ac:dyDescent="0.2">
      <c r="J61" s="18">
        <v>2039</v>
      </c>
      <c r="K61">
        <v>2</v>
      </c>
      <c r="L61" cm="1">
        <f t="array" ref="L61">INDEX(Table32[[#All],[ΔCTREE_BSL,i,t (AR Tool 14) t C/yr]], MATCH(1, (Table12[[#This Row],[year t]]=Table32[[#All],[year t]])*(Table12[[#This Row],[stratum i]]=Table32[[#All],[stratum i]]), 0))</f>
        <v>0</v>
      </c>
      <c r="M61" cm="1">
        <f t="array" ref="M61">IF(baseline_abground_nontree = "Included", INDEX(#REF!, MATCH(1, (Table12[[#This Row],[year t]]=Table32[[#All],[year t]])*(Table12[[#This Row],[stratum i]]=Table32[[#All],[stratum i]]), 0)), 0)</f>
        <v>0</v>
      </c>
      <c r="N61">
        <f>12/44*(Table12[[#This Row],[ΔCTREE_BSL,i,t (AR Tool 14) t CO2e/yr]]+Table12[[#This Row],[ΔCSHRUB_BSL,i,t (AR Tool 14) t CO2e/yr]])</f>
        <v>0</v>
      </c>
      <c r="O61" cm="1">
        <f t="array" ref="O61">IF(baseline_abground_nontree = "Included", IFERROR(INDEX(Table13[[#All],[ΔCBSL-herb,i,t (Eq 25)]], MATCH(1, (Table12[[#This Row],[stratum i]]=Table13[[#All],[stratum i]])*(Table12[[#This Row],[year t]]&gt;=#REF!)*(Table12[[#This Row],[year t]]&lt;=Table13[[#All],[year t]]), 0)), 0), 0)</f>
        <v>0</v>
      </c>
      <c r="P61">
        <f>Table12[[#This Row],[ΔCBSL-tree/shrub,i,t (t C/yr) (Eq 24)]]+Table12[[#This Row],[ΔCBSL-herb,i,t (t C/yr)]]-Table12[[#This Row],[ΔCBSL-agbiomass,i,t; t C yr-1 (submergence)]]</f>
        <v>0</v>
      </c>
      <c r="Q61" cm="1">
        <f t="array" ref="Q61">IFERROR(INDEX(Table14[[#All],[GHGBSL-soil,i,t (Eq 26)]], MATCH(1, (Table12[[#This Row],[year t]]=Table14[[#All],[year t]])*(Table12[[#This Row],[stratum i]]=Table14[[#All],[stratum i]]), 0)), 0)</f>
        <v>0</v>
      </c>
      <c r="R61">
        <f>IF(baseline_ff_CO2 = "Included", Table12[[#This Row],[ET(FC,I,t) AR-Tool 5]], 0)</f>
        <v>0</v>
      </c>
      <c r="S61" t="e" cm="1">
        <f t="array" ref="S61">INDEX(#REF!, MATCH(1, (Table12[[#This Row],[year t]]=Table32[[#All],[year t]])*(Table12[[#This Row],[stratum i]]=Table32[[#All],[stratum i]]), 0))</f>
        <v>#REF!</v>
      </c>
      <c r="T61" cm="1">
        <f t="array" ref="T61">IFERROR(INDEX(Table30[[#All],[ΔCBSL-agbiomass,i,t (equation 22) t C yr-1]], MATCH(1, (Table12[[#This Row],[stratum i]]=Table30[[#All],[Stratum i]])*(Table12[[#This Row],[year t]]&lt;Table30[[#All],[Year of reporting]]), 0)), 0)</f>
        <v>0</v>
      </c>
      <c r="AG61" s="18">
        <v>2039</v>
      </c>
      <c r="AH61">
        <v>2</v>
      </c>
      <c r="AI61" s="49" t="e" cm="1">
        <f t="array" ref="AI61">INDEX(#REF!, MATCH(1, (Table13[[#This Row],[year t]]=Table32[[#All],[year t]])*(Table13[[#This Row],[stratum i]]=Table32[[#All],[stratum i]]), 0))</f>
        <v>#REF!</v>
      </c>
      <c r="AJ61" s="49" t="e">
        <f>Table13[[#This Row],[ΔCBSL-herb,i,t (tC/ha)]]</f>
        <v>#REF!</v>
      </c>
      <c r="AO61" s="18">
        <v>2039</v>
      </c>
      <c r="AP61">
        <v>2</v>
      </c>
      <c r="AQ61" s="18" cm="1">
        <f t="array" ref="AQ61">INDEX(Table32[[#All],[Ai,t]], MATCH(1, (Table14[[#This Row],[year t]]=Table32[[#All],[year t]])*(Table14[[#This Row],[stratum i]]=Table32[[#All],[stratum i]]), 0))</f>
        <v>1982.9786785714284</v>
      </c>
      <c r="AR61" t="str">
        <f>IF(AND(INDEX(Table31[[#All],[Soil type (t=0)]], MATCH(Table14[[#This Row],[stratum i]], Table31[[#All],[Stratum i]]))="Peat soil", Table14[[#This Row],[year t]]&lt;=Table14[[#This Row],[End_PDT]]), "Peat soil", "Non-peat soil")</f>
        <v>Non-peat soil</v>
      </c>
      <c r="AS61">
        <f>IF(Emission_reduction_from_stock_loss?, INDEX(Table2[[#All],[End_PDT]], MATCH(Table14[[#This Row],[stratum i]], Table2[[#All],[stratum i]])), crediting_period)</f>
        <v>40</v>
      </c>
      <c r="AT61">
        <f>IF(Emission_reduction_from_stock_loss?, INDEX(Table2[[#All],[End_SDT]], MATCH(Table14[[#This Row],[stratum i]], Table2[[#All],[stratum i]])), crediting_period)</f>
        <v>40</v>
      </c>
      <c r="AU61" cm="1">
        <f t="array" ref="AU6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1" t="e" cm="1">
        <f t="array" ref="AV61">INDEX(#REF!, MATCH(1, (Table14[[#This Row],[year t]]=Table32[[#All],[year t]])*(Table14[[#This Row],[stratum i]]=Table32[[#All],[stratum i]]), 0))</f>
        <v>#REF!</v>
      </c>
      <c r="AW6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1" s="57">
        <f>(Table14[[#This Row],[GHGBSL-soil-CO2,i,t (Eq 27)]]-Table14[[#This Row],[Deductionalloch (Eq 38)]])*Table14[[#This Row],[Ai,t]]</f>
        <v>0</v>
      </c>
      <c r="AY61" cm="1">
        <f t="array" ref="AY61">IF(baseline_soil_CH4 = "Included", INDEX(Table18[[#All],[GHGBSL-soil-CH4,i,t (Eq 59)]], MATCH(1, (Table14[[#This Row],[year t]]=Table18[[#All],[year t]])*(Table14[[#This Row],[stratum i]]=Table18[[#All],[stratum i]]), 0)), 0)</f>
        <v>0</v>
      </c>
      <c r="AZ61" cm="1">
        <f t="array" ref="AZ61">IF(baseline_soil_N2O = "Included", INDEX(Table18[[#All],[GHGBSL-soil-N2O,i,t (Eq 62)]], MATCH(1, (Table14[[#This Row],[year t]]=Table18[[#All],[year t]])*(Table14[[#This Row],[stratum i]]=Table18[[#All],[stratum i]]), 0)), 0)</f>
        <v>0</v>
      </c>
      <c r="BA61">
        <f>IF(AND(Table14[[#This Row],[year t]]&gt;Table14[[#This Row],[End_PDT]],Table14[[#This Row],[year t]]&gt;Table14[[#This Row],[End_SDT]]), 0, Table14[[#This Row],[Ai,t]]*(Table14[[#This Row],[GHGBSL-soil-CO2,i,t (Eq 27)]]-Table14[[#This Row],[Deductionalloch (Eq 38)]]+Table14[[#This Row],[GHGBSL-soil-CH4,i,t]]+Table14[[#This Row],[GHGBSL-soil-N2O,i,t]]))</f>
        <v>0</v>
      </c>
      <c r="BB61" t="e" cm="1">
        <f t="array" ref="BB61">INDEX(#REF!, MATCH(1, (Table14[[#This Row],[year t]]=Table32[[#All],[year t]])*(Table14[[#This Row],[stratum i]]=Table32[[#All],[stratum i]]), 0))</f>
        <v>#REF!</v>
      </c>
      <c r="BC61" t="e" cm="1">
        <f t="array" ref="BC61">INDEX(#REF!, MATCH(1, (Table14[[#This Row],[year t]]=Table32[[#All],[year t]])*(Table14[[#This Row],[stratum i]]=Table32[[#All],[stratum i]]), 0))</f>
        <v>#REF!</v>
      </c>
      <c r="BD61" t="e" cm="1">
        <f t="array" ref="BD61">INDEX(#REF!, MATCH(1, (Table14[[#This Row],[year t]]=Table32[[#All],[year t]])*(Table14[[#This Row],[stratum i]]=Table32[[#All],[stratum i]]), 0))</f>
        <v>#REF!</v>
      </c>
      <c r="BE61" t="e" cm="1">
        <f t="array" ref="BE61">INDEX(#REF!, MATCH(1, (Table14[[#This Row],[year t]]=Table32[[#All],[year t]])*(Table14[[#This Row],[stratum i]]=Table32[[#All],[stratum i]]), 0))</f>
        <v>#REF!</v>
      </c>
      <c r="BF61" s="30"/>
      <c r="BM61" s="18">
        <v>2039</v>
      </c>
      <c r="BN61">
        <v>2</v>
      </c>
      <c r="BO61" t="e" cm="1">
        <f t="array" ref="BO61">INDEX(#REF!, MATCH(1, (Table132926[[#This Row],[year t]]=Table32[year t])*(Table132926[[#This Row],[stratum i]]=Table32[[#All],[stratum i]]), 0))</f>
        <v>#REF!</v>
      </c>
      <c r="BP61" t="e">
        <f>-44/12*Table132926[[#This Row],[∆CBSL-soil,i,t (tC/ha)]]</f>
        <v>#REF!</v>
      </c>
    </row>
    <row r="62" spans="10:68" x14ac:dyDescent="0.2">
      <c r="J62" s="18">
        <v>2040</v>
      </c>
      <c r="K62">
        <v>2</v>
      </c>
      <c r="L62" cm="1">
        <f t="array" ref="L62">INDEX(Table32[[#All],[ΔCTREE_BSL,i,t (AR Tool 14) t C/yr]], MATCH(1, (Table12[[#This Row],[year t]]=Table32[[#All],[year t]])*(Table12[[#This Row],[stratum i]]=Table32[[#All],[stratum i]]), 0))</f>
        <v>0</v>
      </c>
      <c r="M62" cm="1">
        <f t="array" ref="M62">IF(baseline_abground_nontree = "Included", INDEX(#REF!, MATCH(1, (Table12[[#This Row],[year t]]=Table32[[#All],[year t]])*(Table12[[#This Row],[stratum i]]=Table32[[#All],[stratum i]]), 0)), 0)</f>
        <v>0</v>
      </c>
      <c r="N62">
        <f>12/44*(Table12[[#This Row],[ΔCTREE_BSL,i,t (AR Tool 14) t CO2e/yr]]+Table12[[#This Row],[ΔCSHRUB_BSL,i,t (AR Tool 14) t CO2e/yr]])</f>
        <v>0</v>
      </c>
      <c r="O62" cm="1">
        <f t="array" ref="O62">IF(baseline_abground_nontree = "Included", IFERROR(INDEX(Table13[[#All],[ΔCBSL-herb,i,t (Eq 25)]], MATCH(1, (Table12[[#This Row],[stratum i]]=Table13[[#All],[stratum i]])*(Table12[[#This Row],[year t]]&gt;=#REF!)*(Table12[[#This Row],[year t]]&lt;=Table13[[#All],[year t]]), 0)), 0), 0)</f>
        <v>0</v>
      </c>
      <c r="P62">
        <f>Table12[[#This Row],[ΔCBSL-tree/shrub,i,t (t C/yr) (Eq 24)]]+Table12[[#This Row],[ΔCBSL-herb,i,t (t C/yr)]]-Table12[[#This Row],[ΔCBSL-agbiomass,i,t; t C yr-1 (submergence)]]</f>
        <v>0</v>
      </c>
      <c r="Q62" cm="1">
        <f t="array" ref="Q62">IFERROR(INDEX(Table14[[#All],[GHGBSL-soil,i,t (Eq 26)]], MATCH(1, (Table12[[#This Row],[year t]]=Table14[[#All],[year t]])*(Table12[[#This Row],[stratum i]]=Table14[[#All],[stratum i]]), 0)), 0)</f>
        <v>0</v>
      </c>
      <c r="R62">
        <f>IF(baseline_ff_CO2 = "Included", Table12[[#This Row],[ET(FC,I,t) AR-Tool 5]], 0)</f>
        <v>0</v>
      </c>
      <c r="S62" t="e" cm="1">
        <f t="array" ref="S62">INDEX(#REF!, MATCH(1, (Table12[[#This Row],[year t]]=Table32[[#All],[year t]])*(Table12[[#This Row],[stratum i]]=Table32[[#All],[stratum i]]), 0))</f>
        <v>#REF!</v>
      </c>
      <c r="T62" cm="1">
        <f t="array" ref="T62">IFERROR(INDEX(Table30[[#All],[ΔCBSL-agbiomass,i,t (equation 22) t C yr-1]], MATCH(1, (Table12[[#This Row],[stratum i]]=Table30[[#All],[Stratum i]])*(Table12[[#This Row],[year t]]&lt;Table30[[#All],[Year of reporting]]), 0)), 0)</f>
        <v>0</v>
      </c>
      <c r="AG62" s="18">
        <v>2040</v>
      </c>
      <c r="AH62">
        <v>2</v>
      </c>
      <c r="AI62" s="49" t="e" cm="1">
        <f t="array" ref="AI62">INDEX(#REF!, MATCH(1, (Table13[[#This Row],[year t]]=Table32[[#All],[year t]])*(Table13[[#This Row],[stratum i]]=Table32[[#All],[stratum i]]), 0))</f>
        <v>#REF!</v>
      </c>
      <c r="AJ62" s="49" t="e">
        <f>Table13[[#This Row],[ΔCBSL-herb,i,t (tC/ha)]]</f>
        <v>#REF!</v>
      </c>
      <c r="AO62" s="18">
        <v>2040</v>
      </c>
      <c r="AP62">
        <v>2</v>
      </c>
      <c r="AQ62" s="18" cm="1">
        <f t="array" ref="AQ62">INDEX(Table32[[#All],[Ai,t]], MATCH(1, (Table14[[#This Row],[year t]]=Table32[[#All],[year t]])*(Table14[[#This Row],[stratum i]]=Table32[[#All],[stratum i]]), 0))</f>
        <v>1982.9786785714284</v>
      </c>
      <c r="AR62" t="str">
        <f>IF(AND(INDEX(Table31[[#All],[Soil type (t=0)]], MATCH(Table14[[#This Row],[stratum i]], Table31[[#All],[Stratum i]]))="Peat soil", Table14[[#This Row],[year t]]&lt;=Table14[[#This Row],[End_PDT]]), "Peat soil", "Non-peat soil")</f>
        <v>Non-peat soil</v>
      </c>
      <c r="AS62">
        <f>IF(Emission_reduction_from_stock_loss?, INDEX(Table2[[#All],[End_PDT]], MATCH(Table14[[#This Row],[stratum i]], Table2[[#All],[stratum i]])), crediting_period)</f>
        <v>40</v>
      </c>
      <c r="AT62">
        <f>IF(Emission_reduction_from_stock_loss?, INDEX(Table2[[#All],[End_SDT]], MATCH(Table14[[#This Row],[stratum i]], Table2[[#All],[stratum i]])), crediting_period)</f>
        <v>40</v>
      </c>
      <c r="AU62" cm="1">
        <f t="array" ref="AU6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2" t="e" cm="1">
        <f t="array" ref="AV62">INDEX(#REF!, MATCH(1, (Table14[[#This Row],[year t]]=Table32[[#All],[year t]])*(Table14[[#This Row],[stratum i]]=Table32[[#All],[stratum i]]), 0))</f>
        <v>#REF!</v>
      </c>
      <c r="AW6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2" s="57">
        <f>(Table14[[#This Row],[GHGBSL-soil-CO2,i,t (Eq 27)]]-Table14[[#This Row],[Deductionalloch (Eq 38)]])*Table14[[#This Row],[Ai,t]]</f>
        <v>0</v>
      </c>
      <c r="AY62" cm="1">
        <f t="array" ref="AY62">IF(baseline_soil_CH4 = "Included", INDEX(Table18[[#All],[GHGBSL-soil-CH4,i,t (Eq 59)]], MATCH(1, (Table14[[#This Row],[year t]]=Table18[[#All],[year t]])*(Table14[[#This Row],[stratum i]]=Table18[[#All],[stratum i]]), 0)), 0)</f>
        <v>0</v>
      </c>
      <c r="AZ62" cm="1">
        <f t="array" ref="AZ62">IF(baseline_soil_N2O = "Included", INDEX(Table18[[#All],[GHGBSL-soil-N2O,i,t (Eq 62)]], MATCH(1, (Table14[[#This Row],[year t]]=Table18[[#All],[year t]])*(Table14[[#This Row],[stratum i]]=Table18[[#All],[stratum i]]), 0)), 0)</f>
        <v>0</v>
      </c>
      <c r="BA62">
        <f>IF(AND(Table14[[#This Row],[year t]]&gt;Table14[[#This Row],[End_PDT]],Table14[[#This Row],[year t]]&gt;Table14[[#This Row],[End_SDT]]), 0, Table14[[#This Row],[Ai,t]]*(Table14[[#This Row],[GHGBSL-soil-CO2,i,t (Eq 27)]]-Table14[[#This Row],[Deductionalloch (Eq 38)]]+Table14[[#This Row],[GHGBSL-soil-CH4,i,t]]+Table14[[#This Row],[GHGBSL-soil-N2O,i,t]]))</f>
        <v>0</v>
      </c>
      <c r="BB62" t="e" cm="1">
        <f t="array" ref="BB62">INDEX(#REF!, MATCH(1, (Table14[[#This Row],[year t]]=Table32[[#All],[year t]])*(Table14[[#This Row],[stratum i]]=Table32[[#All],[stratum i]]), 0))</f>
        <v>#REF!</v>
      </c>
      <c r="BC62" t="e" cm="1">
        <f t="array" ref="BC62">INDEX(#REF!, MATCH(1, (Table14[[#This Row],[year t]]=Table32[[#All],[year t]])*(Table14[[#This Row],[stratum i]]=Table32[[#All],[stratum i]]), 0))</f>
        <v>#REF!</v>
      </c>
      <c r="BD62" t="e" cm="1">
        <f t="array" ref="BD62">INDEX(#REF!, MATCH(1, (Table14[[#This Row],[year t]]=Table32[[#All],[year t]])*(Table14[[#This Row],[stratum i]]=Table32[[#All],[stratum i]]), 0))</f>
        <v>#REF!</v>
      </c>
      <c r="BE62" t="e" cm="1">
        <f t="array" ref="BE62">INDEX(#REF!, MATCH(1, (Table14[[#This Row],[year t]]=Table32[[#All],[year t]])*(Table14[[#This Row],[stratum i]]=Table32[[#All],[stratum i]]), 0))</f>
        <v>#REF!</v>
      </c>
      <c r="BF62" s="30"/>
      <c r="BM62" s="18">
        <v>2040</v>
      </c>
      <c r="BN62">
        <v>2</v>
      </c>
      <c r="BO62" t="e" cm="1">
        <f t="array" ref="BO62">INDEX(#REF!, MATCH(1, (Table132926[[#This Row],[year t]]=Table32[year t])*(Table132926[[#This Row],[stratum i]]=Table32[[#All],[stratum i]]), 0))</f>
        <v>#REF!</v>
      </c>
      <c r="BP62" t="e">
        <f>-44/12*Table132926[[#This Row],[∆CBSL-soil,i,t (tC/ha)]]</f>
        <v>#REF!</v>
      </c>
    </row>
    <row r="63" spans="10:68" x14ac:dyDescent="0.2">
      <c r="J63" s="18">
        <v>2041</v>
      </c>
      <c r="K63">
        <v>2</v>
      </c>
      <c r="L63" cm="1">
        <f t="array" ref="L63">INDEX(Table32[[#All],[ΔCTREE_BSL,i,t (AR Tool 14) t C/yr]], MATCH(1, (Table12[[#This Row],[year t]]=Table32[[#All],[year t]])*(Table12[[#This Row],[stratum i]]=Table32[[#All],[stratum i]]), 0))</f>
        <v>0</v>
      </c>
      <c r="M63" cm="1">
        <f t="array" ref="M63">IF(baseline_abground_nontree = "Included", INDEX(#REF!, MATCH(1, (Table12[[#This Row],[year t]]=Table32[[#All],[year t]])*(Table12[[#This Row],[stratum i]]=Table32[[#All],[stratum i]]), 0)), 0)</f>
        <v>0</v>
      </c>
      <c r="N63">
        <f>12/44*(Table12[[#This Row],[ΔCTREE_BSL,i,t (AR Tool 14) t CO2e/yr]]+Table12[[#This Row],[ΔCSHRUB_BSL,i,t (AR Tool 14) t CO2e/yr]])</f>
        <v>0</v>
      </c>
      <c r="O63" cm="1">
        <f t="array" ref="O63">IF(baseline_abground_nontree = "Included", IFERROR(INDEX(Table13[[#All],[ΔCBSL-herb,i,t (Eq 25)]], MATCH(1, (Table12[[#This Row],[stratum i]]=Table13[[#All],[stratum i]])*(Table12[[#This Row],[year t]]&gt;=#REF!)*(Table12[[#This Row],[year t]]&lt;=Table13[[#All],[year t]]), 0)), 0), 0)</f>
        <v>0</v>
      </c>
      <c r="P63">
        <f>Table12[[#This Row],[ΔCBSL-tree/shrub,i,t (t C/yr) (Eq 24)]]+Table12[[#This Row],[ΔCBSL-herb,i,t (t C/yr)]]-Table12[[#This Row],[ΔCBSL-agbiomass,i,t; t C yr-1 (submergence)]]</f>
        <v>0</v>
      </c>
      <c r="Q63" cm="1">
        <f t="array" ref="Q63">IFERROR(INDEX(Table14[[#All],[GHGBSL-soil,i,t (Eq 26)]], MATCH(1, (Table12[[#This Row],[year t]]=Table14[[#All],[year t]])*(Table12[[#This Row],[stratum i]]=Table14[[#All],[stratum i]]), 0)), 0)</f>
        <v>0</v>
      </c>
      <c r="R63">
        <f>IF(baseline_ff_CO2 = "Included", Table12[[#This Row],[ET(FC,I,t) AR-Tool 5]], 0)</f>
        <v>0</v>
      </c>
      <c r="S63" t="e" cm="1">
        <f t="array" ref="S63">INDEX(#REF!, MATCH(1, (Table12[[#This Row],[year t]]=Table32[[#All],[year t]])*(Table12[[#This Row],[stratum i]]=Table32[[#All],[stratum i]]), 0))</f>
        <v>#REF!</v>
      </c>
      <c r="T63" cm="1">
        <f t="array" ref="T63">IFERROR(INDEX(Table30[[#All],[ΔCBSL-agbiomass,i,t (equation 22) t C yr-1]], MATCH(1, (Table12[[#This Row],[stratum i]]=Table30[[#All],[Stratum i]])*(Table12[[#This Row],[year t]]&lt;Table30[[#All],[Year of reporting]]), 0)), 0)</f>
        <v>0</v>
      </c>
      <c r="AG63" s="18">
        <v>2041</v>
      </c>
      <c r="AH63">
        <v>2</v>
      </c>
      <c r="AI63" s="49" t="e" cm="1">
        <f t="array" ref="AI63">INDEX(#REF!, MATCH(1, (Table13[[#This Row],[year t]]=Table32[[#All],[year t]])*(Table13[[#This Row],[stratum i]]=Table32[[#All],[stratum i]]), 0))</f>
        <v>#REF!</v>
      </c>
      <c r="AJ63" s="49" t="e">
        <f>Table13[[#This Row],[ΔCBSL-herb,i,t (tC/ha)]]</f>
        <v>#REF!</v>
      </c>
      <c r="AO63" s="18">
        <v>2041</v>
      </c>
      <c r="AP63">
        <v>2</v>
      </c>
      <c r="AQ63" s="18" cm="1">
        <f t="array" ref="AQ63">INDEX(Table32[[#All],[Ai,t]], MATCH(1, (Table14[[#This Row],[year t]]=Table32[[#All],[year t]])*(Table14[[#This Row],[stratum i]]=Table32[[#All],[stratum i]]), 0))</f>
        <v>1982.9786785714284</v>
      </c>
      <c r="AR63" t="str">
        <f>IF(AND(INDEX(Table31[[#All],[Soil type (t=0)]], MATCH(Table14[[#This Row],[stratum i]], Table31[[#All],[Stratum i]]))="Peat soil", Table14[[#This Row],[year t]]&lt;=Table14[[#This Row],[End_PDT]]), "Peat soil", "Non-peat soil")</f>
        <v>Non-peat soil</v>
      </c>
      <c r="AS63">
        <f>IF(Emission_reduction_from_stock_loss?, INDEX(Table2[[#All],[End_PDT]], MATCH(Table14[[#This Row],[stratum i]], Table2[[#All],[stratum i]])), crediting_period)</f>
        <v>40</v>
      </c>
      <c r="AT63">
        <f>IF(Emission_reduction_from_stock_loss?, INDEX(Table2[[#All],[End_SDT]], MATCH(Table14[[#This Row],[stratum i]], Table2[[#All],[stratum i]])), crediting_period)</f>
        <v>40</v>
      </c>
      <c r="AU63" cm="1">
        <f t="array" ref="AU6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3" t="e" cm="1">
        <f t="array" ref="AV63">INDEX(#REF!, MATCH(1, (Table14[[#This Row],[year t]]=Table32[[#All],[year t]])*(Table14[[#This Row],[stratum i]]=Table32[[#All],[stratum i]]), 0))</f>
        <v>#REF!</v>
      </c>
      <c r="AW6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3" s="57">
        <f>(Table14[[#This Row],[GHGBSL-soil-CO2,i,t (Eq 27)]]-Table14[[#This Row],[Deductionalloch (Eq 38)]])*Table14[[#This Row],[Ai,t]]</f>
        <v>0</v>
      </c>
      <c r="AY63" cm="1">
        <f t="array" ref="AY63">IF(baseline_soil_CH4 = "Included", INDEX(Table18[[#All],[GHGBSL-soil-CH4,i,t (Eq 59)]], MATCH(1, (Table14[[#This Row],[year t]]=Table18[[#All],[year t]])*(Table14[[#This Row],[stratum i]]=Table18[[#All],[stratum i]]), 0)), 0)</f>
        <v>0</v>
      </c>
      <c r="AZ63" cm="1">
        <f t="array" ref="AZ63">IF(baseline_soil_N2O = "Included", INDEX(Table18[[#All],[GHGBSL-soil-N2O,i,t (Eq 62)]], MATCH(1, (Table14[[#This Row],[year t]]=Table18[[#All],[year t]])*(Table14[[#This Row],[stratum i]]=Table18[[#All],[stratum i]]), 0)), 0)</f>
        <v>0</v>
      </c>
      <c r="BA63">
        <f>IF(AND(Table14[[#This Row],[year t]]&gt;Table14[[#This Row],[End_PDT]],Table14[[#This Row],[year t]]&gt;Table14[[#This Row],[End_SDT]]), 0, Table14[[#This Row],[Ai,t]]*(Table14[[#This Row],[GHGBSL-soil-CO2,i,t (Eq 27)]]-Table14[[#This Row],[Deductionalloch (Eq 38)]]+Table14[[#This Row],[GHGBSL-soil-CH4,i,t]]+Table14[[#This Row],[GHGBSL-soil-N2O,i,t]]))</f>
        <v>0</v>
      </c>
      <c r="BB63" t="e" cm="1">
        <f t="array" ref="BB63">INDEX(#REF!, MATCH(1, (Table14[[#This Row],[year t]]=Table32[[#All],[year t]])*(Table14[[#This Row],[stratum i]]=Table32[[#All],[stratum i]]), 0))</f>
        <v>#REF!</v>
      </c>
      <c r="BC63" t="e" cm="1">
        <f t="array" ref="BC63">INDEX(#REF!, MATCH(1, (Table14[[#This Row],[year t]]=Table32[[#All],[year t]])*(Table14[[#This Row],[stratum i]]=Table32[[#All],[stratum i]]), 0))</f>
        <v>#REF!</v>
      </c>
      <c r="BD63" t="e" cm="1">
        <f t="array" ref="BD63">INDEX(#REF!, MATCH(1, (Table14[[#This Row],[year t]]=Table32[[#All],[year t]])*(Table14[[#This Row],[stratum i]]=Table32[[#All],[stratum i]]), 0))</f>
        <v>#REF!</v>
      </c>
      <c r="BE63" t="e" cm="1">
        <f t="array" ref="BE63">INDEX(#REF!, MATCH(1, (Table14[[#This Row],[year t]]=Table32[[#All],[year t]])*(Table14[[#This Row],[stratum i]]=Table32[[#All],[stratum i]]), 0))</f>
        <v>#REF!</v>
      </c>
      <c r="BF63" s="30"/>
      <c r="BM63" s="18">
        <v>2041</v>
      </c>
      <c r="BN63">
        <v>2</v>
      </c>
      <c r="BO63" t="e" cm="1">
        <f t="array" ref="BO63">INDEX(#REF!, MATCH(1, (Table132926[[#This Row],[year t]]=Table32[year t])*(Table132926[[#This Row],[stratum i]]=Table32[[#All],[stratum i]]), 0))</f>
        <v>#REF!</v>
      </c>
      <c r="BP63" t="e">
        <f>-44/12*Table132926[[#This Row],[∆CBSL-soil,i,t (tC/ha)]]</f>
        <v>#REF!</v>
      </c>
    </row>
    <row r="64" spans="10:68" x14ac:dyDescent="0.2">
      <c r="J64" s="18">
        <v>2042</v>
      </c>
      <c r="K64">
        <v>2</v>
      </c>
      <c r="L64" cm="1">
        <f t="array" ref="L64">INDEX(Table32[[#All],[ΔCTREE_BSL,i,t (AR Tool 14) t C/yr]], MATCH(1, (Table12[[#This Row],[year t]]=Table32[[#All],[year t]])*(Table12[[#This Row],[stratum i]]=Table32[[#All],[stratum i]]), 0))</f>
        <v>0</v>
      </c>
      <c r="M64" cm="1">
        <f t="array" ref="M64">IF(baseline_abground_nontree = "Included", INDEX(#REF!, MATCH(1, (Table12[[#This Row],[year t]]=Table32[[#All],[year t]])*(Table12[[#This Row],[stratum i]]=Table32[[#All],[stratum i]]), 0)), 0)</f>
        <v>0</v>
      </c>
      <c r="N64">
        <f>12/44*(Table12[[#This Row],[ΔCTREE_BSL,i,t (AR Tool 14) t CO2e/yr]]+Table12[[#This Row],[ΔCSHRUB_BSL,i,t (AR Tool 14) t CO2e/yr]])</f>
        <v>0</v>
      </c>
      <c r="O64" cm="1">
        <f t="array" ref="O64">IF(baseline_abground_nontree = "Included", IFERROR(INDEX(Table13[[#All],[ΔCBSL-herb,i,t (Eq 25)]], MATCH(1, (Table12[[#This Row],[stratum i]]=Table13[[#All],[stratum i]])*(Table12[[#This Row],[year t]]&gt;=#REF!)*(Table12[[#This Row],[year t]]&lt;=Table13[[#All],[year t]]), 0)), 0), 0)</f>
        <v>0</v>
      </c>
      <c r="P64">
        <f>Table12[[#This Row],[ΔCBSL-tree/shrub,i,t (t C/yr) (Eq 24)]]+Table12[[#This Row],[ΔCBSL-herb,i,t (t C/yr)]]-Table12[[#This Row],[ΔCBSL-agbiomass,i,t; t C yr-1 (submergence)]]</f>
        <v>0</v>
      </c>
      <c r="Q64" cm="1">
        <f t="array" ref="Q64">IFERROR(INDEX(Table14[[#All],[GHGBSL-soil,i,t (Eq 26)]], MATCH(1, (Table12[[#This Row],[year t]]=Table14[[#All],[year t]])*(Table12[[#This Row],[stratum i]]=Table14[[#All],[stratum i]]), 0)), 0)</f>
        <v>0</v>
      </c>
      <c r="R64">
        <f>IF(baseline_ff_CO2 = "Included", Table12[[#This Row],[ET(FC,I,t) AR-Tool 5]], 0)</f>
        <v>0</v>
      </c>
      <c r="S64" t="e" cm="1">
        <f t="array" ref="S64">INDEX(#REF!, MATCH(1, (Table12[[#This Row],[year t]]=Table32[[#All],[year t]])*(Table12[[#This Row],[stratum i]]=Table32[[#All],[stratum i]]), 0))</f>
        <v>#REF!</v>
      </c>
      <c r="T64" cm="1">
        <f t="array" ref="T64">IFERROR(INDEX(Table30[[#All],[ΔCBSL-agbiomass,i,t (equation 22) t C yr-1]], MATCH(1, (Table12[[#This Row],[stratum i]]=Table30[[#All],[Stratum i]])*(Table12[[#This Row],[year t]]&lt;Table30[[#All],[Year of reporting]]), 0)), 0)</f>
        <v>0</v>
      </c>
      <c r="AG64" s="18">
        <v>2042</v>
      </c>
      <c r="AH64">
        <v>2</v>
      </c>
      <c r="AI64" s="49" t="e" cm="1">
        <f t="array" ref="AI64">INDEX(#REF!, MATCH(1, (Table13[[#This Row],[year t]]=Table32[[#All],[year t]])*(Table13[[#This Row],[stratum i]]=Table32[[#All],[stratum i]]), 0))</f>
        <v>#REF!</v>
      </c>
      <c r="AJ64" s="49" t="e">
        <f>Table13[[#This Row],[ΔCBSL-herb,i,t (tC/ha)]]</f>
        <v>#REF!</v>
      </c>
      <c r="AO64" s="18">
        <v>2042</v>
      </c>
      <c r="AP64">
        <v>2</v>
      </c>
      <c r="AQ64" s="18" cm="1">
        <f t="array" ref="AQ64">INDEX(Table32[[#All],[Ai,t]], MATCH(1, (Table14[[#This Row],[year t]]=Table32[[#All],[year t]])*(Table14[[#This Row],[stratum i]]=Table32[[#All],[stratum i]]), 0))</f>
        <v>1982.9786785714284</v>
      </c>
      <c r="AR64" t="str">
        <f>IF(AND(INDEX(Table31[[#All],[Soil type (t=0)]], MATCH(Table14[[#This Row],[stratum i]], Table31[[#All],[Stratum i]]))="Peat soil", Table14[[#This Row],[year t]]&lt;=Table14[[#This Row],[End_PDT]]), "Peat soil", "Non-peat soil")</f>
        <v>Non-peat soil</v>
      </c>
      <c r="AS64">
        <f>IF(Emission_reduction_from_stock_loss?, INDEX(Table2[[#All],[End_PDT]], MATCH(Table14[[#This Row],[stratum i]], Table2[[#All],[stratum i]])), crediting_period)</f>
        <v>40</v>
      </c>
      <c r="AT64">
        <f>IF(Emission_reduction_from_stock_loss?, INDEX(Table2[[#All],[End_SDT]], MATCH(Table14[[#This Row],[stratum i]], Table2[[#All],[stratum i]])), crediting_period)</f>
        <v>40</v>
      </c>
      <c r="AU64" cm="1">
        <f t="array" ref="AU6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4" t="e" cm="1">
        <f t="array" ref="AV64">INDEX(#REF!, MATCH(1, (Table14[[#This Row],[year t]]=Table32[[#All],[year t]])*(Table14[[#This Row],[stratum i]]=Table32[[#All],[stratum i]]), 0))</f>
        <v>#REF!</v>
      </c>
      <c r="AW6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4" s="57">
        <f>(Table14[[#This Row],[GHGBSL-soil-CO2,i,t (Eq 27)]]-Table14[[#This Row],[Deductionalloch (Eq 38)]])*Table14[[#This Row],[Ai,t]]</f>
        <v>0</v>
      </c>
      <c r="AY64" cm="1">
        <f t="array" ref="AY64">IF(baseline_soil_CH4 = "Included", INDEX(Table18[[#All],[GHGBSL-soil-CH4,i,t (Eq 59)]], MATCH(1, (Table14[[#This Row],[year t]]=Table18[[#All],[year t]])*(Table14[[#This Row],[stratum i]]=Table18[[#All],[stratum i]]), 0)), 0)</f>
        <v>0</v>
      </c>
      <c r="AZ64" cm="1">
        <f t="array" ref="AZ64">IF(baseline_soil_N2O = "Included", INDEX(Table18[[#All],[GHGBSL-soil-N2O,i,t (Eq 62)]], MATCH(1, (Table14[[#This Row],[year t]]=Table18[[#All],[year t]])*(Table14[[#This Row],[stratum i]]=Table18[[#All],[stratum i]]), 0)), 0)</f>
        <v>0</v>
      </c>
      <c r="BA64">
        <f>IF(AND(Table14[[#This Row],[year t]]&gt;Table14[[#This Row],[End_PDT]],Table14[[#This Row],[year t]]&gt;Table14[[#This Row],[End_SDT]]), 0, Table14[[#This Row],[Ai,t]]*(Table14[[#This Row],[GHGBSL-soil-CO2,i,t (Eq 27)]]-Table14[[#This Row],[Deductionalloch (Eq 38)]]+Table14[[#This Row],[GHGBSL-soil-CH4,i,t]]+Table14[[#This Row],[GHGBSL-soil-N2O,i,t]]))</f>
        <v>0</v>
      </c>
      <c r="BB64" t="e" cm="1">
        <f t="array" ref="BB64">INDEX(#REF!, MATCH(1, (Table14[[#This Row],[year t]]=Table32[[#All],[year t]])*(Table14[[#This Row],[stratum i]]=Table32[[#All],[stratum i]]), 0))</f>
        <v>#REF!</v>
      </c>
      <c r="BC64" t="e" cm="1">
        <f t="array" ref="BC64">INDEX(#REF!, MATCH(1, (Table14[[#This Row],[year t]]=Table32[[#All],[year t]])*(Table14[[#This Row],[stratum i]]=Table32[[#All],[stratum i]]), 0))</f>
        <v>#REF!</v>
      </c>
      <c r="BD64" t="e" cm="1">
        <f t="array" ref="BD64">INDEX(#REF!, MATCH(1, (Table14[[#This Row],[year t]]=Table32[[#All],[year t]])*(Table14[[#This Row],[stratum i]]=Table32[[#All],[stratum i]]), 0))</f>
        <v>#REF!</v>
      </c>
      <c r="BE64" t="e" cm="1">
        <f t="array" ref="BE64">INDEX(#REF!, MATCH(1, (Table14[[#This Row],[year t]]=Table32[[#All],[year t]])*(Table14[[#This Row],[stratum i]]=Table32[[#All],[stratum i]]), 0))</f>
        <v>#REF!</v>
      </c>
      <c r="BF64" s="30"/>
      <c r="BM64" s="18">
        <v>2042</v>
      </c>
      <c r="BN64">
        <v>2</v>
      </c>
      <c r="BO64" t="e" cm="1">
        <f t="array" ref="BO64">INDEX(#REF!, MATCH(1, (Table132926[[#This Row],[year t]]=Table32[year t])*(Table132926[[#This Row],[stratum i]]=Table32[[#All],[stratum i]]), 0))</f>
        <v>#REF!</v>
      </c>
      <c r="BP64" t="e">
        <f>-44/12*Table132926[[#This Row],[∆CBSL-soil,i,t (tC/ha)]]</f>
        <v>#REF!</v>
      </c>
    </row>
    <row r="65" spans="10:68" x14ac:dyDescent="0.2">
      <c r="J65" s="18">
        <v>2043</v>
      </c>
      <c r="K65">
        <v>2</v>
      </c>
      <c r="L65" cm="1">
        <f t="array" ref="L65">INDEX(Table32[[#All],[ΔCTREE_BSL,i,t (AR Tool 14) t C/yr]], MATCH(1, (Table12[[#This Row],[year t]]=Table32[[#All],[year t]])*(Table12[[#This Row],[stratum i]]=Table32[[#All],[stratum i]]), 0))</f>
        <v>0</v>
      </c>
      <c r="M65" cm="1">
        <f t="array" ref="M65">IF(baseline_abground_nontree = "Included", INDEX(#REF!, MATCH(1, (Table12[[#This Row],[year t]]=Table32[[#All],[year t]])*(Table12[[#This Row],[stratum i]]=Table32[[#All],[stratum i]]), 0)), 0)</f>
        <v>0</v>
      </c>
      <c r="N65">
        <f>12/44*(Table12[[#This Row],[ΔCTREE_BSL,i,t (AR Tool 14) t CO2e/yr]]+Table12[[#This Row],[ΔCSHRUB_BSL,i,t (AR Tool 14) t CO2e/yr]])</f>
        <v>0</v>
      </c>
      <c r="O65" cm="1">
        <f t="array" ref="O65">IF(baseline_abground_nontree = "Included", IFERROR(INDEX(Table13[[#All],[ΔCBSL-herb,i,t (Eq 25)]], MATCH(1, (Table12[[#This Row],[stratum i]]=Table13[[#All],[stratum i]])*(Table12[[#This Row],[year t]]&gt;=#REF!)*(Table12[[#This Row],[year t]]&lt;=Table13[[#All],[year t]]), 0)), 0), 0)</f>
        <v>0</v>
      </c>
      <c r="P65">
        <f>Table12[[#This Row],[ΔCBSL-tree/shrub,i,t (t C/yr) (Eq 24)]]+Table12[[#This Row],[ΔCBSL-herb,i,t (t C/yr)]]-Table12[[#This Row],[ΔCBSL-agbiomass,i,t; t C yr-1 (submergence)]]</f>
        <v>0</v>
      </c>
      <c r="Q65" cm="1">
        <f t="array" ref="Q65">IFERROR(INDEX(Table14[[#All],[GHGBSL-soil,i,t (Eq 26)]], MATCH(1, (Table12[[#This Row],[year t]]=Table14[[#All],[year t]])*(Table12[[#This Row],[stratum i]]=Table14[[#All],[stratum i]]), 0)), 0)</f>
        <v>0</v>
      </c>
      <c r="R65">
        <f>IF(baseline_ff_CO2 = "Included", Table12[[#This Row],[ET(FC,I,t) AR-Tool 5]], 0)</f>
        <v>0</v>
      </c>
      <c r="S65" t="e" cm="1">
        <f t="array" ref="S65">INDEX(#REF!, MATCH(1, (Table12[[#This Row],[year t]]=Table32[[#All],[year t]])*(Table12[[#This Row],[stratum i]]=Table32[[#All],[stratum i]]), 0))</f>
        <v>#REF!</v>
      </c>
      <c r="T65" cm="1">
        <f t="array" ref="T65">IFERROR(INDEX(Table30[[#All],[ΔCBSL-agbiomass,i,t (equation 22) t C yr-1]], MATCH(1, (Table12[[#This Row],[stratum i]]=Table30[[#All],[Stratum i]])*(Table12[[#This Row],[year t]]&lt;Table30[[#All],[Year of reporting]]), 0)), 0)</f>
        <v>0</v>
      </c>
      <c r="AG65" s="18">
        <v>2043</v>
      </c>
      <c r="AH65">
        <v>2</v>
      </c>
      <c r="AI65" s="49" t="e" cm="1">
        <f t="array" ref="AI65">INDEX(#REF!, MATCH(1, (Table13[[#This Row],[year t]]=Table32[[#All],[year t]])*(Table13[[#This Row],[stratum i]]=Table32[[#All],[stratum i]]), 0))</f>
        <v>#REF!</v>
      </c>
      <c r="AJ65" s="49" t="e">
        <f>Table13[[#This Row],[ΔCBSL-herb,i,t (tC/ha)]]</f>
        <v>#REF!</v>
      </c>
      <c r="AO65" s="18">
        <v>2043</v>
      </c>
      <c r="AP65">
        <v>2</v>
      </c>
      <c r="AQ65" s="18" cm="1">
        <f t="array" ref="AQ65">INDEX(Table32[[#All],[Ai,t]], MATCH(1, (Table14[[#This Row],[year t]]=Table32[[#All],[year t]])*(Table14[[#This Row],[stratum i]]=Table32[[#All],[stratum i]]), 0))</f>
        <v>1982.9786785714284</v>
      </c>
      <c r="AR65" t="str">
        <f>IF(AND(INDEX(Table31[[#All],[Soil type (t=0)]], MATCH(Table14[[#This Row],[stratum i]], Table31[[#All],[Stratum i]]))="Peat soil", Table14[[#This Row],[year t]]&lt;=Table14[[#This Row],[End_PDT]]), "Peat soil", "Non-peat soil")</f>
        <v>Non-peat soil</v>
      </c>
      <c r="AS65">
        <f>IF(Emission_reduction_from_stock_loss?, INDEX(Table2[[#All],[End_PDT]], MATCH(Table14[[#This Row],[stratum i]], Table2[[#All],[stratum i]])), crediting_period)</f>
        <v>40</v>
      </c>
      <c r="AT65">
        <f>IF(Emission_reduction_from_stock_loss?, INDEX(Table2[[#All],[End_SDT]], MATCH(Table14[[#This Row],[stratum i]], Table2[[#All],[stratum i]])), crediting_period)</f>
        <v>40</v>
      </c>
      <c r="AU65" cm="1">
        <f t="array" ref="AU6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5" t="e" cm="1">
        <f t="array" ref="AV65">INDEX(#REF!, MATCH(1, (Table14[[#This Row],[year t]]=Table32[[#All],[year t]])*(Table14[[#This Row],[stratum i]]=Table32[[#All],[stratum i]]), 0))</f>
        <v>#REF!</v>
      </c>
      <c r="AW6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5" s="57">
        <f>(Table14[[#This Row],[GHGBSL-soil-CO2,i,t (Eq 27)]]-Table14[[#This Row],[Deductionalloch (Eq 38)]])*Table14[[#This Row],[Ai,t]]</f>
        <v>0</v>
      </c>
      <c r="AY65" cm="1">
        <f t="array" ref="AY65">IF(baseline_soil_CH4 = "Included", INDEX(Table18[[#All],[GHGBSL-soil-CH4,i,t (Eq 59)]], MATCH(1, (Table14[[#This Row],[year t]]=Table18[[#All],[year t]])*(Table14[[#This Row],[stratum i]]=Table18[[#All],[stratum i]]), 0)), 0)</f>
        <v>0</v>
      </c>
      <c r="AZ65" cm="1">
        <f t="array" ref="AZ65">IF(baseline_soil_N2O = "Included", INDEX(Table18[[#All],[GHGBSL-soil-N2O,i,t (Eq 62)]], MATCH(1, (Table14[[#This Row],[year t]]=Table18[[#All],[year t]])*(Table14[[#This Row],[stratum i]]=Table18[[#All],[stratum i]]), 0)), 0)</f>
        <v>0</v>
      </c>
      <c r="BA65">
        <f>IF(AND(Table14[[#This Row],[year t]]&gt;Table14[[#This Row],[End_PDT]],Table14[[#This Row],[year t]]&gt;Table14[[#This Row],[End_SDT]]), 0, Table14[[#This Row],[Ai,t]]*(Table14[[#This Row],[GHGBSL-soil-CO2,i,t (Eq 27)]]-Table14[[#This Row],[Deductionalloch (Eq 38)]]+Table14[[#This Row],[GHGBSL-soil-CH4,i,t]]+Table14[[#This Row],[GHGBSL-soil-N2O,i,t]]))</f>
        <v>0</v>
      </c>
      <c r="BB65" t="e" cm="1">
        <f t="array" ref="BB65">INDEX(#REF!, MATCH(1, (Table14[[#This Row],[year t]]=Table32[[#All],[year t]])*(Table14[[#This Row],[stratum i]]=Table32[[#All],[stratum i]]), 0))</f>
        <v>#REF!</v>
      </c>
      <c r="BC65" t="e" cm="1">
        <f t="array" ref="BC65">INDEX(#REF!, MATCH(1, (Table14[[#This Row],[year t]]=Table32[[#All],[year t]])*(Table14[[#This Row],[stratum i]]=Table32[[#All],[stratum i]]), 0))</f>
        <v>#REF!</v>
      </c>
      <c r="BD65" t="e" cm="1">
        <f t="array" ref="BD65">INDEX(#REF!, MATCH(1, (Table14[[#This Row],[year t]]=Table32[[#All],[year t]])*(Table14[[#This Row],[stratum i]]=Table32[[#All],[stratum i]]), 0))</f>
        <v>#REF!</v>
      </c>
      <c r="BE65" t="e" cm="1">
        <f t="array" ref="BE65">INDEX(#REF!, MATCH(1, (Table14[[#This Row],[year t]]=Table32[[#All],[year t]])*(Table14[[#This Row],[stratum i]]=Table32[[#All],[stratum i]]), 0))</f>
        <v>#REF!</v>
      </c>
      <c r="BF65" s="30"/>
      <c r="BM65" s="18">
        <v>2043</v>
      </c>
      <c r="BN65">
        <v>2</v>
      </c>
      <c r="BO65" t="e" cm="1">
        <f t="array" ref="BO65">INDEX(#REF!, MATCH(1, (Table132926[[#This Row],[year t]]=Table32[year t])*(Table132926[[#This Row],[stratum i]]=Table32[[#All],[stratum i]]), 0))</f>
        <v>#REF!</v>
      </c>
      <c r="BP65" t="e">
        <f>-44/12*Table132926[[#This Row],[∆CBSL-soil,i,t (tC/ha)]]</f>
        <v>#REF!</v>
      </c>
    </row>
    <row r="66" spans="10:68" x14ac:dyDescent="0.2">
      <c r="J66" s="18">
        <v>2044</v>
      </c>
      <c r="K66">
        <v>2</v>
      </c>
      <c r="L66" cm="1">
        <f t="array" ref="L66">INDEX(Table32[[#All],[ΔCTREE_BSL,i,t (AR Tool 14) t C/yr]], MATCH(1, (Table12[[#This Row],[year t]]=Table32[[#All],[year t]])*(Table12[[#This Row],[stratum i]]=Table32[[#All],[stratum i]]), 0))</f>
        <v>0</v>
      </c>
      <c r="M66" cm="1">
        <f t="array" ref="M66">IF(baseline_abground_nontree = "Included", INDEX(#REF!, MATCH(1, (Table12[[#This Row],[year t]]=Table32[[#All],[year t]])*(Table12[[#This Row],[stratum i]]=Table32[[#All],[stratum i]]), 0)), 0)</f>
        <v>0</v>
      </c>
      <c r="N66">
        <f>12/44*(Table12[[#This Row],[ΔCTREE_BSL,i,t (AR Tool 14) t CO2e/yr]]+Table12[[#This Row],[ΔCSHRUB_BSL,i,t (AR Tool 14) t CO2e/yr]])</f>
        <v>0</v>
      </c>
      <c r="O66" cm="1">
        <f t="array" ref="O66">IF(baseline_abground_nontree = "Included", IFERROR(INDEX(Table13[[#All],[ΔCBSL-herb,i,t (Eq 25)]], MATCH(1, (Table12[[#This Row],[stratum i]]=Table13[[#All],[stratum i]])*(Table12[[#This Row],[year t]]&gt;=#REF!)*(Table12[[#This Row],[year t]]&lt;=Table13[[#All],[year t]]), 0)), 0), 0)</f>
        <v>0</v>
      </c>
      <c r="P66">
        <f>Table12[[#This Row],[ΔCBSL-tree/shrub,i,t (t C/yr) (Eq 24)]]+Table12[[#This Row],[ΔCBSL-herb,i,t (t C/yr)]]-Table12[[#This Row],[ΔCBSL-agbiomass,i,t; t C yr-1 (submergence)]]</f>
        <v>0</v>
      </c>
      <c r="Q66" cm="1">
        <f t="array" ref="Q66">IFERROR(INDEX(Table14[[#All],[GHGBSL-soil,i,t (Eq 26)]], MATCH(1, (Table12[[#This Row],[year t]]=Table14[[#All],[year t]])*(Table12[[#This Row],[stratum i]]=Table14[[#All],[stratum i]]), 0)), 0)</f>
        <v>0</v>
      </c>
      <c r="R66">
        <f>IF(baseline_ff_CO2 = "Included", Table12[[#This Row],[ET(FC,I,t) AR-Tool 5]], 0)</f>
        <v>0</v>
      </c>
      <c r="S66" t="e" cm="1">
        <f t="array" ref="S66">INDEX(#REF!, MATCH(1, (Table12[[#This Row],[year t]]=Table32[[#All],[year t]])*(Table12[[#This Row],[stratum i]]=Table32[[#All],[stratum i]]), 0))</f>
        <v>#REF!</v>
      </c>
      <c r="T66" cm="1">
        <f t="array" ref="T66">IFERROR(INDEX(Table30[[#All],[ΔCBSL-agbiomass,i,t (equation 22) t C yr-1]], MATCH(1, (Table12[[#This Row],[stratum i]]=Table30[[#All],[Stratum i]])*(Table12[[#This Row],[year t]]&lt;Table30[[#All],[Year of reporting]]), 0)), 0)</f>
        <v>0</v>
      </c>
      <c r="AG66" s="18">
        <v>2044</v>
      </c>
      <c r="AH66">
        <v>2</v>
      </c>
      <c r="AI66" s="49" t="e" cm="1">
        <f t="array" ref="AI66">INDEX(#REF!, MATCH(1, (Table13[[#This Row],[year t]]=Table32[[#All],[year t]])*(Table13[[#This Row],[stratum i]]=Table32[[#All],[stratum i]]), 0))</f>
        <v>#REF!</v>
      </c>
      <c r="AJ66" s="49" t="e">
        <f>Table13[[#This Row],[ΔCBSL-herb,i,t (tC/ha)]]</f>
        <v>#REF!</v>
      </c>
      <c r="AO66" s="18">
        <v>2044</v>
      </c>
      <c r="AP66">
        <v>2</v>
      </c>
      <c r="AQ66" s="18" cm="1">
        <f t="array" ref="AQ66">INDEX(Table32[[#All],[Ai,t]], MATCH(1, (Table14[[#This Row],[year t]]=Table32[[#All],[year t]])*(Table14[[#This Row],[stratum i]]=Table32[[#All],[stratum i]]), 0))</f>
        <v>1982.9786785714284</v>
      </c>
      <c r="AR66" t="str">
        <f>IF(AND(INDEX(Table31[[#All],[Soil type (t=0)]], MATCH(Table14[[#This Row],[stratum i]], Table31[[#All],[Stratum i]]))="Peat soil", Table14[[#This Row],[year t]]&lt;=Table14[[#This Row],[End_PDT]]), "Peat soil", "Non-peat soil")</f>
        <v>Non-peat soil</v>
      </c>
      <c r="AS66">
        <f>IF(Emission_reduction_from_stock_loss?, INDEX(Table2[[#All],[End_PDT]], MATCH(Table14[[#This Row],[stratum i]], Table2[[#All],[stratum i]])), crediting_period)</f>
        <v>40</v>
      </c>
      <c r="AT66">
        <f>IF(Emission_reduction_from_stock_loss?, INDEX(Table2[[#All],[End_SDT]], MATCH(Table14[[#This Row],[stratum i]], Table2[[#All],[stratum i]])), crediting_period)</f>
        <v>40</v>
      </c>
      <c r="AU66" cm="1">
        <f t="array" ref="AU6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6" t="e" cm="1">
        <f t="array" ref="AV66">INDEX(#REF!, MATCH(1, (Table14[[#This Row],[year t]]=Table32[[#All],[year t]])*(Table14[[#This Row],[stratum i]]=Table32[[#All],[stratum i]]), 0))</f>
        <v>#REF!</v>
      </c>
      <c r="AW6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6" s="57">
        <f>(Table14[[#This Row],[GHGBSL-soil-CO2,i,t (Eq 27)]]-Table14[[#This Row],[Deductionalloch (Eq 38)]])*Table14[[#This Row],[Ai,t]]</f>
        <v>0</v>
      </c>
      <c r="AY66" cm="1">
        <f t="array" ref="AY66">IF(baseline_soil_CH4 = "Included", INDEX(Table18[[#All],[GHGBSL-soil-CH4,i,t (Eq 59)]], MATCH(1, (Table14[[#This Row],[year t]]=Table18[[#All],[year t]])*(Table14[[#This Row],[stratum i]]=Table18[[#All],[stratum i]]), 0)), 0)</f>
        <v>0</v>
      </c>
      <c r="AZ66" cm="1">
        <f t="array" ref="AZ66">IF(baseline_soil_N2O = "Included", INDEX(Table18[[#All],[GHGBSL-soil-N2O,i,t (Eq 62)]], MATCH(1, (Table14[[#This Row],[year t]]=Table18[[#All],[year t]])*(Table14[[#This Row],[stratum i]]=Table18[[#All],[stratum i]]), 0)), 0)</f>
        <v>0</v>
      </c>
      <c r="BA66">
        <f>IF(AND(Table14[[#This Row],[year t]]&gt;Table14[[#This Row],[End_PDT]],Table14[[#This Row],[year t]]&gt;Table14[[#This Row],[End_SDT]]), 0, Table14[[#This Row],[Ai,t]]*(Table14[[#This Row],[GHGBSL-soil-CO2,i,t (Eq 27)]]-Table14[[#This Row],[Deductionalloch (Eq 38)]]+Table14[[#This Row],[GHGBSL-soil-CH4,i,t]]+Table14[[#This Row],[GHGBSL-soil-N2O,i,t]]))</f>
        <v>0</v>
      </c>
      <c r="BB66" t="e" cm="1">
        <f t="array" ref="BB66">INDEX(#REF!, MATCH(1, (Table14[[#This Row],[year t]]=Table32[[#All],[year t]])*(Table14[[#This Row],[stratum i]]=Table32[[#All],[stratum i]]), 0))</f>
        <v>#REF!</v>
      </c>
      <c r="BC66" t="e" cm="1">
        <f t="array" ref="BC66">INDEX(#REF!, MATCH(1, (Table14[[#This Row],[year t]]=Table32[[#All],[year t]])*(Table14[[#This Row],[stratum i]]=Table32[[#All],[stratum i]]), 0))</f>
        <v>#REF!</v>
      </c>
      <c r="BD66" t="e" cm="1">
        <f t="array" ref="BD66">INDEX(#REF!, MATCH(1, (Table14[[#This Row],[year t]]=Table32[[#All],[year t]])*(Table14[[#This Row],[stratum i]]=Table32[[#All],[stratum i]]), 0))</f>
        <v>#REF!</v>
      </c>
      <c r="BE66" t="e" cm="1">
        <f t="array" ref="BE66">INDEX(#REF!, MATCH(1, (Table14[[#This Row],[year t]]=Table32[[#All],[year t]])*(Table14[[#This Row],[stratum i]]=Table32[[#All],[stratum i]]), 0))</f>
        <v>#REF!</v>
      </c>
      <c r="BF66" s="30"/>
      <c r="BM66" s="18">
        <v>2044</v>
      </c>
      <c r="BN66">
        <v>2</v>
      </c>
      <c r="BO66" t="e" cm="1">
        <f t="array" ref="BO66">INDEX(#REF!, MATCH(1, (Table132926[[#This Row],[year t]]=Table32[year t])*(Table132926[[#This Row],[stratum i]]=Table32[[#All],[stratum i]]), 0))</f>
        <v>#REF!</v>
      </c>
      <c r="BP66" t="e">
        <f>-44/12*Table132926[[#This Row],[∆CBSL-soil,i,t (tC/ha)]]</f>
        <v>#REF!</v>
      </c>
    </row>
    <row r="67" spans="10:68" x14ac:dyDescent="0.2">
      <c r="J67" s="18">
        <v>2045</v>
      </c>
      <c r="K67">
        <v>2</v>
      </c>
      <c r="L67" cm="1">
        <f t="array" ref="L67">INDEX(Table32[[#All],[ΔCTREE_BSL,i,t (AR Tool 14) t C/yr]], MATCH(1, (Table12[[#This Row],[year t]]=Table32[[#All],[year t]])*(Table12[[#This Row],[stratum i]]=Table32[[#All],[stratum i]]), 0))</f>
        <v>0</v>
      </c>
      <c r="M67" cm="1">
        <f t="array" ref="M67">IF(baseline_abground_nontree = "Included", INDEX(#REF!, MATCH(1, (Table12[[#This Row],[year t]]=Table32[[#All],[year t]])*(Table12[[#This Row],[stratum i]]=Table32[[#All],[stratum i]]), 0)), 0)</f>
        <v>0</v>
      </c>
      <c r="N67">
        <f>12/44*(Table12[[#This Row],[ΔCTREE_BSL,i,t (AR Tool 14) t CO2e/yr]]+Table12[[#This Row],[ΔCSHRUB_BSL,i,t (AR Tool 14) t CO2e/yr]])</f>
        <v>0</v>
      </c>
      <c r="O67" cm="1">
        <f t="array" ref="O67">IF(baseline_abground_nontree = "Included", IFERROR(INDEX(Table13[[#All],[ΔCBSL-herb,i,t (Eq 25)]], MATCH(1, (Table12[[#This Row],[stratum i]]=Table13[[#All],[stratum i]])*(Table12[[#This Row],[year t]]&gt;=#REF!)*(Table12[[#This Row],[year t]]&lt;=Table13[[#All],[year t]]), 0)), 0), 0)</f>
        <v>0</v>
      </c>
      <c r="P67">
        <f>Table12[[#This Row],[ΔCBSL-tree/shrub,i,t (t C/yr) (Eq 24)]]+Table12[[#This Row],[ΔCBSL-herb,i,t (t C/yr)]]-Table12[[#This Row],[ΔCBSL-agbiomass,i,t; t C yr-1 (submergence)]]</f>
        <v>0</v>
      </c>
      <c r="Q67" cm="1">
        <f t="array" ref="Q67">IFERROR(INDEX(Table14[[#All],[GHGBSL-soil,i,t (Eq 26)]], MATCH(1, (Table12[[#This Row],[year t]]=Table14[[#All],[year t]])*(Table12[[#This Row],[stratum i]]=Table14[[#All],[stratum i]]), 0)), 0)</f>
        <v>0</v>
      </c>
      <c r="R67">
        <f>IF(baseline_ff_CO2 = "Included", Table12[[#This Row],[ET(FC,I,t) AR-Tool 5]], 0)</f>
        <v>0</v>
      </c>
      <c r="S67" t="e" cm="1">
        <f t="array" ref="S67">INDEX(#REF!, MATCH(1, (Table12[[#This Row],[year t]]=Table32[[#All],[year t]])*(Table12[[#This Row],[stratum i]]=Table32[[#All],[stratum i]]), 0))</f>
        <v>#REF!</v>
      </c>
      <c r="T67" cm="1">
        <f t="array" ref="T67">IFERROR(INDEX(Table30[[#All],[ΔCBSL-agbiomass,i,t (equation 22) t C yr-1]], MATCH(1, (Table12[[#This Row],[stratum i]]=Table30[[#All],[Stratum i]])*(Table12[[#This Row],[year t]]&lt;Table30[[#All],[Year of reporting]]), 0)), 0)</f>
        <v>0</v>
      </c>
      <c r="AG67" s="18">
        <v>2045</v>
      </c>
      <c r="AH67">
        <v>2</v>
      </c>
      <c r="AI67" s="49" t="e" cm="1">
        <f t="array" ref="AI67">INDEX(#REF!, MATCH(1, (Table13[[#This Row],[year t]]=Table32[[#All],[year t]])*(Table13[[#This Row],[stratum i]]=Table32[[#All],[stratum i]]), 0))</f>
        <v>#REF!</v>
      </c>
      <c r="AJ67" s="49" t="e">
        <f>Table13[[#This Row],[ΔCBSL-herb,i,t (tC/ha)]]</f>
        <v>#REF!</v>
      </c>
      <c r="AO67" s="18">
        <v>2045</v>
      </c>
      <c r="AP67">
        <v>2</v>
      </c>
      <c r="AQ67" s="18" cm="1">
        <f t="array" ref="AQ67">INDEX(Table32[[#All],[Ai,t]], MATCH(1, (Table14[[#This Row],[year t]]=Table32[[#All],[year t]])*(Table14[[#This Row],[stratum i]]=Table32[[#All],[stratum i]]), 0))</f>
        <v>1982.9786785714284</v>
      </c>
      <c r="AR67" t="str">
        <f>IF(AND(INDEX(Table31[[#All],[Soil type (t=0)]], MATCH(Table14[[#This Row],[stratum i]], Table31[[#All],[Stratum i]]))="Peat soil", Table14[[#This Row],[year t]]&lt;=Table14[[#This Row],[End_PDT]]), "Peat soil", "Non-peat soil")</f>
        <v>Non-peat soil</v>
      </c>
      <c r="AS67">
        <f>IF(Emission_reduction_from_stock_loss?, INDEX(Table2[[#All],[End_PDT]], MATCH(Table14[[#This Row],[stratum i]], Table2[[#All],[stratum i]])), crediting_period)</f>
        <v>40</v>
      </c>
      <c r="AT67">
        <f>IF(Emission_reduction_from_stock_loss?, INDEX(Table2[[#All],[End_SDT]], MATCH(Table14[[#This Row],[stratum i]], Table2[[#All],[stratum i]])), crediting_period)</f>
        <v>40</v>
      </c>
      <c r="AU67" cm="1">
        <f t="array" ref="AU6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7" t="e" cm="1">
        <f t="array" ref="AV67">INDEX(#REF!, MATCH(1, (Table14[[#This Row],[year t]]=Table32[[#All],[year t]])*(Table14[[#This Row],[stratum i]]=Table32[[#All],[stratum i]]), 0))</f>
        <v>#REF!</v>
      </c>
      <c r="AW6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7" s="57">
        <f>(Table14[[#This Row],[GHGBSL-soil-CO2,i,t (Eq 27)]]-Table14[[#This Row],[Deductionalloch (Eq 38)]])*Table14[[#This Row],[Ai,t]]</f>
        <v>0</v>
      </c>
      <c r="AY67" cm="1">
        <f t="array" ref="AY67">IF(baseline_soil_CH4 = "Included", INDEX(Table18[[#All],[GHGBSL-soil-CH4,i,t (Eq 59)]], MATCH(1, (Table14[[#This Row],[year t]]=Table18[[#All],[year t]])*(Table14[[#This Row],[stratum i]]=Table18[[#All],[stratum i]]), 0)), 0)</f>
        <v>0</v>
      </c>
      <c r="AZ67" cm="1">
        <f t="array" ref="AZ67">IF(baseline_soil_N2O = "Included", INDEX(Table18[[#All],[GHGBSL-soil-N2O,i,t (Eq 62)]], MATCH(1, (Table14[[#This Row],[year t]]=Table18[[#All],[year t]])*(Table14[[#This Row],[stratum i]]=Table18[[#All],[stratum i]]), 0)), 0)</f>
        <v>0</v>
      </c>
      <c r="BA67">
        <f>IF(AND(Table14[[#This Row],[year t]]&gt;Table14[[#This Row],[End_PDT]],Table14[[#This Row],[year t]]&gt;Table14[[#This Row],[End_SDT]]), 0, Table14[[#This Row],[Ai,t]]*(Table14[[#This Row],[GHGBSL-soil-CO2,i,t (Eq 27)]]-Table14[[#This Row],[Deductionalloch (Eq 38)]]+Table14[[#This Row],[GHGBSL-soil-CH4,i,t]]+Table14[[#This Row],[GHGBSL-soil-N2O,i,t]]))</f>
        <v>0</v>
      </c>
      <c r="BB67" t="e" cm="1">
        <f t="array" ref="BB67">INDEX(#REF!, MATCH(1, (Table14[[#This Row],[year t]]=Table32[[#All],[year t]])*(Table14[[#This Row],[stratum i]]=Table32[[#All],[stratum i]]), 0))</f>
        <v>#REF!</v>
      </c>
      <c r="BC67" t="e" cm="1">
        <f t="array" ref="BC67">INDEX(#REF!, MATCH(1, (Table14[[#This Row],[year t]]=Table32[[#All],[year t]])*(Table14[[#This Row],[stratum i]]=Table32[[#All],[stratum i]]), 0))</f>
        <v>#REF!</v>
      </c>
      <c r="BD67" t="e" cm="1">
        <f t="array" ref="BD67">INDEX(#REF!, MATCH(1, (Table14[[#This Row],[year t]]=Table32[[#All],[year t]])*(Table14[[#This Row],[stratum i]]=Table32[[#All],[stratum i]]), 0))</f>
        <v>#REF!</v>
      </c>
      <c r="BE67" t="e" cm="1">
        <f t="array" ref="BE67">INDEX(#REF!, MATCH(1, (Table14[[#This Row],[year t]]=Table32[[#All],[year t]])*(Table14[[#This Row],[stratum i]]=Table32[[#All],[stratum i]]), 0))</f>
        <v>#REF!</v>
      </c>
      <c r="BF67" s="30"/>
      <c r="BM67" s="18">
        <v>2045</v>
      </c>
      <c r="BN67">
        <v>2</v>
      </c>
      <c r="BO67" t="e" cm="1">
        <f t="array" ref="BO67">INDEX(#REF!, MATCH(1, (Table132926[[#This Row],[year t]]=Table32[year t])*(Table132926[[#This Row],[stratum i]]=Table32[[#All],[stratum i]]), 0))</f>
        <v>#REF!</v>
      </c>
      <c r="BP67" t="e">
        <f>-44/12*Table132926[[#This Row],[∆CBSL-soil,i,t (tC/ha)]]</f>
        <v>#REF!</v>
      </c>
    </row>
    <row r="68" spans="10:68" x14ac:dyDescent="0.2">
      <c r="J68" s="18">
        <v>2046</v>
      </c>
      <c r="K68">
        <v>2</v>
      </c>
      <c r="L68" cm="1">
        <f t="array" ref="L68">INDEX(Table32[[#All],[ΔCTREE_BSL,i,t (AR Tool 14) t C/yr]], MATCH(1, (Table12[[#This Row],[year t]]=Table32[[#All],[year t]])*(Table12[[#This Row],[stratum i]]=Table32[[#All],[stratum i]]), 0))</f>
        <v>0</v>
      </c>
      <c r="M68" cm="1">
        <f t="array" ref="M68">IF(baseline_abground_nontree = "Included", INDEX(#REF!, MATCH(1, (Table12[[#This Row],[year t]]=Table32[[#All],[year t]])*(Table12[[#This Row],[stratum i]]=Table32[[#All],[stratum i]]), 0)), 0)</f>
        <v>0</v>
      </c>
      <c r="N68">
        <f>12/44*(Table12[[#This Row],[ΔCTREE_BSL,i,t (AR Tool 14) t CO2e/yr]]+Table12[[#This Row],[ΔCSHRUB_BSL,i,t (AR Tool 14) t CO2e/yr]])</f>
        <v>0</v>
      </c>
      <c r="O68" cm="1">
        <f t="array" ref="O68">IF(baseline_abground_nontree = "Included", IFERROR(INDEX(Table13[[#All],[ΔCBSL-herb,i,t (Eq 25)]], MATCH(1, (Table12[[#This Row],[stratum i]]=Table13[[#All],[stratum i]])*(Table12[[#This Row],[year t]]&gt;=#REF!)*(Table12[[#This Row],[year t]]&lt;=Table13[[#All],[year t]]), 0)), 0), 0)</f>
        <v>0</v>
      </c>
      <c r="P68">
        <f>Table12[[#This Row],[ΔCBSL-tree/shrub,i,t (t C/yr) (Eq 24)]]+Table12[[#This Row],[ΔCBSL-herb,i,t (t C/yr)]]-Table12[[#This Row],[ΔCBSL-agbiomass,i,t; t C yr-1 (submergence)]]</f>
        <v>0</v>
      </c>
      <c r="Q68" cm="1">
        <f t="array" ref="Q68">IFERROR(INDEX(Table14[[#All],[GHGBSL-soil,i,t (Eq 26)]], MATCH(1, (Table12[[#This Row],[year t]]=Table14[[#All],[year t]])*(Table12[[#This Row],[stratum i]]=Table14[[#All],[stratum i]]), 0)), 0)</f>
        <v>0</v>
      </c>
      <c r="R68">
        <f>IF(baseline_ff_CO2 = "Included", Table12[[#This Row],[ET(FC,I,t) AR-Tool 5]], 0)</f>
        <v>0</v>
      </c>
      <c r="S68" t="e" cm="1">
        <f t="array" ref="S68">INDEX(#REF!, MATCH(1, (Table12[[#This Row],[year t]]=Table32[[#All],[year t]])*(Table12[[#This Row],[stratum i]]=Table32[[#All],[stratum i]]), 0))</f>
        <v>#REF!</v>
      </c>
      <c r="T68" cm="1">
        <f t="array" ref="T68">IFERROR(INDEX(Table30[[#All],[ΔCBSL-agbiomass,i,t (equation 22) t C yr-1]], MATCH(1, (Table12[[#This Row],[stratum i]]=Table30[[#All],[Stratum i]])*(Table12[[#This Row],[year t]]&lt;Table30[[#All],[Year of reporting]]), 0)), 0)</f>
        <v>0</v>
      </c>
      <c r="AG68" s="18">
        <v>2046</v>
      </c>
      <c r="AH68">
        <v>2</v>
      </c>
      <c r="AI68" s="49" t="e" cm="1">
        <f t="array" ref="AI68">INDEX(#REF!, MATCH(1, (Table13[[#This Row],[year t]]=Table32[[#All],[year t]])*(Table13[[#This Row],[stratum i]]=Table32[[#All],[stratum i]]), 0))</f>
        <v>#REF!</v>
      </c>
      <c r="AJ68" s="49" t="e">
        <f>Table13[[#This Row],[ΔCBSL-herb,i,t (tC/ha)]]</f>
        <v>#REF!</v>
      </c>
      <c r="AO68" s="18">
        <v>2046</v>
      </c>
      <c r="AP68">
        <v>2</v>
      </c>
      <c r="AQ68" s="18" cm="1">
        <f t="array" ref="AQ68">INDEX(Table32[[#All],[Ai,t]], MATCH(1, (Table14[[#This Row],[year t]]=Table32[[#All],[year t]])*(Table14[[#This Row],[stratum i]]=Table32[[#All],[stratum i]]), 0))</f>
        <v>1982.9786785714284</v>
      </c>
      <c r="AR68" t="str">
        <f>IF(AND(INDEX(Table31[[#All],[Soil type (t=0)]], MATCH(Table14[[#This Row],[stratum i]], Table31[[#All],[Stratum i]]))="Peat soil", Table14[[#This Row],[year t]]&lt;=Table14[[#This Row],[End_PDT]]), "Peat soil", "Non-peat soil")</f>
        <v>Non-peat soil</v>
      </c>
      <c r="AS68">
        <f>IF(Emission_reduction_from_stock_loss?, INDEX(Table2[[#All],[End_PDT]], MATCH(Table14[[#This Row],[stratum i]], Table2[[#All],[stratum i]])), crediting_period)</f>
        <v>40</v>
      </c>
      <c r="AT68">
        <f>IF(Emission_reduction_from_stock_loss?, INDEX(Table2[[#All],[End_SDT]], MATCH(Table14[[#This Row],[stratum i]], Table2[[#All],[stratum i]])), crediting_period)</f>
        <v>40</v>
      </c>
      <c r="AU68" cm="1">
        <f t="array" ref="AU6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8" t="e" cm="1">
        <f t="array" ref="AV68">INDEX(#REF!, MATCH(1, (Table14[[#This Row],[year t]]=Table32[[#All],[year t]])*(Table14[[#This Row],[stratum i]]=Table32[[#All],[stratum i]]), 0))</f>
        <v>#REF!</v>
      </c>
      <c r="AW6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8" s="57">
        <f>(Table14[[#This Row],[GHGBSL-soil-CO2,i,t (Eq 27)]]-Table14[[#This Row],[Deductionalloch (Eq 38)]])*Table14[[#This Row],[Ai,t]]</f>
        <v>0</v>
      </c>
      <c r="AY68" cm="1">
        <f t="array" ref="AY68">IF(baseline_soil_CH4 = "Included", INDEX(Table18[[#All],[GHGBSL-soil-CH4,i,t (Eq 59)]], MATCH(1, (Table14[[#This Row],[year t]]=Table18[[#All],[year t]])*(Table14[[#This Row],[stratum i]]=Table18[[#All],[stratum i]]), 0)), 0)</f>
        <v>0</v>
      </c>
      <c r="AZ68" cm="1">
        <f t="array" ref="AZ68">IF(baseline_soil_N2O = "Included", INDEX(Table18[[#All],[GHGBSL-soil-N2O,i,t (Eq 62)]], MATCH(1, (Table14[[#This Row],[year t]]=Table18[[#All],[year t]])*(Table14[[#This Row],[stratum i]]=Table18[[#All],[stratum i]]), 0)), 0)</f>
        <v>0</v>
      </c>
      <c r="BA68">
        <f>IF(AND(Table14[[#This Row],[year t]]&gt;Table14[[#This Row],[End_PDT]],Table14[[#This Row],[year t]]&gt;Table14[[#This Row],[End_SDT]]), 0, Table14[[#This Row],[Ai,t]]*(Table14[[#This Row],[GHGBSL-soil-CO2,i,t (Eq 27)]]-Table14[[#This Row],[Deductionalloch (Eq 38)]]+Table14[[#This Row],[GHGBSL-soil-CH4,i,t]]+Table14[[#This Row],[GHGBSL-soil-N2O,i,t]]))</f>
        <v>0</v>
      </c>
      <c r="BB68" t="e" cm="1">
        <f t="array" ref="BB68">INDEX(#REF!, MATCH(1, (Table14[[#This Row],[year t]]=Table32[[#All],[year t]])*(Table14[[#This Row],[stratum i]]=Table32[[#All],[stratum i]]), 0))</f>
        <v>#REF!</v>
      </c>
      <c r="BC68" t="e" cm="1">
        <f t="array" ref="BC68">INDEX(#REF!, MATCH(1, (Table14[[#This Row],[year t]]=Table32[[#All],[year t]])*(Table14[[#This Row],[stratum i]]=Table32[[#All],[stratum i]]), 0))</f>
        <v>#REF!</v>
      </c>
      <c r="BD68" t="e" cm="1">
        <f t="array" ref="BD68">INDEX(#REF!, MATCH(1, (Table14[[#This Row],[year t]]=Table32[[#All],[year t]])*(Table14[[#This Row],[stratum i]]=Table32[[#All],[stratum i]]), 0))</f>
        <v>#REF!</v>
      </c>
      <c r="BE68" t="e" cm="1">
        <f t="array" ref="BE68">INDEX(#REF!, MATCH(1, (Table14[[#This Row],[year t]]=Table32[[#All],[year t]])*(Table14[[#This Row],[stratum i]]=Table32[[#All],[stratum i]]), 0))</f>
        <v>#REF!</v>
      </c>
      <c r="BF68" s="30"/>
      <c r="BM68" s="18">
        <v>2046</v>
      </c>
      <c r="BN68">
        <v>2</v>
      </c>
      <c r="BO68" t="e" cm="1">
        <f t="array" ref="BO68">INDEX(#REF!, MATCH(1, (Table132926[[#This Row],[year t]]=Table32[year t])*(Table132926[[#This Row],[stratum i]]=Table32[[#All],[stratum i]]), 0))</f>
        <v>#REF!</v>
      </c>
      <c r="BP68" t="e">
        <f>-44/12*Table132926[[#This Row],[∆CBSL-soil,i,t (tC/ha)]]</f>
        <v>#REF!</v>
      </c>
    </row>
    <row r="69" spans="10:68" x14ac:dyDescent="0.2">
      <c r="J69" s="18">
        <v>2047</v>
      </c>
      <c r="K69">
        <v>2</v>
      </c>
      <c r="L69" cm="1">
        <f t="array" ref="L69">INDEX(Table32[[#All],[ΔCTREE_BSL,i,t (AR Tool 14) t C/yr]], MATCH(1, (Table12[[#This Row],[year t]]=Table32[[#All],[year t]])*(Table12[[#This Row],[stratum i]]=Table32[[#All],[stratum i]]), 0))</f>
        <v>0</v>
      </c>
      <c r="M69" cm="1">
        <f t="array" ref="M69">IF(baseline_abground_nontree = "Included", INDEX(#REF!, MATCH(1, (Table12[[#This Row],[year t]]=Table32[[#All],[year t]])*(Table12[[#This Row],[stratum i]]=Table32[[#All],[stratum i]]), 0)), 0)</f>
        <v>0</v>
      </c>
      <c r="N69">
        <f>12/44*(Table12[[#This Row],[ΔCTREE_BSL,i,t (AR Tool 14) t CO2e/yr]]+Table12[[#This Row],[ΔCSHRUB_BSL,i,t (AR Tool 14) t CO2e/yr]])</f>
        <v>0</v>
      </c>
      <c r="O69" cm="1">
        <f t="array" ref="O69">IF(baseline_abground_nontree = "Included", IFERROR(INDEX(Table13[[#All],[ΔCBSL-herb,i,t (Eq 25)]], MATCH(1, (Table12[[#This Row],[stratum i]]=Table13[[#All],[stratum i]])*(Table12[[#This Row],[year t]]&gt;=#REF!)*(Table12[[#This Row],[year t]]&lt;=Table13[[#All],[year t]]), 0)), 0), 0)</f>
        <v>0</v>
      </c>
      <c r="P69">
        <f>Table12[[#This Row],[ΔCBSL-tree/shrub,i,t (t C/yr) (Eq 24)]]+Table12[[#This Row],[ΔCBSL-herb,i,t (t C/yr)]]-Table12[[#This Row],[ΔCBSL-agbiomass,i,t; t C yr-1 (submergence)]]</f>
        <v>0</v>
      </c>
      <c r="Q69" cm="1">
        <f t="array" ref="Q69">IFERROR(INDEX(Table14[[#All],[GHGBSL-soil,i,t (Eq 26)]], MATCH(1, (Table12[[#This Row],[year t]]=Table14[[#All],[year t]])*(Table12[[#This Row],[stratum i]]=Table14[[#All],[stratum i]]), 0)), 0)</f>
        <v>0</v>
      </c>
      <c r="R69">
        <f>IF(baseline_ff_CO2 = "Included", Table12[[#This Row],[ET(FC,I,t) AR-Tool 5]], 0)</f>
        <v>0</v>
      </c>
      <c r="S69" t="e" cm="1">
        <f t="array" ref="S69">INDEX(#REF!, MATCH(1, (Table12[[#This Row],[year t]]=Table32[[#All],[year t]])*(Table12[[#This Row],[stratum i]]=Table32[[#All],[stratum i]]), 0))</f>
        <v>#REF!</v>
      </c>
      <c r="T69" cm="1">
        <f t="array" ref="T69">IFERROR(INDEX(Table30[[#All],[ΔCBSL-agbiomass,i,t (equation 22) t C yr-1]], MATCH(1, (Table12[[#This Row],[stratum i]]=Table30[[#All],[Stratum i]])*(Table12[[#This Row],[year t]]&lt;Table30[[#All],[Year of reporting]]), 0)), 0)</f>
        <v>0</v>
      </c>
      <c r="AG69" s="18">
        <v>2047</v>
      </c>
      <c r="AH69">
        <v>2</v>
      </c>
      <c r="AI69" s="49" t="e" cm="1">
        <f t="array" ref="AI69">INDEX(#REF!, MATCH(1, (Table13[[#This Row],[year t]]=Table32[[#All],[year t]])*(Table13[[#This Row],[stratum i]]=Table32[[#All],[stratum i]]), 0))</f>
        <v>#REF!</v>
      </c>
      <c r="AJ69" s="49" t="e">
        <f>Table13[[#This Row],[ΔCBSL-herb,i,t (tC/ha)]]</f>
        <v>#REF!</v>
      </c>
      <c r="AO69" s="18">
        <v>2047</v>
      </c>
      <c r="AP69">
        <v>2</v>
      </c>
      <c r="AQ69" s="18" cm="1">
        <f t="array" ref="AQ69">INDEX(Table32[[#All],[Ai,t]], MATCH(1, (Table14[[#This Row],[year t]]=Table32[[#All],[year t]])*(Table14[[#This Row],[stratum i]]=Table32[[#All],[stratum i]]), 0))</f>
        <v>1982.9786785714284</v>
      </c>
      <c r="AR69" t="str">
        <f>IF(AND(INDEX(Table31[[#All],[Soil type (t=0)]], MATCH(Table14[[#This Row],[stratum i]], Table31[[#All],[Stratum i]]))="Peat soil", Table14[[#This Row],[year t]]&lt;=Table14[[#This Row],[End_PDT]]), "Peat soil", "Non-peat soil")</f>
        <v>Non-peat soil</v>
      </c>
      <c r="AS69">
        <f>IF(Emission_reduction_from_stock_loss?, INDEX(Table2[[#All],[End_PDT]], MATCH(Table14[[#This Row],[stratum i]], Table2[[#All],[stratum i]])), crediting_period)</f>
        <v>40</v>
      </c>
      <c r="AT69">
        <f>IF(Emission_reduction_from_stock_loss?, INDEX(Table2[[#All],[End_SDT]], MATCH(Table14[[#This Row],[stratum i]], Table2[[#All],[stratum i]])), crediting_period)</f>
        <v>40</v>
      </c>
      <c r="AU69" cm="1">
        <f t="array" ref="AU6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69" t="e" cm="1">
        <f t="array" ref="AV69">INDEX(#REF!, MATCH(1, (Table14[[#This Row],[year t]]=Table32[[#All],[year t]])*(Table14[[#This Row],[stratum i]]=Table32[[#All],[stratum i]]), 0))</f>
        <v>#REF!</v>
      </c>
      <c r="AW6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69" s="57">
        <f>(Table14[[#This Row],[GHGBSL-soil-CO2,i,t (Eq 27)]]-Table14[[#This Row],[Deductionalloch (Eq 38)]])*Table14[[#This Row],[Ai,t]]</f>
        <v>0</v>
      </c>
      <c r="AY69" cm="1">
        <f t="array" ref="AY69">IF(baseline_soil_CH4 = "Included", INDEX(Table18[[#All],[GHGBSL-soil-CH4,i,t (Eq 59)]], MATCH(1, (Table14[[#This Row],[year t]]=Table18[[#All],[year t]])*(Table14[[#This Row],[stratum i]]=Table18[[#All],[stratum i]]), 0)), 0)</f>
        <v>0</v>
      </c>
      <c r="AZ69" cm="1">
        <f t="array" ref="AZ69">IF(baseline_soil_N2O = "Included", INDEX(Table18[[#All],[GHGBSL-soil-N2O,i,t (Eq 62)]], MATCH(1, (Table14[[#This Row],[year t]]=Table18[[#All],[year t]])*(Table14[[#This Row],[stratum i]]=Table18[[#All],[stratum i]]), 0)), 0)</f>
        <v>0</v>
      </c>
      <c r="BA69">
        <f>IF(AND(Table14[[#This Row],[year t]]&gt;Table14[[#This Row],[End_PDT]],Table14[[#This Row],[year t]]&gt;Table14[[#This Row],[End_SDT]]), 0, Table14[[#This Row],[Ai,t]]*(Table14[[#This Row],[GHGBSL-soil-CO2,i,t (Eq 27)]]-Table14[[#This Row],[Deductionalloch (Eq 38)]]+Table14[[#This Row],[GHGBSL-soil-CH4,i,t]]+Table14[[#This Row],[GHGBSL-soil-N2O,i,t]]))</f>
        <v>0</v>
      </c>
      <c r="BB69" t="e" cm="1">
        <f t="array" ref="BB69">INDEX(#REF!, MATCH(1, (Table14[[#This Row],[year t]]=Table32[[#All],[year t]])*(Table14[[#This Row],[stratum i]]=Table32[[#All],[stratum i]]), 0))</f>
        <v>#REF!</v>
      </c>
      <c r="BC69" t="e" cm="1">
        <f t="array" ref="BC69">INDEX(#REF!, MATCH(1, (Table14[[#This Row],[year t]]=Table32[[#All],[year t]])*(Table14[[#This Row],[stratum i]]=Table32[[#All],[stratum i]]), 0))</f>
        <v>#REF!</v>
      </c>
      <c r="BD69" t="e" cm="1">
        <f t="array" ref="BD69">INDEX(#REF!, MATCH(1, (Table14[[#This Row],[year t]]=Table32[[#All],[year t]])*(Table14[[#This Row],[stratum i]]=Table32[[#All],[stratum i]]), 0))</f>
        <v>#REF!</v>
      </c>
      <c r="BE69" t="e" cm="1">
        <f t="array" ref="BE69">INDEX(#REF!, MATCH(1, (Table14[[#This Row],[year t]]=Table32[[#All],[year t]])*(Table14[[#This Row],[stratum i]]=Table32[[#All],[stratum i]]), 0))</f>
        <v>#REF!</v>
      </c>
      <c r="BF69" s="30"/>
      <c r="BM69" s="18">
        <v>2047</v>
      </c>
      <c r="BN69">
        <v>2</v>
      </c>
      <c r="BO69" t="e" cm="1">
        <f t="array" ref="BO69">INDEX(#REF!, MATCH(1, (Table132926[[#This Row],[year t]]=Table32[year t])*(Table132926[[#This Row],[stratum i]]=Table32[[#All],[stratum i]]), 0))</f>
        <v>#REF!</v>
      </c>
      <c r="BP69" t="e">
        <f>-44/12*Table132926[[#This Row],[∆CBSL-soil,i,t (tC/ha)]]</f>
        <v>#REF!</v>
      </c>
    </row>
    <row r="70" spans="10:68" x14ac:dyDescent="0.2">
      <c r="J70" s="18">
        <v>2048</v>
      </c>
      <c r="K70">
        <v>2</v>
      </c>
      <c r="L70" cm="1">
        <f t="array" ref="L70">INDEX(Table32[[#All],[ΔCTREE_BSL,i,t (AR Tool 14) t C/yr]], MATCH(1, (Table12[[#This Row],[year t]]=Table32[[#All],[year t]])*(Table12[[#This Row],[stratum i]]=Table32[[#All],[stratum i]]), 0))</f>
        <v>0</v>
      </c>
      <c r="M70" cm="1">
        <f t="array" ref="M70">IF(baseline_abground_nontree = "Included", INDEX(#REF!, MATCH(1, (Table12[[#This Row],[year t]]=Table32[[#All],[year t]])*(Table12[[#This Row],[stratum i]]=Table32[[#All],[stratum i]]), 0)), 0)</f>
        <v>0</v>
      </c>
      <c r="N70">
        <f>12/44*(Table12[[#This Row],[ΔCTREE_BSL,i,t (AR Tool 14) t CO2e/yr]]+Table12[[#This Row],[ΔCSHRUB_BSL,i,t (AR Tool 14) t CO2e/yr]])</f>
        <v>0</v>
      </c>
      <c r="O70" cm="1">
        <f t="array" ref="O70">IF(baseline_abground_nontree = "Included", IFERROR(INDEX(Table13[[#All],[ΔCBSL-herb,i,t (Eq 25)]], MATCH(1, (Table12[[#This Row],[stratum i]]=Table13[[#All],[stratum i]])*(Table12[[#This Row],[year t]]&gt;=#REF!)*(Table12[[#This Row],[year t]]&lt;=Table13[[#All],[year t]]), 0)), 0), 0)</f>
        <v>0</v>
      </c>
      <c r="P70">
        <f>Table12[[#This Row],[ΔCBSL-tree/shrub,i,t (t C/yr) (Eq 24)]]+Table12[[#This Row],[ΔCBSL-herb,i,t (t C/yr)]]-Table12[[#This Row],[ΔCBSL-agbiomass,i,t; t C yr-1 (submergence)]]</f>
        <v>0</v>
      </c>
      <c r="Q70" cm="1">
        <f t="array" ref="Q70">IFERROR(INDEX(Table14[[#All],[GHGBSL-soil,i,t (Eq 26)]], MATCH(1, (Table12[[#This Row],[year t]]=Table14[[#All],[year t]])*(Table12[[#This Row],[stratum i]]=Table14[[#All],[stratum i]]), 0)), 0)</f>
        <v>0</v>
      </c>
      <c r="R70">
        <f>IF(baseline_ff_CO2 = "Included", Table12[[#This Row],[ET(FC,I,t) AR-Tool 5]], 0)</f>
        <v>0</v>
      </c>
      <c r="S70" t="e" cm="1">
        <f t="array" ref="S70">INDEX(#REF!, MATCH(1, (Table12[[#This Row],[year t]]=Table32[[#All],[year t]])*(Table12[[#This Row],[stratum i]]=Table32[[#All],[stratum i]]), 0))</f>
        <v>#REF!</v>
      </c>
      <c r="T70" cm="1">
        <f t="array" ref="T70">IFERROR(INDEX(Table30[[#All],[ΔCBSL-agbiomass,i,t (equation 22) t C yr-1]], MATCH(1, (Table12[[#This Row],[stratum i]]=Table30[[#All],[Stratum i]])*(Table12[[#This Row],[year t]]&lt;Table30[[#All],[Year of reporting]]), 0)), 0)</f>
        <v>0</v>
      </c>
      <c r="AG70" s="18">
        <v>2048</v>
      </c>
      <c r="AH70">
        <v>2</v>
      </c>
      <c r="AI70" s="49" t="e" cm="1">
        <f t="array" ref="AI70">INDEX(#REF!, MATCH(1, (Table13[[#This Row],[year t]]=Table32[[#All],[year t]])*(Table13[[#This Row],[stratum i]]=Table32[[#All],[stratum i]]), 0))</f>
        <v>#REF!</v>
      </c>
      <c r="AJ70" s="49" t="e">
        <f>Table13[[#This Row],[ΔCBSL-herb,i,t (tC/ha)]]</f>
        <v>#REF!</v>
      </c>
      <c r="AO70" s="18">
        <v>2048</v>
      </c>
      <c r="AP70">
        <v>2</v>
      </c>
      <c r="AQ70" s="18" cm="1">
        <f t="array" ref="AQ70">INDEX(Table32[[#All],[Ai,t]], MATCH(1, (Table14[[#This Row],[year t]]=Table32[[#All],[year t]])*(Table14[[#This Row],[stratum i]]=Table32[[#All],[stratum i]]), 0))</f>
        <v>1982.9786785714284</v>
      </c>
      <c r="AR70" t="str">
        <f>IF(AND(INDEX(Table31[[#All],[Soil type (t=0)]], MATCH(Table14[[#This Row],[stratum i]], Table31[[#All],[Stratum i]]))="Peat soil", Table14[[#This Row],[year t]]&lt;=Table14[[#This Row],[End_PDT]]), "Peat soil", "Non-peat soil")</f>
        <v>Non-peat soil</v>
      </c>
      <c r="AS70">
        <f>IF(Emission_reduction_from_stock_loss?, INDEX(Table2[[#All],[End_PDT]], MATCH(Table14[[#This Row],[stratum i]], Table2[[#All],[stratum i]])), crediting_period)</f>
        <v>40</v>
      </c>
      <c r="AT70">
        <f>IF(Emission_reduction_from_stock_loss?, INDEX(Table2[[#All],[End_SDT]], MATCH(Table14[[#This Row],[stratum i]], Table2[[#All],[stratum i]])), crediting_period)</f>
        <v>40</v>
      </c>
      <c r="AU70" cm="1">
        <f t="array" ref="AU7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0" t="e" cm="1">
        <f t="array" ref="AV70">INDEX(#REF!, MATCH(1, (Table14[[#This Row],[year t]]=Table32[[#All],[year t]])*(Table14[[#This Row],[stratum i]]=Table32[[#All],[stratum i]]), 0))</f>
        <v>#REF!</v>
      </c>
      <c r="AW7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0" s="57">
        <f>(Table14[[#This Row],[GHGBSL-soil-CO2,i,t (Eq 27)]]-Table14[[#This Row],[Deductionalloch (Eq 38)]])*Table14[[#This Row],[Ai,t]]</f>
        <v>0</v>
      </c>
      <c r="AY70" cm="1">
        <f t="array" ref="AY70">IF(baseline_soil_CH4 = "Included", INDEX(Table18[[#All],[GHGBSL-soil-CH4,i,t (Eq 59)]], MATCH(1, (Table14[[#This Row],[year t]]=Table18[[#All],[year t]])*(Table14[[#This Row],[stratum i]]=Table18[[#All],[stratum i]]), 0)), 0)</f>
        <v>0</v>
      </c>
      <c r="AZ70" cm="1">
        <f t="array" ref="AZ70">IF(baseline_soil_N2O = "Included", INDEX(Table18[[#All],[GHGBSL-soil-N2O,i,t (Eq 62)]], MATCH(1, (Table14[[#This Row],[year t]]=Table18[[#All],[year t]])*(Table14[[#This Row],[stratum i]]=Table18[[#All],[stratum i]]), 0)), 0)</f>
        <v>0</v>
      </c>
      <c r="BA70">
        <f>IF(AND(Table14[[#This Row],[year t]]&gt;Table14[[#This Row],[End_PDT]],Table14[[#This Row],[year t]]&gt;Table14[[#This Row],[End_SDT]]), 0, Table14[[#This Row],[Ai,t]]*(Table14[[#This Row],[GHGBSL-soil-CO2,i,t (Eq 27)]]-Table14[[#This Row],[Deductionalloch (Eq 38)]]+Table14[[#This Row],[GHGBSL-soil-CH4,i,t]]+Table14[[#This Row],[GHGBSL-soil-N2O,i,t]]))</f>
        <v>0</v>
      </c>
      <c r="BB70" t="e" cm="1">
        <f t="array" ref="BB70">INDEX(#REF!, MATCH(1, (Table14[[#This Row],[year t]]=Table32[[#All],[year t]])*(Table14[[#This Row],[stratum i]]=Table32[[#All],[stratum i]]), 0))</f>
        <v>#REF!</v>
      </c>
      <c r="BC70" t="e" cm="1">
        <f t="array" ref="BC70">INDEX(#REF!, MATCH(1, (Table14[[#This Row],[year t]]=Table32[[#All],[year t]])*(Table14[[#This Row],[stratum i]]=Table32[[#All],[stratum i]]), 0))</f>
        <v>#REF!</v>
      </c>
      <c r="BD70" t="e" cm="1">
        <f t="array" ref="BD70">INDEX(#REF!, MATCH(1, (Table14[[#This Row],[year t]]=Table32[[#All],[year t]])*(Table14[[#This Row],[stratum i]]=Table32[[#All],[stratum i]]), 0))</f>
        <v>#REF!</v>
      </c>
      <c r="BE70" t="e" cm="1">
        <f t="array" ref="BE70">INDEX(#REF!, MATCH(1, (Table14[[#This Row],[year t]]=Table32[[#All],[year t]])*(Table14[[#This Row],[stratum i]]=Table32[[#All],[stratum i]]), 0))</f>
        <v>#REF!</v>
      </c>
      <c r="BF70" s="30"/>
      <c r="BM70" s="18">
        <v>2048</v>
      </c>
      <c r="BN70">
        <v>2</v>
      </c>
      <c r="BO70" t="e" cm="1">
        <f t="array" ref="BO70">INDEX(#REF!, MATCH(1, (Table132926[[#This Row],[year t]]=Table32[year t])*(Table132926[[#This Row],[stratum i]]=Table32[[#All],[stratum i]]), 0))</f>
        <v>#REF!</v>
      </c>
      <c r="BP70" t="e">
        <f>-44/12*Table132926[[#This Row],[∆CBSL-soil,i,t (tC/ha)]]</f>
        <v>#REF!</v>
      </c>
    </row>
    <row r="71" spans="10:68" x14ac:dyDescent="0.2">
      <c r="J71" s="18">
        <v>2049</v>
      </c>
      <c r="K71">
        <v>2</v>
      </c>
      <c r="L71" cm="1">
        <f t="array" ref="L71">INDEX(Table32[[#All],[ΔCTREE_BSL,i,t (AR Tool 14) t C/yr]], MATCH(1, (Table12[[#This Row],[year t]]=Table32[[#All],[year t]])*(Table12[[#This Row],[stratum i]]=Table32[[#All],[stratum i]]), 0))</f>
        <v>0</v>
      </c>
      <c r="M71" cm="1">
        <f t="array" ref="M71">IF(baseline_abground_nontree = "Included", INDEX(#REF!, MATCH(1, (Table12[[#This Row],[year t]]=Table32[[#All],[year t]])*(Table12[[#This Row],[stratum i]]=Table32[[#All],[stratum i]]), 0)), 0)</f>
        <v>0</v>
      </c>
      <c r="N71">
        <f>12/44*(Table12[[#This Row],[ΔCTREE_BSL,i,t (AR Tool 14) t CO2e/yr]]+Table12[[#This Row],[ΔCSHRUB_BSL,i,t (AR Tool 14) t CO2e/yr]])</f>
        <v>0</v>
      </c>
      <c r="O71" cm="1">
        <f t="array" ref="O71">IF(baseline_abground_nontree = "Included", IFERROR(INDEX(Table13[[#All],[ΔCBSL-herb,i,t (Eq 25)]], MATCH(1, (Table12[[#This Row],[stratum i]]=Table13[[#All],[stratum i]])*(Table12[[#This Row],[year t]]&gt;=#REF!)*(Table12[[#This Row],[year t]]&lt;=Table13[[#All],[year t]]), 0)), 0), 0)</f>
        <v>0</v>
      </c>
      <c r="P71">
        <f>Table12[[#This Row],[ΔCBSL-tree/shrub,i,t (t C/yr) (Eq 24)]]+Table12[[#This Row],[ΔCBSL-herb,i,t (t C/yr)]]-Table12[[#This Row],[ΔCBSL-agbiomass,i,t; t C yr-1 (submergence)]]</f>
        <v>0</v>
      </c>
      <c r="Q71" cm="1">
        <f t="array" ref="Q71">IFERROR(INDEX(Table14[[#All],[GHGBSL-soil,i,t (Eq 26)]], MATCH(1, (Table12[[#This Row],[year t]]=Table14[[#All],[year t]])*(Table12[[#This Row],[stratum i]]=Table14[[#All],[stratum i]]), 0)), 0)</f>
        <v>0</v>
      </c>
      <c r="R71">
        <f>IF(baseline_ff_CO2 = "Included", Table12[[#This Row],[ET(FC,I,t) AR-Tool 5]], 0)</f>
        <v>0</v>
      </c>
      <c r="S71" t="e" cm="1">
        <f t="array" ref="S71">INDEX(#REF!, MATCH(1, (Table12[[#This Row],[year t]]=Table32[[#All],[year t]])*(Table12[[#This Row],[stratum i]]=Table32[[#All],[stratum i]]), 0))</f>
        <v>#REF!</v>
      </c>
      <c r="T71" cm="1">
        <f t="array" ref="T71">IFERROR(INDEX(Table30[[#All],[ΔCBSL-agbiomass,i,t (equation 22) t C yr-1]], MATCH(1, (Table12[[#This Row],[stratum i]]=Table30[[#All],[Stratum i]])*(Table12[[#This Row],[year t]]&lt;Table30[[#All],[Year of reporting]]), 0)), 0)</f>
        <v>0</v>
      </c>
      <c r="AG71" s="18">
        <v>2049</v>
      </c>
      <c r="AH71">
        <v>2</v>
      </c>
      <c r="AI71" s="49" t="e" cm="1">
        <f t="array" ref="AI71">INDEX(#REF!, MATCH(1, (Table13[[#This Row],[year t]]=Table32[[#All],[year t]])*(Table13[[#This Row],[stratum i]]=Table32[[#All],[stratum i]]), 0))</f>
        <v>#REF!</v>
      </c>
      <c r="AJ71" s="49" t="e">
        <f>Table13[[#This Row],[ΔCBSL-herb,i,t (tC/ha)]]</f>
        <v>#REF!</v>
      </c>
      <c r="AO71" s="18">
        <v>2049</v>
      </c>
      <c r="AP71">
        <v>2</v>
      </c>
      <c r="AQ71" s="18" cm="1">
        <f t="array" ref="AQ71">INDEX(Table32[[#All],[Ai,t]], MATCH(1, (Table14[[#This Row],[year t]]=Table32[[#All],[year t]])*(Table14[[#This Row],[stratum i]]=Table32[[#All],[stratum i]]), 0))</f>
        <v>1982.9786785714284</v>
      </c>
      <c r="AR71" t="str">
        <f>IF(AND(INDEX(Table31[[#All],[Soil type (t=0)]], MATCH(Table14[[#This Row],[stratum i]], Table31[[#All],[Stratum i]]))="Peat soil", Table14[[#This Row],[year t]]&lt;=Table14[[#This Row],[End_PDT]]), "Peat soil", "Non-peat soil")</f>
        <v>Non-peat soil</v>
      </c>
      <c r="AS71">
        <f>IF(Emission_reduction_from_stock_loss?, INDEX(Table2[[#All],[End_PDT]], MATCH(Table14[[#This Row],[stratum i]], Table2[[#All],[stratum i]])), crediting_period)</f>
        <v>40</v>
      </c>
      <c r="AT71">
        <f>IF(Emission_reduction_from_stock_loss?, INDEX(Table2[[#All],[End_SDT]], MATCH(Table14[[#This Row],[stratum i]], Table2[[#All],[stratum i]])), crediting_period)</f>
        <v>40</v>
      </c>
      <c r="AU71" cm="1">
        <f t="array" ref="AU7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1" t="e" cm="1">
        <f t="array" ref="AV71">INDEX(#REF!, MATCH(1, (Table14[[#This Row],[year t]]=Table32[[#All],[year t]])*(Table14[[#This Row],[stratum i]]=Table32[[#All],[stratum i]]), 0))</f>
        <v>#REF!</v>
      </c>
      <c r="AW7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1" s="57">
        <f>(Table14[[#This Row],[GHGBSL-soil-CO2,i,t (Eq 27)]]-Table14[[#This Row],[Deductionalloch (Eq 38)]])*Table14[[#This Row],[Ai,t]]</f>
        <v>0</v>
      </c>
      <c r="AY71" cm="1">
        <f t="array" ref="AY71">IF(baseline_soil_CH4 = "Included", INDEX(Table18[[#All],[GHGBSL-soil-CH4,i,t (Eq 59)]], MATCH(1, (Table14[[#This Row],[year t]]=Table18[[#All],[year t]])*(Table14[[#This Row],[stratum i]]=Table18[[#All],[stratum i]]), 0)), 0)</f>
        <v>0</v>
      </c>
      <c r="AZ71" cm="1">
        <f t="array" ref="AZ71">IF(baseline_soil_N2O = "Included", INDEX(Table18[[#All],[GHGBSL-soil-N2O,i,t (Eq 62)]], MATCH(1, (Table14[[#This Row],[year t]]=Table18[[#All],[year t]])*(Table14[[#This Row],[stratum i]]=Table18[[#All],[stratum i]]), 0)), 0)</f>
        <v>0</v>
      </c>
      <c r="BA71">
        <f>IF(AND(Table14[[#This Row],[year t]]&gt;Table14[[#This Row],[End_PDT]],Table14[[#This Row],[year t]]&gt;Table14[[#This Row],[End_SDT]]), 0, Table14[[#This Row],[Ai,t]]*(Table14[[#This Row],[GHGBSL-soil-CO2,i,t (Eq 27)]]-Table14[[#This Row],[Deductionalloch (Eq 38)]]+Table14[[#This Row],[GHGBSL-soil-CH4,i,t]]+Table14[[#This Row],[GHGBSL-soil-N2O,i,t]]))</f>
        <v>0</v>
      </c>
      <c r="BB71" t="e" cm="1">
        <f t="array" ref="BB71">INDEX(#REF!, MATCH(1, (Table14[[#This Row],[year t]]=Table32[[#All],[year t]])*(Table14[[#This Row],[stratum i]]=Table32[[#All],[stratum i]]), 0))</f>
        <v>#REF!</v>
      </c>
      <c r="BC71" t="e" cm="1">
        <f t="array" ref="BC71">INDEX(#REF!, MATCH(1, (Table14[[#This Row],[year t]]=Table32[[#All],[year t]])*(Table14[[#This Row],[stratum i]]=Table32[[#All],[stratum i]]), 0))</f>
        <v>#REF!</v>
      </c>
      <c r="BD71" t="e" cm="1">
        <f t="array" ref="BD71">INDEX(#REF!, MATCH(1, (Table14[[#This Row],[year t]]=Table32[[#All],[year t]])*(Table14[[#This Row],[stratum i]]=Table32[[#All],[stratum i]]), 0))</f>
        <v>#REF!</v>
      </c>
      <c r="BE71" t="e" cm="1">
        <f t="array" ref="BE71">INDEX(#REF!, MATCH(1, (Table14[[#This Row],[year t]]=Table32[[#All],[year t]])*(Table14[[#This Row],[stratum i]]=Table32[[#All],[stratum i]]), 0))</f>
        <v>#REF!</v>
      </c>
      <c r="BF71" s="30"/>
      <c r="BM71" s="18">
        <v>2049</v>
      </c>
      <c r="BN71">
        <v>2</v>
      </c>
      <c r="BO71" t="e" cm="1">
        <f t="array" ref="BO71">INDEX(#REF!, MATCH(1, (Table132926[[#This Row],[year t]]=Table32[year t])*(Table132926[[#This Row],[stratum i]]=Table32[[#All],[stratum i]]), 0))</f>
        <v>#REF!</v>
      </c>
      <c r="BP71" t="e">
        <f>-44/12*Table132926[[#This Row],[∆CBSL-soil,i,t (tC/ha)]]</f>
        <v>#REF!</v>
      </c>
    </row>
    <row r="72" spans="10:68" x14ac:dyDescent="0.2">
      <c r="J72" s="18">
        <v>2050</v>
      </c>
      <c r="K72">
        <v>2</v>
      </c>
      <c r="L72" cm="1">
        <f t="array" ref="L72">INDEX(Table32[[#All],[ΔCTREE_BSL,i,t (AR Tool 14) t C/yr]], MATCH(1, (Table12[[#This Row],[year t]]=Table32[[#All],[year t]])*(Table12[[#This Row],[stratum i]]=Table32[[#All],[stratum i]]), 0))</f>
        <v>0</v>
      </c>
      <c r="M72" cm="1">
        <f t="array" ref="M72">IF(baseline_abground_nontree = "Included", INDEX(#REF!, MATCH(1, (Table12[[#This Row],[year t]]=Table32[[#All],[year t]])*(Table12[[#This Row],[stratum i]]=Table32[[#All],[stratum i]]), 0)), 0)</f>
        <v>0</v>
      </c>
      <c r="N72">
        <f>12/44*(Table12[[#This Row],[ΔCTREE_BSL,i,t (AR Tool 14) t CO2e/yr]]+Table12[[#This Row],[ΔCSHRUB_BSL,i,t (AR Tool 14) t CO2e/yr]])</f>
        <v>0</v>
      </c>
      <c r="O72" cm="1">
        <f t="array" ref="O72">IF(baseline_abground_nontree = "Included", IFERROR(INDEX(Table13[[#All],[ΔCBSL-herb,i,t (Eq 25)]], MATCH(1, (Table12[[#This Row],[stratum i]]=Table13[[#All],[stratum i]])*(Table12[[#This Row],[year t]]&gt;=#REF!)*(Table12[[#This Row],[year t]]&lt;=Table13[[#All],[year t]]), 0)), 0), 0)</f>
        <v>0</v>
      </c>
      <c r="P72">
        <f>Table12[[#This Row],[ΔCBSL-tree/shrub,i,t (t C/yr) (Eq 24)]]+Table12[[#This Row],[ΔCBSL-herb,i,t (t C/yr)]]-Table12[[#This Row],[ΔCBSL-agbiomass,i,t; t C yr-1 (submergence)]]</f>
        <v>0</v>
      </c>
      <c r="Q72" cm="1">
        <f t="array" ref="Q72">IFERROR(INDEX(Table14[[#All],[GHGBSL-soil,i,t (Eq 26)]], MATCH(1, (Table12[[#This Row],[year t]]=Table14[[#All],[year t]])*(Table12[[#This Row],[stratum i]]=Table14[[#All],[stratum i]]), 0)), 0)</f>
        <v>0</v>
      </c>
      <c r="R72">
        <f>IF(baseline_ff_CO2 = "Included", Table12[[#This Row],[ET(FC,I,t) AR-Tool 5]], 0)</f>
        <v>0</v>
      </c>
      <c r="S72" t="e" cm="1">
        <f t="array" ref="S72">INDEX(#REF!, MATCH(1, (Table12[[#This Row],[year t]]=Table32[[#All],[year t]])*(Table12[[#This Row],[stratum i]]=Table32[[#All],[stratum i]]), 0))</f>
        <v>#REF!</v>
      </c>
      <c r="T72" cm="1">
        <f t="array" ref="T72">IFERROR(INDEX(Table30[[#All],[ΔCBSL-agbiomass,i,t (equation 22) t C yr-1]], MATCH(1, (Table12[[#This Row],[stratum i]]=Table30[[#All],[Stratum i]])*(Table12[[#This Row],[year t]]&lt;Table30[[#All],[Year of reporting]]), 0)), 0)</f>
        <v>0</v>
      </c>
      <c r="AG72" s="18">
        <v>2050</v>
      </c>
      <c r="AH72">
        <v>2</v>
      </c>
      <c r="AI72" s="49" t="e" cm="1">
        <f t="array" ref="AI72">INDEX(#REF!, MATCH(1, (Table13[[#This Row],[year t]]=Table32[[#All],[year t]])*(Table13[[#This Row],[stratum i]]=Table32[[#All],[stratum i]]), 0))</f>
        <v>#REF!</v>
      </c>
      <c r="AJ72" s="49" t="e">
        <f>Table13[[#This Row],[ΔCBSL-herb,i,t (tC/ha)]]</f>
        <v>#REF!</v>
      </c>
      <c r="AO72" s="18">
        <v>2050</v>
      </c>
      <c r="AP72">
        <v>2</v>
      </c>
      <c r="AQ72" s="18" cm="1">
        <f t="array" ref="AQ72">INDEX(Table32[[#All],[Ai,t]], MATCH(1, (Table14[[#This Row],[year t]]=Table32[[#All],[year t]])*(Table14[[#This Row],[stratum i]]=Table32[[#All],[stratum i]]), 0))</f>
        <v>1982.9786785714284</v>
      </c>
      <c r="AR72" t="str">
        <f>IF(AND(INDEX(Table31[[#All],[Soil type (t=0)]], MATCH(Table14[[#This Row],[stratum i]], Table31[[#All],[Stratum i]]))="Peat soil", Table14[[#This Row],[year t]]&lt;=Table14[[#This Row],[End_PDT]]), "Peat soil", "Non-peat soil")</f>
        <v>Non-peat soil</v>
      </c>
      <c r="AS72">
        <f>IF(Emission_reduction_from_stock_loss?, INDEX(Table2[[#All],[End_PDT]], MATCH(Table14[[#This Row],[stratum i]], Table2[[#All],[stratum i]])), crediting_period)</f>
        <v>40</v>
      </c>
      <c r="AT72">
        <f>IF(Emission_reduction_from_stock_loss?, INDEX(Table2[[#All],[End_SDT]], MATCH(Table14[[#This Row],[stratum i]], Table2[[#All],[stratum i]])), crediting_period)</f>
        <v>40</v>
      </c>
      <c r="AU72" cm="1">
        <f t="array" ref="AU7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2" t="e" cm="1">
        <f t="array" ref="AV72">INDEX(#REF!, MATCH(1, (Table14[[#This Row],[year t]]=Table32[[#All],[year t]])*(Table14[[#This Row],[stratum i]]=Table32[[#All],[stratum i]]), 0))</f>
        <v>#REF!</v>
      </c>
      <c r="AW7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2" s="57">
        <f>(Table14[[#This Row],[GHGBSL-soil-CO2,i,t (Eq 27)]]-Table14[[#This Row],[Deductionalloch (Eq 38)]])*Table14[[#This Row],[Ai,t]]</f>
        <v>0</v>
      </c>
      <c r="AY72" cm="1">
        <f t="array" ref="AY72">IF(baseline_soil_CH4 = "Included", INDEX(Table18[[#All],[GHGBSL-soil-CH4,i,t (Eq 59)]], MATCH(1, (Table14[[#This Row],[year t]]=Table18[[#All],[year t]])*(Table14[[#This Row],[stratum i]]=Table18[[#All],[stratum i]]), 0)), 0)</f>
        <v>0</v>
      </c>
      <c r="AZ72" cm="1">
        <f t="array" ref="AZ72">IF(baseline_soil_N2O = "Included", INDEX(Table18[[#All],[GHGBSL-soil-N2O,i,t (Eq 62)]], MATCH(1, (Table14[[#This Row],[year t]]=Table18[[#All],[year t]])*(Table14[[#This Row],[stratum i]]=Table18[[#All],[stratum i]]), 0)), 0)</f>
        <v>0</v>
      </c>
      <c r="BA72">
        <f>IF(AND(Table14[[#This Row],[year t]]&gt;Table14[[#This Row],[End_PDT]],Table14[[#This Row],[year t]]&gt;Table14[[#This Row],[End_SDT]]), 0, Table14[[#This Row],[Ai,t]]*(Table14[[#This Row],[GHGBSL-soil-CO2,i,t (Eq 27)]]-Table14[[#This Row],[Deductionalloch (Eq 38)]]+Table14[[#This Row],[GHGBSL-soil-CH4,i,t]]+Table14[[#This Row],[GHGBSL-soil-N2O,i,t]]))</f>
        <v>0</v>
      </c>
      <c r="BB72" t="e" cm="1">
        <f t="array" ref="BB72">INDEX(#REF!, MATCH(1, (Table14[[#This Row],[year t]]=Table32[[#All],[year t]])*(Table14[[#This Row],[stratum i]]=Table32[[#All],[stratum i]]), 0))</f>
        <v>#REF!</v>
      </c>
      <c r="BC72" t="e" cm="1">
        <f t="array" ref="BC72">INDEX(#REF!, MATCH(1, (Table14[[#This Row],[year t]]=Table32[[#All],[year t]])*(Table14[[#This Row],[stratum i]]=Table32[[#All],[stratum i]]), 0))</f>
        <v>#REF!</v>
      </c>
      <c r="BD72" t="e" cm="1">
        <f t="array" ref="BD72">INDEX(#REF!, MATCH(1, (Table14[[#This Row],[year t]]=Table32[[#All],[year t]])*(Table14[[#This Row],[stratum i]]=Table32[[#All],[stratum i]]), 0))</f>
        <v>#REF!</v>
      </c>
      <c r="BE72" t="e" cm="1">
        <f t="array" ref="BE72">INDEX(#REF!, MATCH(1, (Table14[[#This Row],[year t]]=Table32[[#All],[year t]])*(Table14[[#This Row],[stratum i]]=Table32[[#All],[stratum i]]), 0))</f>
        <v>#REF!</v>
      </c>
      <c r="BF72" s="30"/>
      <c r="BM72" s="18">
        <v>2050</v>
      </c>
      <c r="BN72">
        <v>2</v>
      </c>
      <c r="BO72" t="e" cm="1">
        <f t="array" ref="BO72">INDEX(#REF!, MATCH(1, (Table132926[[#This Row],[year t]]=Table32[year t])*(Table132926[[#This Row],[stratum i]]=Table32[[#All],[stratum i]]), 0))</f>
        <v>#REF!</v>
      </c>
      <c r="BP72" t="e">
        <f>-44/12*Table132926[[#This Row],[∆CBSL-soil,i,t (tC/ha)]]</f>
        <v>#REF!</v>
      </c>
    </row>
    <row r="73" spans="10:68" x14ac:dyDescent="0.2">
      <c r="J73" s="18">
        <v>2051</v>
      </c>
      <c r="K73">
        <v>2</v>
      </c>
      <c r="L73" cm="1">
        <f t="array" ref="L73">INDEX(Table32[[#All],[ΔCTREE_BSL,i,t (AR Tool 14) t C/yr]], MATCH(1, (Table12[[#This Row],[year t]]=Table32[[#All],[year t]])*(Table12[[#This Row],[stratum i]]=Table32[[#All],[stratum i]]), 0))</f>
        <v>0</v>
      </c>
      <c r="M73" cm="1">
        <f t="array" ref="M73">IF(baseline_abground_nontree = "Included", INDEX(#REF!, MATCH(1, (Table12[[#This Row],[year t]]=Table32[[#All],[year t]])*(Table12[[#This Row],[stratum i]]=Table32[[#All],[stratum i]]), 0)), 0)</f>
        <v>0</v>
      </c>
      <c r="N73">
        <f>12/44*(Table12[[#This Row],[ΔCTREE_BSL,i,t (AR Tool 14) t CO2e/yr]]+Table12[[#This Row],[ΔCSHRUB_BSL,i,t (AR Tool 14) t CO2e/yr]])</f>
        <v>0</v>
      </c>
      <c r="O73" cm="1">
        <f t="array" ref="O73">IF(baseline_abground_nontree = "Included", IFERROR(INDEX(Table13[[#All],[ΔCBSL-herb,i,t (Eq 25)]], MATCH(1, (Table12[[#This Row],[stratum i]]=Table13[[#All],[stratum i]])*(Table12[[#This Row],[year t]]&gt;=#REF!)*(Table12[[#This Row],[year t]]&lt;=Table13[[#All],[year t]]), 0)), 0), 0)</f>
        <v>0</v>
      </c>
      <c r="P73">
        <f>Table12[[#This Row],[ΔCBSL-tree/shrub,i,t (t C/yr) (Eq 24)]]+Table12[[#This Row],[ΔCBSL-herb,i,t (t C/yr)]]-Table12[[#This Row],[ΔCBSL-agbiomass,i,t; t C yr-1 (submergence)]]</f>
        <v>0</v>
      </c>
      <c r="Q73" cm="1">
        <f t="array" ref="Q73">IFERROR(INDEX(Table14[[#All],[GHGBSL-soil,i,t (Eq 26)]], MATCH(1, (Table12[[#This Row],[year t]]=Table14[[#All],[year t]])*(Table12[[#This Row],[stratum i]]=Table14[[#All],[stratum i]]), 0)), 0)</f>
        <v>0</v>
      </c>
      <c r="R73">
        <f>IF(baseline_ff_CO2 = "Included", Table12[[#This Row],[ET(FC,I,t) AR-Tool 5]], 0)</f>
        <v>0</v>
      </c>
      <c r="S73" t="e" cm="1">
        <f t="array" ref="S73">INDEX(#REF!, MATCH(1, (Table12[[#This Row],[year t]]=Table32[[#All],[year t]])*(Table12[[#This Row],[stratum i]]=Table32[[#All],[stratum i]]), 0))</f>
        <v>#REF!</v>
      </c>
      <c r="T73" cm="1">
        <f t="array" ref="T73">IFERROR(INDEX(Table30[[#All],[ΔCBSL-agbiomass,i,t (equation 22) t C yr-1]], MATCH(1, (Table12[[#This Row],[stratum i]]=Table30[[#All],[Stratum i]])*(Table12[[#This Row],[year t]]&lt;Table30[[#All],[Year of reporting]]), 0)), 0)</f>
        <v>0</v>
      </c>
      <c r="AG73" s="18">
        <v>2051</v>
      </c>
      <c r="AH73">
        <v>2</v>
      </c>
      <c r="AI73" s="49" t="e" cm="1">
        <f t="array" ref="AI73">INDEX(#REF!, MATCH(1, (Table13[[#This Row],[year t]]=Table32[[#All],[year t]])*(Table13[[#This Row],[stratum i]]=Table32[[#All],[stratum i]]), 0))</f>
        <v>#REF!</v>
      </c>
      <c r="AJ73" s="49" t="e">
        <f>Table13[[#This Row],[ΔCBSL-herb,i,t (tC/ha)]]</f>
        <v>#REF!</v>
      </c>
      <c r="AO73" s="18">
        <v>2051</v>
      </c>
      <c r="AP73">
        <v>2</v>
      </c>
      <c r="AQ73" s="18" cm="1">
        <f t="array" ref="AQ73">INDEX(Table32[[#All],[Ai,t]], MATCH(1, (Table14[[#This Row],[year t]]=Table32[[#All],[year t]])*(Table14[[#This Row],[stratum i]]=Table32[[#All],[stratum i]]), 0))</f>
        <v>1982.9786785714284</v>
      </c>
      <c r="AR73" t="str">
        <f>IF(AND(INDEX(Table31[[#All],[Soil type (t=0)]], MATCH(Table14[[#This Row],[stratum i]], Table31[[#All],[Stratum i]]))="Peat soil", Table14[[#This Row],[year t]]&lt;=Table14[[#This Row],[End_PDT]]), "Peat soil", "Non-peat soil")</f>
        <v>Non-peat soil</v>
      </c>
      <c r="AS73">
        <f>IF(Emission_reduction_from_stock_loss?, INDEX(Table2[[#All],[End_PDT]], MATCH(Table14[[#This Row],[stratum i]], Table2[[#All],[stratum i]])), crediting_period)</f>
        <v>40</v>
      </c>
      <c r="AT73">
        <f>IF(Emission_reduction_from_stock_loss?, INDEX(Table2[[#All],[End_SDT]], MATCH(Table14[[#This Row],[stratum i]], Table2[[#All],[stratum i]])), crediting_period)</f>
        <v>40</v>
      </c>
      <c r="AU73" cm="1">
        <f t="array" ref="AU7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3" t="e" cm="1">
        <f t="array" ref="AV73">INDEX(#REF!, MATCH(1, (Table14[[#This Row],[year t]]=Table32[[#All],[year t]])*(Table14[[#This Row],[stratum i]]=Table32[[#All],[stratum i]]), 0))</f>
        <v>#REF!</v>
      </c>
      <c r="AW7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3" s="57">
        <f>(Table14[[#This Row],[GHGBSL-soil-CO2,i,t (Eq 27)]]-Table14[[#This Row],[Deductionalloch (Eq 38)]])*Table14[[#This Row],[Ai,t]]</f>
        <v>0</v>
      </c>
      <c r="AY73" cm="1">
        <f t="array" ref="AY73">IF(baseline_soil_CH4 = "Included", INDEX(Table18[[#All],[GHGBSL-soil-CH4,i,t (Eq 59)]], MATCH(1, (Table14[[#This Row],[year t]]=Table18[[#All],[year t]])*(Table14[[#This Row],[stratum i]]=Table18[[#All],[stratum i]]), 0)), 0)</f>
        <v>0</v>
      </c>
      <c r="AZ73" cm="1">
        <f t="array" ref="AZ73">IF(baseline_soil_N2O = "Included", INDEX(Table18[[#All],[GHGBSL-soil-N2O,i,t (Eq 62)]], MATCH(1, (Table14[[#This Row],[year t]]=Table18[[#All],[year t]])*(Table14[[#This Row],[stratum i]]=Table18[[#All],[stratum i]]), 0)), 0)</f>
        <v>0</v>
      </c>
      <c r="BA73">
        <f>IF(AND(Table14[[#This Row],[year t]]&gt;Table14[[#This Row],[End_PDT]],Table14[[#This Row],[year t]]&gt;Table14[[#This Row],[End_SDT]]), 0, Table14[[#This Row],[Ai,t]]*(Table14[[#This Row],[GHGBSL-soil-CO2,i,t (Eq 27)]]-Table14[[#This Row],[Deductionalloch (Eq 38)]]+Table14[[#This Row],[GHGBSL-soil-CH4,i,t]]+Table14[[#This Row],[GHGBSL-soil-N2O,i,t]]))</f>
        <v>0</v>
      </c>
      <c r="BB73" t="e" cm="1">
        <f t="array" ref="BB73">INDEX(#REF!, MATCH(1, (Table14[[#This Row],[year t]]=Table32[[#All],[year t]])*(Table14[[#This Row],[stratum i]]=Table32[[#All],[stratum i]]), 0))</f>
        <v>#REF!</v>
      </c>
      <c r="BC73" t="e" cm="1">
        <f t="array" ref="BC73">INDEX(#REF!, MATCH(1, (Table14[[#This Row],[year t]]=Table32[[#All],[year t]])*(Table14[[#This Row],[stratum i]]=Table32[[#All],[stratum i]]), 0))</f>
        <v>#REF!</v>
      </c>
      <c r="BD73" t="e" cm="1">
        <f t="array" ref="BD73">INDEX(#REF!, MATCH(1, (Table14[[#This Row],[year t]]=Table32[[#All],[year t]])*(Table14[[#This Row],[stratum i]]=Table32[[#All],[stratum i]]), 0))</f>
        <v>#REF!</v>
      </c>
      <c r="BE73" t="e" cm="1">
        <f t="array" ref="BE73">INDEX(#REF!, MATCH(1, (Table14[[#This Row],[year t]]=Table32[[#All],[year t]])*(Table14[[#This Row],[stratum i]]=Table32[[#All],[stratum i]]), 0))</f>
        <v>#REF!</v>
      </c>
      <c r="BF73" s="30"/>
      <c r="BM73" s="18">
        <v>2051</v>
      </c>
      <c r="BN73">
        <v>2</v>
      </c>
      <c r="BO73" t="e" cm="1">
        <f t="array" ref="BO73">INDEX(#REF!, MATCH(1, (Table132926[[#This Row],[year t]]=Table32[year t])*(Table132926[[#This Row],[stratum i]]=Table32[[#All],[stratum i]]), 0))</f>
        <v>#REF!</v>
      </c>
      <c r="BP73" t="e">
        <f>-44/12*Table132926[[#This Row],[∆CBSL-soil,i,t (tC/ha)]]</f>
        <v>#REF!</v>
      </c>
    </row>
    <row r="74" spans="10:68" x14ac:dyDescent="0.2">
      <c r="J74" s="18">
        <v>2052</v>
      </c>
      <c r="K74">
        <v>2</v>
      </c>
      <c r="L74" cm="1">
        <f t="array" ref="L74">INDEX(Table32[[#All],[ΔCTREE_BSL,i,t (AR Tool 14) t C/yr]], MATCH(1, (Table12[[#This Row],[year t]]=Table32[[#All],[year t]])*(Table12[[#This Row],[stratum i]]=Table32[[#All],[stratum i]]), 0))</f>
        <v>0</v>
      </c>
      <c r="M74" cm="1">
        <f t="array" ref="M74">IF(baseline_abground_nontree = "Included", INDEX(#REF!, MATCH(1, (Table12[[#This Row],[year t]]=Table32[[#All],[year t]])*(Table12[[#This Row],[stratum i]]=Table32[[#All],[stratum i]]), 0)), 0)</f>
        <v>0</v>
      </c>
      <c r="N74">
        <f>12/44*(Table12[[#This Row],[ΔCTREE_BSL,i,t (AR Tool 14) t CO2e/yr]]+Table12[[#This Row],[ΔCSHRUB_BSL,i,t (AR Tool 14) t CO2e/yr]])</f>
        <v>0</v>
      </c>
      <c r="O74" cm="1">
        <f t="array" ref="O74">IF(baseline_abground_nontree = "Included", IFERROR(INDEX(Table13[[#All],[ΔCBSL-herb,i,t (Eq 25)]], MATCH(1, (Table12[[#This Row],[stratum i]]=Table13[[#All],[stratum i]])*(Table12[[#This Row],[year t]]&gt;=#REF!)*(Table12[[#This Row],[year t]]&lt;=Table13[[#All],[year t]]), 0)), 0), 0)</f>
        <v>0</v>
      </c>
      <c r="P74">
        <f>Table12[[#This Row],[ΔCBSL-tree/shrub,i,t (t C/yr) (Eq 24)]]+Table12[[#This Row],[ΔCBSL-herb,i,t (t C/yr)]]-Table12[[#This Row],[ΔCBSL-agbiomass,i,t; t C yr-1 (submergence)]]</f>
        <v>0</v>
      </c>
      <c r="Q74" cm="1">
        <f t="array" ref="Q74">IFERROR(INDEX(Table14[[#All],[GHGBSL-soil,i,t (Eq 26)]], MATCH(1, (Table12[[#This Row],[year t]]=Table14[[#All],[year t]])*(Table12[[#This Row],[stratum i]]=Table14[[#All],[stratum i]]), 0)), 0)</f>
        <v>0</v>
      </c>
      <c r="R74">
        <f>IF(baseline_ff_CO2 = "Included", Table12[[#This Row],[ET(FC,I,t) AR-Tool 5]], 0)</f>
        <v>0</v>
      </c>
      <c r="S74" t="e" cm="1">
        <f t="array" ref="S74">INDEX(#REF!, MATCH(1, (Table12[[#This Row],[year t]]=Table32[[#All],[year t]])*(Table12[[#This Row],[stratum i]]=Table32[[#All],[stratum i]]), 0))</f>
        <v>#REF!</v>
      </c>
      <c r="T74" cm="1">
        <f t="array" ref="T74">IFERROR(INDEX(Table30[[#All],[ΔCBSL-agbiomass,i,t (equation 22) t C yr-1]], MATCH(1, (Table12[[#This Row],[stratum i]]=Table30[[#All],[Stratum i]])*(Table12[[#This Row],[year t]]&lt;Table30[[#All],[Year of reporting]]), 0)), 0)</f>
        <v>0</v>
      </c>
      <c r="AG74" s="18">
        <v>2052</v>
      </c>
      <c r="AH74">
        <v>2</v>
      </c>
      <c r="AI74" s="49" t="e" cm="1">
        <f t="array" ref="AI74">INDEX(#REF!, MATCH(1, (Table13[[#This Row],[year t]]=Table32[[#All],[year t]])*(Table13[[#This Row],[stratum i]]=Table32[[#All],[stratum i]]), 0))</f>
        <v>#REF!</v>
      </c>
      <c r="AJ74" s="49" t="e">
        <f>Table13[[#This Row],[ΔCBSL-herb,i,t (tC/ha)]]</f>
        <v>#REF!</v>
      </c>
      <c r="AO74" s="18">
        <v>2052</v>
      </c>
      <c r="AP74">
        <v>2</v>
      </c>
      <c r="AQ74" s="18" cm="1">
        <f t="array" ref="AQ74">INDEX(Table32[[#All],[Ai,t]], MATCH(1, (Table14[[#This Row],[year t]]=Table32[[#All],[year t]])*(Table14[[#This Row],[stratum i]]=Table32[[#All],[stratum i]]), 0))</f>
        <v>1982.9786785714284</v>
      </c>
      <c r="AR74" t="str">
        <f>IF(AND(INDEX(Table31[[#All],[Soil type (t=0)]], MATCH(Table14[[#This Row],[stratum i]], Table31[[#All],[Stratum i]]))="Peat soil", Table14[[#This Row],[year t]]&lt;=Table14[[#This Row],[End_PDT]]), "Peat soil", "Non-peat soil")</f>
        <v>Non-peat soil</v>
      </c>
      <c r="AS74">
        <f>IF(Emission_reduction_from_stock_loss?, INDEX(Table2[[#All],[End_PDT]], MATCH(Table14[[#This Row],[stratum i]], Table2[[#All],[stratum i]])), crediting_period)</f>
        <v>40</v>
      </c>
      <c r="AT74">
        <f>IF(Emission_reduction_from_stock_loss?, INDEX(Table2[[#All],[End_SDT]], MATCH(Table14[[#This Row],[stratum i]], Table2[[#All],[stratum i]])), crediting_period)</f>
        <v>40</v>
      </c>
      <c r="AU74" cm="1">
        <f t="array" ref="AU7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4" t="e" cm="1">
        <f t="array" ref="AV74">INDEX(#REF!, MATCH(1, (Table14[[#This Row],[year t]]=Table32[[#All],[year t]])*(Table14[[#This Row],[stratum i]]=Table32[[#All],[stratum i]]), 0))</f>
        <v>#REF!</v>
      </c>
      <c r="AW7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4" s="57">
        <f>(Table14[[#This Row],[GHGBSL-soil-CO2,i,t (Eq 27)]]-Table14[[#This Row],[Deductionalloch (Eq 38)]])*Table14[[#This Row],[Ai,t]]</f>
        <v>0</v>
      </c>
      <c r="AY74" cm="1">
        <f t="array" ref="AY74">IF(baseline_soil_CH4 = "Included", INDEX(Table18[[#All],[GHGBSL-soil-CH4,i,t (Eq 59)]], MATCH(1, (Table14[[#This Row],[year t]]=Table18[[#All],[year t]])*(Table14[[#This Row],[stratum i]]=Table18[[#All],[stratum i]]), 0)), 0)</f>
        <v>0</v>
      </c>
      <c r="AZ74" cm="1">
        <f t="array" ref="AZ74">IF(baseline_soil_N2O = "Included", INDEX(Table18[[#All],[GHGBSL-soil-N2O,i,t (Eq 62)]], MATCH(1, (Table14[[#This Row],[year t]]=Table18[[#All],[year t]])*(Table14[[#This Row],[stratum i]]=Table18[[#All],[stratum i]]), 0)), 0)</f>
        <v>0</v>
      </c>
      <c r="BA74">
        <f>IF(AND(Table14[[#This Row],[year t]]&gt;Table14[[#This Row],[End_PDT]],Table14[[#This Row],[year t]]&gt;Table14[[#This Row],[End_SDT]]), 0, Table14[[#This Row],[Ai,t]]*(Table14[[#This Row],[GHGBSL-soil-CO2,i,t (Eq 27)]]-Table14[[#This Row],[Deductionalloch (Eq 38)]]+Table14[[#This Row],[GHGBSL-soil-CH4,i,t]]+Table14[[#This Row],[GHGBSL-soil-N2O,i,t]]))</f>
        <v>0</v>
      </c>
      <c r="BB74" t="e" cm="1">
        <f t="array" ref="BB74">INDEX(#REF!, MATCH(1, (Table14[[#This Row],[year t]]=Table32[[#All],[year t]])*(Table14[[#This Row],[stratum i]]=Table32[[#All],[stratum i]]), 0))</f>
        <v>#REF!</v>
      </c>
      <c r="BC74" t="e" cm="1">
        <f t="array" ref="BC74">INDEX(#REF!, MATCH(1, (Table14[[#This Row],[year t]]=Table32[[#All],[year t]])*(Table14[[#This Row],[stratum i]]=Table32[[#All],[stratum i]]), 0))</f>
        <v>#REF!</v>
      </c>
      <c r="BD74" t="e" cm="1">
        <f t="array" ref="BD74">INDEX(#REF!, MATCH(1, (Table14[[#This Row],[year t]]=Table32[[#All],[year t]])*(Table14[[#This Row],[stratum i]]=Table32[[#All],[stratum i]]), 0))</f>
        <v>#REF!</v>
      </c>
      <c r="BE74" t="e" cm="1">
        <f t="array" ref="BE74">INDEX(#REF!, MATCH(1, (Table14[[#This Row],[year t]]=Table32[[#All],[year t]])*(Table14[[#This Row],[stratum i]]=Table32[[#All],[stratum i]]), 0))</f>
        <v>#REF!</v>
      </c>
      <c r="BF74" s="30"/>
      <c r="BM74" s="18">
        <v>2052</v>
      </c>
      <c r="BN74">
        <v>2</v>
      </c>
      <c r="BO74" t="e" cm="1">
        <f t="array" ref="BO74">INDEX(#REF!, MATCH(1, (Table132926[[#This Row],[year t]]=Table32[year t])*(Table132926[[#This Row],[stratum i]]=Table32[[#All],[stratum i]]), 0))</f>
        <v>#REF!</v>
      </c>
      <c r="BP74" t="e">
        <f>-44/12*Table132926[[#This Row],[∆CBSL-soil,i,t (tC/ha)]]</f>
        <v>#REF!</v>
      </c>
    </row>
    <row r="75" spans="10:68" x14ac:dyDescent="0.2">
      <c r="J75" s="18">
        <v>2053</v>
      </c>
      <c r="K75">
        <v>2</v>
      </c>
      <c r="L75" cm="1">
        <f t="array" ref="L75">INDEX(Table32[[#All],[ΔCTREE_BSL,i,t (AR Tool 14) t C/yr]], MATCH(1, (Table12[[#This Row],[year t]]=Table32[[#All],[year t]])*(Table12[[#This Row],[stratum i]]=Table32[[#All],[stratum i]]), 0))</f>
        <v>0</v>
      </c>
      <c r="M75" cm="1">
        <f t="array" ref="M75">IF(baseline_abground_nontree = "Included", INDEX(#REF!, MATCH(1, (Table12[[#This Row],[year t]]=Table32[[#All],[year t]])*(Table12[[#This Row],[stratum i]]=Table32[[#All],[stratum i]]), 0)), 0)</f>
        <v>0</v>
      </c>
      <c r="N75">
        <f>12/44*(Table12[[#This Row],[ΔCTREE_BSL,i,t (AR Tool 14) t CO2e/yr]]+Table12[[#This Row],[ΔCSHRUB_BSL,i,t (AR Tool 14) t CO2e/yr]])</f>
        <v>0</v>
      </c>
      <c r="O75" cm="1">
        <f t="array" ref="O75">IF(baseline_abground_nontree = "Included", IFERROR(INDEX(Table13[[#All],[ΔCBSL-herb,i,t (Eq 25)]], MATCH(1, (Table12[[#This Row],[stratum i]]=Table13[[#All],[stratum i]])*(Table12[[#This Row],[year t]]&gt;=#REF!)*(Table12[[#This Row],[year t]]&lt;=Table13[[#All],[year t]]), 0)), 0), 0)</f>
        <v>0</v>
      </c>
      <c r="P75">
        <f>Table12[[#This Row],[ΔCBSL-tree/shrub,i,t (t C/yr) (Eq 24)]]+Table12[[#This Row],[ΔCBSL-herb,i,t (t C/yr)]]-Table12[[#This Row],[ΔCBSL-agbiomass,i,t; t C yr-1 (submergence)]]</f>
        <v>0</v>
      </c>
      <c r="Q75" cm="1">
        <f t="array" ref="Q75">IFERROR(INDEX(Table14[[#All],[GHGBSL-soil,i,t (Eq 26)]], MATCH(1, (Table12[[#This Row],[year t]]=Table14[[#All],[year t]])*(Table12[[#This Row],[stratum i]]=Table14[[#All],[stratum i]]), 0)), 0)</f>
        <v>0</v>
      </c>
      <c r="R75">
        <f>IF(baseline_ff_CO2 = "Included", Table12[[#This Row],[ET(FC,I,t) AR-Tool 5]], 0)</f>
        <v>0</v>
      </c>
      <c r="S75" t="e" cm="1">
        <f t="array" ref="S75">INDEX(#REF!, MATCH(1, (Table12[[#This Row],[year t]]=Table32[[#All],[year t]])*(Table12[[#This Row],[stratum i]]=Table32[[#All],[stratum i]]), 0))</f>
        <v>#REF!</v>
      </c>
      <c r="T75" cm="1">
        <f t="array" ref="T75">IFERROR(INDEX(Table30[[#All],[ΔCBSL-agbiomass,i,t (equation 22) t C yr-1]], MATCH(1, (Table12[[#This Row],[stratum i]]=Table30[[#All],[Stratum i]])*(Table12[[#This Row],[year t]]&lt;Table30[[#All],[Year of reporting]]), 0)), 0)</f>
        <v>0</v>
      </c>
      <c r="AG75" s="18">
        <v>2053</v>
      </c>
      <c r="AH75">
        <v>2</v>
      </c>
      <c r="AI75" s="49" t="e" cm="1">
        <f t="array" ref="AI75">INDEX(#REF!, MATCH(1, (Table13[[#This Row],[year t]]=Table32[[#All],[year t]])*(Table13[[#This Row],[stratum i]]=Table32[[#All],[stratum i]]), 0))</f>
        <v>#REF!</v>
      </c>
      <c r="AJ75" s="49" t="e">
        <f>Table13[[#This Row],[ΔCBSL-herb,i,t (tC/ha)]]</f>
        <v>#REF!</v>
      </c>
      <c r="AO75" s="18">
        <v>2053</v>
      </c>
      <c r="AP75">
        <v>2</v>
      </c>
      <c r="AQ75" s="18" cm="1">
        <f t="array" ref="AQ75">INDEX(Table32[[#All],[Ai,t]], MATCH(1, (Table14[[#This Row],[year t]]=Table32[[#All],[year t]])*(Table14[[#This Row],[stratum i]]=Table32[[#All],[stratum i]]), 0))</f>
        <v>1982.9786785714284</v>
      </c>
      <c r="AR75" t="str">
        <f>IF(AND(INDEX(Table31[[#All],[Soil type (t=0)]], MATCH(Table14[[#This Row],[stratum i]], Table31[[#All],[Stratum i]]))="Peat soil", Table14[[#This Row],[year t]]&lt;=Table14[[#This Row],[End_PDT]]), "Peat soil", "Non-peat soil")</f>
        <v>Non-peat soil</v>
      </c>
      <c r="AS75">
        <f>IF(Emission_reduction_from_stock_loss?, INDEX(Table2[[#All],[End_PDT]], MATCH(Table14[[#This Row],[stratum i]], Table2[[#All],[stratum i]])), crediting_period)</f>
        <v>40</v>
      </c>
      <c r="AT75">
        <f>IF(Emission_reduction_from_stock_loss?, INDEX(Table2[[#All],[End_SDT]], MATCH(Table14[[#This Row],[stratum i]], Table2[[#All],[stratum i]])), crediting_period)</f>
        <v>40</v>
      </c>
      <c r="AU75" cm="1">
        <f t="array" ref="AU7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5" t="e" cm="1">
        <f t="array" ref="AV75">INDEX(#REF!, MATCH(1, (Table14[[#This Row],[year t]]=Table32[[#All],[year t]])*(Table14[[#This Row],[stratum i]]=Table32[[#All],[stratum i]]), 0))</f>
        <v>#REF!</v>
      </c>
      <c r="AW7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5" s="57">
        <f>(Table14[[#This Row],[GHGBSL-soil-CO2,i,t (Eq 27)]]-Table14[[#This Row],[Deductionalloch (Eq 38)]])*Table14[[#This Row],[Ai,t]]</f>
        <v>0</v>
      </c>
      <c r="AY75" cm="1">
        <f t="array" ref="AY75">IF(baseline_soil_CH4 = "Included", INDEX(Table18[[#All],[GHGBSL-soil-CH4,i,t (Eq 59)]], MATCH(1, (Table14[[#This Row],[year t]]=Table18[[#All],[year t]])*(Table14[[#This Row],[stratum i]]=Table18[[#All],[stratum i]]), 0)), 0)</f>
        <v>0</v>
      </c>
      <c r="AZ75" cm="1">
        <f t="array" ref="AZ75">IF(baseline_soil_N2O = "Included", INDEX(Table18[[#All],[GHGBSL-soil-N2O,i,t (Eq 62)]], MATCH(1, (Table14[[#This Row],[year t]]=Table18[[#All],[year t]])*(Table14[[#This Row],[stratum i]]=Table18[[#All],[stratum i]]), 0)), 0)</f>
        <v>0</v>
      </c>
      <c r="BA75">
        <f>IF(AND(Table14[[#This Row],[year t]]&gt;Table14[[#This Row],[End_PDT]],Table14[[#This Row],[year t]]&gt;Table14[[#This Row],[End_SDT]]), 0, Table14[[#This Row],[Ai,t]]*(Table14[[#This Row],[GHGBSL-soil-CO2,i,t (Eq 27)]]-Table14[[#This Row],[Deductionalloch (Eq 38)]]+Table14[[#This Row],[GHGBSL-soil-CH4,i,t]]+Table14[[#This Row],[GHGBSL-soil-N2O,i,t]]))</f>
        <v>0</v>
      </c>
      <c r="BB75" t="e" cm="1">
        <f t="array" ref="BB75">INDEX(#REF!, MATCH(1, (Table14[[#This Row],[year t]]=Table32[[#All],[year t]])*(Table14[[#This Row],[stratum i]]=Table32[[#All],[stratum i]]), 0))</f>
        <v>#REF!</v>
      </c>
      <c r="BC75" t="e" cm="1">
        <f t="array" ref="BC75">INDEX(#REF!, MATCH(1, (Table14[[#This Row],[year t]]=Table32[[#All],[year t]])*(Table14[[#This Row],[stratum i]]=Table32[[#All],[stratum i]]), 0))</f>
        <v>#REF!</v>
      </c>
      <c r="BD75" t="e" cm="1">
        <f t="array" ref="BD75">INDEX(#REF!, MATCH(1, (Table14[[#This Row],[year t]]=Table32[[#All],[year t]])*(Table14[[#This Row],[stratum i]]=Table32[[#All],[stratum i]]), 0))</f>
        <v>#REF!</v>
      </c>
      <c r="BE75" t="e" cm="1">
        <f t="array" ref="BE75">INDEX(#REF!, MATCH(1, (Table14[[#This Row],[year t]]=Table32[[#All],[year t]])*(Table14[[#This Row],[stratum i]]=Table32[[#All],[stratum i]]), 0))</f>
        <v>#REF!</v>
      </c>
      <c r="BF75" s="30"/>
      <c r="BM75" s="18">
        <v>2053</v>
      </c>
      <c r="BN75">
        <v>2</v>
      </c>
      <c r="BO75" t="e" cm="1">
        <f t="array" ref="BO75">INDEX(#REF!, MATCH(1, (Table132926[[#This Row],[year t]]=Table32[year t])*(Table132926[[#This Row],[stratum i]]=Table32[[#All],[stratum i]]), 0))</f>
        <v>#REF!</v>
      </c>
      <c r="BP75" t="e">
        <f>-44/12*Table132926[[#This Row],[∆CBSL-soil,i,t (tC/ha)]]</f>
        <v>#REF!</v>
      </c>
    </row>
    <row r="76" spans="10:68" x14ac:dyDescent="0.2">
      <c r="J76" s="18">
        <v>2054</v>
      </c>
      <c r="K76">
        <v>2</v>
      </c>
      <c r="L76" cm="1">
        <f t="array" ref="L76">INDEX(Table32[[#All],[ΔCTREE_BSL,i,t (AR Tool 14) t C/yr]], MATCH(1, (Table12[[#This Row],[year t]]=Table32[[#All],[year t]])*(Table12[[#This Row],[stratum i]]=Table32[[#All],[stratum i]]), 0))</f>
        <v>0</v>
      </c>
      <c r="M76" cm="1">
        <f t="array" ref="M76">IF(baseline_abground_nontree = "Included", INDEX(#REF!, MATCH(1, (Table12[[#This Row],[year t]]=Table32[[#All],[year t]])*(Table12[[#This Row],[stratum i]]=Table32[[#All],[stratum i]]), 0)), 0)</f>
        <v>0</v>
      </c>
      <c r="N76">
        <f>12/44*(Table12[[#This Row],[ΔCTREE_BSL,i,t (AR Tool 14) t CO2e/yr]]+Table12[[#This Row],[ΔCSHRUB_BSL,i,t (AR Tool 14) t CO2e/yr]])</f>
        <v>0</v>
      </c>
      <c r="O76" cm="1">
        <f t="array" ref="O76">IF(baseline_abground_nontree = "Included", IFERROR(INDEX(Table13[[#All],[ΔCBSL-herb,i,t (Eq 25)]], MATCH(1, (Table12[[#This Row],[stratum i]]=Table13[[#All],[stratum i]])*(Table12[[#This Row],[year t]]&gt;=#REF!)*(Table12[[#This Row],[year t]]&lt;=Table13[[#All],[year t]]), 0)), 0), 0)</f>
        <v>0</v>
      </c>
      <c r="P76">
        <f>Table12[[#This Row],[ΔCBSL-tree/shrub,i,t (t C/yr) (Eq 24)]]+Table12[[#This Row],[ΔCBSL-herb,i,t (t C/yr)]]-Table12[[#This Row],[ΔCBSL-agbiomass,i,t; t C yr-1 (submergence)]]</f>
        <v>0</v>
      </c>
      <c r="Q76" cm="1">
        <f t="array" ref="Q76">IFERROR(INDEX(Table14[[#All],[GHGBSL-soil,i,t (Eq 26)]], MATCH(1, (Table12[[#This Row],[year t]]=Table14[[#All],[year t]])*(Table12[[#This Row],[stratum i]]=Table14[[#All],[stratum i]]), 0)), 0)</f>
        <v>0</v>
      </c>
      <c r="R76">
        <f>IF(baseline_ff_CO2 = "Included", Table12[[#This Row],[ET(FC,I,t) AR-Tool 5]], 0)</f>
        <v>0</v>
      </c>
      <c r="S76" t="e" cm="1">
        <f t="array" ref="S76">INDEX(#REF!, MATCH(1, (Table12[[#This Row],[year t]]=Table32[[#All],[year t]])*(Table12[[#This Row],[stratum i]]=Table32[[#All],[stratum i]]), 0))</f>
        <v>#REF!</v>
      </c>
      <c r="T76" cm="1">
        <f t="array" ref="T76">IFERROR(INDEX(Table30[[#All],[ΔCBSL-agbiomass,i,t (equation 22) t C yr-1]], MATCH(1, (Table12[[#This Row],[stratum i]]=Table30[[#All],[Stratum i]])*(Table12[[#This Row],[year t]]&lt;Table30[[#All],[Year of reporting]]), 0)), 0)</f>
        <v>0</v>
      </c>
      <c r="AG76" s="18">
        <v>2054</v>
      </c>
      <c r="AH76">
        <v>2</v>
      </c>
      <c r="AI76" s="49" t="e" cm="1">
        <f t="array" ref="AI76">INDEX(#REF!, MATCH(1, (Table13[[#This Row],[year t]]=Table32[[#All],[year t]])*(Table13[[#This Row],[stratum i]]=Table32[[#All],[stratum i]]), 0))</f>
        <v>#REF!</v>
      </c>
      <c r="AJ76" s="49" t="e">
        <f>Table13[[#This Row],[ΔCBSL-herb,i,t (tC/ha)]]</f>
        <v>#REF!</v>
      </c>
      <c r="AO76" s="18">
        <v>2054</v>
      </c>
      <c r="AP76">
        <v>2</v>
      </c>
      <c r="AQ76" s="18" cm="1">
        <f t="array" ref="AQ76">INDEX(Table32[[#All],[Ai,t]], MATCH(1, (Table14[[#This Row],[year t]]=Table32[[#All],[year t]])*(Table14[[#This Row],[stratum i]]=Table32[[#All],[stratum i]]), 0))</f>
        <v>1982.9786785714284</v>
      </c>
      <c r="AR76" t="str">
        <f>IF(AND(INDEX(Table31[[#All],[Soil type (t=0)]], MATCH(Table14[[#This Row],[stratum i]], Table31[[#All],[Stratum i]]))="Peat soil", Table14[[#This Row],[year t]]&lt;=Table14[[#This Row],[End_PDT]]), "Peat soil", "Non-peat soil")</f>
        <v>Non-peat soil</v>
      </c>
      <c r="AS76">
        <f>IF(Emission_reduction_from_stock_loss?, INDEX(Table2[[#All],[End_PDT]], MATCH(Table14[[#This Row],[stratum i]], Table2[[#All],[stratum i]])), crediting_period)</f>
        <v>40</v>
      </c>
      <c r="AT76">
        <f>IF(Emission_reduction_from_stock_loss?, INDEX(Table2[[#All],[End_SDT]], MATCH(Table14[[#This Row],[stratum i]], Table2[[#All],[stratum i]])), crediting_period)</f>
        <v>40</v>
      </c>
      <c r="AU76" cm="1">
        <f t="array" ref="AU7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6" t="e" cm="1">
        <f t="array" ref="AV76">INDEX(#REF!, MATCH(1, (Table14[[#This Row],[year t]]=Table32[[#All],[year t]])*(Table14[[#This Row],[stratum i]]=Table32[[#All],[stratum i]]), 0))</f>
        <v>#REF!</v>
      </c>
      <c r="AW7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6" s="57">
        <f>(Table14[[#This Row],[GHGBSL-soil-CO2,i,t (Eq 27)]]-Table14[[#This Row],[Deductionalloch (Eq 38)]])*Table14[[#This Row],[Ai,t]]</f>
        <v>0</v>
      </c>
      <c r="AY76" cm="1">
        <f t="array" ref="AY76">IF(baseline_soil_CH4 = "Included", INDEX(Table18[[#All],[GHGBSL-soil-CH4,i,t (Eq 59)]], MATCH(1, (Table14[[#This Row],[year t]]=Table18[[#All],[year t]])*(Table14[[#This Row],[stratum i]]=Table18[[#All],[stratum i]]), 0)), 0)</f>
        <v>0</v>
      </c>
      <c r="AZ76" cm="1">
        <f t="array" ref="AZ76">IF(baseline_soil_N2O = "Included", INDEX(Table18[[#All],[GHGBSL-soil-N2O,i,t (Eq 62)]], MATCH(1, (Table14[[#This Row],[year t]]=Table18[[#All],[year t]])*(Table14[[#This Row],[stratum i]]=Table18[[#All],[stratum i]]), 0)), 0)</f>
        <v>0</v>
      </c>
      <c r="BA76">
        <f>IF(AND(Table14[[#This Row],[year t]]&gt;Table14[[#This Row],[End_PDT]],Table14[[#This Row],[year t]]&gt;Table14[[#This Row],[End_SDT]]), 0, Table14[[#This Row],[Ai,t]]*(Table14[[#This Row],[GHGBSL-soil-CO2,i,t (Eq 27)]]-Table14[[#This Row],[Deductionalloch (Eq 38)]]+Table14[[#This Row],[GHGBSL-soil-CH4,i,t]]+Table14[[#This Row],[GHGBSL-soil-N2O,i,t]]))</f>
        <v>0</v>
      </c>
      <c r="BB76" t="e" cm="1">
        <f t="array" ref="BB76">INDEX(#REF!, MATCH(1, (Table14[[#This Row],[year t]]=Table32[[#All],[year t]])*(Table14[[#This Row],[stratum i]]=Table32[[#All],[stratum i]]), 0))</f>
        <v>#REF!</v>
      </c>
      <c r="BC76" t="e" cm="1">
        <f t="array" ref="BC76">INDEX(#REF!, MATCH(1, (Table14[[#This Row],[year t]]=Table32[[#All],[year t]])*(Table14[[#This Row],[stratum i]]=Table32[[#All],[stratum i]]), 0))</f>
        <v>#REF!</v>
      </c>
      <c r="BD76" t="e" cm="1">
        <f t="array" ref="BD76">INDEX(#REF!, MATCH(1, (Table14[[#This Row],[year t]]=Table32[[#All],[year t]])*(Table14[[#This Row],[stratum i]]=Table32[[#All],[stratum i]]), 0))</f>
        <v>#REF!</v>
      </c>
      <c r="BE76" t="e" cm="1">
        <f t="array" ref="BE76">INDEX(#REF!, MATCH(1, (Table14[[#This Row],[year t]]=Table32[[#All],[year t]])*(Table14[[#This Row],[stratum i]]=Table32[[#All],[stratum i]]), 0))</f>
        <v>#REF!</v>
      </c>
      <c r="BF76" s="30"/>
      <c r="BM76" s="18">
        <v>2054</v>
      </c>
      <c r="BN76">
        <v>2</v>
      </c>
      <c r="BO76" t="e" cm="1">
        <f t="array" ref="BO76">INDEX(#REF!, MATCH(1, (Table132926[[#This Row],[year t]]=Table32[year t])*(Table132926[[#This Row],[stratum i]]=Table32[[#All],[stratum i]]), 0))</f>
        <v>#REF!</v>
      </c>
      <c r="BP76" t="e">
        <f>-44/12*Table132926[[#This Row],[∆CBSL-soil,i,t (tC/ha)]]</f>
        <v>#REF!</v>
      </c>
    </row>
    <row r="77" spans="10:68" x14ac:dyDescent="0.2">
      <c r="J77" s="18">
        <v>2055</v>
      </c>
      <c r="K77">
        <v>2</v>
      </c>
      <c r="L77" cm="1">
        <f t="array" ref="L77">INDEX(Table32[[#All],[ΔCTREE_BSL,i,t (AR Tool 14) t C/yr]], MATCH(1, (Table12[[#This Row],[year t]]=Table32[[#All],[year t]])*(Table12[[#This Row],[stratum i]]=Table32[[#All],[stratum i]]), 0))</f>
        <v>0</v>
      </c>
      <c r="M77" cm="1">
        <f t="array" ref="M77">IF(baseline_abground_nontree = "Included", INDEX(#REF!, MATCH(1, (Table12[[#This Row],[year t]]=Table32[[#All],[year t]])*(Table12[[#This Row],[stratum i]]=Table32[[#All],[stratum i]]), 0)), 0)</f>
        <v>0</v>
      </c>
      <c r="N77">
        <f>12/44*(Table12[[#This Row],[ΔCTREE_BSL,i,t (AR Tool 14) t CO2e/yr]]+Table12[[#This Row],[ΔCSHRUB_BSL,i,t (AR Tool 14) t CO2e/yr]])</f>
        <v>0</v>
      </c>
      <c r="O77" cm="1">
        <f t="array" ref="O77">IF(baseline_abground_nontree = "Included", IFERROR(INDEX(Table13[[#All],[ΔCBSL-herb,i,t (Eq 25)]], MATCH(1, (Table12[[#This Row],[stratum i]]=Table13[[#All],[stratum i]])*(Table12[[#This Row],[year t]]&gt;=#REF!)*(Table12[[#This Row],[year t]]&lt;=Table13[[#All],[year t]]), 0)), 0), 0)</f>
        <v>0</v>
      </c>
      <c r="P77">
        <f>Table12[[#This Row],[ΔCBSL-tree/shrub,i,t (t C/yr) (Eq 24)]]+Table12[[#This Row],[ΔCBSL-herb,i,t (t C/yr)]]-Table12[[#This Row],[ΔCBSL-agbiomass,i,t; t C yr-1 (submergence)]]</f>
        <v>0</v>
      </c>
      <c r="Q77" cm="1">
        <f t="array" ref="Q77">IFERROR(INDEX(Table14[[#All],[GHGBSL-soil,i,t (Eq 26)]], MATCH(1, (Table12[[#This Row],[year t]]=Table14[[#All],[year t]])*(Table12[[#This Row],[stratum i]]=Table14[[#All],[stratum i]]), 0)), 0)</f>
        <v>0</v>
      </c>
      <c r="R77">
        <f>IF(baseline_ff_CO2 = "Included", Table12[[#This Row],[ET(FC,I,t) AR-Tool 5]], 0)</f>
        <v>0</v>
      </c>
      <c r="S77" t="e" cm="1">
        <f t="array" ref="S77">INDEX(#REF!, MATCH(1, (Table12[[#This Row],[year t]]=Table32[[#All],[year t]])*(Table12[[#This Row],[stratum i]]=Table32[[#All],[stratum i]]), 0))</f>
        <v>#REF!</v>
      </c>
      <c r="T77" cm="1">
        <f t="array" ref="T77">IFERROR(INDEX(Table30[[#All],[ΔCBSL-agbiomass,i,t (equation 22) t C yr-1]], MATCH(1, (Table12[[#This Row],[stratum i]]=Table30[[#All],[Stratum i]])*(Table12[[#This Row],[year t]]&lt;Table30[[#All],[Year of reporting]]), 0)), 0)</f>
        <v>0</v>
      </c>
      <c r="AG77" s="18">
        <v>2055</v>
      </c>
      <c r="AH77">
        <v>2</v>
      </c>
      <c r="AI77" s="49" t="e" cm="1">
        <f t="array" ref="AI77">INDEX(#REF!, MATCH(1, (Table13[[#This Row],[year t]]=Table32[[#All],[year t]])*(Table13[[#This Row],[stratum i]]=Table32[[#All],[stratum i]]), 0))</f>
        <v>#REF!</v>
      </c>
      <c r="AJ77" s="49" t="e">
        <f>Table13[[#This Row],[ΔCBSL-herb,i,t (tC/ha)]]</f>
        <v>#REF!</v>
      </c>
      <c r="AO77" s="18">
        <v>2055</v>
      </c>
      <c r="AP77">
        <v>2</v>
      </c>
      <c r="AQ77" s="18" cm="1">
        <f t="array" ref="AQ77">INDEX(Table32[[#All],[Ai,t]], MATCH(1, (Table14[[#This Row],[year t]]=Table32[[#All],[year t]])*(Table14[[#This Row],[stratum i]]=Table32[[#All],[stratum i]]), 0))</f>
        <v>1982.9786785714284</v>
      </c>
      <c r="AR77" t="str">
        <f>IF(AND(INDEX(Table31[[#All],[Soil type (t=0)]], MATCH(Table14[[#This Row],[stratum i]], Table31[[#All],[Stratum i]]))="Peat soil", Table14[[#This Row],[year t]]&lt;=Table14[[#This Row],[End_PDT]]), "Peat soil", "Non-peat soil")</f>
        <v>Non-peat soil</v>
      </c>
      <c r="AS77">
        <f>IF(Emission_reduction_from_stock_loss?, INDEX(Table2[[#All],[End_PDT]], MATCH(Table14[[#This Row],[stratum i]], Table2[[#All],[stratum i]])), crediting_period)</f>
        <v>40</v>
      </c>
      <c r="AT77">
        <f>IF(Emission_reduction_from_stock_loss?, INDEX(Table2[[#All],[End_SDT]], MATCH(Table14[[#This Row],[stratum i]], Table2[[#All],[stratum i]])), crediting_period)</f>
        <v>40</v>
      </c>
      <c r="AU77" cm="1">
        <f t="array" ref="AU7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7" t="e" cm="1">
        <f t="array" ref="AV77">INDEX(#REF!, MATCH(1, (Table14[[#This Row],[year t]]=Table32[[#All],[year t]])*(Table14[[#This Row],[stratum i]]=Table32[[#All],[stratum i]]), 0))</f>
        <v>#REF!</v>
      </c>
      <c r="AW7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7" s="57">
        <f>(Table14[[#This Row],[GHGBSL-soil-CO2,i,t (Eq 27)]]-Table14[[#This Row],[Deductionalloch (Eq 38)]])*Table14[[#This Row],[Ai,t]]</f>
        <v>0</v>
      </c>
      <c r="AY77" cm="1">
        <f t="array" ref="AY77">IF(baseline_soil_CH4 = "Included", INDEX(Table18[[#All],[GHGBSL-soil-CH4,i,t (Eq 59)]], MATCH(1, (Table14[[#This Row],[year t]]=Table18[[#All],[year t]])*(Table14[[#This Row],[stratum i]]=Table18[[#All],[stratum i]]), 0)), 0)</f>
        <v>0</v>
      </c>
      <c r="AZ77" cm="1">
        <f t="array" ref="AZ77">IF(baseline_soil_N2O = "Included", INDEX(Table18[[#All],[GHGBSL-soil-N2O,i,t (Eq 62)]], MATCH(1, (Table14[[#This Row],[year t]]=Table18[[#All],[year t]])*(Table14[[#This Row],[stratum i]]=Table18[[#All],[stratum i]]), 0)), 0)</f>
        <v>0</v>
      </c>
      <c r="BA77">
        <f>IF(AND(Table14[[#This Row],[year t]]&gt;Table14[[#This Row],[End_PDT]],Table14[[#This Row],[year t]]&gt;Table14[[#This Row],[End_SDT]]), 0, Table14[[#This Row],[Ai,t]]*(Table14[[#This Row],[GHGBSL-soil-CO2,i,t (Eq 27)]]-Table14[[#This Row],[Deductionalloch (Eq 38)]]+Table14[[#This Row],[GHGBSL-soil-CH4,i,t]]+Table14[[#This Row],[GHGBSL-soil-N2O,i,t]]))</f>
        <v>0</v>
      </c>
      <c r="BB77" t="e" cm="1">
        <f t="array" ref="BB77">INDEX(#REF!, MATCH(1, (Table14[[#This Row],[year t]]=Table32[[#All],[year t]])*(Table14[[#This Row],[stratum i]]=Table32[[#All],[stratum i]]), 0))</f>
        <v>#REF!</v>
      </c>
      <c r="BC77" t="e" cm="1">
        <f t="array" ref="BC77">INDEX(#REF!, MATCH(1, (Table14[[#This Row],[year t]]=Table32[[#All],[year t]])*(Table14[[#This Row],[stratum i]]=Table32[[#All],[stratum i]]), 0))</f>
        <v>#REF!</v>
      </c>
      <c r="BD77" t="e" cm="1">
        <f t="array" ref="BD77">INDEX(#REF!, MATCH(1, (Table14[[#This Row],[year t]]=Table32[[#All],[year t]])*(Table14[[#This Row],[stratum i]]=Table32[[#All],[stratum i]]), 0))</f>
        <v>#REF!</v>
      </c>
      <c r="BE77" t="e" cm="1">
        <f t="array" ref="BE77">INDEX(#REF!, MATCH(1, (Table14[[#This Row],[year t]]=Table32[[#All],[year t]])*(Table14[[#This Row],[stratum i]]=Table32[[#All],[stratum i]]), 0))</f>
        <v>#REF!</v>
      </c>
      <c r="BF77" s="30"/>
      <c r="BM77" s="18">
        <v>2055</v>
      </c>
      <c r="BN77">
        <v>2</v>
      </c>
      <c r="BO77" t="e" cm="1">
        <f t="array" ref="BO77">INDEX(#REF!, MATCH(1, (Table132926[[#This Row],[year t]]=Table32[year t])*(Table132926[[#This Row],[stratum i]]=Table32[[#All],[stratum i]]), 0))</f>
        <v>#REF!</v>
      </c>
      <c r="BP77" t="e">
        <f>-44/12*Table132926[[#This Row],[∆CBSL-soil,i,t (tC/ha)]]</f>
        <v>#REF!</v>
      </c>
    </row>
    <row r="78" spans="10:68" x14ac:dyDescent="0.2">
      <c r="J78" s="18">
        <v>2056</v>
      </c>
      <c r="K78">
        <v>2</v>
      </c>
      <c r="L78" cm="1">
        <f t="array" ref="L78">INDEX(Table32[[#All],[ΔCTREE_BSL,i,t (AR Tool 14) t C/yr]], MATCH(1, (Table12[[#This Row],[year t]]=Table32[[#All],[year t]])*(Table12[[#This Row],[stratum i]]=Table32[[#All],[stratum i]]), 0))</f>
        <v>0</v>
      </c>
      <c r="M78" cm="1">
        <f t="array" ref="M78">IF(baseline_abground_nontree = "Included", INDEX(#REF!, MATCH(1, (Table12[[#This Row],[year t]]=Table32[[#All],[year t]])*(Table12[[#This Row],[stratum i]]=Table32[[#All],[stratum i]]), 0)), 0)</f>
        <v>0</v>
      </c>
      <c r="N78">
        <f>12/44*(Table12[[#This Row],[ΔCTREE_BSL,i,t (AR Tool 14) t CO2e/yr]]+Table12[[#This Row],[ΔCSHRUB_BSL,i,t (AR Tool 14) t CO2e/yr]])</f>
        <v>0</v>
      </c>
      <c r="O78" cm="1">
        <f t="array" ref="O78">IF(baseline_abground_nontree = "Included", IFERROR(INDEX(Table13[[#All],[ΔCBSL-herb,i,t (Eq 25)]], MATCH(1, (Table12[[#This Row],[stratum i]]=Table13[[#All],[stratum i]])*(Table12[[#This Row],[year t]]&gt;=#REF!)*(Table12[[#This Row],[year t]]&lt;=Table13[[#All],[year t]]), 0)), 0), 0)</f>
        <v>0</v>
      </c>
      <c r="P78">
        <f>Table12[[#This Row],[ΔCBSL-tree/shrub,i,t (t C/yr) (Eq 24)]]+Table12[[#This Row],[ΔCBSL-herb,i,t (t C/yr)]]-Table12[[#This Row],[ΔCBSL-agbiomass,i,t; t C yr-1 (submergence)]]</f>
        <v>0</v>
      </c>
      <c r="Q78" cm="1">
        <f t="array" ref="Q78">IFERROR(INDEX(Table14[[#All],[GHGBSL-soil,i,t (Eq 26)]], MATCH(1, (Table12[[#This Row],[year t]]=Table14[[#All],[year t]])*(Table12[[#This Row],[stratum i]]=Table14[[#All],[stratum i]]), 0)), 0)</f>
        <v>0</v>
      </c>
      <c r="R78">
        <f>IF(baseline_ff_CO2 = "Included", Table12[[#This Row],[ET(FC,I,t) AR-Tool 5]], 0)</f>
        <v>0</v>
      </c>
      <c r="S78" t="e" cm="1">
        <f t="array" ref="S78">INDEX(#REF!, MATCH(1, (Table12[[#This Row],[year t]]=Table32[[#All],[year t]])*(Table12[[#This Row],[stratum i]]=Table32[[#All],[stratum i]]), 0))</f>
        <v>#REF!</v>
      </c>
      <c r="T78" cm="1">
        <f t="array" ref="T78">IFERROR(INDEX(Table30[[#All],[ΔCBSL-agbiomass,i,t (equation 22) t C yr-1]], MATCH(1, (Table12[[#This Row],[stratum i]]=Table30[[#All],[Stratum i]])*(Table12[[#This Row],[year t]]&lt;Table30[[#All],[Year of reporting]]), 0)), 0)</f>
        <v>0</v>
      </c>
      <c r="AG78" s="18">
        <v>2056</v>
      </c>
      <c r="AH78">
        <v>2</v>
      </c>
      <c r="AI78" s="49" t="e" cm="1">
        <f t="array" ref="AI78">INDEX(#REF!, MATCH(1, (Table13[[#This Row],[year t]]=Table32[[#All],[year t]])*(Table13[[#This Row],[stratum i]]=Table32[[#All],[stratum i]]), 0))</f>
        <v>#REF!</v>
      </c>
      <c r="AJ78" s="49" t="e">
        <f>Table13[[#This Row],[ΔCBSL-herb,i,t (tC/ha)]]</f>
        <v>#REF!</v>
      </c>
      <c r="AO78" s="18">
        <v>2056</v>
      </c>
      <c r="AP78">
        <v>2</v>
      </c>
      <c r="AQ78" s="18" cm="1">
        <f t="array" ref="AQ78">INDEX(Table32[[#All],[Ai,t]], MATCH(1, (Table14[[#This Row],[year t]]=Table32[[#All],[year t]])*(Table14[[#This Row],[stratum i]]=Table32[[#All],[stratum i]]), 0))</f>
        <v>1982.9786785714284</v>
      </c>
      <c r="AR78" t="str">
        <f>IF(AND(INDEX(Table31[[#All],[Soil type (t=0)]], MATCH(Table14[[#This Row],[stratum i]], Table31[[#All],[Stratum i]]))="Peat soil", Table14[[#This Row],[year t]]&lt;=Table14[[#This Row],[End_PDT]]), "Peat soil", "Non-peat soil")</f>
        <v>Non-peat soil</v>
      </c>
      <c r="AS78">
        <f>IF(Emission_reduction_from_stock_loss?, INDEX(Table2[[#All],[End_PDT]], MATCH(Table14[[#This Row],[stratum i]], Table2[[#All],[stratum i]])), crediting_period)</f>
        <v>40</v>
      </c>
      <c r="AT78">
        <f>IF(Emission_reduction_from_stock_loss?, INDEX(Table2[[#All],[End_SDT]], MATCH(Table14[[#This Row],[stratum i]], Table2[[#All],[stratum i]])), crediting_period)</f>
        <v>40</v>
      </c>
      <c r="AU78" cm="1">
        <f t="array" ref="AU7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8" t="e" cm="1">
        <f t="array" ref="AV78">INDEX(#REF!, MATCH(1, (Table14[[#This Row],[year t]]=Table32[[#All],[year t]])*(Table14[[#This Row],[stratum i]]=Table32[[#All],[stratum i]]), 0))</f>
        <v>#REF!</v>
      </c>
      <c r="AW7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8" s="57">
        <f>(Table14[[#This Row],[GHGBSL-soil-CO2,i,t (Eq 27)]]-Table14[[#This Row],[Deductionalloch (Eq 38)]])*Table14[[#This Row],[Ai,t]]</f>
        <v>0</v>
      </c>
      <c r="AY78" cm="1">
        <f t="array" ref="AY78">IF(baseline_soil_CH4 = "Included", INDEX(Table18[[#All],[GHGBSL-soil-CH4,i,t (Eq 59)]], MATCH(1, (Table14[[#This Row],[year t]]=Table18[[#All],[year t]])*(Table14[[#This Row],[stratum i]]=Table18[[#All],[stratum i]]), 0)), 0)</f>
        <v>0</v>
      </c>
      <c r="AZ78" cm="1">
        <f t="array" ref="AZ78">IF(baseline_soil_N2O = "Included", INDEX(Table18[[#All],[GHGBSL-soil-N2O,i,t (Eq 62)]], MATCH(1, (Table14[[#This Row],[year t]]=Table18[[#All],[year t]])*(Table14[[#This Row],[stratum i]]=Table18[[#All],[stratum i]]), 0)), 0)</f>
        <v>0</v>
      </c>
      <c r="BA78">
        <f>IF(AND(Table14[[#This Row],[year t]]&gt;Table14[[#This Row],[End_PDT]],Table14[[#This Row],[year t]]&gt;Table14[[#This Row],[End_SDT]]), 0, Table14[[#This Row],[Ai,t]]*(Table14[[#This Row],[GHGBSL-soil-CO2,i,t (Eq 27)]]-Table14[[#This Row],[Deductionalloch (Eq 38)]]+Table14[[#This Row],[GHGBSL-soil-CH4,i,t]]+Table14[[#This Row],[GHGBSL-soil-N2O,i,t]]))</f>
        <v>0</v>
      </c>
      <c r="BB78" t="e" cm="1">
        <f t="array" ref="BB78">INDEX(#REF!, MATCH(1, (Table14[[#This Row],[year t]]=Table32[[#All],[year t]])*(Table14[[#This Row],[stratum i]]=Table32[[#All],[stratum i]]), 0))</f>
        <v>#REF!</v>
      </c>
      <c r="BC78" t="e" cm="1">
        <f t="array" ref="BC78">INDEX(#REF!, MATCH(1, (Table14[[#This Row],[year t]]=Table32[[#All],[year t]])*(Table14[[#This Row],[stratum i]]=Table32[[#All],[stratum i]]), 0))</f>
        <v>#REF!</v>
      </c>
      <c r="BD78" t="e" cm="1">
        <f t="array" ref="BD78">INDEX(#REF!, MATCH(1, (Table14[[#This Row],[year t]]=Table32[[#All],[year t]])*(Table14[[#This Row],[stratum i]]=Table32[[#All],[stratum i]]), 0))</f>
        <v>#REF!</v>
      </c>
      <c r="BE78" t="e" cm="1">
        <f t="array" ref="BE78">INDEX(#REF!, MATCH(1, (Table14[[#This Row],[year t]]=Table32[[#All],[year t]])*(Table14[[#This Row],[stratum i]]=Table32[[#All],[stratum i]]), 0))</f>
        <v>#REF!</v>
      </c>
      <c r="BF78" s="30"/>
      <c r="BM78" s="18">
        <v>2056</v>
      </c>
      <c r="BN78">
        <v>2</v>
      </c>
      <c r="BO78" t="e" cm="1">
        <f t="array" ref="BO78">INDEX(#REF!, MATCH(1, (Table132926[[#This Row],[year t]]=Table32[year t])*(Table132926[[#This Row],[stratum i]]=Table32[[#All],[stratum i]]), 0))</f>
        <v>#REF!</v>
      </c>
      <c r="BP78" t="e">
        <f>-44/12*Table132926[[#This Row],[∆CBSL-soil,i,t (tC/ha)]]</f>
        <v>#REF!</v>
      </c>
    </row>
    <row r="79" spans="10:68" x14ac:dyDescent="0.2">
      <c r="J79" s="18">
        <v>2057</v>
      </c>
      <c r="K79">
        <v>2</v>
      </c>
      <c r="L79" cm="1">
        <f t="array" ref="L79">INDEX(Table32[[#All],[ΔCTREE_BSL,i,t (AR Tool 14) t C/yr]], MATCH(1, (Table12[[#This Row],[year t]]=Table32[[#All],[year t]])*(Table12[[#This Row],[stratum i]]=Table32[[#All],[stratum i]]), 0))</f>
        <v>0</v>
      </c>
      <c r="M79" cm="1">
        <f t="array" ref="M79">IF(baseline_abground_nontree = "Included", INDEX(#REF!, MATCH(1, (Table12[[#This Row],[year t]]=Table32[[#All],[year t]])*(Table12[[#This Row],[stratum i]]=Table32[[#All],[stratum i]]), 0)), 0)</f>
        <v>0</v>
      </c>
      <c r="N79">
        <f>12/44*(Table12[[#This Row],[ΔCTREE_BSL,i,t (AR Tool 14) t CO2e/yr]]+Table12[[#This Row],[ΔCSHRUB_BSL,i,t (AR Tool 14) t CO2e/yr]])</f>
        <v>0</v>
      </c>
      <c r="O79" cm="1">
        <f t="array" ref="O79">IF(baseline_abground_nontree = "Included", IFERROR(INDEX(Table13[[#All],[ΔCBSL-herb,i,t (Eq 25)]], MATCH(1, (Table12[[#This Row],[stratum i]]=Table13[[#All],[stratum i]])*(Table12[[#This Row],[year t]]&gt;=#REF!)*(Table12[[#This Row],[year t]]&lt;=Table13[[#All],[year t]]), 0)), 0), 0)</f>
        <v>0</v>
      </c>
      <c r="P79">
        <f>Table12[[#This Row],[ΔCBSL-tree/shrub,i,t (t C/yr) (Eq 24)]]+Table12[[#This Row],[ΔCBSL-herb,i,t (t C/yr)]]-Table12[[#This Row],[ΔCBSL-agbiomass,i,t; t C yr-1 (submergence)]]</f>
        <v>0</v>
      </c>
      <c r="Q79" cm="1">
        <f t="array" ref="Q79">IFERROR(INDEX(Table14[[#All],[GHGBSL-soil,i,t (Eq 26)]], MATCH(1, (Table12[[#This Row],[year t]]=Table14[[#All],[year t]])*(Table12[[#This Row],[stratum i]]=Table14[[#All],[stratum i]]), 0)), 0)</f>
        <v>0</v>
      </c>
      <c r="R79">
        <f>IF(baseline_ff_CO2 = "Included", Table12[[#This Row],[ET(FC,I,t) AR-Tool 5]], 0)</f>
        <v>0</v>
      </c>
      <c r="S79" t="e" cm="1">
        <f t="array" ref="S79">INDEX(#REF!, MATCH(1, (Table12[[#This Row],[year t]]=Table32[[#All],[year t]])*(Table12[[#This Row],[stratum i]]=Table32[[#All],[stratum i]]), 0))</f>
        <v>#REF!</v>
      </c>
      <c r="T79" cm="1">
        <f t="array" ref="T79">IFERROR(INDEX(Table30[[#All],[ΔCBSL-agbiomass,i,t (equation 22) t C yr-1]], MATCH(1, (Table12[[#This Row],[stratum i]]=Table30[[#All],[Stratum i]])*(Table12[[#This Row],[year t]]&lt;Table30[[#All],[Year of reporting]]), 0)), 0)</f>
        <v>0</v>
      </c>
      <c r="AG79" s="18">
        <v>2057</v>
      </c>
      <c r="AH79">
        <v>2</v>
      </c>
      <c r="AI79" s="49" t="e" cm="1">
        <f t="array" ref="AI79">INDEX(#REF!, MATCH(1, (Table13[[#This Row],[year t]]=Table32[[#All],[year t]])*(Table13[[#This Row],[stratum i]]=Table32[[#All],[stratum i]]), 0))</f>
        <v>#REF!</v>
      </c>
      <c r="AJ79" s="49" t="e">
        <f>Table13[[#This Row],[ΔCBSL-herb,i,t (tC/ha)]]</f>
        <v>#REF!</v>
      </c>
      <c r="AO79" s="18">
        <v>2057</v>
      </c>
      <c r="AP79">
        <v>2</v>
      </c>
      <c r="AQ79" s="18" cm="1">
        <f t="array" ref="AQ79">INDEX(Table32[[#All],[Ai,t]], MATCH(1, (Table14[[#This Row],[year t]]=Table32[[#All],[year t]])*(Table14[[#This Row],[stratum i]]=Table32[[#All],[stratum i]]), 0))</f>
        <v>1982.9786785714284</v>
      </c>
      <c r="AR79" t="str">
        <f>IF(AND(INDEX(Table31[[#All],[Soil type (t=0)]], MATCH(Table14[[#This Row],[stratum i]], Table31[[#All],[Stratum i]]))="Peat soil", Table14[[#This Row],[year t]]&lt;=Table14[[#This Row],[End_PDT]]), "Peat soil", "Non-peat soil")</f>
        <v>Non-peat soil</v>
      </c>
      <c r="AS79">
        <f>IF(Emission_reduction_from_stock_loss?, INDEX(Table2[[#All],[End_PDT]], MATCH(Table14[[#This Row],[stratum i]], Table2[[#All],[stratum i]])), crediting_period)</f>
        <v>40</v>
      </c>
      <c r="AT79">
        <f>IF(Emission_reduction_from_stock_loss?, INDEX(Table2[[#All],[End_SDT]], MATCH(Table14[[#This Row],[stratum i]], Table2[[#All],[stratum i]])), crediting_period)</f>
        <v>40</v>
      </c>
      <c r="AU79" cm="1">
        <f t="array" ref="AU7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79" t="e" cm="1">
        <f t="array" ref="AV79">INDEX(#REF!, MATCH(1, (Table14[[#This Row],[year t]]=Table32[[#All],[year t]])*(Table14[[#This Row],[stratum i]]=Table32[[#All],[stratum i]]), 0))</f>
        <v>#REF!</v>
      </c>
      <c r="AW7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79" s="57">
        <f>(Table14[[#This Row],[GHGBSL-soil-CO2,i,t (Eq 27)]]-Table14[[#This Row],[Deductionalloch (Eq 38)]])*Table14[[#This Row],[Ai,t]]</f>
        <v>0</v>
      </c>
      <c r="AY79" cm="1">
        <f t="array" ref="AY79">IF(baseline_soil_CH4 = "Included", INDEX(Table18[[#All],[GHGBSL-soil-CH4,i,t (Eq 59)]], MATCH(1, (Table14[[#This Row],[year t]]=Table18[[#All],[year t]])*(Table14[[#This Row],[stratum i]]=Table18[[#All],[stratum i]]), 0)), 0)</f>
        <v>0</v>
      </c>
      <c r="AZ79" cm="1">
        <f t="array" ref="AZ79">IF(baseline_soil_N2O = "Included", INDEX(Table18[[#All],[GHGBSL-soil-N2O,i,t (Eq 62)]], MATCH(1, (Table14[[#This Row],[year t]]=Table18[[#All],[year t]])*(Table14[[#This Row],[stratum i]]=Table18[[#All],[stratum i]]), 0)), 0)</f>
        <v>0</v>
      </c>
      <c r="BA79">
        <f>IF(AND(Table14[[#This Row],[year t]]&gt;Table14[[#This Row],[End_PDT]],Table14[[#This Row],[year t]]&gt;Table14[[#This Row],[End_SDT]]), 0, Table14[[#This Row],[Ai,t]]*(Table14[[#This Row],[GHGBSL-soil-CO2,i,t (Eq 27)]]-Table14[[#This Row],[Deductionalloch (Eq 38)]]+Table14[[#This Row],[GHGBSL-soil-CH4,i,t]]+Table14[[#This Row],[GHGBSL-soil-N2O,i,t]]))</f>
        <v>0</v>
      </c>
      <c r="BB79" t="e" cm="1">
        <f t="array" ref="BB79">INDEX(#REF!, MATCH(1, (Table14[[#This Row],[year t]]=Table32[[#All],[year t]])*(Table14[[#This Row],[stratum i]]=Table32[[#All],[stratum i]]), 0))</f>
        <v>#REF!</v>
      </c>
      <c r="BC79" t="e" cm="1">
        <f t="array" ref="BC79">INDEX(#REF!, MATCH(1, (Table14[[#This Row],[year t]]=Table32[[#All],[year t]])*(Table14[[#This Row],[stratum i]]=Table32[[#All],[stratum i]]), 0))</f>
        <v>#REF!</v>
      </c>
      <c r="BD79" t="e" cm="1">
        <f t="array" ref="BD79">INDEX(#REF!, MATCH(1, (Table14[[#This Row],[year t]]=Table32[[#All],[year t]])*(Table14[[#This Row],[stratum i]]=Table32[[#All],[stratum i]]), 0))</f>
        <v>#REF!</v>
      </c>
      <c r="BE79" t="e" cm="1">
        <f t="array" ref="BE79">INDEX(#REF!, MATCH(1, (Table14[[#This Row],[year t]]=Table32[[#All],[year t]])*(Table14[[#This Row],[stratum i]]=Table32[[#All],[stratum i]]), 0))</f>
        <v>#REF!</v>
      </c>
      <c r="BF79" s="30"/>
      <c r="BM79" s="18">
        <v>2057</v>
      </c>
      <c r="BN79">
        <v>2</v>
      </c>
      <c r="BO79" t="e" cm="1">
        <f t="array" ref="BO79">INDEX(#REF!, MATCH(1, (Table132926[[#This Row],[year t]]=Table32[year t])*(Table132926[[#This Row],[stratum i]]=Table32[[#All],[stratum i]]), 0))</f>
        <v>#REF!</v>
      </c>
      <c r="BP79" t="e">
        <f>-44/12*Table132926[[#This Row],[∆CBSL-soil,i,t (tC/ha)]]</f>
        <v>#REF!</v>
      </c>
    </row>
    <row r="80" spans="10:68" x14ac:dyDescent="0.2">
      <c r="J80" s="18">
        <v>2058</v>
      </c>
      <c r="K80">
        <v>2</v>
      </c>
      <c r="L80" cm="1">
        <f t="array" ref="L80">INDEX(Table32[[#All],[ΔCTREE_BSL,i,t (AR Tool 14) t C/yr]], MATCH(1, (Table12[[#This Row],[year t]]=Table32[[#All],[year t]])*(Table12[[#This Row],[stratum i]]=Table32[[#All],[stratum i]]), 0))</f>
        <v>0</v>
      </c>
      <c r="M80" cm="1">
        <f t="array" ref="M80">IF(baseline_abground_nontree = "Included", INDEX(#REF!, MATCH(1, (Table12[[#This Row],[year t]]=Table32[[#All],[year t]])*(Table12[[#This Row],[stratum i]]=Table32[[#All],[stratum i]]), 0)), 0)</f>
        <v>0</v>
      </c>
      <c r="N80">
        <f>12/44*(Table12[[#This Row],[ΔCTREE_BSL,i,t (AR Tool 14) t CO2e/yr]]+Table12[[#This Row],[ΔCSHRUB_BSL,i,t (AR Tool 14) t CO2e/yr]])</f>
        <v>0</v>
      </c>
      <c r="O80" cm="1">
        <f t="array" ref="O80">IF(baseline_abground_nontree = "Included", IFERROR(INDEX(Table13[[#All],[ΔCBSL-herb,i,t (Eq 25)]], MATCH(1, (Table12[[#This Row],[stratum i]]=Table13[[#All],[stratum i]])*(Table12[[#This Row],[year t]]&gt;=#REF!)*(Table12[[#This Row],[year t]]&lt;=Table13[[#All],[year t]]), 0)), 0), 0)</f>
        <v>0</v>
      </c>
      <c r="P80">
        <f>Table12[[#This Row],[ΔCBSL-tree/shrub,i,t (t C/yr) (Eq 24)]]+Table12[[#This Row],[ΔCBSL-herb,i,t (t C/yr)]]-Table12[[#This Row],[ΔCBSL-agbiomass,i,t; t C yr-1 (submergence)]]</f>
        <v>0</v>
      </c>
      <c r="Q80" cm="1">
        <f t="array" ref="Q80">IFERROR(INDEX(Table14[[#All],[GHGBSL-soil,i,t (Eq 26)]], MATCH(1, (Table12[[#This Row],[year t]]=Table14[[#All],[year t]])*(Table12[[#This Row],[stratum i]]=Table14[[#All],[stratum i]]), 0)), 0)</f>
        <v>0</v>
      </c>
      <c r="R80">
        <f>IF(baseline_ff_CO2 = "Included", Table12[[#This Row],[ET(FC,I,t) AR-Tool 5]], 0)</f>
        <v>0</v>
      </c>
      <c r="S80" t="e" cm="1">
        <f t="array" ref="S80">INDEX(#REF!, MATCH(1, (Table12[[#This Row],[year t]]=Table32[[#All],[year t]])*(Table12[[#This Row],[stratum i]]=Table32[[#All],[stratum i]]), 0))</f>
        <v>#REF!</v>
      </c>
      <c r="T80" cm="1">
        <f t="array" ref="T80">IFERROR(INDEX(Table30[[#All],[ΔCBSL-agbiomass,i,t (equation 22) t C yr-1]], MATCH(1, (Table12[[#This Row],[stratum i]]=Table30[[#All],[Stratum i]])*(Table12[[#This Row],[year t]]&lt;Table30[[#All],[Year of reporting]]), 0)), 0)</f>
        <v>0</v>
      </c>
      <c r="AG80" s="18">
        <v>2058</v>
      </c>
      <c r="AH80">
        <v>2</v>
      </c>
      <c r="AI80" s="49" t="e" cm="1">
        <f t="array" ref="AI80">INDEX(#REF!, MATCH(1, (Table13[[#This Row],[year t]]=Table32[[#All],[year t]])*(Table13[[#This Row],[stratum i]]=Table32[[#All],[stratum i]]), 0))</f>
        <v>#REF!</v>
      </c>
      <c r="AJ80" s="49" t="e">
        <f>Table13[[#This Row],[ΔCBSL-herb,i,t (tC/ha)]]</f>
        <v>#REF!</v>
      </c>
      <c r="AO80" s="18">
        <v>2058</v>
      </c>
      <c r="AP80">
        <v>2</v>
      </c>
      <c r="AQ80" s="18" cm="1">
        <f t="array" ref="AQ80">INDEX(Table32[[#All],[Ai,t]], MATCH(1, (Table14[[#This Row],[year t]]=Table32[[#All],[year t]])*(Table14[[#This Row],[stratum i]]=Table32[[#All],[stratum i]]), 0))</f>
        <v>1982.9786785714284</v>
      </c>
      <c r="AR80" t="str">
        <f>IF(AND(INDEX(Table31[[#All],[Soil type (t=0)]], MATCH(Table14[[#This Row],[stratum i]], Table31[[#All],[Stratum i]]))="Peat soil", Table14[[#This Row],[year t]]&lt;=Table14[[#This Row],[End_PDT]]), "Peat soil", "Non-peat soil")</f>
        <v>Non-peat soil</v>
      </c>
      <c r="AS80">
        <f>IF(Emission_reduction_from_stock_loss?, INDEX(Table2[[#All],[End_PDT]], MATCH(Table14[[#This Row],[stratum i]], Table2[[#All],[stratum i]])), crediting_period)</f>
        <v>40</v>
      </c>
      <c r="AT80">
        <f>IF(Emission_reduction_from_stock_loss?, INDEX(Table2[[#All],[End_SDT]], MATCH(Table14[[#This Row],[stratum i]], Table2[[#All],[stratum i]])), crediting_period)</f>
        <v>40</v>
      </c>
      <c r="AU80" cm="1">
        <f t="array" ref="AU8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0" t="e" cm="1">
        <f t="array" ref="AV80">INDEX(#REF!, MATCH(1, (Table14[[#This Row],[year t]]=Table32[[#All],[year t]])*(Table14[[#This Row],[stratum i]]=Table32[[#All],[stratum i]]), 0))</f>
        <v>#REF!</v>
      </c>
      <c r="AW8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0" s="57">
        <f>(Table14[[#This Row],[GHGBSL-soil-CO2,i,t (Eq 27)]]-Table14[[#This Row],[Deductionalloch (Eq 38)]])*Table14[[#This Row],[Ai,t]]</f>
        <v>0</v>
      </c>
      <c r="AY80" cm="1">
        <f t="array" ref="AY80">IF(baseline_soil_CH4 = "Included", INDEX(Table18[[#All],[GHGBSL-soil-CH4,i,t (Eq 59)]], MATCH(1, (Table14[[#This Row],[year t]]=Table18[[#All],[year t]])*(Table14[[#This Row],[stratum i]]=Table18[[#All],[stratum i]]), 0)), 0)</f>
        <v>0</v>
      </c>
      <c r="AZ80" cm="1">
        <f t="array" ref="AZ80">IF(baseline_soil_N2O = "Included", INDEX(Table18[[#All],[GHGBSL-soil-N2O,i,t (Eq 62)]], MATCH(1, (Table14[[#This Row],[year t]]=Table18[[#All],[year t]])*(Table14[[#This Row],[stratum i]]=Table18[[#All],[stratum i]]), 0)), 0)</f>
        <v>0</v>
      </c>
      <c r="BA80">
        <f>IF(AND(Table14[[#This Row],[year t]]&gt;Table14[[#This Row],[End_PDT]],Table14[[#This Row],[year t]]&gt;Table14[[#This Row],[End_SDT]]), 0, Table14[[#This Row],[Ai,t]]*(Table14[[#This Row],[GHGBSL-soil-CO2,i,t (Eq 27)]]-Table14[[#This Row],[Deductionalloch (Eq 38)]]+Table14[[#This Row],[GHGBSL-soil-CH4,i,t]]+Table14[[#This Row],[GHGBSL-soil-N2O,i,t]]))</f>
        <v>0</v>
      </c>
      <c r="BB80" t="e" cm="1">
        <f t="array" ref="BB80">INDEX(#REF!, MATCH(1, (Table14[[#This Row],[year t]]=Table32[[#All],[year t]])*(Table14[[#This Row],[stratum i]]=Table32[[#All],[stratum i]]), 0))</f>
        <v>#REF!</v>
      </c>
      <c r="BC80" t="e" cm="1">
        <f t="array" ref="BC80">INDEX(#REF!, MATCH(1, (Table14[[#This Row],[year t]]=Table32[[#All],[year t]])*(Table14[[#This Row],[stratum i]]=Table32[[#All],[stratum i]]), 0))</f>
        <v>#REF!</v>
      </c>
      <c r="BD80" t="e" cm="1">
        <f t="array" ref="BD80">INDEX(#REF!, MATCH(1, (Table14[[#This Row],[year t]]=Table32[[#All],[year t]])*(Table14[[#This Row],[stratum i]]=Table32[[#All],[stratum i]]), 0))</f>
        <v>#REF!</v>
      </c>
      <c r="BE80" t="e" cm="1">
        <f t="array" ref="BE80">INDEX(#REF!, MATCH(1, (Table14[[#This Row],[year t]]=Table32[[#All],[year t]])*(Table14[[#This Row],[stratum i]]=Table32[[#All],[stratum i]]), 0))</f>
        <v>#REF!</v>
      </c>
      <c r="BF80" s="30"/>
      <c r="BM80" s="18">
        <v>2058</v>
      </c>
      <c r="BN80">
        <v>2</v>
      </c>
      <c r="BO80" t="e" cm="1">
        <f t="array" ref="BO80">INDEX(#REF!, MATCH(1, (Table132926[[#This Row],[year t]]=Table32[year t])*(Table132926[[#This Row],[stratum i]]=Table32[[#All],[stratum i]]), 0))</f>
        <v>#REF!</v>
      </c>
      <c r="BP80" t="e">
        <f>-44/12*Table132926[[#This Row],[∆CBSL-soil,i,t (tC/ha)]]</f>
        <v>#REF!</v>
      </c>
    </row>
    <row r="81" spans="10:68" x14ac:dyDescent="0.2">
      <c r="J81" s="18">
        <v>2059</v>
      </c>
      <c r="K81">
        <v>2</v>
      </c>
      <c r="L81" cm="1">
        <f t="array" ref="L81">INDEX(Table32[[#All],[ΔCTREE_BSL,i,t (AR Tool 14) t C/yr]], MATCH(1, (Table12[[#This Row],[year t]]=Table32[[#All],[year t]])*(Table12[[#This Row],[stratum i]]=Table32[[#All],[stratum i]]), 0))</f>
        <v>0</v>
      </c>
      <c r="M81" cm="1">
        <f t="array" ref="M81">IF(baseline_abground_nontree = "Included", INDEX(#REF!, MATCH(1, (Table12[[#This Row],[year t]]=Table32[[#All],[year t]])*(Table12[[#This Row],[stratum i]]=Table32[[#All],[stratum i]]), 0)), 0)</f>
        <v>0</v>
      </c>
      <c r="N81">
        <f>12/44*(Table12[[#This Row],[ΔCTREE_BSL,i,t (AR Tool 14) t CO2e/yr]]+Table12[[#This Row],[ΔCSHRUB_BSL,i,t (AR Tool 14) t CO2e/yr]])</f>
        <v>0</v>
      </c>
      <c r="O81" cm="1">
        <f t="array" ref="O81">IF(baseline_abground_nontree = "Included", IFERROR(INDEX(Table13[[#All],[ΔCBSL-herb,i,t (Eq 25)]], MATCH(1, (Table12[[#This Row],[stratum i]]=Table13[[#All],[stratum i]])*(Table12[[#This Row],[year t]]&gt;=#REF!)*(Table12[[#This Row],[year t]]&lt;=Table13[[#All],[year t]]), 0)), 0), 0)</f>
        <v>0</v>
      </c>
      <c r="P81">
        <f>Table12[[#This Row],[ΔCBSL-tree/shrub,i,t (t C/yr) (Eq 24)]]+Table12[[#This Row],[ΔCBSL-herb,i,t (t C/yr)]]-Table12[[#This Row],[ΔCBSL-agbiomass,i,t; t C yr-1 (submergence)]]</f>
        <v>0</v>
      </c>
      <c r="Q81" cm="1">
        <f t="array" ref="Q81">IFERROR(INDEX(Table14[[#All],[GHGBSL-soil,i,t (Eq 26)]], MATCH(1, (Table12[[#This Row],[year t]]=Table14[[#All],[year t]])*(Table12[[#This Row],[stratum i]]=Table14[[#All],[stratum i]]), 0)), 0)</f>
        <v>0</v>
      </c>
      <c r="R81">
        <f>IF(baseline_ff_CO2 = "Included", Table12[[#This Row],[ET(FC,I,t) AR-Tool 5]], 0)</f>
        <v>0</v>
      </c>
      <c r="S81" t="e" cm="1">
        <f t="array" ref="S81">INDEX(#REF!, MATCH(1, (Table12[[#This Row],[year t]]=Table32[[#All],[year t]])*(Table12[[#This Row],[stratum i]]=Table32[[#All],[stratum i]]), 0))</f>
        <v>#REF!</v>
      </c>
      <c r="T81" cm="1">
        <f t="array" ref="T81">IFERROR(INDEX(Table30[[#All],[ΔCBSL-agbiomass,i,t (equation 22) t C yr-1]], MATCH(1, (Table12[[#This Row],[stratum i]]=Table30[[#All],[Stratum i]])*(Table12[[#This Row],[year t]]&lt;Table30[[#All],[Year of reporting]]), 0)), 0)</f>
        <v>0</v>
      </c>
      <c r="AG81" s="18">
        <v>2059</v>
      </c>
      <c r="AH81">
        <v>2</v>
      </c>
      <c r="AI81" s="49" t="e" cm="1">
        <f t="array" ref="AI81">INDEX(#REF!, MATCH(1, (Table13[[#This Row],[year t]]=Table32[[#All],[year t]])*(Table13[[#This Row],[stratum i]]=Table32[[#All],[stratum i]]), 0))</f>
        <v>#REF!</v>
      </c>
      <c r="AJ81" s="49" t="e">
        <f>Table13[[#This Row],[ΔCBSL-herb,i,t (tC/ha)]]</f>
        <v>#REF!</v>
      </c>
      <c r="AO81" s="18">
        <v>2059</v>
      </c>
      <c r="AP81">
        <v>2</v>
      </c>
      <c r="AQ81" s="18" cm="1">
        <f t="array" ref="AQ81">INDEX(Table32[[#All],[Ai,t]], MATCH(1, (Table14[[#This Row],[year t]]=Table32[[#All],[year t]])*(Table14[[#This Row],[stratum i]]=Table32[[#All],[stratum i]]), 0))</f>
        <v>1982.9786785714284</v>
      </c>
      <c r="AR81" t="str">
        <f>IF(AND(INDEX(Table31[[#All],[Soil type (t=0)]], MATCH(Table14[[#This Row],[stratum i]], Table31[[#All],[Stratum i]]))="Peat soil", Table14[[#This Row],[year t]]&lt;=Table14[[#This Row],[End_PDT]]), "Peat soil", "Non-peat soil")</f>
        <v>Non-peat soil</v>
      </c>
      <c r="AS81">
        <f>IF(Emission_reduction_from_stock_loss?, INDEX(Table2[[#All],[End_PDT]], MATCH(Table14[[#This Row],[stratum i]], Table2[[#All],[stratum i]])), crediting_period)</f>
        <v>40</v>
      </c>
      <c r="AT81">
        <f>IF(Emission_reduction_from_stock_loss?, INDEX(Table2[[#All],[End_SDT]], MATCH(Table14[[#This Row],[stratum i]], Table2[[#All],[stratum i]])), crediting_period)</f>
        <v>40</v>
      </c>
      <c r="AU81" cm="1">
        <f t="array" ref="AU8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1" t="e" cm="1">
        <f t="array" ref="AV81">INDEX(#REF!, MATCH(1, (Table14[[#This Row],[year t]]=Table32[[#All],[year t]])*(Table14[[#This Row],[stratum i]]=Table32[[#All],[stratum i]]), 0))</f>
        <v>#REF!</v>
      </c>
      <c r="AW8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1" s="57">
        <f>(Table14[[#This Row],[GHGBSL-soil-CO2,i,t (Eq 27)]]-Table14[[#This Row],[Deductionalloch (Eq 38)]])*Table14[[#This Row],[Ai,t]]</f>
        <v>0</v>
      </c>
      <c r="AY81" cm="1">
        <f t="array" ref="AY81">IF(baseline_soil_CH4 = "Included", INDEX(Table18[[#All],[GHGBSL-soil-CH4,i,t (Eq 59)]], MATCH(1, (Table14[[#This Row],[year t]]=Table18[[#All],[year t]])*(Table14[[#This Row],[stratum i]]=Table18[[#All],[stratum i]]), 0)), 0)</f>
        <v>0</v>
      </c>
      <c r="AZ81" cm="1">
        <f t="array" ref="AZ81">IF(baseline_soil_N2O = "Included", INDEX(Table18[[#All],[GHGBSL-soil-N2O,i,t (Eq 62)]], MATCH(1, (Table14[[#This Row],[year t]]=Table18[[#All],[year t]])*(Table14[[#This Row],[stratum i]]=Table18[[#All],[stratum i]]), 0)), 0)</f>
        <v>0</v>
      </c>
      <c r="BA81">
        <f>IF(AND(Table14[[#This Row],[year t]]&gt;Table14[[#This Row],[End_PDT]],Table14[[#This Row],[year t]]&gt;Table14[[#This Row],[End_SDT]]), 0, Table14[[#This Row],[Ai,t]]*(Table14[[#This Row],[GHGBSL-soil-CO2,i,t (Eq 27)]]-Table14[[#This Row],[Deductionalloch (Eq 38)]]+Table14[[#This Row],[GHGBSL-soil-CH4,i,t]]+Table14[[#This Row],[GHGBSL-soil-N2O,i,t]]))</f>
        <v>0</v>
      </c>
      <c r="BB81" t="e" cm="1">
        <f t="array" ref="BB81">INDEX(#REF!, MATCH(1, (Table14[[#This Row],[year t]]=Table32[[#All],[year t]])*(Table14[[#This Row],[stratum i]]=Table32[[#All],[stratum i]]), 0))</f>
        <v>#REF!</v>
      </c>
      <c r="BC81" t="e" cm="1">
        <f t="array" ref="BC81">INDEX(#REF!, MATCH(1, (Table14[[#This Row],[year t]]=Table32[[#All],[year t]])*(Table14[[#This Row],[stratum i]]=Table32[[#All],[stratum i]]), 0))</f>
        <v>#REF!</v>
      </c>
      <c r="BD81" t="e" cm="1">
        <f t="array" ref="BD81">INDEX(#REF!, MATCH(1, (Table14[[#This Row],[year t]]=Table32[[#All],[year t]])*(Table14[[#This Row],[stratum i]]=Table32[[#All],[stratum i]]), 0))</f>
        <v>#REF!</v>
      </c>
      <c r="BE81" t="e" cm="1">
        <f t="array" ref="BE81">INDEX(#REF!, MATCH(1, (Table14[[#This Row],[year t]]=Table32[[#All],[year t]])*(Table14[[#This Row],[stratum i]]=Table32[[#All],[stratum i]]), 0))</f>
        <v>#REF!</v>
      </c>
      <c r="BF81" s="30"/>
      <c r="BM81" s="18">
        <v>2059</v>
      </c>
      <c r="BN81">
        <v>2</v>
      </c>
      <c r="BO81" t="e" cm="1">
        <f t="array" ref="BO81">INDEX(#REF!, MATCH(1, (Table132926[[#This Row],[year t]]=Table32[year t])*(Table132926[[#This Row],[stratum i]]=Table32[[#All],[stratum i]]), 0))</f>
        <v>#REF!</v>
      </c>
      <c r="BP81" t="e">
        <f>-44/12*Table132926[[#This Row],[∆CBSL-soil,i,t (tC/ha)]]</f>
        <v>#REF!</v>
      </c>
    </row>
    <row r="82" spans="10:68" x14ac:dyDescent="0.2">
      <c r="J82" s="18">
        <v>2060</v>
      </c>
      <c r="K82">
        <v>2</v>
      </c>
      <c r="L82" cm="1">
        <f t="array" ref="L82">INDEX(Table32[[#All],[ΔCTREE_BSL,i,t (AR Tool 14) t C/yr]], MATCH(1, (Table12[[#This Row],[year t]]=Table32[[#All],[year t]])*(Table12[[#This Row],[stratum i]]=Table32[[#All],[stratum i]]), 0))</f>
        <v>0</v>
      </c>
      <c r="M82" cm="1">
        <f t="array" ref="M82">IF(baseline_abground_nontree = "Included", INDEX(#REF!, MATCH(1, (Table12[[#This Row],[year t]]=Table32[[#All],[year t]])*(Table12[[#This Row],[stratum i]]=Table32[[#All],[stratum i]]), 0)), 0)</f>
        <v>0</v>
      </c>
      <c r="N82">
        <f>12/44*(Table12[[#This Row],[ΔCTREE_BSL,i,t (AR Tool 14) t CO2e/yr]]+Table12[[#This Row],[ΔCSHRUB_BSL,i,t (AR Tool 14) t CO2e/yr]])</f>
        <v>0</v>
      </c>
      <c r="O82" cm="1">
        <f t="array" ref="O82">IF(baseline_abground_nontree = "Included", IFERROR(INDEX(Table13[[#All],[ΔCBSL-herb,i,t (Eq 25)]], MATCH(1, (Table12[[#This Row],[stratum i]]=Table13[[#All],[stratum i]])*(Table12[[#This Row],[year t]]&gt;=#REF!)*(Table12[[#This Row],[year t]]&lt;=Table13[[#All],[year t]]), 0)), 0), 0)</f>
        <v>0</v>
      </c>
      <c r="P82">
        <f>Table12[[#This Row],[ΔCBSL-tree/shrub,i,t (t C/yr) (Eq 24)]]+Table12[[#This Row],[ΔCBSL-herb,i,t (t C/yr)]]-Table12[[#This Row],[ΔCBSL-agbiomass,i,t; t C yr-1 (submergence)]]</f>
        <v>0</v>
      </c>
      <c r="Q82" cm="1">
        <f t="array" ref="Q82">IFERROR(INDEX(Table14[[#All],[GHGBSL-soil,i,t (Eq 26)]], MATCH(1, (Table12[[#This Row],[year t]]=Table14[[#All],[year t]])*(Table12[[#This Row],[stratum i]]=Table14[[#All],[stratum i]]), 0)), 0)</f>
        <v>0</v>
      </c>
      <c r="R82">
        <f>IF(baseline_ff_CO2 = "Included", Table12[[#This Row],[ET(FC,I,t) AR-Tool 5]], 0)</f>
        <v>0</v>
      </c>
      <c r="S82" t="e" cm="1">
        <f t="array" ref="S82">INDEX(#REF!, MATCH(1, (Table12[[#This Row],[year t]]=Table32[[#All],[year t]])*(Table12[[#This Row],[stratum i]]=Table32[[#All],[stratum i]]), 0))</f>
        <v>#REF!</v>
      </c>
      <c r="T82" cm="1">
        <f t="array" ref="T82">IFERROR(INDEX(Table30[[#All],[ΔCBSL-agbiomass,i,t (equation 22) t C yr-1]], MATCH(1, (Table12[[#This Row],[stratum i]]=Table30[[#All],[Stratum i]])*(Table12[[#This Row],[year t]]&lt;Table30[[#All],[Year of reporting]]), 0)), 0)</f>
        <v>0</v>
      </c>
      <c r="AG82" s="18">
        <v>2060</v>
      </c>
      <c r="AH82">
        <v>2</v>
      </c>
      <c r="AI82" s="49" t="e" cm="1">
        <f t="array" ref="AI82">INDEX(#REF!, MATCH(1, (Table13[[#This Row],[year t]]=Table32[[#All],[year t]])*(Table13[[#This Row],[stratum i]]=Table32[[#All],[stratum i]]), 0))</f>
        <v>#REF!</v>
      </c>
      <c r="AJ82" s="49" t="e">
        <f>Table13[[#This Row],[ΔCBSL-herb,i,t (tC/ha)]]</f>
        <v>#REF!</v>
      </c>
      <c r="AO82" s="18">
        <v>2060</v>
      </c>
      <c r="AP82">
        <v>2</v>
      </c>
      <c r="AQ82" s="18" cm="1">
        <f t="array" ref="AQ82">INDEX(Table32[[#All],[Ai,t]], MATCH(1, (Table14[[#This Row],[year t]]=Table32[[#All],[year t]])*(Table14[[#This Row],[stratum i]]=Table32[[#All],[stratum i]]), 0))</f>
        <v>1982.9786785714284</v>
      </c>
      <c r="AR82" t="str">
        <f>IF(AND(INDEX(Table31[[#All],[Soil type (t=0)]], MATCH(Table14[[#This Row],[stratum i]], Table31[[#All],[Stratum i]]))="Peat soil", Table14[[#This Row],[year t]]&lt;=Table14[[#This Row],[End_PDT]]), "Peat soil", "Non-peat soil")</f>
        <v>Non-peat soil</v>
      </c>
      <c r="AS82">
        <f>IF(Emission_reduction_from_stock_loss?, INDEX(Table2[[#All],[End_PDT]], MATCH(Table14[[#This Row],[stratum i]], Table2[[#All],[stratum i]])), crediting_period)</f>
        <v>40</v>
      </c>
      <c r="AT82">
        <f>IF(Emission_reduction_from_stock_loss?, INDEX(Table2[[#All],[End_SDT]], MATCH(Table14[[#This Row],[stratum i]], Table2[[#All],[stratum i]])), crediting_period)</f>
        <v>40</v>
      </c>
      <c r="AU82" cm="1">
        <f t="array" ref="AU8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2" t="e" cm="1">
        <f t="array" ref="AV82">INDEX(#REF!, MATCH(1, (Table14[[#This Row],[year t]]=Table32[[#All],[year t]])*(Table14[[#This Row],[stratum i]]=Table32[[#All],[stratum i]]), 0))</f>
        <v>#REF!</v>
      </c>
      <c r="AW8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2" s="57">
        <f>(Table14[[#This Row],[GHGBSL-soil-CO2,i,t (Eq 27)]]-Table14[[#This Row],[Deductionalloch (Eq 38)]])*Table14[[#This Row],[Ai,t]]</f>
        <v>0</v>
      </c>
      <c r="AY82" cm="1">
        <f t="array" ref="AY82">IF(baseline_soil_CH4 = "Included", INDEX(Table18[[#All],[GHGBSL-soil-CH4,i,t (Eq 59)]], MATCH(1, (Table14[[#This Row],[year t]]=Table18[[#All],[year t]])*(Table14[[#This Row],[stratum i]]=Table18[[#All],[stratum i]]), 0)), 0)</f>
        <v>0</v>
      </c>
      <c r="AZ82" cm="1">
        <f t="array" ref="AZ82">IF(baseline_soil_N2O = "Included", INDEX(Table18[[#All],[GHGBSL-soil-N2O,i,t (Eq 62)]], MATCH(1, (Table14[[#This Row],[year t]]=Table18[[#All],[year t]])*(Table14[[#This Row],[stratum i]]=Table18[[#All],[stratum i]]), 0)), 0)</f>
        <v>0</v>
      </c>
      <c r="BA82">
        <f>IF(AND(Table14[[#This Row],[year t]]&gt;Table14[[#This Row],[End_PDT]],Table14[[#This Row],[year t]]&gt;Table14[[#This Row],[End_SDT]]), 0, Table14[[#This Row],[Ai,t]]*(Table14[[#This Row],[GHGBSL-soil-CO2,i,t (Eq 27)]]-Table14[[#This Row],[Deductionalloch (Eq 38)]]+Table14[[#This Row],[GHGBSL-soil-CH4,i,t]]+Table14[[#This Row],[GHGBSL-soil-N2O,i,t]]))</f>
        <v>0</v>
      </c>
      <c r="BB82" t="e" cm="1">
        <f t="array" ref="BB82">INDEX(#REF!, MATCH(1, (Table14[[#This Row],[year t]]=Table32[[#All],[year t]])*(Table14[[#This Row],[stratum i]]=Table32[[#All],[stratum i]]), 0))</f>
        <v>#REF!</v>
      </c>
      <c r="BC82" t="e" cm="1">
        <f t="array" ref="BC82">INDEX(#REF!, MATCH(1, (Table14[[#This Row],[year t]]=Table32[[#All],[year t]])*(Table14[[#This Row],[stratum i]]=Table32[[#All],[stratum i]]), 0))</f>
        <v>#REF!</v>
      </c>
      <c r="BD82" t="e" cm="1">
        <f t="array" ref="BD82">INDEX(#REF!, MATCH(1, (Table14[[#This Row],[year t]]=Table32[[#All],[year t]])*(Table14[[#This Row],[stratum i]]=Table32[[#All],[stratum i]]), 0))</f>
        <v>#REF!</v>
      </c>
      <c r="BE82" t="e" cm="1">
        <f t="array" ref="BE82">INDEX(#REF!, MATCH(1, (Table14[[#This Row],[year t]]=Table32[[#All],[year t]])*(Table14[[#This Row],[stratum i]]=Table32[[#All],[stratum i]]), 0))</f>
        <v>#REF!</v>
      </c>
      <c r="BF82" s="30"/>
      <c r="BM82" s="18">
        <v>2060</v>
      </c>
      <c r="BN82">
        <v>2</v>
      </c>
      <c r="BO82" t="e" cm="1">
        <f t="array" ref="BO82">INDEX(#REF!, MATCH(1, (Table132926[[#This Row],[year t]]=Table32[year t])*(Table132926[[#This Row],[stratum i]]=Table32[[#All],[stratum i]]), 0))</f>
        <v>#REF!</v>
      </c>
      <c r="BP82" t="e">
        <f>-44/12*Table132926[[#This Row],[∆CBSL-soil,i,t (tC/ha)]]</f>
        <v>#REF!</v>
      </c>
    </row>
    <row r="83" spans="10:68" x14ac:dyDescent="0.2">
      <c r="J83" s="18">
        <v>2061</v>
      </c>
      <c r="K83">
        <v>2</v>
      </c>
      <c r="L83" cm="1">
        <f t="array" ref="L83">INDEX(Table32[[#All],[ΔCTREE_BSL,i,t (AR Tool 14) t C/yr]], MATCH(1, (Table12[[#This Row],[year t]]=Table32[[#All],[year t]])*(Table12[[#This Row],[stratum i]]=Table32[[#All],[stratum i]]), 0))</f>
        <v>0</v>
      </c>
      <c r="M83" cm="1">
        <f t="array" ref="M83">IF(baseline_abground_nontree = "Included", INDEX(#REF!, MATCH(1, (Table12[[#This Row],[year t]]=Table32[[#All],[year t]])*(Table12[[#This Row],[stratum i]]=Table32[[#All],[stratum i]]), 0)), 0)</f>
        <v>0</v>
      </c>
      <c r="N83">
        <f>12/44*(Table12[[#This Row],[ΔCTREE_BSL,i,t (AR Tool 14) t CO2e/yr]]+Table12[[#This Row],[ΔCSHRUB_BSL,i,t (AR Tool 14) t CO2e/yr]])</f>
        <v>0</v>
      </c>
      <c r="O83" cm="1">
        <f t="array" ref="O83">IF(baseline_abground_nontree = "Included", IFERROR(INDEX(Table13[[#All],[ΔCBSL-herb,i,t (Eq 25)]], MATCH(1, (Table12[[#This Row],[stratum i]]=Table13[[#All],[stratum i]])*(Table12[[#This Row],[year t]]&gt;=#REF!)*(Table12[[#This Row],[year t]]&lt;=Table13[[#All],[year t]]), 0)), 0), 0)</f>
        <v>0</v>
      </c>
      <c r="P83">
        <f>Table12[[#This Row],[ΔCBSL-tree/shrub,i,t (t C/yr) (Eq 24)]]+Table12[[#This Row],[ΔCBSL-herb,i,t (t C/yr)]]-Table12[[#This Row],[ΔCBSL-agbiomass,i,t; t C yr-1 (submergence)]]</f>
        <v>0</v>
      </c>
      <c r="Q83" cm="1">
        <f t="array" ref="Q83">IFERROR(INDEX(Table14[[#All],[GHGBSL-soil,i,t (Eq 26)]], MATCH(1, (Table12[[#This Row],[year t]]=Table14[[#All],[year t]])*(Table12[[#This Row],[stratum i]]=Table14[[#All],[stratum i]]), 0)), 0)</f>
        <v>0</v>
      </c>
      <c r="R83">
        <f>IF(baseline_ff_CO2 = "Included", Table12[[#This Row],[ET(FC,I,t) AR-Tool 5]], 0)</f>
        <v>0</v>
      </c>
      <c r="S83" t="e" cm="1">
        <f t="array" ref="S83">INDEX(#REF!, MATCH(1, (Table12[[#This Row],[year t]]=Table32[[#All],[year t]])*(Table12[[#This Row],[stratum i]]=Table32[[#All],[stratum i]]), 0))</f>
        <v>#REF!</v>
      </c>
      <c r="T83" cm="1">
        <f t="array" ref="T83">IFERROR(INDEX(Table30[[#All],[ΔCBSL-agbiomass,i,t (equation 22) t C yr-1]], MATCH(1, (Table12[[#This Row],[stratum i]]=Table30[[#All],[Stratum i]])*(Table12[[#This Row],[year t]]&lt;Table30[[#All],[Year of reporting]]), 0)), 0)</f>
        <v>0</v>
      </c>
      <c r="AG83" s="18">
        <v>2061</v>
      </c>
      <c r="AH83">
        <v>2</v>
      </c>
      <c r="AI83" s="49" t="e" cm="1">
        <f t="array" ref="AI83">INDEX(#REF!, MATCH(1, (Table13[[#This Row],[year t]]=Table32[[#All],[year t]])*(Table13[[#This Row],[stratum i]]=Table32[[#All],[stratum i]]), 0))</f>
        <v>#REF!</v>
      </c>
      <c r="AJ83" s="49" t="e">
        <f>Table13[[#This Row],[ΔCBSL-herb,i,t (tC/ha)]]</f>
        <v>#REF!</v>
      </c>
      <c r="AO83" s="18">
        <v>2061</v>
      </c>
      <c r="AP83">
        <v>2</v>
      </c>
      <c r="AQ83" s="18" cm="1">
        <f t="array" ref="AQ83">INDEX(Table32[[#All],[Ai,t]], MATCH(1, (Table14[[#This Row],[year t]]=Table32[[#All],[year t]])*(Table14[[#This Row],[stratum i]]=Table32[[#All],[stratum i]]), 0))</f>
        <v>1982.9786785714284</v>
      </c>
      <c r="AR83" t="str">
        <f>IF(AND(INDEX(Table31[[#All],[Soil type (t=0)]], MATCH(Table14[[#This Row],[stratum i]], Table31[[#All],[Stratum i]]))="Peat soil", Table14[[#This Row],[year t]]&lt;=Table14[[#This Row],[End_PDT]]), "Peat soil", "Non-peat soil")</f>
        <v>Non-peat soil</v>
      </c>
      <c r="AS83">
        <f>IF(Emission_reduction_from_stock_loss?, INDEX(Table2[[#All],[End_PDT]], MATCH(Table14[[#This Row],[stratum i]], Table2[[#All],[stratum i]])), crediting_period)</f>
        <v>40</v>
      </c>
      <c r="AT83">
        <f>IF(Emission_reduction_from_stock_loss?, INDEX(Table2[[#All],[End_SDT]], MATCH(Table14[[#This Row],[stratum i]], Table2[[#All],[stratum i]])), crediting_period)</f>
        <v>40</v>
      </c>
      <c r="AU83" cm="1">
        <f t="array" ref="AU8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3" t="e" cm="1">
        <f t="array" ref="AV83">INDEX(#REF!, MATCH(1, (Table14[[#This Row],[year t]]=Table32[[#All],[year t]])*(Table14[[#This Row],[stratum i]]=Table32[[#All],[stratum i]]), 0))</f>
        <v>#REF!</v>
      </c>
      <c r="AW8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3" s="57">
        <f>(Table14[[#This Row],[GHGBSL-soil-CO2,i,t (Eq 27)]]-Table14[[#This Row],[Deductionalloch (Eq 38)]])*Table14[[#This Row],[Ai,t]]</f>
        <v>0</v>
      </c>
      <c r="AY83" cm="1">
        <f t="array" ref="AY83">IF(baseline_soil_CH4 = "Included", INDEX(Table18[[#All],[GHGBSL-soil-CH4,i,t (Eq 59)]], MATCH(1, (Table14[[#This Row],[year t]]=Table18[[#All],[year t]])*(Table14[[#This Row],[stratum i]]=Table18[[#All],[stratum i]]), 0)), 0)</f>
        <v>0</v>
      </c>
      <c r="AZ83" cm="1">
        <f t="array" ref="AZ83">IF(baseline_soil_N2O = "Included", INDEX(Table18[[#All],[GHGBSL-soil-N2O,i,t (Eq 62)]], MATCH(1, (Table14[[#This Row],[year t]]=Table18[[#All],[year t]])*(Table14[[#This Row],[stratum i]]=Table18[[#All],[stratum i]]), 0)), 0)</f>
        <v>0</v>
      </c>
      <c r="BA83">
        <f>IF(AND(Table14[[#This Row],[year t]]&gt;Table14[[#This Row],[End_PDT]],Table14[[#This Row],[year t]]&gt;Table14[[#This Row],[End_SDT]]), 0, Table14[[#This Row],[Ai,t]]*(Table14[[#This Row],[GHGBSL-soil-CO2,i,t (Eq 27)]]-Table14[[#This Row],[Deductionalloch (Eq 38)]]+Table14[[#This Row],[GHGBSL-soil-CH4,i,t]]+Table14[[#This Row],[GHGBSL-soil-N2O,i,t]]))</f>
        <v>0</v>
      </c>
      <c r="BB83" t="e" cm="1">
        <f t="array" ref="BB83">INDEX(#REF!, MATCH(1, (Table14[[#This Row],[year t]]=Table32[[#All],[year t]])*(Table14[[#This Row],[stratum i]]=Table32[[#All],[stratum i]]), 0))</f>
        <v>#REF!</v>
      </c>
      <c r="BC83" t="e" cm="1">
        <f t="array" ref="BC83">INDEX(#REF!, MATCH(1, (Table14[[#This Row],[year t]]=Table32[[#All],[year t]])*(Table14[[#This Row],[stratum i]]=Table32[[#All],[stratum i]]), 0))</f>
        <v>#REF!</v>
      </c>
      <c r="BD83" t="e" cm="1">
        <f t="array" ref="BD83">INDEX(#REF!, MATCH(1, (Table14[[#This Row],[year t]]=Table32[[#All],[year t]])*(Table14[[#This Row],[stratum i]]=Table32[[#All],[stratum i]]), 0))</f>
        <v>#REF!</v>
      </c>
      <c r="BE83" t="e" cm="1">
        <f t="array" ref="BE83">INDEX(#REF!, MATCH(1, (Table14[[#This Row],[year t]]=Table32[[#All],[year t]])*(Table14[[#This Row],[stratum i]]=Table32[[#All],[stratum i]]), 0))</f>
        <v>#REF!</v>
      </c>
      <c r="BF83" s="30"/>
      <c r="BM83" s="18">
        <v>2061</v>
      </c>
      <c r="BN83">
        <v>2</v>
      </c>
      <c r="BO83" t="e" cm="1">
        <f t="array" ref="BO83">INDEX(#REF!, MATCH(1, (Table132926[[#This Row],[year t]]=Table32[year t])*(Table132926[[#This Row],[stratum i]]=Table32[[#All],[stratum i]]), 0))</f>
        <v>#REF!</v>
      </c>
      <c r="BP83" t="e">
        <f>-44/12*Table132926[[#This Row],[∆CBSL-soil,i,t (tC/ha)]]</f>
        <v>#REF!</v>
      </c>
    </row>
    <row r="84" spans="10:68" x14ac:dyDescent="0.2">
      <c r="J84" s="18">
        <v>2024</v>
      </c>
      <c r="K84">
        <v>3</v>
      </c>
      <c r="L84" cm="1">
        <f t="array" ref="L84">INDEX(Table32[[#All],[ΔCTREE_BSL,i,t (AR Tool 14) t C/yr]], MATCH(1, (Table12[[#This Row],[year t]]=Table32[[#All],[year t]])*(Table12[[#This Row],[stratum i]]=Table32[[#All],[stratum i]]), 0))</f>
        <v>0</v>
      </c>
      <c r="M84" cm="1">
        <f t="array" ref="M84">IF(baseline_abground_nontree = "Included", INDEX(#REF!, MATCH(1, (Table12[[#This Row],[year t]]=Table32[[#All],[year t]])*(Table12[[#This Row],[stratum i]]=Table32[[#All],[stratum i]]), 0)), 0)</f>
        <v>0</v>
      </c>
      <c r="N84">
        <f>12/44*(Table12[[#This Row],[ΔCTREE_BSL,i,t (AR Tool 14) t CO2e/yr]]+Table12[[#This Row],[ΔCSHRUB_BSL,i,t (AR Tool 14) t CO2e/yr]])</f>
        <v>0</v>
      </c>
      <c r="O84" cm="1">
        <f t="array" ref="O84">IF(baseline_abground_nontree = "Included", IFERROR(INDEX(Table13[[#All],[ΔCBSL-herb,i,t (Eq 25)]], MATCH(1, (Table12[[#This Row],[stratum i]]=Table13[[#All],[stratum i]])*(Table12[[#This Row],[year t]]&gt;=#REF!)*(Table12[[#This Row],[year t]]&lt;=Table13[[#All],[year t]]), 0)), 0), 0)</f>
        <v>0</v>
      </c>
      <c r="P84">
        <f>Table12[[#This Row],[ΔCBSL-tree/shrub,i,t (t C/yr) (Eq 24)]]+Table12[[#This Row],[ΔCBSL-herb,i,t (t C/yr)]]-Table12[[#This Row],[ΔCBSL-agbiomass,i,t; t C yr-1 (submergence)]]</f>
        <v>0</v>
      </c>
      <c r="Q84" cm="1">
        <f t="array" ref="Q84">IFERROR(INDEX(Table14[[#All],[GHGBSL-soil,i,t (Eq 26)]], MATCH(1, (Table12[[#This Row],[year t]]=Table14[[#All],[year t]])*(Table12[[#This Row],[stratum i]]=Table14[[#All],[stratum i]]), 0)), 0)</f>
        <v>0</v>
      </c>
      <c r="R84">
        <f>IF(baseline_ff_CO2 = "Included", Table12[[#This Row],[ET(FC,I,t) AR-Tool 5]], 0)</f>
        <v>0</v>
      </c>
      <c r="S84" t="e" cm="1">
        <f t="array" ref="S84">INDEX(#REF!, MATCH(1, (Table12[[#This Row],[year t]]=Table32[[#All],[year t]])*(Table12[[#This Row],[stratum i]]=Table32[[#All],[stratum i]]), 0))</f>
        <v>#REF!</v>
      </c>
      <c r="T84" cm="1">
        <f t="array" ref="T84">IFERROR(INDEX(Table30[[#All],[ΔCBSL-agbiomass,i,t (equation 22) t C yr-1]], MATCH(1, (Table12[[#This Row],[stratum i]]=Table30[[#All],[Stratum i]])*(Table12[[#This Row],[year t]]&lt;Table30[[#All],[Year of reporting]]), 0)), 0)</f>
        <v>0</v>
      </c>
      <c r="AG84" s="18">
        <v>2024</v>
      </c>
      <c r="AH84">
        <v>3</v>
      </c>
      <c r="AI84" s="49" t="e" cm="1">
        <f t="array" ref="AI84">INDEX(#REF!, MATCH(1, (Table13[[#This Row],[year t]]=Table32[[#All],[year t]])*(Table13[[#This Row],[stratum i]]=Table32[[#All],[stratum i]]), 0))</f>
        <v>#REF!</v>
      </c>
      <c r="AJ84" s="49" t="e">
        <f>Table13[[#This Row],[ΔCBSL-herb,i,t (tC/ha)]]</f>
        <v>#REF!</v>
      </c>
      <c r="AO84" s="18">
        <v>2024</v>
      </c>
      <c r="AP84">
        <v>3</v>
      </c>
      <c r="AQ84" s="18" cm="1">
        <f t="array" ref="AQ84">INDEX(Table32[[#All],[Ai,t]], MATCH(1, (Table14[[#This Row],[year t]]=Table32[[#All],[year t]])*(Table14[[#This Row],[stratum i]]=Table32[[#All],[stratum i]]), 0))</f>
        <v>2222.8442528571427</v>
      </c>
      <c r="AR84" t="str">
        <f>IF(AND(INDEX(Table31[[#All],[Soil type (t=0)]], MATCH(Table14[[#This Row],[stratum i]], Table31[[#All],[Stratum i]]))="Peat soil", Table14[[#This Row],[year t]]&lt;=Table14[[#This Row],[End_PDT]]), "Peat soil", "Non-peat soil")</f>
        <v>Non-peat soil</v>
      </c>
      <c r="AS84">
        <f>IF(Emission_reduction_from_stock_loss?, INDEX(Table2[[#All],[End_PDT]], MATCH(Table14[[#This Row],[stratum i]], Table2[[#All],[stratum i]])), crediting_period)</f>
        <v>40</v>
      </c>
      <c r="AT84">
        <f>IF(Emission_reduction_from_stock_loss?, INDEX(Table2[[#All],[End_SDT]], MATCH(Table14[[#This Row],[stratum i]], Table2[[#All],[stratum i]])), crediting_period)</f>
        <v>40</v>
      </c>
      <c r="AU84" cm="1">
        <f t="array" ref="AU8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4" t="e" cm="1">
        <f t="array" ref="AV84">INDEX(#REF!, MATCH(1, (Table14[[#This Row],[year t]]=Table32[[#All],[year t]])*(Table14[[#This Row],[stratum i]]=Table32[[#All],[stratum i]]), 0))</f>
        <v>#REF!</v>
      </c>
      <c r="AW8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4" s="57">
        <f>(Table14[[#This Row],[GHGBSL-soil-CO2,i,t (Eq 27)]]-Table14[[#This Row],[Deductionalloch (Eq 38)]])*Table14[[#This Row],[Ai,t]]</f>
        <v>0</v>
      </c>
      <c r="AY84" cm="1">
        <f t="array" ref="AY84">IF(baseline_soil_CH4 = "Included", INDEX(Table18[[#All],[GHGBSL-soil-CH4,i,t (Eq 59)]], MATCH(1, (Table14[[#This Row],[year t]]=Table18[[#All],[year t]])*(Table14[[#This Row],[stratum i]]=Table18[[#All],[stratum i]]), 0)), 0)</f>
        <v>0</v>
      </c>
      <c r="AZ84" cm="1">
        <f t="array" ref="AZ84">IF(baseline_soil_N2O = "Included", INDEX(Table18[[#All],[GHGBSL-soil-N2O,i,t (Eq 62)]], MATCH(1, (Table14[[#This Row],[year t]]=Table18[[#All],[year t]])*(Table14[[#This Row],[stratum i]]=Table18[[#All],[stratum i]]), 0)), 0)</f>
        <v>0</v>
      </c>
      <c r="BA84">
        <f>IF(AND(Table14[[#This Row],[year t]]&gt;Table14[[#This Row],[End_PDT]],Table14[[#This Row],[year t]]&gt;Table14[[#This Row],[End_SDT]]), 0, Table14[[#This Row],[Ai,t]]*(Table14[[#This Row],[GHGBSL-soil-CO2,i,t (Eq 27)]]-Table14[[#This Row],[Deductionalloch (Eq 38)]]+Table14[[#This Row],[GHGBSL-soil-CH4,i,t]]+Table14[[#This Row],[GHGBSL-soil-N2O,i,t]]))</f>
        <v>0</v>
      </c>
      <c r="BB84" t="e" cm="1">
        <f t="array" ref="BB84">INDEX(#REF!, MATCH(1, (Table14[[#This Row],[year t]]=Table32[[#All],[year t]])*(Table14[[#This Row],[stratum i]]=Table32[[#All],[stratum i]]), 0))</f>
        <v>#REF!</v>
      </c>
      <c r="BC84" t="e" cm="1">
        <f t="array" ref="BC84">INDEX(#REF!, MATCH(1, (Table14[[#This Row],[year t]]=Table32[[#All],[year t]])*(Table14[[#This Row],[stratum i]]=Table32[[#All],[stratum i]]), 0))</f>
        <v>#REF!</v>
      </c>
      <c r="BD84" t="e" cm="1">
        <f t="array" ref="BD84">INDEX(#REF!, MATCH(1, (Table14[[#This Row],[year t]]=Table32[[#All],[year t]])*(Table14[[#This Row],[stratum i]]=Table32[[#All],[stratum i]]), 0))</f>
        <v>#REF!</v>
      </c>
      <c r="BE84" t="e" cm="1">
        <f t="array" ref="BE84">INDEX(#REF!, MATCH(1, (Table14[[#This Row],[year t]]=Table32[[#All],[year t]])*(Table14[[#This Row],[stratum i]]=Table32[[#All],[stratum i]]), 0))</f>
        <v>#REF!</v>
      </c>
      <c r="BF84" s="30"/>
      <c r="BM84" s="18">
        <v>2024</v>
      </c>
      <c r="BN84">
        <v>3</v>
      </c>
      <c r="BO84" t="e" cm="1">
        <f t="array" ref="BO84">INDEX(#REF!, MATCH(1, (Table132926[[#This Row],[year t]]=Table32[year t])*(Table132926[[#This Row],[stratum i]]=Table32[[#All],[stratum i]]), 0))</f>
        <v>#REF!</v>
      </c>
      <c r="BP84" t="e">
        <f>-44/12*Table132926[[#This Row],[∆CBSL-soil,i,t (tC/ha)]]</f>
        <v>#REF!</v>
      </c>
    </row>
    <row r="85" spans="10:68" x14ac:dyDescent="0.2">
      <c r="J85" s="18">
        <v>2025</v>
      </c>
      <c r="K85">
        <v>3</v>
      </c>
      <c r="L85" cm="1">
        <f t="array" ref="L85">INDEX(Table32[[#All],[ΔCTREE_BSL,i,t (AR Tool 14) t C/yr]], MATCH(1, (Table12[[#This Row],[year t]]=Table32[[#All],[year t]])*(Table12[[#This Row],[stratum i]]=Table32[[#All],[stratum i]]), 0))</f>
        <v>0</v>
      </c>
      <c r="M85" cm="1">
        <f t="array" ref="M85">IF(baseline_abground_nontree = "Included", INDEX(#REF!, MATCH(1, (Table12[[#This Row],[year t]]=Table32[[#All],[year t]])*(Table12[[#This Row],[stratum i]]=Table32[[#All],[stratum i]]), 0)), 0)</f>
        <v>0</v>
      </c>
      <c r="N85">
        <f>12/44*(Table12[[#This Row],[ΔCTREE_BSL,i,t (AR Tool 14) t CO2e/yr]]+Table12[[#This Row],[ΔCSHRUB_BSL,i,t (AR Tool 14) t CO2e/yr]])</f>
        <v>0</v>
      </c>
      <c r="O85" cm="1">
        <f t="array" ref="O85">IF(baseline_abground_nontree = "Included", IFERROR(INDEX(Table13[[#All],[ΔCBSL-herb,i,t (Eq 25)]], MATCH(1, (Table12[[#This Row],[stratum i]]=Table13[[#All],[stratum i]])*(Table12[[#This Row],[year t]]&gt;=#REF!)*(Table12[[#This Row],[year t]]&lt;=Table13[[#All],[year t]]), 0)), 0), 0)</f>
        <v>0</v>
      </c>
      <c r="P85">
        <f>Table12[[#This Row],[ΔCBSL-tree/shrub,i,t (t C/yr) (Eq 24)]]+Table12[[#This Row],[ΔCBSL-herb,i,t (t C/yr)]]-Table12[[#This Row],[ΔCBSL-agbiomass,i,t; t C yr-1 (submergence)]]</f>
        <v>0</v>
      </c>
      <c r="Q85" cm="1">
        <f t="array" ref="Q85">IFERROR(INDEX(Table14[[#All],[GHGBSL-soil,i,t (Eq 26)]], MATCH(1, (Table12[[#This Row],[year t]]=Table14[[#All],[year t]])*(Table12[[#This Row],[stratum i]]=Table14[[#All],[stratum i]]), 0)), 0)</f>
        <v>0</v>
      </c>
      <c r="R85">
        <f>IF(baseline_ff_CO2 = "Included", Table12[[#This Row],[ET(FC,I,t) AR-Tool 5]], 0)</f>
        <v>0</v>
      </c>
      <c r="S85" t="e" cm="1">
        <f t="array" ref="S85">INDEX(#REF!, MATCH(1, (Table12[[#This Row],[year t]]=Table32[[#All],[year t]])*(Table12[[#This Row],[stratum i]]=Table32[[#All],[stratum i]]), 0))</f>
        <v>#REF!</v>
      </c>
      <c r="T85" cm="1">
        <f t="array" ref="T85">IFERROR(INDEX(Table30[[#All],[ΔCBSL-agbiomass,i,t (equation 22) t C yr-1]], MATCH(1, (Table12[[#This Row],[stratum i]]=Table30[[#All],[Stratum i]])*(Table12[[#This Row],[year t]]&lt;Table30[[#All],[Year of reporting]]), 0)), 0)</f>
        <v>0</v>
      </c>
      <c r="AG85" s="18">
        <v>2025</v>
      </c>
      <c r="AH85">
        <v>3</v>
      </c>
      <c r="AI85" s="49" t="e" cm="1">
        <f t="array" ref="AI85">INDEX(#REF!, MATCH(1, (Table13[[#This Row],[year t]]=Table32[[#All],[year t]])*(Table13[[#This Row],[stratum i]]=Table32[[#All],[stratum i]]), 0))</f>
        <v>#REF!</v>
      </c>
      <c r="AJ85" s="49" t="e">
        <f>Table13[[#This Row],[ΔCBSL-herb,i,t (tC/ha)]]</f>
        <v>#REF!</v>
      </c>
      <c r="AO85" s="18">
        <v>2025</v>
      </c>
      <c r="AP85">
        <v>3</v>
      </c>
      <c r="AQ85" s="18" cm="1">
        <f t="array" ref="AQ85">INDEX(Table32[[#All],[Ai,t]], MATCH(1, (Table14[[#This Row],[year t]]=Table32[[#All],[year t]])*(Table14[[#This Row],[stratum i]]=Table32[[#All],[stratum i]]), 0))</f>
        <v>2222.8442528571427</v>
      </c>
      <c r="AR85" t="str">
        <f>IF(AND(INDEX(Table31[[#All],[Soil type (t=0)]], MATCH(Table14[[#This Row],[stratum i]], Table31[[#All],[Stratum i]]))="Peat soil", Table14[[#This Row],[year t]]&lt;=Table14[[#This Row],[End_PDT]]), "Peat soil", "Non-peat soil")</f>
        <v>Non-peat soil</v>
      </c>
      <c r="AS85">
        <f>IF(Emission_reduction_from_stock_loss?, INDEX(Table2[[#All],[End_PDT]], MATCH(Table14[[#This Row],[stratum i]], Table2[[#All],[stratum i]])), crediting_period)</f>
        <v>40</v>
      </c>
      <c r="AT85">
        <f>IF(Emission_reduction_from_stock_loss?, INDEX(Table2[[#All],[End_SDT]], MATCH(Table14[[#This Row],[stratum i]], Table2[[#All],[stratum i]])), crediting_period)</f>
        <v>40</v>
      </c>
      <c r="AU85" cm="1">
        <f t="array" ref="AU8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5" t="e" cm="1">
        <f t="array" ref="AV85">INDEX(#REF!, MATCH(1, (Table14[[#This Row],[year t]]=Table32[[#All],[year t]])*(Table14[[#This Row],[stratum i]]=Table32[[#All],[stratum i]]), 0))</f>
        <v>#REF!</v>
      </c>
      <c r="AW8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5" s="57">
        <f>(Table14[[#This Row],[GHGBSL-soil-CO2,i,t (Eq 27)]]-Table14[[#This Row],[Deductionalloch (Eq 38)]])*Table14[[#This Row],[Ai,t]]</f>
        <v>0</v>
      </c>
      <c r="AY85" cm="1">
        <f t="array" ref="AY85">IF(baseline_soil_CH4 = "Included", INDEX(Table18[[#All],[GHGBSL-soil-CH4,i,t (Eq 59)]], MATCH(1, (Table14[[#This Row],[year t]]=Table18[[#All],[year t]])*(Table14[[#This Row],[stratum i]]=Table18[[#All],[stratum i]]), 0)), 0)</f>
        <v>0</v>
      </c>
      <c r="AZ85" cm="1">
        <f t="array" ref="AZ85">IF(baseline_soil_N2O = "Included", INDEX(Table18[[#All],[GHGBSL-soil-N2O,i,t (Eq 62)]], MATCH(1, (Table14[[#This Row],[year t]]=Table18[[#All],[year t]])*(Table14[[#This Row],[stratum i]]=Table18[[#All],[stratum i]]), 0)), 0)</f>
        <v>0</v>
      </c>
      <c r="BA85">
        <f>IF(AND(Table14[[#This Row],[year t]]&gt;Table14[[#This Row],[End_PDT]],Table14[[#This Row],[year t]]&gt;Table14[[#This Row],[End_SDT]]), 0, Table14[[#This Row],[Ai,t]]*(Table14[[#This Row],[GHGBSL-soil-CO2,i,t (Eq 27)]]-Table14[[#This Row],[Deductionalloch (Eq 38)]]+Table14[[#This Row],[GHGBSL-soil-CH4,i,t]]+Table14[[#This Row],[GHGBSL-soil-N2O,i,t]]))</f>
        <v>0</v>
      </c>
      <c r="BB85" t="e" cm="1">
        <f t="array" ref="BB85">INDEX(#REF!, MATCH(1, (Table14[[#This Row],[year t]]=Table32[[#All],[year t]])*(Table14[[#This Row],[stratum i]]=Table32[[#All],[stratum i]]), 0))</f>
        <v>#REF!</v>
      </c>
      <c r="BC85" t="e" cm="1">
        <f t="array" ref="BC85">INDEX(#REF!, MATCH(1, (Table14[[#This Row],[year t]]=Table32[[#All],[year t]])*(Table14[[#This Row],[stratum i]]=Table32[[#All],[stratum i]]), 0))</f>
        <v>#REF!</v>
      </c>
      <c r="BD85" t="e" cm="1">
        <f t="array" ref="BD85">INDEX(#REF!, MATCH(1, (Table14[[#This Row],[year t]]=Table32[[#All],[year t]])*(Table14[[#This Row],[stratum i]]=Table32[[#All],[stratum i]]), 0))</f>
        <v>#REF!</v>
      </c>
      <c r="BE85" t="e" cm="1">
        <f t="array" ref="BE85">INDEX(#REF!, MATCH(1, (Table14[[#This Row],[year t]]=Table32[[#All],[year t]])*(Table14[[#This Row],[stratum i]]=Table32[[#All],[stratum i]]), 0))</f>
        <v>#REF!</v>
      </c>
      <c r="BF85" s="30"/>
      <c r="BM85" s="18">
        <v>2025</v>
      </c>
      <c r="BN85">
        <v>3</v>
      </c>
      <c r="BO85" t="e" cm="1">
        <f t="array" ref="BO85">INDEX(#REF!, MATCH(1, (Table132926[[#This Row],[year t]]=Table32[year t])*(Table132926[[#This Row],[stratum i]]=Table32[[#All],[stratum i]]), 0))</f>
        <v>#REF!</v>
      </c>
      <c r="BP85" t="e">
        <f>-44/12*Table132926[[#This Row],[∆CBSL-soil,i,t (tC/ha)]]</f>
        <v>#REF!</v>
      </c>
    </row>
    <row r="86" spans="10:68" x14ac:dyDescent="0.2">
      <c r="J86" s="18">
        <v>2026</v>
      </c>
      <c r="K86">
        <v>3</v>
      </c>
      <c r="L86" cm="1">
        <f t="array" ref="L86">INDEX(Table32[[#All],[ΔCTREE_BSL,i,t (AR Tool 14) t C/yr]], MATCH(1, (Table12[[#This Row],[year t]]=Table32[[#All],[year t]])*(Table12[[#This Row],[stratum i]]=Table32[[#All],[stratum i]]), 0))</f>
        <v>0</v>
      </c>
      <c r="M86" cm="1">
        <f t="array" ref="M86">IF(baseline_abground_nontree = "Included", INDEX(#REF!, MATCH(1, (Table12[[#This Row],[year t]]=Table32[[#All],[year t]])*(Table12[[#This Row],[stratum i]]=Table32[[#All],[stratum i]]), 0)), 0)</f>
        <v>0</v>
      </c>
      <c r="N86">
        <f>12/44*(Table12[[#This Row],[ΔCTREE_BSL,i,t (AR Tool 14) t CO2e/yr]]+Table12[[#This Row],[ΔCSHRUB_BSL,i,t (AR Tool 14) t CO2e/yr]])</f>
        <v>0</v>
      </c>
      <c r="O86" cm="1">
        <f t="array" ref="O86">IF(baseline_abground_nontree = "Included", IFERROR(INDEX(Table13[[#All],[ΔCBSL-herb,i,t (Eq 25)]], MATCH(1, (Table12[[#This Row],[stratum i]]=Table13[[#All],[stratum i]])*(Table12[[#This Row],[year t]]&gt;=#REF!)*(Table12[[#This Row],[year t]]&lt;=Table13[[#All],[year t]]), 0)), 0), 0)</f>
        <v>0</v>
      </c>
      <c r="P86">
        <f>Table12[[#This Row],[ΔCBSL-tree/shrub,i,t (t C/yr) (Eq 24)]]+Table12[[#This Row],[ΔCBSL-herb,i,t (t C/yr)]]-Table12[[#This Row],[ΔCBSL-agbiomass,i,t; t C yr-1 (submergence)]]</f>
        <v>0</v>
      </c>
      <c r="Q86" cm="1">
        <f t="array" ref="Q86">IFERROR(INDEX(Table14[[#All],[GHGBSL-soil,i,t (Eq 26)]], MATCH(1, (Table12[[#This Row],[year t]]=Table14[[#All],[year t]])*(Table12[[#This Row],[stratum i]]=Table14[[#All],[stratum i]]), 0)), 0)</f>
        <v>0</v>
      </c>
      <c r="R86">
        <f>IF(baseline_ff_CO2 = "Included", Table12[[#This Row],[ET(FC,I,t) AR-Tool 5]], 0)</f>
        <v>0</v>
      </c>
      <c r="S86" t="e" cm="1">
        <f t="array" ref="S86">INDEX(#REF!, MATCH(1, (Table12[[#This Row],[year t]]=Table32[[#All],[year t]])*(Table12[[#This Row],[stratum i]]=Table32[[#All],[stratum i]]), 0))</f>
        <v>#REF!</v>
      </c>
      <c r="T86" cm="1">
        <f t="array" ref="T86">IFERROR(INDEX(Table30[[#All],[ΔCBSL-agbiomass,i,t (equation 22) t C yr-1]], MATCH(1, (Table12[[#This Row],[stratum i]]=Table30[[#All],[Stratum i]])*(Table12[[#This Row],[year t]]&lt;Table30[[#All],[Year of reporting]]), 0)), 0)</f>
        <v>0</v>
      </c>
      <c r="AG86" s="18">
        <v>2026</v>
      </c>
      <c r="AH86">
        <v>3</v>
      </c>
      <c r="AI86" s="49" t="e" cm="1">
        <f t="array" ref="AI86">INDEX(#REF!, MATCH(1, (Table13[[#This Row],[year t]]=Table32[[#All],[year t]])*(Table13[[#This Row],[stratum i]]=Table32[[#All],[stratum i]]), 0))</f>
        <v>#REF!</v>
      </c>
      <c r="AJ86" s="49" t="e">
        <f>Table13[[#This Row],[ΔCBSL-herb,i,t (tC/ha)]]</f>
        <v>#REF!</v>
      </c>
      <c r="AO86" s="18">
        <v>2026</v>
      </c>
      <c r="AP86">
        <v>3</v>
      </c>
      <c r="AQ86" s="18" cm="1">
        <f t="array" ref="AQ86">INDEX(Table32[[#All],[Ai,t]], MATCH(1, (Table14[[#This Row],[year t]]=Table32[[#All],[year t]])*(Table14[[#This Row],[stratum i]]=Table32[[#All],[stratum i]]), 0))</f>
        <v>2222.8442528571427</v>
      </c>
      <c r="AR86" t="str">
        <f>IF(AND(INDEX(Table31[[#All],[Soil type (t=0)]], MATCH(Table14[[#This Row],[stratum i]], Table31[[#All],[Stratum i]]))="Peat soil", Table14[[#This Row],[year t]]&lt;=Table14[[#This Row],[End_PDT]]), "Peat soil", "Non-peat soil")</f>
        <v>Non-peat soil</v>
      </c>
      <c r="AS86">
        <f>IF(Emission_reduction_from_stock_loss?, INDEX(Table2[[#All],[End_PDT]], MATCH(Table14[[#This Row],[stratum i]], Table2[[#All],[stratum i]])), crediting_period)</f>
        <v>40</v>
      </c>
      <c r="AT86">
        <f>IF(Emission_reduction_from_stock_loss?, INDEX(Table2[[#All],[End_SDT]], MATCH(Table14[[#This Row],[stratum i]], Table2[[#All],[stratum i]])), crediting_period)</f>
        <v>40</v>
      </c>
      <c r="AU86" cm="1">
        <f t="array" ref="AU8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6" t="e" cm="1">
        <f t="array" ref="AV86">INDEX(#REF!, MATCH(1, (Table14[[#This Row],[year t]]=Table32[[#All],[year t]])*(Table14[[#This Row],[stratum i]]=Table32[[#All],[stratum i]]), 0))</f>
        <v>#REF!</v>
      </c>
      <c r="AW8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6" s="57">
        <f>(Table14[[#This Row],[GHGBSL-soil-CO2,i,t (Eq 27)]]-Table14[[#This Row],[Deductionalloch (Eq 38)]])*Table14[[#This Row],[Ai,t]]</f>
        <v>0</v>
      </c>
      <c r="AY86" cm="1">
        <f t="array" ref="AY86">IF(baseline_soil_CH4 = "Included", INDEX(Table18[[#All],[GHGBSL-soil-CH4,i,t (Eq 59)]], MATCH(1, (Table14[[#This Row],[year t]]=Table18[[#All],[year t]])*(Table14[[#This Row],[stratum i]]=Table18[[#All],[stratum i]]), 0)), 0)</f>
        <v>0</v>
      </c>
      <c r="AZ86" cm="1">
        <f t="array" ref="AZ86">IF(baseline_soil_N2O = "Included", INDEX(Table18[[#All],[GHGBSL-soil-N2O,i,t (Eq 62)]], MATCH(1, (Table14[[#This Row],[year t]]=Table18[[#All],[year t]])*(Table14[[#This Row],[stratum i]]=Table18[[#All],[stratum i]]), 0)), 0)</f>
        <v>0</v>
      </c>
      <c r="BA86">
        <f>IF(AND(Table14[[#This Row],[year t]]&gt;Table14[[#This Row],[End_PDT]],Table14[[#This Row],[year t]]&gt;Table14[[#This Row],[End_SDT]]), 0, Table14[[#This Row],[Ai,t]]*(Table14[[#This Row],[GHGBSL-soil-CO2,i,t (Eq 27)]]-Table14[[#This Row],[Deductionalloch (Eq 38)]]+Table14[[#This Row],[GHGBSL-soil-CH4,i,t]]+Table14[[#This Row],[GHGBSL-soil-N2O,i,t]]))</f>
        <v>0</v>
      </c>
      <c r="BB86" t="e" cm="1">
        <f t="array" ref="BB86">INDEX(#REF!, MATCH(1, (Table14[[#This Row],[year t]]=Table32[[#All],[year t]])*(Table14[[#This Row],[stratum i]]=Table32[[#All],[stratum i]]), 0))</f>
        <v>#REF!</v>
      </c>
      <c r="BC86" t="e" cm="1">
        <f t="array" ref="BC86">INDEX(#REF!, MATCH(1, (Table14[[#This Row],[year t]]=Table32[[#All],[year t]])*(Table14[[#This Row],[stratum i]]=Table32[[#All],[stratum i]]), 0))</f>
        <v>#REF!</v>
      </c>
      <c r="BD86" t="e" cm="1">
        <f t="array" ref="BD86">INDEX(#REF!, MATCH(1, (Table14[[#This Row],[year t]]=Table32[[#All],[year t]])*(Table14[[#This Row],[stratum i]]=Table32[[#All],[stratum i]]), 0))</f>
        <v>#REF!</v>
      </c>
      <c r="BE86" t="e" cm="1">
        <f t="array" ref="BE86">INDEX(#REF!, MATCH(1, (Table14[[#This Row],[year t]]=Table32[[#All],[year t]])*(Table14[[#This Row],[stratum i]]=Table32[[#All],[stratum i]]), 0))</f>
        <v>#REF!</v>
      </c>
      <c r="BF86" s="30"/>
      <c r="BM86" s="18">
        <v>2026</v>
      </c>
      <c r="BN86">
        <v>3</v>
      </c>
      <c r="BO86" t="e" cm="1">
        <f t="array" ref="BO86">INDEX(#REF!, MATCH(1, (Table132926[[#This Row],[year t]]=Table32[year t])*(Table132926[[#This Row],[stratum i]]=Table32[[#All],[stratum i]]), 0))</f>
        <v>#REF!</v>
      </c>
      <c r="BP86" t="e">
        <f>-44/12*Table132926[[#This Row],[∆CBSL-soil,i,t (tC/ha)]]</f>
        <v>#REF!</v>
      </c>
    </row>
    <row r="87" spans="10:68" x14ac:dyDescent="0.2">
      <c r="J87" s="18">
        <v>2027</v>
      </c>
      <c r="K87">
        <v>3</v>
      </c>
      <c r="L87" cm="1">
        <f t="array" ref="L87">INDEX(Table32[[#All],[ΔCTREE_BSL,i,t (AR Tool 14) t C/yr]], MATCH(1, (Table12[[#This Row],[year t]]=Table32[[#All],[year t]])*(Table12[[#This Row],[stratum i]]=Table32[[#All],[stratum i]]), 0))</f>
        <v>0</v>
      </c>
      <c r="M87" cm="1">
        <f t="array" ref="M87">IF(baseline_abground_nontree = "Included", INDEX(#REF!, MATCH(1, (Table12[[#This Row],[year t]]=Table32[[#All],[year t]])*(Table12[[#This Row],[stratum i]]=Table32[[#All],[stratum i]]), 0)), 0)</f>
        <v>0</v>
      </c>
      <c r="N87">
        <f>12/44*(Table12[[#This Row],[ΔCTREE_BSL,i,t (AR Tool 14) t CO2e/yr]]+Table12[[#This Row],[ΔCSHRUB_BSL,i,t (AR Tool 14) t CO2e/yr]])</f>
        <v>0</v>
      </c>
      <c r="O87" cm="1">
        <f t="array" ref="O87">IF(baseline_abground_nontree = "Included", IFERROR(INDEX(Table13[[#All],[ΔCBSL-herb,i,t (Eq 25)]], MATCH(1, (Table12[[#This Row],[stratum i]]=Table13[[#All],[stratum i]])*(Table12[[#This Row],[year t]]&gt;=#REF!)*(Table12[[#This Row],[year t]]&lt;=Table13[[#All],[year t]]), 0)), 0), 0)</f>
        <v>0</v>
      </c>
      <c r="P87">
        <f>Table12[[#This Row],[ΔCBSL-tree/shrub,i,t (t C/yr) (Eq 24)]]+Table12[[#This Row],[ΔCBSL-herb,i,t (t C/yr)]]-Table12[[#This Row],[ΔCBSL-agbiomass,i,t; t C yr-1 (submergence)]]</f>
        <v>0</v>
      </c>
      <c r="Q87" cm="1">
        <f t="array" ref="Q87">IFERROR(INDEX(Table14[[#All],[GHGBSL-soil,i,t (Eq 26)]], MATCH(1, (Table12[[#This Row],[year t]]=Table14[[#All],[year t]])*(Table12[[#This Row],[stratum i]]=Table14[[#All],[stratum i]]), 0)), 0)</f>
        <v>0</v>
      </c>
      <c r="R87">
        <f>IF(baseline_ff_CO2 = "Included", Table12[[#This Row],[ET(FC,I,t) AR-Tool 5]], 0)</f>
        <v>0</v>
      </c>
      <c r="S87" t="e" cm="1">
        <f t="array" ref="S87">INDEX(#REF!, MATCH(1, (Table12[[#This Row],[year t]]=Table32[[#All],[year t]])*(Table12[[#This Row],[stratum i]]=Table32[[#All],[stratum i]]), 0))</f>
        <v>#REF!</v>
      </c>
      <c r="T87" cm="1">
        <f t="array" ref="T87">IFERROR(INDEX(Table30[[#All],[ΔCBSL-agbiomass,i,t (equation 22) t C yr-1]], MATCH(1, (Table12[[#This Row],[stratum i]]=Table30[[#All],[Stratum i]])*(Table12[[#This Row],[year t]]&lt;Table30[[#All],[Year of reporting]]), 0)), 0)</f>
        <v>0</v>
      </c>
      <c r="AG87" s="18">
        <v>2027</v>
      </c>
      <c r="AH87">
        <v>3</v>
      </c>
      <c r="AI87" s="49" t="e" cm="1">
        <f t="array" ref="AI87">INDEX(#REF!, MATCH(1, (Table13[[#This Row],[year t]]=Table32[[#All],[year t]])*(Table13[[#This Row],[stratum i]]=Table32[[#All],[stratum i]]), 0))</f>
        <v>#REF!</v>
      </c>
      <c r="AJ87" s="49" t="e">
        <f>Table13[[#This Row],[ΔCBSL-herb,i,t (tC/ha)]]</f>
        <v>#REF!</v>
      </c>
      <c r="AO87" s="18">
        <v>2027</v>
      </c>
      <c r="AP87">
        <v>3</v>
      </c>
      <c r="AQ87" s="18" cm="1">
        <f t="array" ref="AQ87">INDEX(Table32[[#All],[Ai,t]], MATCH(1, (Table14[[#This Row],[year t]]=Table32[[#All],[year t]])*(Table14[[#This Row],[stratum i]]=Table32[[#All],[stratum i]]), 0))</f>
        <v>2222.8442528571427</v>
      </c>
      <c r="AR87" t="str">
        <f>IF(AND(INDEX(Table31[[#All],[Soil type (t=0)]], MATCH(Table14[[#This Row],[stratum i]], Table31[[#All],[Stratum i]]))="Peat soil", Table14[[#This Row],[year t]]&lt;=Table14[[#This Row],[End_PDT]]), "Peat soil", "Non-peat soil")</f>
        <v>Non-peat soil</v>
      </c>
      <c r="AS87">
        <f>IF(Emission_reduction_from_stock_loss?, INDEX(Table2[[#All],[End_PDT]], MATCH(Table14[[#This Row],[stratum i]], Table2[[#All],[stratum i]])), crediting_period)</f>
        <v>40</v>
      </c>
      <c r="AT87">
        <f>IF(Emission_reduction_from_stock_loss?, INDEX(Table2[[#All],[End_SDT]], MATCH(Table14[[#This Row],[stratum i]], Table2[[#All],[stratum i]])), crediting_period)</f>
        <v>40</v>
      </c>
      <c r="AU87" cm="1">
        <f t="array" ref="AU8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7" t="e" cm="1">
        <f t="array" ref="AV87">INDEX(#REF!, MATCH(1, (Table14[[#This Row],[year t]]=Table32[[#All],[year t]])*(Table14[[#This Row],[stratum i]]=Table32[[#All],[stratum i]]), 0))</f>
        <v>#REF!</v>
      </c>
      <c r="AW8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7" s="57">
        <f>(Table14[[#This Row],[GHGBSL-soil-CO2,i,t (Eq 27)]]-Table14[[#This Row],[Deductionalloch (Eq 38)]])*Table14[[#This Row],[Ai,t]]</f>
        <v>0</v>
      </c>
      <c r="AY87" cm="1">
        <f t="array" ref="AY87">IF(baseline_soil_CH4 = "Included", INDEX(Table18[[#All],[GHGBSL-soil-CH4,i,t (Eq 59)]], MATCH(1, (Table14[[#This Row],[year t]]=Table18[[#All],[year t]])*(Table14[[#This Row],[stratum i]]=Table18[[#All],[stratum i]]), 0)), 0)</f>
        <v>0</v>
      </c>
      <c r="AZ87" cm="1">
        <f t="array" ref="AZ87">IF(baseline_soil_N2O = "Included", INDEX(Table18[[#All],[GHGBSL-soil-N2O,i,t (Eq 62)]], MATCH(1, (Table14[[#This Row],[year t]]=Table18[[#All],[year t]])*(Table14[[#This Row],[stratum i]]=Table18[[#All],[stratum i]]), 0)), 0)</f>
        <v>0</v>
      </c>
      <c r="BA87">
        <f>IF(AND(Table14[[#This Row],[year t]]&gt;Table14[[#This Row],[End_PDT]],Table14[[#This Row],[year t]]&gt;Table14[[#This Row],[End_SDT]]), 0, Table14[[#This Row],[Ai,t]]*(Table14[[#This Row],[GHGBSL-soil-CO2,i,t (Eq 27)]]-Table14[[#This Row],[Deductionalloch (Eq 38)]]+Table14[[#This Row],[GHGBSL-soil-CH4,i,t]]+Table14[[#This Row],[GHGBSL-soil-N2O,i,t]]))</f>
        <v>0</v>
      </c>
      <c r="BB87" t="e" cm="1">
        <f t="array" ref="BB87">INDEX(#REF!, MATCH(1, (Table14[[#This Row],[year t]]=Table32[[#All],[year t]])*(Table14[[#This Row],[stratum i]]=Table32[[#All],[stratum i]]), 0))</f>
        <v>#REF!</v>
      </c>
      <c r="BC87" t="e" cm="1">
        <f t="array" ref="BC87">INDEX(#REF!, MATCH(1, (Table14[[#This Row],[year t]]=Table32[[#All],[year t]])*(Table14[[#This Row],[stratum i]]=Table32[[#All],[stratum i]]), 0))</f>
        <v>#REF!</v>
      </c>
      <c r="BD87" t="e" cm="1">
        <f t="array" ref="BD87">INDEX(#REF!, MATCH(1, (Table14[[#This Row],[year t]]=Table32[[#All],[year t]])*(Table14[[#This Row],[stratum i]]=Table32[[#All],[stratum i]]), 0))</f>
        <v>#REF!</v>
      </c>
      <c r="BE87" t="e" cm="1">
        <f t="array" ref="BE87">INDEX(#REF!, MATCH(1, (Table14[[#This Row],[year t]]=Table32[[#All],[year t]])*(Table14[[#This Row],[stratum i]]=Table32[[#All],[stratum i]]), 0))</f>
        <v>#REF!</v>
      </c>
      <c r="BF87" s="30"/>
      <c r="BM87" s="18">
        <v>2027</v>
      </c>
      <c r="BN87">
        <v>3</v>
      </c>
      <c r="BO87" t="e" cm="1">
        <f t="array" ref="BO87">INDEX(#REF!, MATCH(1, (Table132926[[#This Row],[year t]]=Table32[year t])*(Table132926[[#This Row],[stratum i]]=Table32[[#All],[stratum i]]), 0))</f>
        <v>#REF!</v>
      </c>
      <c r="BP87" t="e">
        <f>-44/12*Table132926[[#This Row],[∆CBSL-soil,i,t (tC/ha)]]</f>
        <v>#REF!</v>
      </c>
    </row>
    <row r="88" spans="10:68" x14ac:dyDescent="0.2">
      <c r="J88" s="18">
        <v>2028</v>
      </c>
      <c r="K88">
        <v>3</v>
      </c>
      <c r="L88" cm="1">
        <f t="array" ref="L88">INDEX(Table32[[#All],[ΔCTREE_BSL,i,t (AR Tool 14) t C/yr]], MATCH(1, (Table12[[#This Row],[year t]]=Table32[[#All],[year t]])*(Table12[[#This Row],[stratum i]]=Table32[[#All],[stratum i]]), 0))</f>
        <v>0</v>
      </c>
      <c r="M88" cm="1">
        <f t="array" ref="M88">IF(baseline_abground_nontree = "Included", INDEX(#REF!, MATCH(1, (Table12[[#This Row],[year t]]=Table32[[#All],[year t]])*(Table12[[#This Row],[stratum i]]=Table32[[#All],[stratum i]]), 0)), 0)</f>
        <v>0</v>
      </c>
      <c r="N88">
        <f>12/44*(Table12[[#This Row],[ΔCTREE_BSL,i,t (AR Tool 14) t CO2e/yr]]+Table12[[#This Row],[ΔCSHRUB_BSL,i,t (AR Tool 14) t CO2e/yr]])</f>
        <v>0</v>
      </c>
      <c r="O88" cm="1">
        <f t="array" ref="O88">IF(baseline_abground_nontree = "Included", IFERROR(INDEX(Table13[[#All],[ΔCBSL-herb,i,t (Eq 25)]], MATCH(1, (Table12[[#This Row],[stratum i]]=Table13[[#All],[stratum i]])*(Table12[[#This Row],[year t]]&gt;=#REF!)*(Table12[[#This Row],[year t]]&lt;=Table13[[#All],[year t]]), 0)), 0), 0)</f>
        <v>0</v>
      </c>
      <c r="P88">
        <f>Table12[[#This Row],[ΔCBSL-tree/shrub,i,t (t C/yr) (Eq 24)]]+Table12[[#This Row],[ΔCBSL-herb,i,t (t C/yr)]]-Table12[[#This Row],[ΔCBSL-agbiomass,i,t; t C yr-1 (submergence)]]</f>
        <v>0</v>
      </c>
      <c r="Q88" cm="1">
        <f t="array" ref="Q88">IFERROR(INDEX(Table14[[#All],[GHGBSL-soil,i,t (Eq 26)]], MATCH(1, (Table12[[#This Row],[year t]]=Table14[[#All],[year t]])*(Table12[[#This Row],[stratum i]]=Table14[[#All],[stratum i]]), 0)), 0)</f>
        <v>0</v>
      </c>
      <c r="R88">
        <f>IF(baseline_ff_CO2 = "Included", Table12[[#This Row],[ET(FC,I,t) AR-Tool 5]], 0)</f>
        <v>0</v>
      </c>
      <c r="S88" t="e" cm="1">
        <f t="array" ref="S88">INDEX(#REF!, MATCH(1, (Table12[[#This Row],[year t]]=Table32[[#All],[year t]])*(Table12[[#This Row],[stratum i]]=Table32[[#All],[stratum i]]), 0))</f>
        <v>#REF!</v>
      </c>
      <c r="T88" cm="1">
        <f t="array" ref="T88">IFERROR(INDEX(Table30[[#All],[ΔCBSL-agbiomass,i,t (equation 22) t C yr-1]], MATCH(1, (Table12[[#This Row],[stratum i]]=Table30[[#All],[Stratum i]])*(Table12[[#This Row],[year t]]&lt;Table30[[#All],[Year of reporting]]), 0)), 0)</f>
        <v>0</v>
      </c>
      <c r="AG88" s="18">
        <v>2028</v>
      </c>
      <c r="AH88">
        <v>3</v>
      </c>
      <c r="AI88" s="49" t="e" cm="1">
        <f t="array" ref="AI88">INDEX(#REF!, MATCH(1, (Table13[[#This Row],[year t]]=Table32[[#All],[year t]])*(Table13[[#This Row],[stratum i]]=Table32[[#All],[stratum i]]), 0))</f>
        <v>#REF!</v>
      </c>
      <c r="AJ88" s="49" t="e">
        <f>Table13[[#This Row],[ΔCBSL-herb,i,t (tC/ha)]]</f>
        <v>#REF!</v>
      </c>
      <c r="AO88" s="18">
        <v>2028</v>
      </c>
      <c r="AP88">
        <v>3</v>
      </c>
      <c r="AQ88" s="18" cm="1">
        <f t="array" ref="AQ88">INDEX(Table32[[#All],[Ai,t]], MATCH(1, (Table14[[#This Row],[year t]]=Table32[[#All],[year t]])*(Table14[[#This Row],[stratum i]]=Table32[[#All],[stratum i]]), 0))</f>
        <v>2222.8442528571427</v>
      </c>
      <c r="AR88" t="str">
        <f>IF(AND(INDEX(Table31[[#All],[Soil type (t=0)]], MATCH(Table14[[#This Row],[stratum i]], Table31[[#All],[Stratum i]]))="Peat soil", Table14[[#This Row],[year t]]&lt;=Table14[[#This Row],[End_PDT]]), "Peat soil", "Non-peat soil")</f>
        <v>Non-peat soil</v>
      </c>
      <c r="AS88">
        <f>IF(Emission_reduction_from_stock_loss?, INDEX(Table2[[#All],[End_PDT]], MATCH(Table14[[#This Row],[stratum i]], Table2[[#All],[stratum i]])), crediting_period)</f>
        <v>40</v>
      </c>
      <c r="AT88">
        <f>IF(Emission_reduction_from_stock_loss?, INDEX(Table2[[#All],[End_SDT]], MATCH(Table14[[#This Row],[stratum i]], Table2[[#All],[stratum i]])), crediting_period)</f>
        <v>40</v>
      </c>
      <c r="AU88" cm="1">
        <f t="array" ref="AU8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8" t="e" cm="1">
        <f t="array" ref="AV88">INDEX(#REF!, MATCH(1, (Table14[[#This Row],[year t]]=Table32[[#All],[year t]])*(Table14[[#This Row],[stratum i]]=Table32[[#All],[stratum i]]), 0))</f>
        <v>#REF!</v>
      </c>
      <c r="AW8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8" s="57">
        <f>(Table14[[#This Row],[GHGBSL-soil-CO2,i,t (Eq 27)]]-Table14[[#This Row],[Deductionalloch (Eq 38)]])*Table14[[#This Row],[Ai,t]]</f>
        <v>0</v>
      </c>
      <c r="AY88" cm="1">
        <f t="array" ref="AY88">IF(baseline_soil_CH4 = "Included", INDEX(Table18[[#All],[GHGBSL-soil-CH4,i,t (Eq 59)]], MATCH(1, (Table14[[#This Row],[year t]]=Table18[[#All],[year t]])*(Table14[[#This Row],[stratum i]]=Table18[[#All],[stratum i]]), 0)), 0)</f>
        <v>0</v>
      </c>
      <c r="AZ88" cm="1">
        <f t="array" ref="AZ88">IF(baseline_soil_N2O = "Included", INDEX(Table18[[#All],[GHGBSL-soil-N2O,i,t (Eq 62)]], MATCH(1, (Table14[[#This Row],[year t]]=Table18[[#All],[year t]])*(Table14[[#This Row],[stratum i]]=Table18[[#All],[stratum i]]), 0)), 0)</f>
        <v>0</v>
      </c>
      <c r="BA88">
        <f>IF(AND(Table14[[#This Row],[year t]]&gt;Table14[[#This Row],[End_PDT]],Table14[[#This Row],[year t]]&gt;Table14[[#This Row],[End_SDT]]), 0, Table14[[#This Row],[Ai,t]]*(Table14[[#This Row],[GHGBSL-soil-CO2,i,t (Eq 27)]]-Table14[[#This Row],[Deductionalloch (Eq 38)]]+Table14[[#This Row],[GHGBSL-soil-CH4,i,t]]+Table14[[#This Row],[GHGBSL-soil-N2O,i,t]]))</f>
        <v>0</v>
      </c>
      <c r="BB88" t="e" cm="1">
        <f t="array" ref="BB88">INDEX(#REF!, MATCH(1, (Table14[[#This Row],[year t]]=Table32[[#All],[year t]])*(Table14[[#This Row],[stratum i]]=Table32[[#All],[stratum i]]), 0))</f>
        <v>#REF!</v>
      </c>
      <c r="BC88" t="e" cm="1">
        <f t="array" ref="BC88">INDEX(#REF!, MATCH(1, (Table14[[#This Row],[year t]]=Table32[[#All],[year t]])*(Table14[[#This Row],[stratum i]]=Table32[[#All],[stratum i]]), 0))</f>
        <v>#REF!</v>
      </c>
      <c r="BD88" t="e" cm="1">
        <f t="array" ref="BD88">INDEX(#REF!, MATCH(1, (Table14[[#This Row],[year t]]=Table32[[#All],[year t]])*(Table14[[#This Row],[stratum i]]=Table32[[#All],[stratum i]]), 0))</f>
        <v>#REF!</v>
      </c>
      <c r="BE88" t="e" cm="1">
        <f t="array" ref="BE88">INDEX(#REF!, MATCH(1, (Table14[[#This Row],[year t]]=Table32[[#All],[year t]])*(Table14[[#This Row],[stratum i]]=Table32[[#All],[stratum i]]), 0))</f>
        <v>#REF!</v>
      </c>
      <c r="BF88" s="30"/>
      <c r="BM88" s="18">
        <v>2028</v>
      </c>
      <c r="BN88">
        <v>3</v>
      </c>
      <c r="BO88" t="e" cm="1">
        <f t="array" ref="BO88">INDEX(#REF!, MATCH(1, (Table132926[[#This Row],[year t]]=Table32[year t])*(Table132926[[#This Row],[stratum i]]=Table32[[#All],[stratum i]]), 0))</f>
        <v>#REF!</v>
      </c>
      <c r="BP88" t="e">
        <f>-44/12*Table132926[[#This Row],[∆CBSL-soil,i,t (tC/ha)]]</f>
        <v>#REF!</v>
      </c>
    </row>
    <row r="89" spans="10:68" x14ac:dyDescent="0.2">
      <c r="J89" s="18">
        <v>2029</v>
      </c>
      <c r="K89">
        <v>3</v>
      </c>
      <c r="L89" cm="1">
        <f t="array" ref="L89">INDEX(Table32[[#All],[ΔCTREE_BSL,i,t (AR Tool 14) t C/yr]], MATCH(1, (Table12[[#This Row],[year t]]=Table32[[#All],[year t]])*(Table12[[#This Row],[stratum i]]=Table32[[#All],[stratum i]]), 0))</f>
        <v>0</v>
      </c>
      <c r="M89" cm="1">
        <f t="array" ref="M89">IF(baseline_abground_nontree = "Included", INDEX(#REF!, MATCH(1, (Table12[[#This Row],[year t]]=Table32[[#All],[year t]])*(Table12[[#This Row],[stratum i]]=Table32[[#All],[stratum i]]), 0)), 0)</f>
        <v>0</v>
      </c>
      <c r="N89">
        <f>12/44*(Table12[[#This Row],[ΔCTREE_BSL,i,t (AR Tool 14) t CO2e/yr]]+Table12[[#This Row],[ΔCSHRUB_BSL,i,t (AR Tool 14) t CO2e/yr]])</f>
        <v>0</v>
      </c>
      <c r="O89" cm="1">
        <f t="array" ref="O89">IF(baseline_abground_nontree = "Included", IFERROR(INDEX(Table13[[#All],[ΔCBSL-herb,i,t (Eq 25)]], MATCH(1, (Table12[[#This Row],[stratum i]]=Table13[[#All],[stratum i]])*(Table12[[#This Row],[year t]]&gt;=#REF!)*(Table12[[#This Row],[year t]]&lt;=Table13[[#All],[year t]]), 0)), 0), 0)</f>
        <v>0</v>
      </c>
      <c r="P89">
        <f>Table12[[#This Row],[ΔCBSL-tree/shrub,i,t (t C/yr) (Eq 24)]]+Table12[[#This Row],[ΔCBSL-herb,i,t (t C/yr)]]-Table12[[#This Row],[ΔCBSL-agbiomass,i,t; t C yr-1 (submergence)]]</f>
        <v>0</v>
      </c>
      <c r="Q89" cm="1">
        <f t="array" ref="Q89">IFERROR(INDEX(Table14[[#All],[GHGBSL-soil,i,t (Eq 26)]], MATCH(1, (Table12[[#This Row],[year t]]=Table14[[#All],[year t]])*(Table12[[#This Row],[stratum i]]=Table14[[#All],[stratum i]]), 0)), 0)</f>
        <v>0</v>
      </c>
      <c r="R89">
        <f>IF(baseline_ff_CO2 = "Included", Table12[[#This Row],[ET(FC,I,t) AR-Tool 5]], 0)</f>
        <v>0</v>
      </c>
      <c r="S89" t="e" cm="1">
        <f t="array" ref="S89">INDEX(#REF!, MATCH(1, (Table12[[#This Row],[year t]]=Table32[[#All],[year t]])*(Table12[[#This Row],[stratum i]]=Table32[[#All],[stratum i]]), 0))</f>
        <v>#REF!</v>
      </c>
      <c r="T89" cm="1">
        <f t="array" ref="T89">IFERROR(INDEX(Table30[[#All],[ΔCBSL-agbiomass,i,t (equation 22) t C yr-1]], MATCH(1, (Table12[[#This Row],[stratum i]]=Table30[[#All],[Stratum i]])*(Table12[[#This Row],[year t]]&lt;Table30[[#All],[Year of reporting]]), 0)), 0)</f>
        <v>0</v>
      </c>
      <c r="AG89" s="18">
        <v>2029</v>
      </c>
      <c r="AH89">
        <v>3</v>
      </c>
      <c r="AI89" s="49" t="e" cm="1">
        <f t="array" ref="AI89">INDEX(#REF!, MATCH(1, (Table13[[#This Row],[year t]]=Table32[[#All],[year t]])*(Table13[[#This Row],[stratum i]]=Table32[[#All],[stratum i]]), 0))</f>
        <v>#REF!</v>
      </c>
      <c r="AJ89" s="49" t="e">
        <f>Table13[[#This Row],[ΔCBSL-herb,i,t (tC/ha)]]</f>
        <v>#REF!</v>
      </c>
      <c r="AO89" s="18">
        <v>2029</v>
      </c>
      <c r="AP89">
        <v>3</v>
      </c>
      <c r="AQ89" s="18" cm="1">
        <f t="array" ref="AQ89">INDEX(Table32[[#All],[Ai,t]], MATCH(1, (Table14[[#This Row],[year t]]=Table32[[#All],[year t]])*(Table14[[#This Row],[stratum i]]=Table32[[#All],[stratum i]]), 0))</f>
        <v>2222.8442528571427</v>
      </c>
      <c r="AR89" t="str">
        <f>IF(AND(INDEX(Table31[[#All],[Soil type (t=0)]], MATCH(Table14[[#This Row],[stratum i]], Table31[[#All],[Stratum i]]))="Peat soil", Table14[[#This Row],[year t]]&lt;=Table14[[#This Row],[End_PDT]]), "Peat soil", "Non-peat soil")</f>
        <v>Non-peat soil</v>
      </c>
      <c r="AS89">
        <f>IF(Emission_reduction_from_stock_loss?, INDEX(Table2[[#All],[End_PDT]], MATCH(Table14[[#This Row],[stratum i]], Table2[[#All],[stratum i]])), crediting_period)</f>
        <v>40</v>
      </c>
      <c r="AT89">
        <f>IF(Emission_reduction_from_stock_loss?, INDEX(Table2[[#All],[End_SDT]], MATCH(Table14[[#This Row],[stratum i]], Table2[[#All],[stratum i]])), crediting_period)</f>
        <v>40</v>
      </c>
      <c r="AU89" cm="1">
        <f t="array" ref="AU8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89" t="e" cm="1">
        <f t="array" ref="AV89">INDEX(#REF!, MATCH(1, (Table14[[#This Row],[year t]]=Table32[[#All],[year t]])*(Table14[[#This Row],[stratum i]]=Table32[[#All],[stratum i]]), 0))</f>
        <v>#REF!</v>
      </c>
      <c r="AW8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89" s="57">
        <f>(Table14[[#This Row],[GHGBSL-soil-CO2,i,t (Eq 27)]]-Table14[[#This Row],[Deductionalloch (Eq 38)]])*Table14[[#This Row],[Ai,t]]</f>
        <v>0</v>
      </c>
      <c r="AY89" cm="1">
        <f t="array" ref="AY89">IF(baseline_soil_CH4 = "Included", INDEX(Table18[[#All],[GHGBSL-soil-CH4,i,t (Eq 59)]], MATCH(1, (Table14[[#This Row],[year t]]=Table18[[#All],[year t]])*(Table14[[#This Row],[stratum i]]=Table18[[#All],[stratum i]]), 0)), 0)</f>
        <v>0</v>
      </c>
      <c r="AZ89" cm="1">
        <f t="array" ref="AZ89">IF(baseline_soil_N2O = "Included", INDEX(Table18[[#All],[GHGBSL-soil-N2O,i,t (Eq 62)]], MATCH(1, (Table14[[#This Row],[year t]]=Table18[[#All],[year t]])*(Table14[[#This Row],[stratum i]]=Table18[[#All],[stratum i]]), 0)), 0)</f>
        <v>0</v>
      </c>
      <c r="BA89">
        <f>IF(AND(Table14[[#This Row],[year t]]&gt;Table14[[#This Row],[End_PDT]],Table14[[#This Row],[year t]]&gt;Table14[[#This Row],[End_SDT]]), 0, Table14[[#This Row],[Ai,t]]*(Table14[[#This Row],[GHGBSL-soil-CO2,i,t (Eq 27)]]-Table14[[#This Row],[Deductionalloch (Eq 38)]]+Table14[[#This Row],[GHGBSL-soil-CH4,i,t]]+Table14[[#This Row],[GHGBSL-soil-N2O,i,t]]))</f>
        <v>0</v>
      </c>
      <c r="BB89" t="e" cm="1">
        <f t="array" ref="BB89">INDEX(#REF!, MATCH(1, (Table14[[#This Row],[year t]]=Table32[[#All],[year t]])*(Table14[[#This Row],[stratum i]]=Table32[[#All],[stratum i]]), 0))</f>
        <v>#REF!</v>
      </c>
      <c r="BC89" t="e" cm="1">
        <f t="array" ref="BC89">INDEX(#REF!, MATCH(1, (Table14[[#This Row],[year t]]=Table32[[#All],[year t]])*(Table14[[#This Row],[stratum i]]=Table32[[#All],[stratum i]]), 0))</f>
        <v>#REF!</v>
      </c>
      <c r="BD89" t="e" cm="1">
        <f t="array" ref="BD89">INDEX(#REF!, MATCH(1, (Table14[[#This Row],[year t]]=Table32[[#All],[year t]])*(Table14[[#This Row],[stratum i]]=Table32[[#All],[stratum i]]), 0))</f>
        <v>#REF!</v>
      </c>
      <c r="BE89" t="e" cm="1">
        <f t="array" ref="BE89">INDEX(#REF!, MATCH(1, (Table14[[#This Row],[year t]]=Table32[[#All],[year t]])*(Table14[[#This Row],[stratum i]]=Table32[[#All],[stratum i]]), 0))</f>
        <v>#REF!</v>
      </c>
      <c r="BF89" s="30"/>
      <c r="BM89" s="18">
        <v>2029</v>
      </c>
      <c r="BN89">
        <v>3</v>
      </c>
      <c r="BO89" t="e" cm="1">
        <f t="array" ref="BO89">INDEX(#REF!, MATCH(1, (Table132926[[#This Row],[year t]]=Table32[year t])*(Table132926[[#This Row],[stratum i]]=Table32[[#All],[stratum i]]), 0))</f>
        <v>#REF!</v>
      </c>
      <c r="BP89" t="e">
        <f>-44/12*Table132926[[#This Row],[∆CBSL-soil,i,t (tC/ha)]]</f>
        <v>#REF!</v>
      </c>
    </row>
    <row r="90" spans="10:68" x14ac:dyDescent="0.2">
      <c r="J90" s="18">
        <v>2030</v>
      </c>
      <c r="K90">
        <v>3</v>
      </c>
      <c r="L90" cm="1">
        <f t="array" ref="L90">INDEX(Table32[[#All],[ΔCTREE_BSL,i,t (AR Tool 14) t C/yr]], MATCH(1, (Table12[[#This Row],[year t]]=Table32[[#All],[year t]])*(Table12[[#This Row],[stratum i]]=Table32[[#All],[stratum i]]), 0))</f>
        <v>0</v>
      </c>
      <c r="M90" cm="1">
        <f t="array" ref="M90">IF(baseline_abground_nontree = "Included", INDEX(#REF!, MATCH(1, (Table12[[#This Row],[year t]]=Table32[[#All],[year t]])*(Table12[[#This Row],[stratum i]]=Table32[[#All],[stratum i]]), 0)), 0)</f>
        <v>0</v>
      </c>
      <c r="N90">
        <f>12/44*(Table12[[#This Row],[ΔCTREE_BSL,i,t (AR Tool 14) t CO2e/yr]]+Table12[[#This Row],[ΔCSHRUB_BSL,i,t (AR Tool 14) t CO2e/yr]])</f>
        <v>0</v>
      </c>
      <c r="O90" cm="1">
        <f t="array" ref="O90">IF(baseline_abground_nontree = "Included", IFERROR(INDEX(Table13[[#All],[ΔCBSL-herb,i,t (Eq 25)]], MATCH(1, (Table12[[#This Row],[stratum i]]=Table13[[#All],[stratum i]])*(Table12[[#This Row],[year t]]&gt;=#REF!)*(Table12[[#This Row],[year t]]&lt;=Table13[[#All],[year t]]), 0)), 0), 0)</f>
        <v>0</v>
      </c>
      <c r="P90">
        <f>Table12[[#This Row],[ΔCBSL-tree/shrub,i,t (t C/yr) (Eq 24)]]+Table12[[#This Row],[ΔCBSL-herb,i,t (t C/yr)]]-Table12[[#This Row],[ΔCBSL-agbiomass,i,t; t C yr-1 (submergence)]]</f>
        <v>0</v>
      </c>
      <c r="Q90" cm="1">
        <f t="array" ref="Q90">IFERROR(INDEX(Table14[[#All],[GHGBSL-soil,i,t (Eq 26)]], MATCH(1, (Table12[[#This Row],[year t]]=Table14[[#All],[year t]])*(Table12[[#This Row],[stratum i]]=Table14[[#All],[stratum i]]), 0)), 0)</f>
        <v>0</v>
      </c>
      <c r="R90">
        <f>IF(baseline_ff_CO2 = "Included", Table12[[#This Row],[ET(FC,I,t) AR-Tool 5]], 0)</f>
        <v>0</v>
      </c>
      <c r="S90" t="e" cm="1">
        <f t="array" ref="S90">INDEX(#REF!, MATCH(1, (Table12[[#This Row],[year t]]=Table32[[#All],[year t]])*(Table12[[#This Row],[stratum i]]=Table32[[#All],[stratum i]]), 0))</f>
        <v>#REF!</v>
      </c>
      <c r="T90" cm="1">
        <f t="array" ref="T90">IFERROR(INDEX(Table30[[#All],[ΔCBSL-agbiomass,i,t (equation 22) t C yr-1]], MATCH(1, (Table12[[#This Row],[stratum i]]=Table30[[#All],[Stratum i]])*(Table12[[#This Row],[year t]]&lt;Table30[[#All],[Year of reporting]]), 0)), 0)</f>
        <v>0</v>
      </c>
      <c r="AG90" s="18">
        <v>2030</v>
      </c>
      <c r="AH90">
        <v>3</v>
      </c>
      <c r="AI90" s="49" t="e" cm="1">
        <f t="array" ref="AI90">INDEX(#REF!, MATCH(1, (Table13[[#This Row],[year t]]=Table32[[#All],[year t]])*(Table13[[#This Row],[stratum i]]=Table32[[#All],[stratum i]]), 0))</f>
        <v>#REF!</v>
      </c>
      <c r="AJ90" s="49" t="e">
        <f>Table13[[#This Row],[ΔCBSL-herb,i,t (tC/ha)]]</f>
        <v>#REF!</v>
      </c>
      <c r="AO90" s="18">
        <v>2030</v>
      </c>
      <c r="AP90">
        <v>3</v>
      </c>
      <c r="AQ90" s="18" cm="1">
        <f t="array" ref="AQ90">INDEX(Table32[[#All],[Ai,t]], MATCH(1, (Table14[[#This Row],[year t]]=Table32[[#All],[year t]])*(Table14[[#This Row],[stratum i]]=Table32[[#All],[stratum i]]), 0))</f>
        <v>2222.8442528571427</v>
      </c>
      <c r="AR90" t="str">
        <f>IF(AND(INDEX(Table31[[#All],[Soil type (t=0)]], MATCH(Table14[[#This Row],[stratum i]], Table31[[#All],[Stratum i]]))="Peat soil", Table14[[#This Row],[year t]]&lt;=Table14[[#This Row],[End_PDT]]), "Peat soil", "Non-peat soil")</f>
        <v>Non-peat soil</v>
      </c>
      <c r="AS90">
        <f>IF(Emission_reduction_from_stock_loss?, INDEX(Table2[[#All],[End_PDT]], MATCH(Table14[[#This Row],[stratum i]], Table2[[#All],[stratum i]])), crediting_period)</f>
        <v>40</v>
      </c>
      <c r="AT90">
        <f>IF(Emission_reduction_from_stock_loss?, INDEX(Table2[[#All],[End_SDT]], MATCH(Table14[[#This Row],[stratum i]], Table2[[#All],[stratum i]])), crediting_period)</f>
        <v>40</v>
      </c>
      <c r="AU90" cm="1">
        <f t="array" ref="AU9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0" t="e" cm="1">
        <f t="array" ref="AV90">INDEX(#REF!, MATCH(1, (Table14[[#This Row],[year t]]=Table32[[#All],[year t]])*(Table14[[#This Row],[stratum i]]=Table32[[#All],[stratum i]]), 0))</f>
        <v>#REF!</v>
      </c>
      <c r="AW9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0" s="57">
        <f>(Table14[[#This Row],[GHGBSL-soil-CO2,i,t (Eq 27)]]-Table14[[#This Row],[Deductionalloch (Eq 38)]])*Table14[[#This Row],[Ai,t]]</f>
        <v>0</v>
      </c>
      <c r="AY90" cm="1">
        <f t="array" ref="AY90">IF(baseline_soil_CH4 = "Included", INDEX(Table18[[#All],[GHGBSL-soil-CH4,i,t (Eq 59)]], MATCH(1, (Table14[[#This Row],[year t]]=Table18[[#All],[year t]])*(Table14[[#This Row],[stratum i]]=Table18[[#All],[stratum i]]), 0)), 0)</f>
        <v>0</v>
      </c>
      <c r="AZ90" cm="1">
        <f t="array" ref="AZ90">IF(baseline_soil_N2O = "Included", INDEX(Table18[[#All],[GHGBSL-soil-N2O,i,t (Eq 62)]], MATCH(1, (Table14[[#This Row],[year t]]=Table18[[#All],[year t]])*(Table14[[#This Row],[stratum i]]=Table18[[#All],[stratum i]]), 0)), 0)</f>
        <v>0</v>
      </c>
      <c r="BA90">
        <f>IF(AND(Table14[[#This Row],[year t]]&gt;Table14[[#This Row],[End_PDT]],Table14[[#This Row],[year t]]&gt;Table14[[#This Row],[End_SDT]]), 0, Table14[[#This Row],[Ai,t]]*(Table14[[#This Row],[GHGBSL-soil-CO2,i,t (Eq 27)]]-Table14[[#This Row],[Deductionalloch (Eq 38)]]+Table14[[#This Row],[GHGBSL-soil-CH4,i,t]]+Table14[[#This Row],[GHGBSL-soil-N2O,i,t]]))</f>
        <v>0</v>
      </c>
      <c r="BB90" t="e" cm="1">
        <f t="array" ref="BB90">INDEX(#REF!, MATCH(1, (Table14[[#This Row],[year t]]=Table32[[#All],[year t]])*(Table14[[#This Row],[stratum i]]=Table32[[#All],[stratum i]]), 0))</f>
        <v>#REF!</v>
      </c>
      <c r="BC90" t="e" cm="1">
        <f t="array" ref="BC90">INDEX(#REF!, MATCH(1, (Table14[[#This Row],[year t]]=Table32[[#All],[year t]])*(Table14[[#This Row],[stratum i]]=Table32[[#All],[stratum i]]), 0))</f>
        <v>#REF!</v>
      </c>
      <c r="BD90" t="e" cm="1">
        <f t="array" ref="BD90">INDEX(#REF!, MATCH(1, (Table14[[#This Row],[year t]]=Table32[[#All],[year t]])*(Table14[[#This Row],[stratum i]]=Table32[[#All],[stratum i]]), 0))</f>
        <v>#REF!</v>
      </c>
      <c r="BE90" t="e" cm="1">
        <f t="array" ref="BE90">INDEX(#REF!, MATCH(1, (Table14[[#This Row],[year t]]=Table32[[#All],[year t]])*(Table14[[#This Row],[stratum i]]=Table32[[#All],[stratum i]]), 0))</f>
        <v>#REF!</v>
      </c>
      <c r="BF90" s="30"/>
      <c r="BM90" s="18">
        <v>2030</v>
      </c>
      <c r="BN90">
        <v>3</v>
      </c>
      <c r="BO90" t="e" cm="1">
        <f t="array" ref="BO90">INDEX(#REF!, MATCH(1, (Table132926[[#This Row],[year t]]=Table32[year t])*(Table132926[[#This Row],[stratum i]]=Table32[[#All],[stratum i]]), 0))</f>
        <v>#REF!</v>
      </c>
      <c r="BP90" t="e">
        <f>-44/12*Table132926[[#This Row],[∆CBSL-soil,i,t (tC/ha)]]</f>
        <v>#REF!</v>
      </c>
    </row>
    <row r="91" spans="10:68" x14ac:dyDescent="0.2">
      <c r="J91" s="18">
        <v>2031</v>
      </c>
      <c r="K91">
        <v>3</v>
      </c>
      <c r="L91" cm="1">
        <f t="array" ref="L91">INDEX(Table32[[#All],[ΔCTREE_BSL,i,t (AR Tool 14) t C/yr]], MATCH(1, (Table12[[#This Row],[year t]]=Table32[[#All],[year t]])*(Table12[[#This Row],[stratum i]]=Table32[[#All],[stratum i]]), 0))</f>
        <v>0</v>
      </c>
      <c r="M91" cm="1">
        <f t="array" ref="M91">IF(baseline_abground_nontree = "Included", INDEX(#REF!, MATCH(1, (Table12[[#This Row],[year t]]=Table32[[#All],[year t]])*(Table12[[#This Row],[stratum i]]=Table32[[#All],[stratum i]]), 0)), 0)</f>
        <v>0</v>
      </c>
      <c r="N91">
        <f>12/44*(Table12[[#This Row],[ΔCTREE_BSL,i,t (AR Tool 14) t CO2e/yr]]+Table12[[#This Row],[ΔCSHRUB_BSL,i,t (AR Tool 14) t CO2e/yr]])</f>
        <v>0</v>
      </c>
      <c r="O91" cm="1">
        <f t="array" ref="O91">IF(baseline_abground_nontree = "Included", IFERROR(INDEX(Table13[[#All],[ΔCBSL-herb,i,t (Eq 25)]], MATCH(1, (Table12[[#This Row],[stratum i]]=Table13[[#All],[stratum i]])*(Table12[[#This Row],[year t]]&gt;=#REF!)*(Table12[[#This Row],[year t]]&lt;=Table13[[#All],[year t]]), 0)), 0), 0)</f>
        <v>0</v>
      </c>
      <c r="P91">
        <f>Table12[[#This Row],[ΔCBSL-tree/shrub,i,t (t C/yr) (Eq 24)]]+Table12[[#This Row],[ΔCBSL-herb,i,t (t C/yr)]]-Table12[[#This Row],[ΔCBSL-agbiomass,i,t; t C yr-1 (submergence)]]</f>
        <v>0</v>
      </c>
      <c r="Q91" cm="1">
        <f t="array" ref="Q91">IFERROR(INDEX(Table14[[#All],[GHGBSL-soil,i,t (Eq 26)]], MATCH(1, (Table12[[#This Row],[year t]]=Table14[[#All],[year t]])*(Table12[[#This Row],[stratum i]]=Table14[[#All],[stratum i]]), 0)), 0)</f>
        <v>0</v>
      </c>
      <c r="R91">
        <f>IF(baseline_ff_CO2 = "Included", Table12[[#This Row],[ET(FC,I,t) AR-Tool 5]], 0)</f>
        <v>0</v>
      </c>
      <c r="S91" t="e" cm="1">
        <f t="array" ref="S91">INDEX(#REF!, MATCH(1, (Table12[[#This Row],[year t]]=Table32[[#All],[year t]])*(Table12[[#This Row],[stratum i]]=Table32[[#All],[stratum i]]), 0))</f>
        <v>#REF!</v>
      </c>
      <c r="T91" cm="1">
        <f t="array" ref="T91">IFERROR(INDEX(Table30[[#All],[ΔCBSL-agbiomass,i,t (equation 22) t C yr-1]], MATCH(1, (Table12[[#This Row],[stratum i]]=Table30[[#All],[Stratum i]])*(Table12[[#This Row],[year t]]&lt;Table30[[#All],[Year of reporting]]), 0)), 0)</f>
        <v>0</v>
      </c>
      <c r="AG91" s="18">
        <v>2031</v>
      </c>
      <c r="AH91">
        <v>3</v>
      </c>
      <c r="AI91" s="49" t="e" cm="1">
        <f t="array" ref="AI91">INDEX(#REF!, MATCH(1, (Table13[[#This Row],[year t]]=Table32[[#All],[year t]])*(Table13[[#This Row],[stratum i]]=Table32[[#All],[stratum i]]), 0))</f>
        <v>#REF!</v>
      </c>
      <c r="AJ91" s="49" t="e">
        <f>Table13[[#This Row],[ΔCBSL-herb,i,t (tC/ha)]]</f>
        <v>#REF!</v>
      </c>
      <c r="AO91" s="18">
        <v>2031</v>
      </c>
      <c r="AP91">
        <v>3</v>
      </c>
      <c r="AQ91" s="18" cm="1">
        <f t="array" ref="AQ91">INDEX(Table32[[#All],[Ai,t]], MATCH(1, (Table14[[#This Row],[year t]]=Table32[[#All],[year t]])*(Table14[[#This Row],[stratum i]]=Table32[[#All],[stratum i]]), 0))</f>
        <v>2222.8442528571427</v>
      </c>
      <c r="AR91" t="str">
        <f>IF(AND(INDEX(Table31[[#All],[Soil type (t=0)]], MATCH(Table14[[#This Row],[stratum i]], Table31[[#All],[Stratum i]]))="Peat soil", Table14[[#This Row],[year t]]&lt;=Table14[[#This Row],[End_PDT]]), "Peat soil", "Non-peat soil")</f>
        <v>Non-peat soil</v>
      </c>
      <c r="AS91">
        <f>IF(Emission_reduction_from_stock_loss?, INDEX(Table2[[#All],[End_PDT]], MATCH(Table14[[#This Row],[stratum i]], Table2[[#All],[stratum i]])), crediting_period)</f>
        <v>40</v>
      </c>
      <c r="AT91">
        <f>IF(Emission_reduction_from_stock_loss?, INDEX(Table2[[#All],[End_SDT]], MATCH(Table14[[#This Row],[stratum i]], Table2[[#All],[stratum i]])), crediting_period)</f>
        <v>40</v>
      </c>
      <c r="AU91" cm="1">
        <f t="array" ref="AU9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1" t="e" cm="1">
        <f t="array" ref="AV91">INDEX(#REF!, MATCH(1, (Table14[[#This Row],[year t]]=Table32[[#All],[year t]])*(Table14[[#This Row],[stratum i]]=Table32[[#All],[stratum i]]), 0))</f>
        <v>#REF!</v>
      </c>
      <c r="AW9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1" s="57">
        <f>(Table14[[#This Row],[GHGBSL-soil-CO2,i,t (Eq 27)]]-Table14[[#This Row],[Deductionalloch (Eq 38)]])*Table14[[#This Row],[Ai,t]]</f>
        <v>0</v>
      </c>
      <c r="AY91" cm="1">
        <f t="array" ref="AY91">IF(baseline_soil_CH4 = "Included", INDEX(Table18[[#All],[GHGBSL-soil-CH4,i,t (Eq 59)]], MATCH(1, (Table14[[#This Row],[year t]]=Table18[[#All],[year t]])*(Table14[[#This Row],[stratum i]]=Table18[[#All],[stratum i]]), 0)), 0)</f>
        <v>0</v>
      </c>
      <c r="AZ91" cm="1">
        <f t="array" ref="AZ91">IF(baseline_soil_N2O = "Included", INDEX(Table18[[#All],[GHGBSL-soil-N2O,i,t (Eq 62)]], MATCH(1, (Table14[[#This Row],[year t]]=Table18[[#All],[year t]])*(Table14[[#This Row],[stratum i]]=Table18[[#All],[stratum i]]), 0)), 0)</f>
        <v>0</v>
      </c>
      <c r="BA91">
        <f>IF(AND(Table14[[#This Row],[year t]]&gt;Table14[[#This Row],[End_PDT]],Table14[[#This Row],[year t]]&gt;Table14[[#This Row],[End_SDT]]), 0, Table14[[#This Row],[Ai,t]]*(Table14[[#This Row],[GHGBSL-soil-CO2,i,t (Eq 27)]]-Table14[[#This Row],[Deductionalloch (Eq 38)]]+Table14[[#This Row],[GHGBSL-soil-CH4,i,t]]+Table14[[#This Row],[GHGBSL-soil-N2O,i,t]]))</f>
        <v>0</v>
      </c>
      <c r="BB91" t="e" cm="1">
        <f t="array" ref="BB91">INDEX(#REF!, MATCH(1, (Table14[[#This Row],[year t]]=Table32[[#All],[year t]])*(Table14[[#This Row],[stratum i]]=Table32[[#All],[stratum i]]), 0))</f>
        <v>#REF!</v>
      </c>
      <c r="BC91" t="e" cm="1">
        <f t="array" ref="BC91">INDEX(#REF!, MATCH(1, (Table14[[#This Row],[year t]]=Table32[[#All],[year t]])*(Table14[[#This Row],[stratum i]]=Table32[[#All],[stratum i]]), 0))</f>
        <v>#REF!</v>
      </c>
      <c r="BD91" t="e" cm="1">
        <f t="array" ref="BD91">INDEX(#REF!, MATCH(1, (Table14[[#This Row],[year t]]=Table32[[#All],[year t]])*(Table14[[#This Row],[stratum i]]=Table32[[#All],[stratum i]]), 0))</f>
        <v>#REF!</v>
      </c>
      <c r="BE91" t="e" cm="1">
        <f t="array" ref="BE91">INDEX(#REF!, MATCH(1, (Table14[[#This Row],[year t]]=Table32[[#All],[year t]])*(Table14[[#This Row],[stratum i]]=Table32[[#All],[stratum i]]), 0))</f>
        <v>#REF!</v>
      </c>
      <c r="BF91" s="30"/>
      <c r="BM91" s="18">
        <v>2031</v>
      </c>
      <c r="BN91">
        <v>3</v>
      </c>
      <c r="BO91" t="e" cm="1">
        <f t="array" ref="BO91">INDEX(#REF!, MATCH(1, (Table132926[[#This Row],[year t]]=Table32[year t])*(Table132926[[#This Row],[stratum i]]=Table32[[#All],[stratum i]]), 0))</f>
        <v>#REF!</v>
      </c>
      <c r="BP91" t="e">
        <f>-44/12*Table132926[[#This Row],[∆CBSL-soil,i,t (tC/ha)]]</f>
        <v>#REF!</v>
      </c>
    </row>
    <row r="92" spans="10:68" x14ac:dyDescent="0.2">
      <c r="J92" s="18">
        <v>2032</v>
      </c>
      <c r="K92">
        <v>3</v>
      </c>
      <c r="L92" cm="1">
        <f t="array" ref="L92">INDEX(Table32[[#All],[ΔCTREE_BSL,i,t (AR Tool 14) t C/yr]], MATCH(1, (Table12[[#This Row],[year t]]=Table32[[#All],[year t]])*(Table12[[#This Row],[stratum i]]=Table32[[#All],[stratum i]]), 0))</f>
        <v>0</v>
      </c>
      <c r="M92" cm="1">
        <f t="array" ref="M92">IF(baseline_abground_nontree = "Included", INDEX(#REF!, MATCH(1, (Table12[[#This Row],[year t]]=Table32[[#All],[year t]])*(Table12[[#This Row],[stratum i]]=Table32[[#All],[stratum i]]), 0)), 0)</f>
        <v>0</v>
      </c>
      <c r="N92">
        <f>12/44*(Table12[[#This Row],[ΔCTREE_BSL,i,t (AR Tool 14) t CO2e/yr]]+Table12[[#This Row],[ΔCSHRUB_BSL,i,t (AR Tool 14) t CO2e/yr]])</f>
        <v>0</v>
      </c>
      <c r="O92" cm="1">
        <f t="array" ref="O92">IF(baseline_abground_nontree = "Included", IFERROR(INDEX(Table13[[#All],[ΔCBSL-herb,i,t (Eq 25)]], MATCH(1, (Table12[[#This Row],[stratum i]]=Table13[[#All],[stratum i]])*(Table12[[#This Row],[year t]]&gt;=#REF!)*(Table12[[#This Row],[year t]]&lt;=Table13[[#All],[year t]]), 0)), 0), 0)</f>
        <v>0</v>
      </c>
      <c r="P92">
        <f>Table12[[#This Row],[ΔCBSL-tree/shrub,i,t (t C/yr) (Eq 24)]]+Table12[[#This Row],[ΔCBSL-herb,i,t (t C/yr)]]-Table12[[#This Row],[ΔCBSL-agbiomass,i,t; t C yr-1 (submergence)]]</f>
        <v>0</v>
      </c>
      <c r="Q92" cm="1">
        <f t="array" ref="Q92">IFERROR(INDEX(Table14[[#All],[GHGBSL-soil,i,t (Eq 26)]], MATCH(1, (Table12[[#This Row],[year t]]=Table14[[#All],[year t]])*(Table12[[#This Row],[stratum i]]=Table14[[#All],[stratum i]]), 0)), 0)</f>
        <v>0</v>
      </c>
      <c r="R92">
        <f>IF(baseline_ff_CO2 = "Included", Table12[[#This Row],[ET(FC,I,t) AR-Tool 5]], 0)</f>
        <v>0</v>
      </c>
      <c r="S92" t="e" cm="1">
        <f t="array" ref="S92">INDEX(#REF!, MATCH(1, (Table12[[#This Row],[year t]]=Table32[[#All],[year t]])*(Table12[[#This Row],[stratum i]]=Table32[[#All],[stratum i]]), 0))</f>
        <v>#REF!</v>
      </c>
      <c r="T92" cm="1">
        <f t="array" ref="T92">IFERROR(INDEX(Table30[[#All],[ΔCBSL-agbiomass,i,t (equation 22) t C yr-1]], MATCH(1, (Table12[[#This Row],[stratum i]]=Table30[[#All],[Stratum i]])*(Table12[[#This Row],[year t]]&lt;Table30[[#All],[Year of reporting]]), 0)), 0)</f>
        <v>0</v>
      </c>
      <c r="AG92" s="18">
        <v>2032</v>
      </c>
      <c r="AH92">
        <v>3</v>
      </c>
      <c r="AI92" s="49" t="e" cm="1">
        <f t="array" ref="AI92">INDEX(#REF!, MATCH(1, (Table13[[#This Row],[year t]]=Table32[[#All],[year t]])*(Table13[[#This Row],[stratum i]]=Table32[[#All],[stratum i]]), 0))</f>
        <v>#REF!</v>
      </c>
      <c r="AJ92" s="49" t="e">
        <f>Table13[[#This Row],[ΔCBSL-herb,i,t (tC/ha)]]</f>
        <v>#REF!</v>
      </c>
      <c r="AO92" s="18">
        <v>2032</v>
      </c>
      <c r="AP92">
        <v>3</v>
      </c>
      <c r="AQ92" s="18" cm="1">
        <f t="array" ref="AQ92">INDEX(Table32[[#All],[Ai,t]], MATCH(1, (Table14[[#This Row],[year t]]=Table32[[#All],[year t]])*(Table14[[#This Row],[stratum i]]=Table32[[#All],[stratum i]]), 0))</f>
        <v>2222.8442528571427</v>
      </c>
      <c r="AR92" t="str">
        <f>IF(AND(INDEX(Table31[[#All],[Soil type (t=0)]], MATCH(Table14[[#This Row],[stratum i]], Table31[[#All],[Stratum i]]))="Peat soil", Table14[[#This Row],[year t]]&lt;=Table14[[#This Row],[End_PDT]]), "Peat soil", "Non-peat soil")</f>
        <v>Non-peat soil</v>
      </c>
      <c r="AS92">
        <f>IF(Emission_reduction_from_stock_loss?, INDEX(Table2[[#All],[End_PDT]], MATCH(Table14[[#This Row],[stratum i]], Table2[[#All],[stratum i]])), crediting_period)</f>
        <v>40</v>
      </c>
      <c r="AT92">
        <f>IF(Emission_reduction_from_stock_loss?, INDEX(Table2[[#All],[End_SDT]], MATCH(Table14[[#This Row],[stratum i]], Table2[[#All],[stratum i]])), crediting_period)</f>
        <v>40</v>
      </c>
      <c r="AU92" cm="1">
        <f t="array" ref="AU9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2" t="e" cm="1">
        <f t="array" ref="AV92">INDEX(#REF!, MATCH(1, (Table14[[#This Row],[year t]]=Table32[[#All],[year t]])*(Table14[[#This Row],[stratum i]]=Table32[[#All],[stratum i]]), 0))</f>
        <v>#REF!</v>
      </c>
      <c r="AW9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2" s="57">
        <f>(Table14[[#This Row],[GHGBSL-soil-CO2,i,t (Eq 27)]]-Table14[[#This Row],[Deductionalloch (Eq 38)]])*Table14[[#This Row],[Ai,t]]</f>
        <v>0</v>
      </c>
      <c r="AY92" cm="1">
        <f t="array" ref="AY92">IF(baseline_soil_CH4 = "Included", INDEX(Table18[[#All],[GHGBSL-soil-CH4,i,t (Eq 59)]], MATCH(1, (Table14[[#This Row],[year t]]=Table18[[#All],[year t]])*(Table14[[#This Row],[stratum i]]=Table18[[#All],[stratum i]]), 0)), 0)</f>
        <v>0</v>
      </c>
      <c r="AZ92" cm="1">
        <f t="array" ref="AZ92">IF(baseline_soil_N2O = "Included", INDEX(Table18[[#All],[GHGBSL-soil-N2O,i,t (Eq 62)]], MATCH(1, (Table14[[#This Row],[year t]]=Table18[[#All],[year t]])*(Table14[[#This Row],[stratum i]]=Table18[[#All],[stratum i]]), 0)), 0)</f>
        <v>0</v>
      </c>
      <c r="BA92">
        <f>IF(AND(Table14[[#This Row],[year t]]&gt;Table14[[#This Row],[End_PDT]],Table14[[#This Row],[year t]]&gt;Table14[[#This Row],[End_SDT]]), 0, Table14[[#This Row],[Ai,t]]*(Table14[[#This Row],[GHGBSL-soil-CO2,i,t (Eq 27)]]-Table14[[#This Row],[Deductionalloch (Eq 38)]]+Table14[[#This Row],[GHGBSL-soil-CH4,i,t]]+Table14[[#This Row],[GHGBSL-soil-N2O,i,t]]))</f>
        <v>0</v>
      </c>
      <c r="BB92" t="e" cm="1">
        <f t="array" ref="BB92">INDEX(#REF!, MATCH(1, (Table14[[#This Row],[year t]]=Table32[[#All],[year t]])*(Table14[[#This Row],[stratum i]]=Table32[[#All],[stratum i]]), 0))</f>
        <v>#REF!</v>
      </c>
      <c r="BC92" t="e" cm="1">
        <f t="array" ref="BC92">INDEX(#REF!, MATCH(1, (Table14[[#This Row],[year t]]=Table32[[#All],[year t]])*(Table14[[#This Row],[stratum i]]=Table32[[#All],[stratum i]]), 0))</f>
        <v>#REF!</v>
      </c>
      <c r="BD92" t="e" cm="1">
        <f t="array" ref="BD92">INDEX(#REF!, MATCH(1, (Table14[[#This Row],[year t]]=Table32[[#All],[year t]])*(Table14[[#This Row],[stratum i]]=Table32[[#All],[stratum i]]), 0))</f>
        <v>#REF!</v>
      </c>
      <c r="BE92" t="e" cm="1">
        <f t="array" ref="BE92">INDEX(#REF!, MATCH(1, (Table14[[#This Row],[year t]]=Table32[[#All],[year t]])*(Table14[[#This Row],[stratum i]]=Table32[[#All],[stratum i]]), 0))</f>
        <v>#REF!</v>
      </c>
      <c r="BF92" s="30"/>
      <c r="BM92" s="18">
        <v>2032</v>
      </c>
      <c r="BN92">
        <v>3</v>
      </c>
      <c r="BO92" t="e" cm="1">
        <f t="array" ref="BO92">INDEX(#REF!, MATCH(1, (Table132926[[#This Row],[year t]]=Table32[year t])*(Table132926[[#This Row],[stratum i]]=Table32[[#All],[stratum i]]), 0))</f>
        <v>#REF!</v>
      </c>
      <c r="BP92" t="e">
        <f>-44/12*Table132926[[#This Row],[∆CBSL-soil,i,t (tC/ha)]]</f>
        <v>#REF!</v>
      </c>
    </row>
    <row r="93" spans="10:68" x14ac:dyDescent="0.2">
      <c r="J93" s="18">
        <v>2033</v>
      </c>
      <c r="K93">
        <v>3</v>
      </c>
      <c r="L93" cm="1">
        <f t="array" ref="L93">INDEX(Table32[[#All],[ΔCTREE_BSL,i,t (AR Tool 14) t C/yr]], MATCH(1, (Table12[[#This Row],[year t]]=Table32[[#All],[year t]])*(Table12[[#This Row],[stratum i]]=Table32[[#All],[stratum i]]), 0))</f>
        <v>0</v>
      </c>
      <c r="M93" cm="1">
        <f t="array" ref="M93">IF(baseline_abground_nontree = "Included", INDEX(#REF!, MATCH(1, (Table12[[#This Row],[year t]]=Table32[[#All],[year t]])*(Table12[[#This Row],[stratum i]]=Table32[[#All],[stratum i]]), 0)), 0)</f>
        <v>0</v>
      </c>
      <c r="N93">
        <f>12/44*(Table12[[#This Row],[ΔCTREE_BSL,i,t (AR Tool 14) t CO2e/yr]]+Table12[[#This Row],[ΔCSHRUB_BSL,i,t (AR Tool 14) t CO2e/yr]])</f>
        <v>0</v>
      </c>
      <c r="O93" cm="1">
        <f t="array" ref="O93">IF(baseline_abground_nontree = "Included", IFERROR(INDEX(Table13[[#All],[ΔCBSL-herb,i,t (Eq 25)]], MATCH(1, (Table12[[#This Row],[stratum i]]=Table13[[#All],[stratum i]])*(Table12[[#This Row],[year t]]&gt;=#REF!)*(Table12[[#This Row],[year t]]&lt;=Table13[[#All],[year t]]), 0)), 0), 0)</f>
        <v>0</v>
      </c>
      <c r="P93">
        <f>Table12[[#This Row],[ΔCBSL-tree/shrub,i,t (t C/yr) (Eq 24)]]+Table12[[#This Row],[ΔCBSL-herb,i,t (t C/yr)]]-Table12[[#This Row],[ΔCBSL-agbiomass,i,t; t C yr-1 (submergence)]]</f>
        <v>0</v>
      </c>
      <c r="Q93" cm="1">
        <f t="array" ref="Q93">IFERROR(INDEX(Table14[[#All],[GHGBSL-soil,i,t (Eq 26)]], MATCH(1, (Table12[[#This Row],[year t]]=Table14[[#All],[year t]])*(Table12[[#This Row],[stratum i]]=Table14[[#All],[stratum i]]), 0)), 0)</f>
        <v>0</v>
      </c>
      <c r="R93">
        <f>IF(baseline_ff_CO2 = "Included", Table12[[#This Row],[ET(FC,I,t) AR-Tool 5]], 0)</f>
        <v>0</v>
      </c>
      <c r="S93" t="e" cm="1">
        <f t="array" ref="S93">INDEX(#REF!, MATCH(1, (Table12[[#This Row],[year t]]=Table32[[#All],[year t]])*(Table12[[#This Row],[stratum i]]=Table32[[#All],[stratum i]]), 0))</f>
        <v>#REF!</v>
      </c>
      <c r="T93" cm="1">
        <f t="array" ref="T93">IFERROR(INDEX(Table30[[#All],[ΔCBSL-agbiomass,i,t (equation 22) t C yr-1]], MATCH(1, (Table12[[#This Row],[stratum i]]=Table30[[#All],[Stratum i]])*(Table12[[#This Row],[year t]]&lt;Table30[[#All],[Year of reporting]]), 0)), 0)</f>
        <v>0</v>
      </c>
      <c r="AG93" s="18">
        <v>2033</v>
      </c>
      <c r="AH93">
        <v>3</v>
      </c>
      <c r="AI93" s="49" t="e" cm="1">
        <f t="array" ref="AI93">INDEX(#REF!, MATCH(1, (Table13[[#This Row],[year t]]=Table32[[#All],[year t]])*(Table13[[#This Row],[stratum i]]=Table32[[#All],[stratum i]]), 0))</f>
        <v>#REF!</v>
      </c>
      <c r="AJ93" s="49" t="e">
        <f>Table13[[#This Row],[ΔCBSL-herb,i,t (tC/ha)]]</f>
        <v>#REF!</v>
      </c>
      <c r="AO93" s="18">
        <v>2033</v>
      </c>
      <c r="AP93">
        <v>3</v>
      </c>
      <c r="AQ93" s="18" cm="1">
        <f t="array" ref="AQ93">INDEX(Table32[[#All],[Ai,t]], MATCH(1, (Table14[[#This Row],[year t]]=Table32[[#All],[year t]])*(Table14[[#This Row],[stratum i]]=Table32[[#All],[stratum i]]), 0))</f>
        <v>2222.8442528571427</v>
      </c>
      <c r="AR93" t="str">
        <f>IF(AND(INDEX(Table31[[#All],[Soil type (t=0)]], MATCH(Table14[[#This Row],[stratum i]], Table31[[#All],[Stratum i]]))="Peat soil", Table14[[#This Row],[year t]]&lt;=Table14[[#This Row],[End_PDT]]), "Peat soil", "Non-peat soil")</f>
        <v>Non-peat soil</v>
      </c>
      <c r="AS93">
        <f>IF(Emission_reduction_from_stock_loss?, INDEX(Table2[[#All],[End_PDT]], MATCH(Table14[[#This Row],[stratum i]], Table2[[#All],[stratum i]])), crediting_period)</f>
        <v>40</v>
      </c>
      <c r="AT93">
        <f>IF(Emission_reduction_from_stock_loss?, INDEX(Table2[[#All],[End_SDT]], MATCH(Table14[[#This Row],[stratum i]], Table2[[#All],[stratum i]])), crediting_period)</f>
        <v>40</v>
      </c>
      <c r="AU93" cm="1">
        <f t="array" ref="AU9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3" t="e" cm="1">
        <f t="array" ref="AV93">INDEX(#REF!, MATCH(1, (Table14[[#This Row],[year t]]=Table32[[#All],[year t]])*(Table14[[#This Row],[stratum i]]=Table32[[#All],[stratum i]]), 0))</f>
        <v>#REF!</v>
      </c>
      <c r="AW9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3" s="57">
        <f>(Table14[[#This Row],[GHGBSL-soil-CO2,i,t (Eq 27)]]-Table14[[#This Row],[Deductionalloch (Eq 38)]])*Table14[[#This Row],[Ai,t]]</f>
        <v>0</v>
      </c>
      <c r="AY93" cm="1">
        <f t="array" ref="AY93">IF(baseline_soil_CH4 = "Included", INDEX(Table18[[#All],[GHGBSL-soil-CH4,i,t (Eq 59)]], MATCH(1, (Table14[[#This Row],[year t]]=Table18[[#All],[year t]])*(Table14[[#This Row],[stratum i]]=Table18[[#All],[stratum i]]), 0)), 0)</f>
        <v>0</v>
      </c>
      <c r="AZ93" cm="1">
        <f t="array" ref="AZ93">IF(baseline_soil_N2O = "Included", INDEX(Table18[[#All],[GHGBSL-soil-N2O,i,t (Eq 62)]], MATCH(1, (Table14[[#This Row],[year t]]=Table18[[#All],[year t]])*(Table14[[#This Row],[stratum i]]=Table18[[#All],[stratum i]]), 0)), 0)</f>
        <v>0</v>
      </c>
      <c r="BA93">
        <f>IF(AND(Table14[[#This Row],[year t]]&gt;Table14[[#This Row],[End_PDT]],Table14[[#This Row],[year t]]&gt;Table14[[#This Row],[End_SDT]]), 0, Table14[[#This Row],[Ai,t]]*(Table14[[#This Row],[GHGBSL-soil-CO2,i,t (Eq 27)]]-Table14[[#This Row],[Deductionalloch (Eq 38)]]+Table14[[#This Row],[GHGBSL-soil-CH4,i,t]]+Table14[[#This Row],[GHGBSL-soil-N2O,i,t]]))</f>
        <v>0</v>
      </c>
      <c r="BB93" t="e" cm="1">
        <f t="array" ref="BB93">INDEX(#REF!, MATCH(1, (Table14[[#This Row],[year t]]=Table32[[#All],[year t]])*(Table14[[#This Row],[stratum i]]=Table32[[#All],[stratum i]]), 0))</f>
        <v>#REF!</v>
      </c>
      <c r="BC93" t="e" cm="1">
        <f t="array" ref="BC93">INDEX(#REF!, MATCH(1, (Table14[[#This Row],[year t]]=Table32[[#All],[year t]])*(Table14[[#This Row],[stratum i]]=Table32[[#All],[stratum i]]), 0))</f>
        <v>#REF!</v>
      </c>
      <c r="BD93" t="e" cm="1">
        <f t="array" ref="BD93">INDEX(#REF!, MATCH(1, (Table14[[#This Row],[year t]]=Table32[[#All],[year t]])*(Table14[[#This Row],[stratum i]]=Table32[[#All],[stratum i]]), 0))</f>
        <v>#REF!</v>
      </c>
      <c r="BE93" t="e" cm="1">
        <f t="array" ref="BE93">INDEX(#REF!, MATCH(1, (Table14[[#This Row],[year t]]=Table32[[#All],[year t]])*(Table14[[#This Row],[stratum i]]=Table32[[#All],[stratum i]]), 0))</f>
        <v>#REF!</v>
      </c>
      <c r="BF93" s="30"/>
      <c r="BM93" s="18">
        <v>2033</v>
      </c>
      <c r="BN93">
        <v>3</v>
      </c>
      <c r="BO93" t="e" cm="1">
        <f t="array" ref="BO93">INDEX(#REF!, MATCH(1, (Table132926[[#This Row],[year t]]=Table32[year t])*(Table132926[[#This Row],[stratum i]]=Table32[[#All],[stratum i]]), 0))</f>
        <v>#REF!</v>
      </c>
      <c r="BP93" t="e">
        <f>-44/12*Table132926[[#This Row],[∆CBSL-soil,i,t (tC/ha)]]</f>
        <v>#REF!</v>
      </c>
    </row>
    <row r="94" spans="10:68" x14ac:dyDescent="0.2">
      <c r="J94" s="18">
        <v>2034</v>
      </c>
      <c r="K94">
        <v>3</v>
      </c>
      <c r="L94" cm="1">
        <f t="array" ref="L94">INDEX(Table32[[#All],[ΔCTREE_BSL,i,t (AR Tool 14) t C/yr]], MATCH(1, (Table12[[#This Row],[year t]]=Table32[[#All],[year t]])*(Table12[[#This Row],[stratum i]]=Table32[[#All],[stratum i]]), 0))</f>
        <v>0</v>
      </c>
      <c r="M94" cm="1">
        <f t="array" ref="M94">IF(baseline_abground_nontree = "Included", INDEX(#REF!, MATCH(1, (Table12[[#This Row],[year t]]=Table32[[#All],[year t]])*(Table12[[#This Row],[stratum i]]=Table32[[#All],[stratum i]]), 0)), 0)</f>
        <v>0</v>
      </c>
      <c r="N94">
        <f>12/44*(Table12[[#This Row],[ΔCTREE_BSL,i,t (AR Tool 14) t CO2e/yr]]+Table12[[#This Row],[ΔCSHRUB_BSL,i,t (AR Tool 14) t CO2e/yr]])</f>
        <v>0</v>
      </c>
      <c r="O94" cm="1">
        <f t="array" ref="O94">IF(baseline_abground_nontree = "Included", IFERROR(INDEX(Table13[[#All],[ΔCBSL-herb,i,t (Eq 25)]], MATCH(1, (Table12[[#This Row],[stratum i]]=Table13[[#All],[stratum i]])*(Table12[[#This Row],[year t]]&gt;=#REF!)*(Table12[[#This Row],[year t]]&lt;=Table13[[#All],[year t]]), 0)), 0), 0)</f>
        <v>0</v>
      </c>
      <c r="P94">
        <f>Table12[[#This Row],[ΔCBSL-tree/shrub,i,t (t C/yr) (Eq 24)]]+Table12[[#This Row],[ΔCBSL-herb,i,t (t C/yr)]]-Table12[[#This Row],[ΔCBSL-agbiomass,i,t; t C yr-1 (submergence)]]</f>
        <v>0</v>
      </c>
      <c r="Q94" cm="1">
        <f t="array" ref="Q94">IFERROR(INDEX(Table14[[#All],[GHGBSL-soil,i,t (Eq 26)]], MATCH(1, (Table12[[#This Row],[year t]]=Table14[[#All],[year t]])*(Table12[[#This Row],[stratum i]]=Table14[[#All],[stratum i]]), 0)), 0)</f>
        <v>0</v>
      </c>
      <c r="R94">
        <f>IF(baseline_ff_CO2 = "Included", Table12[[#This Row],[ET(FC,I,t) AR-Tool 5]], 0)</f>
        <v>0</v>
      </c>
      <c r="S94" t="e" cm="1">
        <f t="array" ref="S94">INDEX(#REF!, MATCH(1, (Table12[[#This Row],[year t]]=Table32[[#All],[year t]])*(Table12[[#This Row],[stratum i]]=Table32[[#All],[stratum i]]), 0))</f>
        <v>#REF!</v>
      </c>
      <c r="T94" cm="1">
        <f t="array" ref="T94">IFERROR(INDEX(Table30[[#All],[ΔCBSL-agbiomass,i,t (equation 22) t C yr-1]], MATCH(1, (Table12[[#This Row],[stratum i]]=Table30[[#All],[Stratum i]])*(Table12[[#This Row],[year t]]&lt;Table30[[#All],[Year of reporting]]), 0)), 0)</f>
        <v>0</v>
      </c>
      <c r="AG94" s="18">
        <v>2034</v>
      </c>
      <c r="AH94">
        <v>3</v>
      </c>
      <c r="AI94" s="49" t="e" cm="1">
        <f t="array" ref="AI94">INDEX(#REF!, MATCH(1, (Table13[[#This Row],[year t]]=Table32[[#All],[year t]])*(Table13[[#This Row],[stratum i]]=Table32[[#All],[stratum i]]), 0))</f>
        <v>#REF!</v>
      </c>
      <c r="AJ94" s="49" t="e">
        <f>Table13[[#This Row],[ΔCBSL-herb,i,t (tC/ha)]]</f>
        <v>#REF!</v>
      </c>
      <c r="AO94" s="18">
        <v>2034</v>
      </c>
      <c r="AP94">
        <v>3</v>
      </c>
      <c r="AQ94" s="18" cm="1">
        <f t="array" ref="AQ94">INDEX(Table32[[#All],[Ai,t]], MATCH(1, (Table14[[#This Row],[year t]]=Table32[[#All],[year t]])*(Table14[[#This Row],[stratum i]]=Table32[[#All],[stratum i]]), 0))</f>
        <v>2222.8442528571427</v>
      </c>
      <c r="AR94" t="str">
        <f>IF(AND(INDEX(Table31[[#All],[Soil type (t=0)]], MATCH(Table14[[#This Row],[stratum i]], Table31[[#All],[Stratum i]]))="Peat soil", Table14[[#This Row],[year t]]&lt;=Table14[[#This Row],[End_PDT]]), "Peat soil", "Non-peat soil")</f>
        <v>Non-peat soil</v>
      </c>
      <c r="AS94">
        <f>IF(Emission_reduction_from_stock_loss?, INDEX(Table2[[#All],[End_PDT]], MATCH(Table14[[#This Row],[stratum i]], Table2[[#All],[stratum i]])), crediting_period)</f>
        <v>40</v>
      </c>
      <c r="AT94">
        <f>IF(Emission_reduction_from_stock_loss?, INDEX(Table2[[#All],[End_SDT]], MATCH(Table14[[#This Row],[stratum i]], Table2[[#All],[stratum i]])), crediting_period)</f>
        <v>40</v>
      </c>
      <c r="AU94" cm="1">
        <f t="array" ref="AU9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4" t="e" cm="1">
        <f t="array" ref="AV94">INDEX(#REF!, MATCH(1, (Table14[[#This Row],[year t]]=Table32[[#All],[year t]])*(Table14[[#This Row],[stratum i]]=Table32[[#All],[stratum i]]), 0))</f>
        <v>#REF!</v>
      </c>
      <c r="AW9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4" s="57">
        <f>(Table14[[#This Row],[GHGBSL-soil-CO2,i,t (Eq 27)]]-Table14[[#This Row],[Deductionalloch (Eq 38)]])*Table14[[#This Row],[Ai,t]]</f>
        <v>0</v>
      </c>
      <c r="AY94" cm="1">
        <f t="array" ref="AY94">IF(baseline_soil_CH4 = "Included", INDEX(Table18[[#All],[GHGBSL-soil-CH4,i,t (Eq 59)]], MATCH(1, (Table14[[#This Row],[year t]]=Table18[[#All],[year t]])*(Table14[[#This Row],[stratum i]]=Table18[[#All],[stratum i]]), 0)), 0)</f>
        <v>0</v>
      </c>
      <c r="AZ94" cm="1">
        <f t="array" ref="AZ94">IF(baseline_soil_N2O = "Included", INDEX(Table18[[#All],[GHGBSL-soil-N2O,i,t (Eq 62)]], MATCH(1, (Table14[[#This Row],[year t]]=Table18[[#All],[year t]])*(Table14[[#This Row],[stratum i]]=Table18[[#All],[stratum i]]), 0)), 0)</f>
        <v>0</v>
      </c>
      <c r="BA94">
        <f>IF(AND(Table14[[#This Row],[year t]]&gt;Table14[[#This Row],[End_PDT]],Table14[[#This Row],[year t]]&gt;Table14[[#This Row],[End_SDT]]), 0, Table14[[#This Row],[Ai,t]]*(Table14[[#This Row],[GHGBSL-soil-CO2,i,t (Eq 27)]]-Table14[[#This Row],[Deductionalloch (Eq 38)]]+Table14[[#This Row],[GHGBSL-soil-CH4,i,t]]+Table14[[#This Row],[GHGBSL-soil-N2O,i,t]]))</f>
        <v>0</v>
      </c>
      <c r="BB94" t="e" cm="1">
        <f t="array" ref="BB94">INDEX(#REF!, MATCH(1, (Table14[[#This Row],[year t]]=Table32[[#All],[year t]])*(Table14[[#This Row],[stratum i]]=Table32[[#All],[stratum i]]), 0))</f>
        <v>#REF!</v>
      </c>
      <c r="BC94" t="e" cm="1">
        <f t="array" ref="BC94">INDEX(#REF!, MATCH(1, (Table14[[#This Row],[year t]]=Table32[[#All],[year t]])*(Table14[[#This Row],[stratum i]]=Table32[[#All],[stratum i]]), 0))</f>
        <v>#REF!</v>
      </c>
      <c r="BD94" t="e" cm="1">
        <f t="array" ref="BD94">INDEX(#REF!, MATCH(1, (Table14[[#This Row],[year t]]=Table32[[#All],[year t]])*(Table14[[#This Row],[stratum i]]=Table32[[#All],[stratum i]]), 0))</f>
        <v>#REF!</v>
      </c>
      <c r="BE94" t="e" cm="1">
        <f t="array" ref="BE94">INDEX(#REF!, MATCH(1, (Table14[[#This Row],[year t]]=Table32[[#All],[year t]])*(Table14[[#This Row],[stratum i]]=Table32[[#All],[stratum i]]), 0))</f>
        <v>#REF!</v>
      </c>
      <c r="BF94" s="30"/>
      <c r="BM94" s="18">
        <v>2034</v>
      </c>
      <c r="BN94">
        <v>3</v>
      </c>
      <c r="BO94" t="e" cm="1">
        <f t="array" ref="BO94">INDEX(#REF!, MATCH(1, (Table132926[[#This Row],[year t]]=Table32[year t])*(Table132926[[#This Row],[stratum i]]=Table32[[#All],[stratum i]]), 0))</f>
        <v>#REF!</v>
      </c>
      <c r="BP94" t="e">
        <f>-44/12*Table132926[[#This Row],[∆CBSL-soil,i,t (tC/ha)]]</f>
        <v>#REF!</v>
      </c>
    </row>
    <row r="95" spans="10:68" x14ac:dyDescent="0.2">
      <c r="J95" s="18">
        <v>2035</v>
      </c>
      <c r="K95">
        <v>3</v>
      </c>
      <c r="L95" cm="1">
        <f t="array" ref="L95">INDEX(Table32[[#All],[ΔCTREE_BSL,i,t (AR Tool 14) t C/yr]], MATCH(1, (Table12[[#This Row],[year t]]=Table32[[#All],[year t]])*(Table12[[#This Row],[stratum i]]=Table32[[#All],[stratum i]]), 0))</f>
        <v>0</v>
      </c>
      <c r="M95" cm="1">
        <f t="array" ref="M95">IF(baseline_abground_nontree = "Included", INDEX(#REF!, MATCH(1, (Table12[[#This Row],[year t]]=Table32[[#All],[year t]])*(Table12[[#This Row],[stratum i]]=Table32[[#All],[stratum i]]), 0)), 0)</f>
        <v>0</v>
      </c>
      <c r="N95">
        <f>12/44*(Table12[[#This Row],[ΔCTREE_BSL,i,t (AR Tool 14) t CO2e/yr]]+Table12[[#This Row],[ΔCSHRUB_BSL,i,t (AR Tool 14) t CO2e/yr]])</f>
        <v>0</v>
      </c>
      <c r="O95" cm="1">
        <f t="array" ref="O95">IF(baseline_abground_nontree = "Included", IFERROR(INDEX(Table13[[#All],[ΔCBSL-herb,i,t (Eq 25)]], MATCH(1, (Table12[[#This Row],[stratum i]]=Table13[[#All],[stratum i]])*(Table12[[#This Row],[year t]]&gt;=#REF!)*(Table12[[#This Row],[year t]]&lt;=Table13[[#All],[year t]]), 0)), 0), 0)</f>
        <v>0</v>
      </c>
      <c r="P95">
        <f>Table12[[#This Row],[ΔCBSL-tree/shrub,i,t (t C/yr) (Eq 24)]]+Table12[[#This Row],[ΔCBSL-herb,i,t (t C/yr)]]-Table12[[#This Row],[ΔCBSL-agbiomass,i,t; t C yr-1 (submergence)]]</f>
        <v>0</v>
      </c>
      <c r="Q95" cm="1">
        <f t="array" ref="Q95">IFERROR(INDEX(Table14[[#All],[GHGBSL-soil,i,t (Eq 26)]], MATCH(1, (Table12[[#This Row],[year t]]=Table14[[#All],[year t]])*(Table12[[#This Row],[stratum i]]=Table14[[#All],[stratum i]]), 0)), 0)</f>
        <v>0</v>
      </c>
      <c r="R95">
        <f>IF(baseline_ff_CO2 = "Included", Table12[[#This Row],[ET(FC,I,t) AR-Tool 5]], 0)</f>
        <v>0</v>
      </c>
      <c r="S95" t="e" cm="1">
        <f t="array" ref="S95">INDEX(#REF!, MATCH(1, (Table12[[#This Row],[year t]]=Table32[[#All],[year t]])*(Table12[[#This Row],[stratum i]]=Table32[[#All],[stratum i]]), 0))</f>
        <v>#REF!</v>
      </c>
      <c r="T95" cm="1">
        <f t="array" ref="T95">IFERROR(INDEX(Table30[[#All],[ΔCBSL-agbiomass,i,t (equation 22) t C yr-1]], MATCH(1, (Table12[[#This Row],[stratum i]]=Table30[[#All],[Stratum i]])*(Table12[[#This Row],[year t]]&lt;Table30[[#All],[Year of reporting]]), 0)), 0)</f>
        <v>0</v>
      </c>
      <c r="AG95" s="18">
        <v>2035</v>
      </c>
      <c r="AH95">
        <v>3</v>
      </c>
      <c r="AI95" s="49" t="e" cm="1">
        <f t="array" ref="AI95">INDEX(#REF!, MATCH(1, (Table13[[#This Row],[year t]]=Table32[[#All],[year t]])*(Table13[[#This Row],[stratum i]]=Table32[[#All],[stratum i]]), 0))</f>
        <v>#REF!</v>
      </c>
      <c r="AJ95" s="49" t="e">
        <f>Table13[[#This Row],[ΔCBSL-herb,i,t (tC/ha)]]</f>
        <v>#REF!</v>
      </c>
      <c r="AO95" s="18">
        <v>2035</v>
      </c>
      <c r="AP95">
        <v>3</v>
      </c>
      <c r="AQ95" s="18" cm="1">
        <f t="array" ref="AQ95">INDEX(Table32[[#All],[Ai,t]], MATCH(1, (Table14[[#This Row],[year t]]=Table32[[#All],[year t]])*(Table14[[#This Row],[stratum i]]=Table32[[#All],[stratum i]]), 0))</f>
        <v>2222.8442528571427</v>
      </c>
      <c r="AR95" t="str">
        <f>IF(AND(INDEX(Table31[[#All],[Soil type (t=0)]], MATCH(Table14[[#This Row],[stratum i]], Table31[[#All],[Stratum i]]))="Peat soil", Table14[[#This Row],[year t]]&lt;=Table14[[#This Row],[End_PDT]]), "Peat soil", "Non-peat soil")</f>
        <v>Non-peat soil</v>
      </c>
      <c r="AS95">
        <f>IF(Emission_reduction_from_stock_loss?, INDEX(Table2[[#All],[End_PDT]], MATCH(Table14[[#This Row],[stratum i]], Table2[[#All],[stratum i]])), crediting_period)</f>
        <v>40</v>
      </c>
      <c r="AT95">
        <f>IF(Emission_reduction_from_stock_loss?, INDEX(Table2[[#All],[End_SDT]], MATCH(Table14[[#This Row],[stratum i]], Table2[[#All],[stratum i]])), crediting_period)</f>
        <v>40</v>
      </c>
      <c r="AU95" cm="1">
        <f t="array" ref="AU9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5" t="e" cm="1">
        <f t="array" ref="AV95">INDEX(#REF!, MATCH(1, (Table14[[#This Row],[year t]]=Table32[[#All],[year t]])*(Table14[[#This Row],[stratum i]]=Table32[[#All],[stratum i]]), 0))</f>
        <v>#REF!</v>
      </c>
      <c r="AW9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5" s="57">
        <f>(Table14[[#This Row],[GHGBSL-soil-CO2,i,t (Eq 27)]]-Table14[[#This Row],[Deductionalloch (Eq 38)]])*Table14[[#This Row],[Ai,t]]</f>
        <v>0</v>
      </c>
      <c r="AY95" cm="1">
        <f t="array" ref="AY95">IF(baseline_soil_CH4 = "Included", INDEX(Table18[[#All],[GHGBSL-soil-CH4,i,t (Eq 59)]], MATCH(1, (Table14[[#This Row],[year t]]=Table18[[#All],[year t]])*(Table14[[#This Row],[stratum i]]=Table18[[#All],[stratum i]]), 0)), 0)</f>
        <v>0</v>
      </c>
      <c r="AZ95" cm="1">
        <f t="array" ref="AZ95">IF(baseline_soil_N2O = "Included", INDEX(Table18[[#All],[GHGBSL-soil-N2O,i,t (Eq 62)]], MATCH(1, (Table14[[#This Row],[year t]]=Table18[[#All],[year t]])*(Table14[[#This Row],[stratum i]]=Table18[[#All],[stratum i]]), 0)), 0)</f>
        <v>0</v>
      </c>
      <c r="BA95">
        <f>IF(AND(Table14[[#This Row],[year t]]&gt;Table14[[#This Row],[End_PDT]],Table14[[#This Row],[year t]]&gt;Table14[[#This Row],[End_SDT]]), 0, Table14[[#This Row],[Ai,t]]*(Table14[[#This Row],[GHGBSL-soil-CO2,i,t (Eq 27)]]-Table14[[#This Row],[Deductionalloch (Eq 38)]]+Table14[[#This Row],[GHGBSL-soil-CH4,i,t]]+Table14[[#This Row],[GHGBSL-soil-N2O,i,t]]))</f>
        <v>0</v>
      </c>
      <c r="BB95" t="e" cm="1">
        <f t="array" ref="BB95">INDEX(#REF!, MATCH(1, (Table14[[#This Row],[year t]]=Table32[[#All],[year t]])*(Table14[[#This Row],[stratum i]]=Table32[[#All],[stratum i]]), 0))</f>
        <v>#REF!</v>
      </c>
      <c r="BC95" t="e" cm="1">
        <f t="array" ref="BC95">INDEX(#REF!, MATCH(1, (Table14[[#This Row],[year t]]=Table32[[#All],[year t]])*(Table14[[#This Row],[stratum i]]=Table32[[#All],[stratum i]]), 0))</f>
        <v>#REF!</v>
      </c>
      <c r="BD95" t="e" cm="1">
        <f t="array" ref="BD95">INDEX(#REF!, MATCH(1, (Table14[[#This Row],[year t]]=Table32[[#All],[year t]])*(Table14[[#This Row],[stratum i]]=Table32[[#All],[stratum i]]), 0))</f>
        <v>#REF!</v>
      </c>
      <c r="BE95" t="e" cm="1">
        <f t="array" ref="BE95">INDEX(#REF!, MATCH(1, (Table14[[#This Row],[year t]]=Table32[[#All],[year t]])*(Table14[[#This Row],[stratum i]]=Table32[[#All],[stratum i]]), 0))</f>
        <v>#REF!</v>
      </c>
      <c r="BF95" s="30"/>
      <c r="BM95" s="18">
        <v>2035</v>
      </c>
      <c r="BN95">
        <v>3</v>
      </c>
      <c r="BO95" t="e" cm="1">
        <f t="array" ref="BO95">INDEX(#REF!, MATCH(1, (Table132926[[#This Row],[year t]]=Table32[year t])*(Table132926[[#This Row],[stratum i]]=Table32[[#All],[stratum i]]), 0))</f>
        <v>#REF!</v>
      </c>
      <c r="BP95" t="e">
        <f>-44/12*Table132926[[#This Row],[∆CBSL-soil,i,t (tC/ha)]]</f>
        <v>#REF!</v>
      </c>
    </row>
    <row r="96" spans="10:68" x14ac:dyDescent="0.2">
      <c r="J96" s="18">
        <v>2036</v>
      </c>
      <c r="K96">
        <v>3</v>
      </c>
      <c r="L96" cm="1">
        <f t="array" ref="L96">INDEX(Table32[[#All],[ΔCTREE_BSL,i,t (AR Tool 14) t C/yr]], MATCH(1, (Table12[[#This Row],[year t]]=Table32[[#All],[year t]])*(Table12[[#This Row],[stratum i]]=Table32[[#All],[stratum i]]), 0))</f>
        <v>0</v>
      </c>
      <c r="M96" cm="1">
        <f t="array" ref="M96">IF(baseline_abground_nontree = "Included", INDEX(#REF!, MATCH(1, (Table12[[#This Row],[year t]]=Table32[[#All],[year t]])*(Table12[[#This Row],[stratum i]]=Table32[[#All],[stratum i]]), 0)), 0)</f>
        <v>0</v>
      </c>
      <c r="N96">
        <f>12/44*(Table12[[#This Row],[ΔCTREE_BSL,i,t (AR Tool 14) t CO2e/yr]]+Table12[[#This Row],[ΔCSHRUB_BSL,i,t (AR Tool 14) t CO2e/yr]])</f>
        <v>0</v>
      </c>
      <c r="O96" cm="1">
        <f t="array" ref="O96">IF(baseline_abground_nontree = "Included", IFERROR(INDEX(Table13[[#All],[ΔCBSL-herb,i,t (Eq 25)]], MATCH(1, (Table12[[#This Row],[stratum i]]=Table13[[#All],[stratum i]])*(Table12[[#This Row],[year t]]&gt;=#REF!)*(Table12[[#This Row],[year t]]&lt;=Table13[[#All],[year t]]), 0)), 0), 0)</f>
        <v>0</v>
      </c>
      <c r="P96">
        <f>Table12[[#This Row],[ΔCBSL-tree/shrub,i,t (t C/yr) (Eq 24)]]+Table12[[#This Row],[ΔCBSL-herb,i,t (t C/yr)]]-Table12[[#This Row],[ΔCBSL-agbiomass,i,t; t C yr-1 (submergence)]]</f>
        <v>0</v>
      </c>
      <c r="Q96" cm="1">
        <f t="array" ref="Q96">IFERROR(INDEX(Table14[[#All],[GHGBSL-soil,i,t (Eq 26)]], MATCH(1, (Table12[[#This Row],[year t]]=Table14[[#All],[year t]])*(Table12[[#This Row],[stratum i]]=Table14[[#All],[stratum i]]), 0)), 0)</f>
        <v>0</v>
      </c>
      <c r="R96">
        <f>IF(baseline_ff_CO2 = "Included", Table12[[#This Row],[ET(FC,I,t) AR-Tool 5]], 0)</f>
        <v>0</v>
      </c>
      <c r="S96" t="e" cm="1">
        <f t="array" ref="S96">INDEX(#REF!, MATCH(1, (Table12[[#This Row],[year t]]=Table32[[#All],[year t]])*(Table12[[#This Row],[stratum i]]=Table32[[#All],[stratum i]]), 0))</f>
        <v>#REF!</v>
      </c>
      <c r="T96" cm="1">
        <f t="array" ref="T96">IFERROR(INDEX(Table30[[#All],[ΔCBSL-agbiomass,i,t (equation 22) t C yr-1]], MATCH(1, (Table12[[#This Row],[stratum i]]=Table30[[#All],[Stratum i]])*(Table12[[#This Row],[year t]]&lt;Table30[[#All],[Year of reporting]]), 0)), 0)</f>
        <v>0</v>
      </c>
      <c r="AG96" s="18">
        <v>2036</v>
      </c>
      <c r="AH96">
        <v>3</v>
      </c>
      <c r="AI96" s="49" t="e" cm="1">
        <f t="array" ref="AI96">INDEX(#REF!, MATCH(1, (Table13[[#This Row],[year t]]=Table32[[#All],[year t]])*(Table13[[#This Row],[stratum i]]=Table32[[#All],[stratum i]]), 0))</f>
        <v>#REF!</v>
      </c>
      <c r="AJ96" s="49" t="e">
        <f>Table13[[#This Row],[ΔCBSL-herb,i,t (tC/ha)]]</f>
        <v>#REF!</v>
      </c>
      <c r="AO96" s="18">
        <v>2036</v>
      </c>
      <c r="AP96">
        <v>3</v>
      </c>
      <c r="AQ96" s="18" cm="1">
        <f t="array" ref="AQ96">INDEX(Table32[[#All],[Ai,t]], MATCH(1, (Table14[[#This Row],[year t]]=Table32[[#All],[year t]])*(Table14[[#This Row],[stratum i]]=Table32[[#All],[stratum i]]), 0))</f>
        <v>2222.8442528571427</v>
      </c>
      <c r="AR96" t="str">
        <f>IF(AND(INDEX(Table31[[#All],[Soil type (t=0)]], MATCH(Table14[[#This Row],[stratum i]], Table31[[#All],[Stratum i]]))="Peat soil", Table14[[#This Row],[year t]]&lt;=Table14[[#This Row],[End_PDT]]), "Peat soil", "Non-peat soil")</f>
        <v>Non-peat soil</v>
      </c>
      <c r="AS96">
        <f>IF(Emission_reduction_from_stock_loss?, INDEX(Table2[[#All],[End_PDT]], MATCH(Table14[[#This Row],[stratum i]], Table2[[#All],[stratum i]])), crediting_period)</f>
        <v>40</v>
      </c>
      <c r="AT96">
        <f>IF(Emission_reduction_from_stock_loss?, INDEX(Table2[[#All],[End_SDT]], MATCH(Table14[[#This Row],[stratum i]], Table2[[#All],[stratum i]])), crediting_period)</f>
        <v>40</v>
      </c>
      <c r="AU96" cm="1">
        <f t="array" ref="AU9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6" t="e" cm="1">
        <f t="array" ref="AV96">INDEX(#REF!, MATCH(1, (Table14[[#This Row],[year t]]=Table32[[#All],[year t]])*(Table14[[#This Row],[stratum i]]=Table32[[#All],[stratum i]]), 0))</f>
        <v>#REF!</v>
      </c>
      <c r="AW9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6" s="57">
        <f>(Table14[[#This Row],[GHGBSL-soil-CO2,i,t (Eq 27)]]-Table14[[#This Row],[Deductionalloch (Eq 38)]])*Table14[[#This Row],[Ai,t]]</f>
        <v>0</v>
      </c>
      <c r="AY96" cm="1">
        <f t="array" ref="AY96">IF(baseline_soil_CH4 = "Included", INDEX(Table18[[#All],[GHGBSL-soil-CH4,i,t (Eq 59)]], MATCH(1, (Table14[[#This Row],[year t]]=Table18[[#All],[year t]])*(Table14[[#This Row],[stratum i]]=Table18[[#All],[stratum i]]), 0)), 0)</f>
        <v>0</v>
      </c>
      <c r="AZ96" cm="1">
        <f t="array" ref="AZ96">IF(baseline_soil_N2O = "Included", INDEX(Table18[[#All],[GHGBSL-soil-N2O,i,t (Eq 62)]], MATCH(1, (Table14[[#This Row],[year t]]=Table18[[#All],[year t]])*(Table14[[#This Row],[stratum i]]=Table18[[#All],[stratum i]]), 0)), 0)</f>
        <v>0</v>
      </c>
      <c r="BA96">
        <f>IF(AND(Table14[[#This Row],[year t]]&gt;Table14[[#This Row],[End_PDT]],Table14[[#This Row],[year t]]&gt;Table14[[#This Row],[End_SDT]]), 0, Table14[[#This Row],[Ai,t]]*(Table14[[#This Row],[GHGBSL-soil-CO2,i,t (Eq 27)]]-Table14[[#This Row],[Deductionalloch (Eq 38)]]+Table14[[#This Row],[GHGBSL-soil-CH4,i,t]]+Table14[[#This Row],[GHGBSL-soil-N2O,i,t]]))</f>
        <v>0</v>
      </c>
      <c r="BB96" t="e" cm="1">
        <f t="array" ref="BB96">INDEX(#REF!, MATCH(1, (Table14[[#This Row],[year t]]=Table32[[#All],[year t]])*(Table14[[#This Row],[stratum i]]=Table32[[#All],[stratum i]]), 0))</f>
        <v>#REF!</v>
      </c>
      <c r="BC96" t="e" cm="1">
        <f t="array" ref="BC96">INDEX(#REF!, MATCH(1, (Table14[[#This Row],[year t]]=Table32[[#All],[year t]])*(Table14[[#This Row],[stratum i]]=Table32[[#All],[stratum i]]), 0))</f>
        <v>#REF!</v>
      </c>
      <c r="BD96" t="e" cm="1">
        <f t="array" ref="BD96">INDEX(#REF!, MATCH(1, (Table14[[#This Row],[year t]]=Table32[[#All],[year t]])*(Table14[[#This Row],[stratum i]]=Table32[[#All],[stratum i]]), 0))</f>
        <v>#REF!</v>
      </c>
      <c r="BE96" t="e" cm="1">
        <f t="array" ref="BE96">INDEX(#REF!, MATCH(1, (Table14[[#This Row],[year t]]=Table32[[#All],[year t]])*(Table14[[#This Row],[stratum i]]=Table32[[#All],[stratum i]]), 0))</f>
        <v>#REF!</v>
      </c>
      <c r="BF96" s="30"/>
      <c r="BM96" s="18">
        <v>2036</v>
      </c>
      <c r="BN96">
        <v>3</v>
      </c>
      <c r="BO96" t="e" cm="1">
        <f t="array" ref="BO96">INDEX(#REF!, MATCH(1, (Table132926[[#This Row],[year t]]=Table32[year t])*(Table132926[[#This Row],[stratum i]]=Table32[[#All],[stratum i]]), 0))</f>
        <v>#REF!</v>
      </c>
      <c r="BP96" t="e">
        <f>-44/12*Table132926[[#This Row],[∆CBSL-soil,i,t (tC/ha)]]</f>
        <v>#REF!</v>
      </c>
    </row>
    <row r="97" spans="10:68" x14ac:dyDescent="0.2">
      <c r="J97" s="18">
        <v>2037</v>
      </c>
      <c r="K97">
        <v>3</v>
      </c>
      <c r="L97" cm="1">
        <f t="array" ref="L97">INDEX(Table32[[#All],[ΔCTREE_BSL,i,t (AR Tool 14) t C/yr]], MATCH(1, (Table12[[#This Row],[year t]]=Table32[[#All],[year t]])*(Table12[[#This Row],[stratum i]]=Table32[[#All],[stratum i]]), 0))</f>
        <v>0</v>
      </c>
      <c r="M97" cm="1">
        <f t="array" ref="M97">IF(baseline_abground_nontree = "Included", INDEX(#REF!, MATCH(1, (Table12[[#This Row],[year t]]=Table32[[#All],[year t]])*(Table12[[#This Row],[stratum i]]=Table32[[#All],[stratum i]]), 0)), 0)</f>
        <v>0</v>
      </c>
      <c r="N97">
        <f>12/44*(Table12[[#This Row],[ΔCTREE_BSL,i,t (AR Tool 14) t CO2e/yr]]+Table12[[#This Row],[ΔCSHRUB_BSL,i,t (AR Tool 14) t CO2e/yr]])</f>
        <v>0</v>
      </c>
      <c r="O97" cm="1">
        <f t="array" ref="O97">IF(baseline_abground_nontree = "Included", IFERROR(INDEX(Table13[[#All],[ΔCBSL-herb,i,t (Eq 25)]], MATCH(1, (Table12[[#This Row],[stratum i]]=Table13[[#All],[stratum i]])*(Table12[[#This Row],[year t]]&gt;=#REF!)*(Table12[[#This Row],[year t]]&lt;=Table13[[#All],[year t]]), 0)), 0), 0)</f>
        <v>0</v>
      </c>
      <c r="P97">
        <f>Table12[[#This Row],[ΔCBSL-tree/shrub,i,t (t C/yr) (Eq 24)]]+Table12[[#This Row],[ΔCBSL-herb,i,t (t C/yr)]]-Table12[[#This Row],[ΔCBSL-agbiomass,i,t; t C yr-1 (submergence)]]</f>
        <v>0</v>
      </c>
      <c r="Q97" cm="1">
        <f t="array" ref="Q97">IFERROR(INDEX(Table14[[#All],[GHGBSL-soil,i,t (Eq 26)]], MATCH(1, (Table12[[#This Row],[year t]]=Table14[[#All],[year t]])*(Table12[[#This Row],[stratum i]]=Table14[[#All],[stratum i]]), 0)), 0)</f>
        <v>0</v>
      </c>
      <c r="R97">
        <f>IF(baseline_ff_CO2 = "Included", Table12[[#This Row],[ET(FC,I,t) AR-Tool 5]], 0)</f>
        <v>0</v>
      </c>
      <c r="S97" t="e" cm="1">
        <f t="array" ref="S97">INDEX(#REF!, MATCH(1, (Table12[[#This Row],[year t]]=Table32[[#All],[year t]])*(Table12[[#This Row],[stratum i]]=Table32[[#All],[stratum i]]), 0))</f>
        <v>#REF!</v>
      </c>
      <c r="T97" cm="1">
        <f t="array" ref="T97">IFERROR(INDEX(Table30[[#All],[ΔCBSL-agbiomass,i,t (equation 22) t C yr-1]], MATCH(1, (Table12[[#This Row],[stratum i]]=Table30[[#All],[Stratum i]])*(Table12[[#This Row],[year t]]&lt;Table30[[#All],[Year of reporting]]), 0)), 0)</f>
        <v>0</v>
      </c>
      <c r="AG97" s="18">
        <v>2037</v>
      </c>
      <c r="AH97">
        <v>3</v>
      </c>
      <c r="AI97" s="49" t="e" cm="1">
        <f t="array" ref="AI97">INDEX(#REF!, MATCH(1, (Table13[[#This Row],[year t]]=Table32[[#All],[year t]])*(Table13[[#This Row],[stratum i]]=Table32[[#All],[stratum i]]), 0))</f>
        <v>#REF!</v>
      </c>
      <c r="AJ97" s="49" t="e">
        <f>Table13[[#This Row],[ΔCBSL-herb,i,t (tC/ha)]]</f>
        <v>#REF!</v>
      </c>
      <c r="AO97" s="18">
        <v>2037</v>
      </c>
      <c r="AP97">
        <v>3</v>
      </c>
      <c r="AQ97" s="18" cm="1">
        <f t="array" ref="AQ97">INDEX(Table32[[#All],[Ai,t]], MATCH(1, (Table14[[#This Row],[year t]]=Table32[[#All],[year t]])*(Table14[[#This Row],[stratum i]]=Table32[[#All],[stratum i]]), 0))</f>
        <v>2222.8442528571427</v>
      </c>
      <c r="AR97" t="str">
        <f>IF(AND(INDEX(Table31[[#All],[Soil type (t=0)]], MATCH(Table14[[#This Row],[stratum i]], Table31[[#All],[Stratum i]]))="Peat soil", Table14[[#This Row],[year t]]&lt;=Table14[[#This Row],[End_PDT]]), "Peat soil", "Non-peat soil")</f>
        <v>Non-peat soil</v>
      </c>
      <c r="AS97">
        <f>IF(Emission_reduction_from_stock_loss?, INDEX(Table2[[#All],[End_PDT]], MATCH(Table14[[#This Row],[stratum i]], Table2[[#All],[stratum i]])), crediting_period)</f>
        <v>40</v>
      </c>
      <c r="AT97">
        <f>IF(Emission_reduction_from_stock_loss?, INDEX(Table2[[#All],[End_SDT]], MATCH(Table14[[#This Row],[stratum i]], Table2[[#All],[stratum i]])), crediting_period)</f>
        <v>40</v>
      </c>
      <c r="AU97" cm="1">
        <f t="array" ref="AU9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7" t="e" cm="1">
        <f t="array" ref="AV97">INDEX(#REF!, MATCH(1, (Table14[[#This Row],[year t]]=Table32[[#All],[year t]])*(Table14[[#This Row],[stratum i]]=Table32[[#All],[stratum i]]), 0))</f>
        <v>#REF!</v>
      </c>
      <c r="AW9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7" s="57">
        <f>(Table14[[#This Row],[GHGBSL-soil-CO2,i,t (Eq 27)]]-Table14[[#This Row],[Deductionalloch (Eq 38)]])*Table14[[#This Row],[Ai,t]]</f>
        <v>0</v>
      </c>
      <c r="AY97" cm="1">
        <f t="array" ref="AY97">IF(baseline_soil_CH4 = "Included", INDEX(Table18[[#All],[GHGBSL-soil-CH4,i,t (Eq 59)]], MATCH(1, (Table14[[#This Row],[year t]]=Table18[[#All],[year t]])*(Table14[[#This Row],[stratum i]]=Table18[[#All],[stratum i]]), 0)), 0)</f>
        <v>0</v>
      </c>
      <c r="AZ97" cm="1">
        <f t="array" ref="AZ97">IF(baseline_soil_N2O = "Included", INDEX(Table18[[#All],[GHGBSL-soil-N2O,i,t (Eq 62)]], MATCH(1, (Table14[[#This Row],[year t]]=Table18[[#All],[year t]])*(Table14[[#This Row],[stratum i]]=Table18[[#All],[stratum i]]), 0)), 0)</f>
        <v>0</v>
      </c>
      <c r="BA97">
        <f>IF(AND(Table14[[#This Row],[year t]]&gt;Table14[[#This Row],[End_PDT]],Table14[[#This Row],[year t]]&gt;Table14[[#This Row],[End_SDT]]), 0, Table14[[#This Row],[Ai,t]]*(Table14[[#This Row],[GHGBSL-soil-CO2,i,t (Eq 27)]]-Table14[[#This Row],[Deductionalloch (Eq 38)]]+Table14[[#This Row],[GHGBSL-soil-CH4,i,t]]+Table14[[#This Row],[GHGBSL-soil-N2O,i,t]]))</f>
        <v>0</v>
      </c>
      <c r="BB97" t="e" cm="1">
        <f t="array" ref="BB97">INDEX(#REF!, MATCH(1, (Table14[[#This Row],[year t]]=Table32[[#All],[year t]])*(Table14[[#This Row],[stratum i]]=Table32[[#All],[stratum i]]), 0))</f>
        <v>#REF!</v>
      </c>
      <c r="BC97" t="e" cm="1">
        <f t="array" ref="BC97">INDEX(#REF!, MATCH(1, (Table14[[#This Row],[year t]]=Table32[[#All],[year t]])*(Table14[[#This Row],[stratum i]]=Table32[[#All],[stratum i]]), 0))</f>
        <v>#REF!</v>
      </c>
      <c r="BD97" t="e" cm="1">
        <f t="array" ref="BD97">INDEX(#REF!, MATCH(1, (Table14[[#This Row],[year t]]=Table32[[#All],[year t]])*(Table14[[#This Row],[stratum i]]=Table32[[#All],[stratum i]]), 0))</f>
        <v>#REF!</v>
      </c>
      <c r="BE97" t="e" cm="1">
        <f t="array" ref="BE97">INDEX(#REF!, MATCH(1, (Table14[[#This Row],[year t]]=Table32[[#All],[year t]])*(Table14[[#This Row],[stratum i]]=Table32[[#All],[stratum i]]), 0))</f>
        <v>#REF!</v>
      </c>
      <c r="BF97" s="30"/>
      <c r="BM97" s="18">
        <v>2037</v>
      </c>
      <c r="BN97">
        <v>3</v>
      </c>
      <c r="BO97" t="e" cm="1">
        <f t="array" ref="BO97">INDEX(#REF!, MATCH(1, (Table132926[[#This Row],[year t]]=Table32[year t])*(Table132926[[#This Row],[stratum i]]=Table32[[#All],[stratum i]]), 0))</f>
        <v>#REF!</v>
      </c>
      <c r="BP97" t="e">
        <f>-44/12*Table132926[[#This Row],[∆CBSL-soil,i,t (tC/ha)]]</f>
        <v>#REF!</v>
      </c>
    </row>
    <row r="98" spans="10:68" x14ac:dyDescent="0.2">
      <c r="J98" s="18">
        <v>2038</v>
      </c>
      <c r="K98">
        <v>3</v>
      </c>
      <c r="L98" cm="1">
        <f t="array" ref="L98">INDEX(Table32[[#All],[ΔCTREE_BSL,i,t (AR Tool 14) t C/yr]], MATCH(1, (Table12[[#This Row],[year t]]=Table32[[#All],[year t]])*(Table12[[#This Row],[stratum i]]=Table32[[#All],[stratum i]]), 0))</f>
        <v>0</v>
      </c>
      <c r="M98" cm="1">
        <f t="array" ref="M98">IF(baseline_abground_nontree = "Included", INDEX(#REF!, MATCH(1, (Table12[[#This Row],[year t]]=Table32[[#All],[year t]])*(Table12[[#This Row],[stratum i]]=Table32[[#All],[stratum i]]), 0)), 0)</f>
        <v>0</v>
      </c>
      <c r="N98">
        <f>12/44*(Table12[[#This Row],[ΔCTREE_BSL,i,t (AR Tool 14) t CO2e/yr]]+Table12[[#This Row],[ΔCSHRUB_BSL,i,t (AR Tool 14) t CO2e/yr]])</f>
        <v>0</v>
      </c>
      <c r="O98" cm="1">
        <f t="array" ref="O98">IF(baseline_abground_nontree = "Included", IFERROR(INDEX(Table13[[#All],[ΔCBSL-herb,i,t (Eq 25)]], MATCH(1, (Table12[[#This Row],[stratum i]]=Table13[[#All],[stratum i]])*(Table12[[#This Row],[year t]]&gt;=#REF!)*(Table12[[#This Row],[year t]]&lt;=Table13[[#All],[year t]]), 0)), 0), 0)</f>
        <v>0</v>
      </c>
      <c r="P98">
        <f>Table12[[#This Row],[ΔCBSL-tree/shrub,i,t (t C/yr) (Eq 24)]]+Table12[[#This Row],[ΔCBSL-herb,i,t (t C/yr)]]-Table12[[#This Row],[ΔCBSL-agbiomass,i,t; t C yr-1 (submergence)]]</f>
        <v>0</v>
      </c>
      <c r="Q98" cm="1">
        <f t="array" ref="Q98">IFERROR(INDEX(Table14[[#All],[GHGBSL-soil,i,t (Eq 26)]], MATCH(1, (Table12[[#This Row],[year t]]=Table14[[#All],[year t]])*(Table12[[#This Row],[stratum i]]=Table14[[#All],[stratum i]]), 0)), 0)</f>
        <v>0</v>
      </c>
      <c r="R98">
        <f>IF(baseline_ff_CO2 = "Included", Table12[[#This Row],[ET(FC,I,t) AR-Tool 5]], 0)</f>
        <v>0</v>
      </c>
      <c r="S98" t="e" cm="1">
        <f t="array" ref="S98">INDEX(#REF!, MATCH(1, (Table12[[#This Row],[year t]]=Table32[[#All],[year t]])*(Table12[[#This Row],[stratum i]]=Table32[[#All],[stratum i]]), 0))</f>
        <v>#REF!</v>
      </c>
      <c r="T98" cm="1">
        <f t="array" ref="T98">IFERROR(INDEX(Table30[[#All],[ΔCBSL-agbiomass,i,t (equation 22) t C yr-1]], MATCH(1, (Table12[[#This Row],[stratum i]]=Table30[[#All],[Stratum i]])*(Table12[[#This Row],[year t]]&lt;Table30[[#All],[Year of reporting]]), 0)), 0)</f>
        <v>0</v>
      </c>
      <c r="AG98" s="18">
        <v>2038</v>
      </c>
      <c r="AH98">
        <v>3</v>
      </c>
      <c r="AI98" s="49" t="e" cm="1">
        <f t="array" ref="AI98">INDEX(#REF!, MATCH(1, (Table13[[#This Row],[year t]]=Table32[[#All],[year t]])*(Table13[[#This Row],[stratum i]]=Table32[[#All],[stratum i]]), 0))</f>
        <v>#REF!</v>
      </c>
      <c r="AJ98" s="49" t="e">
        <f>Table13[[#This Row],[ΔCBSL-herb,i,t (tC/ha)]]</f>
        <v>#REF!</v>
      </c>
      <c r="AO98" s="18">
        <v>2038</v>
      </c>
      <c r="AP98">
        <v>3</v>
      </c>
      <c r="AQ98" s="18" cm="1">
        <f t="array" ref="AQ98">INDEX(Table32[[#All],[Ai,t]], MATCH(1, (Table14[[#This Row],[year t]]=Table32[[#All],[year t]])*(Table14[[#This Row],[stratum i]]=Table32[[#All],[stratum i]]), 0))</f>
        <v>2222.8442528571427</v>
      </c>
      <c r="AR98" t="str">
        <f>IF(AND(INDEX(Table31[[#All],[Soil type (t=0)]], MATCH(Table14[[#This Row],[stratum i]], Table31[[#All],[Stratum i]]))="Peat soil", Table14[[#This Row],[year t]]&lt;=Table14[[#This Row],[End_PDT]]), "Peat soil", "Non-peat soil")</f>
        <v>Non-peat soil</v>
      </c>
      <c r="AS98">
        <f>IF(Emission_reduction_from_stock_loss?, INDEX(Table2[[#All],[End_PDT]], MATCH(Table14[[#This Row],[stratum i]], Table2[[#All],[stratum i]])), crediting_period)</f>
        <v>40</v>
      </c>
      <c r="AT98">
        <f>IF(Emission_reduction_from_stock_loss?, INDEX(Table2[[#All],[End_SDT]], MATCH(Table14[[#This Row],[stratum i]], Table2[[#All],[stratum i]])), crediting_period)</f>
        <v>40</v>
      </c>
      <c r="AU98" cm="1">
        <f t="array" ref="AU9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8" t="e" cm="1">
        <f t="array" ref="AV98">INDEX(#REF!, MATCH(1, (Table14[[#This Row],[year t]]=Table32[[#All],[year t]])*(Table14[[#This Row],[stratum i]]=Table32[[#All],[stratum i]]), 0))</f>
        <v>#REF!</v>
      </c>
      <c r="AW9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8" s="57">
        <f>(Table14[[#This Row],[GHGBSL-soil-CO2,i,t (Eq 27)]]-Table14[[#This Row],[Deductionalloch (Eq 38)]])*Table14[[#This Row],[Ai,t]]</f>
        <v>0</v>
      </c>
      <c r="AY98" cm="1">
        <f t="array" ref="AY98">IF(baseline_soil_CH4 = "Included", INDEX(Table18[[#All],[GHGBSL-soil-CH4,i,t (Eq 59)]], MATCH(1, (Table14[[#This Row],[year t]]=Table18[[#All],[year t]])*(Table14[[#This Row],[stratum i]]=Table18[[#All],[stratum i]]), 0)), 0)</f>
        <v>0</v>
      </c>
      <c r="AZ98" cm="1">
        <f t="array" ref="AZ98">IF(baseline_soil_N2O = "Included", INDEX(Table18[[#All],[GHGBSL-soil-N2O,i,t (Eq 62)]], MATCH(1, (Table14[[#This Row],[year t]]=Table18[[#All],[year t]])*(Table14[[#This Row],[stratum i]]=Table18[[#All],[stratum i]]), 0)), 0)</f>
        <v>0</v>
      </c>
      <c r="BA98">
        <f>IF(AND(Table14[[#This Row],[year t]]&gt;Table14[[#This Row],[End_PDT]],Table14[[#This Row],[year t]]&gt;Table14[[#This Row],[End_SDT]]), 0, Table14[[#This Row],[Ai,t]]*(Table14[[#This Row],[GHGBSL-soil-CO2,i,t (Eq 27)]]-Table14[[#This Row],[Deductionalloch (Eq 38)]]+Table14[[#This Row],[GHGBSL-soil-CH4,i,t]]+Table14[[#This Row],[GHGBSL-soil-N2O,i,t]]))</f>
        <v>0</v>
      </c>
      <c r="BB98" t="e" cm="1">
        <f t="array" ref="BB98">INDEX(#REF!, MATCH(1, (Table14[[#This Row],[year t]]=Table32[[#All],[year t]])*(Table14[[#This Row],[stratum i]]=Table32[[#All],[stratum i]]), 0))</f>
        <v>#REF!</v>
      </c>
      <c r="BC98" t="e" cm="1">
        <f t="array" ref="BC98">INDEX(#REF!, MATCH(1, (Table14[[#This Row],[year t]]=Table32[[#All],[year t]])*(Table14[[#This Row],[stratum i]]=Table32[[#All],[stratum i]]), 0))</f>
        <v>#REF!</v>
      </c>
      <c r="BD98" t="e" cm="1">
        <f t="array" ref="BD98">INDEX(#REF!, MATCH(1, (Table14[[#This Row],[year t]]=Table32[[#All],[year t]])*(Table14[[#This Row],[stratum i]]=Table32[[#All],[stratum i]]), 0))</f>
        <v>#REF!</v>
      </c>
      <c r="BE98" t="e" cm="1">
        <f t="array" ref="BE98">INDEX(#REF!, MATCH(1, (Table14[[#This Row],[year t]]=Table32[[#All],[year t]])*(Table14[[#This Row],[stratum i]]=Table32[[#All],[stratum i]]), 0))</f>
        <v>#REF!</v>
      </c>
      <c r="BF98" s="30"/>
      <c r="BM98" s="18">
        <v>2038</v>
      </c>
      <c r="BN98">
        <v>3</v>
      </c>
      <c r="BO98" t="e" cm="1">
        <f t="array" ref="BO98">INDEX(#REF!, MATCH(1, (Table132926[[#This Row],[year t]]=Table32[year t])*(Table132926[[#This Row],[stratum i]]=Table32[[#All],[stratum i]]), 0))</f>
        <v>#REF!</v>
      </c>
      <c r="BP98" t="e">
        <f>-44/12*Table132926[[#This Row],[∆CBSL-soil,i,t (tC/ha)]]</f>
        <v>#REF!</v>
      </c>
    </row>
    <row r="99" spans="10:68" x14ac:dyDescent="0.2">
      <c r="J99" s="18">
        <v>2039</v>
      </c>
      <c r="K99">
        <v>3</v>
      </c>
      <c r="L99" cm="1">
        <f t="array" ref="L99">INDEX(Table32[[#All],[ΔCTREE_BSL,i,t (AR Tool 14) t C/yr]], MATCH(1, (Table12[[#This Row],[year t]]=Table32[[#All],[year t]])*(Table12[[#This Row],[stratum i]]=Table32[[#All],[stratum i]]), 0))</f>
        <v>0</v>
      </c>
      <c r="M99" cm="1">
        <f t="array" ref="M99">IF(baseline_abground_nontree = "Included", INDEX(#REF!, MATCH(1, (Table12[[#This Row],[year t]]=Table32[[#All],[year t]])*(Table12[[#This Row],[stratum i]]=Table32[[#All],[stratum i]]), 0)), 0)</f>
        <v>0</v>
      </c>
      <c r="N99">
        <f>12/44*(Table12[[#This Row],[ΔCTREE_BSL,i,t (AR Tool 14) t CO2e/yr]]+Table12[[#This Row],[ΔCSHRUB_BSL,i,t (AR Tool 14) t CO2e/yr]])</f>
        <v>0</v>
      </c>
      <c r="O99" cm="1">
        <f t="array" ref="O99">IF(baseline_abground_nontree = "Included", IFERROR(INDEX(Table13[[#All],[ΔCBSL-herb,i,t (Eq 25)]], MATCH(1, (Table12[[#This Row],[stratum i]]=Table13[[#All],[stratum i]])*(Table12[[#This Row],[year t]]&gt;=#REF!)*(Table12[[#This Row],[year t]]&lt;=Table13[[#All],[year t]]), 0)), 0), 0)</f>
        <v>0</v>
      </c>
      <c r="P99">
        <f>Table12[[#This Row],[ΔCBSL-tree/shrub,i,t (t C/yr) (Eq 24)]]+Table12[[#This Row],[ΔCBSL-herb,i,t (t C/yr)]]-Table12[[#This Row],[ΔCBSL-agbiomass,i,t; t C yr-1 (submergence)]]</f>
        <v>0</v>
      </c>
      <c r="Q99" cm="1">
        <f t="array" ref="Q99">IFERROR(INDEX(Table14[[#All],[GHGBSL-soil,i,t (Eq 26)]], MATCH(1, (Table12[[#This Row],[year t]]=Table14[[#All],[year t]])*(Table12[[#This Row],[stratum i]]=Table14[[#All],[stratum i]]), 0)), 0)</f>
        <v>0</v>
      </c>
      <c r="R99">
        <f>IF(baseline_ff_CO2 = "Included", Table12[[#This Row],[ET(FC,I,t) AR-Tool 5]], 0)</f>
        <v>0</v>
      </c>
      <c r="S99" t="e" cm="1">
        <f t="array" ref="S99">INDEX(#REF!, MATCH(1, (Table12[[#This Row],[year t]]=Table32[[#All],[year t]])*(Table12[[#This Row],[stratum i]]=Table32[[#All],[stratum i]]), 0))</f>
        <v>#REF!</v>
      </c>
      <c r="T99" cm="1">
        <f t="array" ref="T99">IFERROR(INDEX(Table30[[#All],[ΔCBSL-agbiomass,i,t (equation 22) t C yr-1]], MATCH(1, (Table12[[#This Row],[stratum i]]=Table30[[#All],[Stratum i]])*(Table12[[#This Row],[year t]]&lt;Table30[[#All],[Year of reporting]]), 0)), 0)</f>
        <v>0</v>
      </c>
      <c r="AG99" s="18">
        <v>2039</v>
      </c>
      <c r="AH99">
        <v>3</v>
      </c>
      <c r="AI99" s="49" t="e" cm="1">
        <f t="array" ref="AI99">INDEX(#REF!, MATCH(1, (Table13[[#This Row],[year t]]=Table32[[#All],[year t]])*(Table13[[#This Row],[stratum i]]=Table32[[#All],[stratum i]]), 0))</f>
        <v>#REF!</v>
      </c>
      <c r="AJ99" s="49" t="e">
        <f>Table13[[#This Row],[ΔCBSL-herb,i,t (tC/ha)]]</f>
        <v>#REF!</v>
      </c>
      <c r="AO99" s="18">
        <v>2039</v>
      </c>
      <c r="AP99">
        <v>3</v>
      </c>
      <c r="AQ99" s="18" cm="1">
        <f t="array" ref="AQ99">INDEX(Table32[[#All],[Ai,t]], MATCH(1, (Table14[[#This Row],[year t]]=Table32[[#All],[year t]])*(Table14[[#This Row],[stratum i]]=Table32[[#All],[stratum i]]), 0))</f>
        <v>2222.8442528571427</v>
      </c>
      <c r="AR99" t="str">
        <f>IF(AND(INDEX(Table31[[#All],[Soil type (t=0)]], MATCH(Table14[[#This Row],[stratum i]], Table31[[#All],[Stratum i]]))="Peat soil", Table14[[#This Row],[year t]]&lt;=Table14[[#This Row],[End_PDT]]), "Peat soil", "Non-peat soil")</f>
        <v>Non-peat soil</v>
      </c>
      <c r="AS99">
        <f>IF(Emission_reduction_from_stock_loss?, INDEX(Table2[[#All],[End_PDT]], MATCH(Table14[[#This Row],[stratum i]], Table2[[#All],[stratum i]])), crediting_period)</f>
        <v>40</v>
      </c>
      <c r="AT99">
        <f>IF(Emission_reduction_from_stock_loss?, INDEX(Table2[[#All],[End_SDT]], MATCH(Table14[[#This Row],[stratum i]], Table2[[#All],[stratum i]])), crediting_period)</f>
        <v>40</v>
      </c>
      <c r="AU99" cm="1">
        <f t="array" ref="AU9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99" t="e" cm="1">
        <f t="array" ref="AV99">INDEX(#REF!, MATCH(1, (Table14[[#This Row],[year t]]=Table32[[#All],[year t]])*(Table14[[#This Row],[stratum i]]=Table32[[#All],[stratum i]]), 0))</f>
        <v>#REF!</v>
      </c>
      <c r="AW9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99" s="57">
        <f>(Table14[[#This Row],[GHGBSL-soil-CO2,i,t (Eq 27)]]-Table14[[#This Row],[Deductionalloch (Eq 38)]])*Table14[[#This Row],[Ai,t]]</f>
        <v>0</v>
      </c>
      <c r="AY99" cm="1">
        <f t="array" ref="AY99">IF(baseline_soil_CH4 = "Included", INDEX(Table18[[#All],[GHGBSL-soil-CH4,i,t (Eq 59)]], MATCH(1, (Table14[[#This Row],[year t]]=Table18[[#All],[year t]])*(Table14[[#This Row],[stratum i]]=Table18[[#All],[stratum i]]), 0)), 0)</f>
        <v>0</v>
      </c>
      <c r="AZ99" cm="1">
        <f t="array" ref="AZ99">IF(baseline_soil_N2O = "Included", INDEX(Table18[[#All],[GHGBSL-soil-N2O,i,t (Eq 62)]], MATCH(1, (Table14[[#This Row],[year t]]=Table18[[#All],[year t]])*(Table14[[#This Row],[stratum i]]=Table18[[#All],[stratum i]]), 0)), 0)</f>
        <v>0</v>
      </c>
      <c r="BA99">
        <f>IF(AND(Table14[[#This Row],[year t]]&gt;Table14[[#This Row],[End_PDT]],Table14[[#This Row],[year t]]&gt;Table14[[#This Row],[End_SDT]]), 0, Table14[[#This Row],[Ai,t]]*(Table14[[#This Row],[GHGBSL-soil-CO2,i,t (Eq 27)]]-Table14[[#This Row],[Deductionalloch (Eq 38)]]+Table14[[#This Row],[GHGBSL-soil-CH4,i,t]]+Table14[[#This Row],[GHGBSL-soil-N2O,i,t]]))</f>
        <v>0</v>
      </c>
      <c r="BB99" t="e" cm="1">
        <f t="array" ref="BB99">INDEX(#REF!, MATCH(1, (Table14[[#This Row],[year t]]=Table32[[#All],[year t]])*(Table14[[#This Row],[stratum i]]=Table32[[#All],[stratum i]]), 0))</f>
        <v>#REF!</v>
      </c>
      <c r="BC99" t="e" cm="1">
        <f t="array" ref="BC99">INDEX(#REF!, MATCH(1, (Table14[[#This Row],[year t]]=Table32[[#All],[year t]])*(Table14[[#This Row],[stratum i]]=Table32[[#All],[stratum i]]), 0))</f>
        <v>#REF!</v>
      </c>
      <c r="BD99" t="e" cm="1">
        <f t="array" ref="BD99">INDEX(#REF!, MATCH(1, (Table14[[#This Row],[year t]]=Table32[[#All],[year t]])*(Table14[[#This Row],[stratum i]]=Table32[[#All],[stratum i]]), 0))</f>
        <v>#REF!</v>
      </c>
      <c r="BE99" t="e" cm="1">
        <f t="array" ref="BE99">INDEX(#REF!, MATCH(1, (Table14[[#This Row],[year t]]=Table32[[#All],[year t]])*(Table14[[#This Row],[stratum i]]=Table32[[#All],[stratum i]]), 0))</f>
        <v>#REF!</v>
      </c>
      <c r="BF99" s="30"/>
      <c r="BM99" s="18">
        <v>2039</v>
      </c>
      <c r="BN99">
        <v>3</v>
      </c>
      <c r="BO99" t="e" cm="1">
        <f t="array" ref="BO99">INDEX(#REF!, MATCH(1, (Table132926[[#This Row],[year t]]=Table32[year t])*(Table132926[[#This Row],[stratum i]]=Table32[[#All],[stratum i]]), 0))</f>
        <v>#REF!</v>
      </c>
      <c r="BP99" t="e">
        <f>-44/12*Table132926[[#This Row],[∆CBSL-soil,i,t (tC/ha)]]</f>
        <v>#REF!</v>
      </c>
    </row>
    <row r="100" spans="10:68" x14ac:dyDescent="0.2">
      <c r="J100" s="18">
        <v>2040</v>
      </c>
      <c r="K100">
        <v>3</v>
      </c>
      <c r="L100" cm="1">
        <f t="array" ref="L100">INDEX(Table32[[#All],[ΔCTREE_BSL,i,t (AR Tool 14) t C/yr]], MATCH(1, (Table12[[#This Row],[year t]]=Table32[[#All],[year t]])*(Table12[[#This Row],[stratum i]]=Table32[[#All],[stratum i]]), 0))</f>
        <v>0</v>
      </c>
      <c r="M100" cm="1">
        <f t="array" ref="M100">IF(baseline_abground_nontree = "Included", INDEX(#REF!, MATCH(1, (Table12[[#This Row],[year t]]=Table32[[#All],[year t]])*(Table12[[#This Row],[stratum i]]=Table32[[#All],[stratum i]]), 0)), 0)</f>
        <v>0</v>
      </c>
      <c r="N100">
        <f>12/44*(Table12[[#This Row],[ΔCTREE_BSL,i,t (AR Tool 14) t CO2e/yr]]+Table12[[#This Row],[ΔCSHRUB_BSL,i,t (AR Tool 14) t CO2e/yr]])</f>
        <v>0</v>
      </c>
      <c r="O100" cm="1">
        <f t="array" ref="O100">IF(baseline_abground_nontree = "Included", IFERROR(INDEX(Table13[[#All],[ΔCBSL-herb,i,t (Eq 25)]], MATCH(1, (Table12[[#This Row],[stratum i]]=Table13[[#All],[stratum i]])*(Table12[[#This Row],[year t]]&gt;=#REF!)*(Table12[[#This Row],[year t]]&lt;=Table13[[#All],[year t]]), 0)), 0), 0)</f>
        <v>0</v>
      </c>
      <c r="P100">
        <f>Table12[[#This Row],[ΔCBSL-tree/shrub,i,t (t C/yr) (Eq 24)]]+Table12[[#This Row],[ΔCBSL-herb,i,t (t C/yr)]]-Table12[[#This Row],[ΔCBSL-agbiomass,i,t; t C yr-1 (submergence)]]</f>
        <v>0</v>
      </c>
      <c r="Q100" cm="1">
        <f t="array" ref="Q100">IFERROR(INDEX(Table14[[#All],[GHGBSL-soil,i,t (Eq 26)]], MATCH(1, (Table12[[#This Row],[year t]]=Table14[[#All],[year t]])*(Table12[[#This Row],[stratum i]]=Table14[[#All],[stratum i]]), 0)), 0)</f>
        <v>0</v>
      </c>
      <c r="R100">
        <f>IF(baseline_ff_CO2 = "Included", Table12[[#This Row],[ET(FC,I,t) AR-Tool 5]], 0)</f>
        <v>0</v>
      </c>
      <c r="S100" t="e" cm="1">
        <f t="array" ref="S100">INDEX(#REF!, MATCH(1, (Table12[[#This Row],[year t]]=Table32[[#All],[year t]])*(Table12[[#This Row],[stratum i]]=Table32[[#All],[stratum i]]), 0))</f>
        <v>#REF!</v>
      </c>
      <c r="T100" cm="1">
        <f t="array" ref="T100">IFERROR(INDEX(Table30[[#All],[ΔCBSL-agbiomass,i,t (equation 22) t C yr-1]], MATCH(1, (Table12[[#This Row],[stratum i]]=Table30[[#All],[Stratum i]])*(Table12[[#This Row],[year t]]&lt;Table30[[#All],[Year of reporting]]), 0)), 0)</f>
        <v>0</v>
      </c>
      <c r="AG100" s="18">
        <v>2040</v>
      </c>
      <c r="AH100">
        <v>3</v>
      </c>
      <c r="AI100" s="49" t="e" cm="1">
        <f t="array" ref="AI100">INDEX(#REF!, MATCH(1, (Table13[[#This Row],[year t]]=Table32[[#All],[year t]])*(Table13[[#This Row],[stratum i]]=Table32[[#All],[stratum i]]), 0))</f>
        <v>#REF!</v>
      </c>
      <c r="AJ100" s="49" t="e">
        <f>Table13[[#This Row],[ΔCBSL-herb,i,t (tC/ha)]]</f>
        <v>#REF!</v>
      </c>
      <c r="AO100" s="18">
        <v>2040</v>
      </c>
      <c r="AP100">
        <v>3</v>
      </c>
      <c r="AQ100" s="18" cm="1">
        <f t="array" ref="AQ100">INDEX(Table32[[#All],[Ai,t]], MATCH(1, (Table14[[#This Row],[year t]]=Table32[[#All],[year t]])*(Table14[[#This Row],[stratum i]]=Table32[[#All],[stratum i]]), 0))</f>
        <v>2222.8442528571427</v>
      </c>
      <c r="AR100" t="str">
        <f>IF(AND(INDEX(Table31[[#All],[Soil type (t=0)]], MATCH(Table14[[#This Row],[stratum i]], Table31[[#All],[Stratum i]]))="Peat soil", Table14[[#This Row],[year t]]&lt;=Table14[[#This Row],[End_PDT]]), "Peat soil", "Non-peat soil")</f>
        <v>Non-peat soil</v>
      </c>
      <c r="AS100">
        <f>IF(Emission_reduction_from_stock_loss?, INDEX(Table2[[#All],[End_PDT]], MATCH(Table14[[#This Row],[stratum i]], Table2[[#All],[stratum i]])), crediting_period)</f>
        <v>40</v>
      </c>
      <c r="AT100">
        <f>IF(Emission_reduction_from_stock_loss?, INDEX(Table2[[#All],[End_SDT]], MATCH(Table14[[#This Row],[stratum i]], Table2[[#All],[stratum i]])), crediting_period)</f>
        <v>40</v>
      </c>
      <c r="AU100" cm="1">
        <f t="array" ref="AU10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0" t="e" cm="1">
        <f t="array" ref="AV100">INDEX(#REF!, MATCH(1, (Table14[[#This Row],[year t]]=Table32[[#All],[year t]])*(Table14[[#This Row],[stratum i]]=Table32[[#All],[stratum i]]), 0))</f>
        <v>#REF!</v>
      </c>
      <c r="AW10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0" s="57">
        <f>(Table14[[#This Row],[GHGBSL-soil-CO2,i,t (Eq 27)]]-Table14[[#This Row],[Deductionalloch (Eq 38)]])*Table14[[#This Row],[Ai,t]]</f>
        <v>0</v>
      </c>
      <c r="AY100" cm="1">
        <f t="array" ref="AY100">IF(baseline_soil_CH4 = "Included", INDEX(Table18[[#All],[GHGBSL-soil-CH4,i,t (Eq 59)]], MATCH(1, (Table14[[#This Row],[year t]]=Table18[[#All],[year t]])*(Table14[[#This Row],[stratum i]]=Table18[[#All],[stratum i]]), 0)), 0)</f>
        <v>0</v>
      </c>
      <c r="AZ100" cm="1">
        <f t="array" ref="AZ100">IF(baseline_soil_N2O = "Included", INDEX(Table18[[#All],[GHGBSL-soil-N2O,i,t (Eq 62)]], MATCH(1, (Table14[[#This Row],[year t]]=Table18[[#All],[year t]])*(Table14[[#This Row],[stratum i]]=Table18[[#All],[stratum i]]), 0)), 0)</f>
        <v>0</v>
      </c>
      <c r="BA100">
        <f>IF(AND(Table14[[#This Row],[year t]]&gt;Table14[[#This Row],[End_PDT]],Table14[[#This Row],[year t]]&gt;Table14[[#This Row],[End_SDT]]), 0, Table14[[#This Row],[Ai,t]]*(Table14[[#This Row],[GHGBSL-soil-CO2,i,t (Eq 27)]]-Table14[[#This Row],[Deductionalloch (Eq 38)]]+Table14[[#This Row],[GHGBSL-soil-CH4,i,t]]+Table14[[#This Row],[GHGBSL-soil-N2O,i,t]]))</f>
        <v>0</v>
      </c>
      <c r="BB100" t="e" cm="1">
        <f t="array" ref="BB100">INDEX(#REF!, MATCH(1, (Table14[[#This Row],[year t]]=Table32[[#All],[year t]])*(Table14[[#This Row],[stratum i]]=Table32[[#All],[stratum i]]), 0))</f>
        <v>#REF!</v>
      </c>
      <c r="BC100" t="e" cm="1">
        <f t="array" ref="BC100">INDEX(#REF!, MATCH(1, (Table14[[#This Row],[year t]]=Table32[[#All],[year t]])*(Table14[[#This Row],[stratum i]]=Table32[[#All],[stratum i]]), 0))</f>
        <v>#REF!</v>
      </c>
      <c r="BD100" t="e" cm="1">
        <f t="array" ref="BD100">INDEX(#REF!, MATCH(1, (Table14[[#This Row],[year t]]=Table32[[#All],[year t]])*(Table14[[#This Row],[stratum i]]=Table32[[#All],[stratum i]]), 0))</f>
        <v>#REF!</v>
      </c>
      <c r="BE100" t="e" cm="1">
        <f t="array" ref="BE100">INDEX(#REF!, MATCH(1, (Table14[[#This Row],[year t]]=Table32[[#All],[year t]])*(Table14[[#This Row],[stratum i]]=Table32[[#All],[stratum i]]), 0))</f>
        <v>#REF!</v>
      </c>
      <c r="BF100" s="30"/>
      <c r="BM100" s="18">
        <v>2040</v>
      </c>
      <c r="BN100">
        <v>3</v>
      </c>
      <c r="BO100" t="e" cm="1">
        <f t="array" ref="BO100">INDEX(#REF!, MATCH(1, (Table132926[[#This Row],[year t]]=Table32[year t])*(Table132926[[#This Row],[stratum i]]=Table32[[#All],[stratum i]]), 0))</f>
        <v>#REF!</v>
      </c>
      <c r="BP100" t="e">
        <f>-44/12*Table132926[[#This Row],[∆CBSL-soil,i,t (tC/ha)]]</f>
        <v>#REF!</v>
      </c>
    </row>
    <row r="101" spans="10:68" x14ac:dyDescent="0.2">
      <c r="J101" s="18">
        <v>2041</v>
      </c>
      <c r="K101">
        <v>3</v>
      </c>
      <c r="L101" cm="1">
        <f t="array" ref="L101">INDEX(Table32[[#All],[ΔCTREE_BSL,i,t (AR Tool 14) t C/yr]], MATCH(1, (Table12[[#This Row],[year t]]=Table32[[#All],[year t]])*(Table12[[#This Row],[stratum i]]=Table32[[#All],[stratum i]]), 0))</f>
        <v>0</v>
      </c>
      <c r="M101" cm="1">
        <f t="array" ref="M101">IF(baseline_abground_nontree = "Included", INDEX(#REF!, MATCH(1, (Table12[[#This Row],[year t]]=Table32[[#All],[year t]])*(Table12[[#This Row],[stratum i]]=Table32[[#All],[stratum i]]), 0)), 0)</f>
        <v>0</v>
      </c>
      <c r="N101">
        <f>12/44*(Table12[[#This Row],[ΔCTREE_BSL,i,t (AR Tool 14) t CO2e/yr]]+Table12[[#This Row],[ΔCSHRUB_BSL,i,t (AR Tool 14) t CO2e/yr]])</f>
        <v>0</v>
      </c>
      <c r="O101" cm="1">
        <f t="array" ref="O101">IF(baseline_abground_nontree = "Included", IFERROR(INDEX(Table13[[#All],[ΔCBSL-herb,i,t (Eq 25)]], MATCH(1, (Table12[[#This Row],[stratum i]]=Table13[[#All],[stratum i]])*(Table12[[#This Row],[year t]]&gt;=#REF!)*(Table12[[#This Row],[year t]]&lt;=Table13[[#All],[year t]]), 0)), 0), 0)</f>
        <v>0</v>
      </c>
      <c r="P101">
        <f>Table12[[#This Row],[ΔCBSL-tree/shrub,i,t (t C/yr) (Eq 24)]]+Table12[[#This Row],[ΔCBSL-herb,i,t (t C/yr)]]-Table12[[#This Row],[ΔCBSL-agbiomass,i,t; t C yr-1 (submergence)]]</f>
        <v>0</v>
      </c>
      <c r="Q101" cm="1">
        <f t="array" ref="Q101">IFERROR(INDEX(Table14[[#All],[GHGBSL-soil,i,t (Eq 26)]], MATCH(1, (Table12[[#This Row],[year t]]=Table14[[#All],[year t]])*(Table12[[#This Row],[stratum i]]=Table14[[#All],[stratum i]]), 0)), 0)</f>
        <v>0</v>
      </c>
      <c r="R101">
        <f>IF(baseline_ff_CO2 = "Included", Table12[[#This Row],[ET(FC,I,t) AR-Tool 5]], 0)</f>
        <v>0</v>
      </c>
      <c r="S101" t="e" cm="1">
        <f t="array" ref="S101">INDEX(#REF!, MATCH(1, (Table12[[#This Row],[year t]]=Table32[[#All],[year t]])*(Table12[[#This Row],[stratum i]]=Table32[[#All],[stratum i]]), 0))</f>
        <v>#REF!</v>
      </c>
      <c r="T101" cm="1">
        <f t="array" ref="T101">IFERROR(INDEX(Table30[[#All],[ΔCBSL-agbiomass,i,t (equation 22) t C yr-1]], MATCH(1, (Table12[[#This Row],[stratum i]]=Table30[[#All],[Stratum i]])*(Table12[[#This Row],[year t]]&lt;Table30[[#All],[Year of reporting]]), 0)), 0)</f>
        <v>0</v>
      </c>
      <c r="AG101" s="18">
        <v>2041</v>
      </c>
      <c r="AH101">
        <v>3</v>
      </c>
      <c r="AI101" s="49" t="e" cm="1">
        <f t="array" ref="AI101">INDEX(#REF!, MATCH(1, (Table13[[#This Row],[year t]]=Table32[[#All],[year t]])*(Table13[[#This Row],[stratum i]]=Table32[[#All],[stratum i]]), 0))</f>
        <v>#REF!</v>
      </c>
      <c r="AJ101" s="49" t="e">
        <f>Table13[[#This Row],[ΔCBSL-herb,i,t (tC/ha)]]</f>
        <v>#REF!</v>
      </c>
      <c r="AO101" s="18">
        <v>2041</v>
      </c>
      <c r="AP101">
        <v>3</v>
      </c>
      <c r="AQ101" s="18" cm="1">
        <f t="array" ref="AQ101">INDEX(Table32[[#All],[Ai,t]], MATCH(1, (Table14[[#This Row],[year t]]=Table32[[#All],[year t]])*(Table14[[#This Row],[stratum i]]=Table32[[#All],[stratum i]]), 0))</f>
        <v>2222.8442528571427</v>
      </c>
      <c r="AR101" t="str">
        <f>IF(AND(INDEX(Table31[[#All],[Soil type (t=0)]], MATCH(Table14[[#This Row],[stratum i]], Table31[[#All],[Stratum i]]))="Peat soil", Table14[[#This Row],[year t]]&lt;=Table14[[#This Row],[End_PDT]]), "Peat soil", "Non-peat soil")</f>
        <v>Non-peat soil</v>
      </c>
      <c r="AS101">
        <f>IF(Emission_reduction_from_stock_loss?, INDEX(Table2[[#All],[End_PDT]], MATCH(Table14[[#This Row],[stratum i]], Table2[[#All],[stratum i]])), crediting_period)</f>
        <v>40</v>
      </c>
      <c r="AT101">
        <f>IF(Emission_reduction_from_stock_loss?, INDEX(Table2[[#All],[End_SDT]], MATCH(Table14[[#This Row],[stratum i]], Table2[[#All],[stratum i]])), crediting_period)</f>
        <v>40</v>
      </c>
      <c r="AU101" cm="1">
        <f t="array" ref="AU10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1" t="e" cm="1">
        <f t="array" ref="AV101">INDEX(#REF!, MATCH(1, (Table14[[#This Row],[year t]]=Table32[[#All],[year t]])*(Table14[[#This Row],[stratum i]]=Table32[[#All],[stratum i]]), 0))</f>
        <v>#REF!</v>
      </c>
      <c r="AW10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1" s="57">
        <f>(Table14[[#This Row],[GHGBSL-soil-CO2,i,t (Eq 27)]]-Table14[[#This Row],[Deductionalloch (Eq 38)]])*Table14[[#This Row],[Ai,t]]</f>
        <v>0</v>
      </c>
      <c r="AY101" cm="1">
        <f t="array" ref="AY101">IF(baseline_soil_CH4 = "Included", INDEX(Table18[[#All],[GHGBSL-soil-CH4,i,t (Eq 59)]], MATCH(1, (Table14[[#This Row],[year t]]=Table18[[#All],[year t]])*(Table14[[#This Row],[stratum i]]=Table18[[#All],[stratum i]]), 0)), 0)</f>
        <v>0</v>
      </c>
      <c r="AZ101" cm="1">
        <f t="array" ref="AZ101">IF(baseline_soil_N2O = "Included", INDEX(Table18[[#All],[GHGBSL-soil-N2O,i,t (Eq 62)]], MATCH(1, (Table14[[#This Row],[year t]]=Table18[[#All],[year t]])*(Table14[[#This Row],[stratum i]]=Table18[[#All],[stratum i]]), 0)), 0)</f>
        <v>0</v>
      </c>
      <c r="BA101">
        <f>IF(AND(Table14[[#This Row],[year t]]&gt;Table14[[#This Row],[End_PDT]],Table14[[#This Row],[year t]]&gt;Table14[[#This Row],[End_SDT]]), 0, Table14[[#This Row],[Ai,t]]*(Table14[[#This Row],[GHGBSL-soil-CO2,i,t (Eq 27)]]-Table14[[#This Row],[Deductionalloch (Eq 38)]]+Table14[[#This Row],[GHGBSL-soil-CH4,i,t]]+Table14[[#This Row],[GHGBSL-soil-N2O,i,t]]))</f>
        <v>0</v>
      </c>
      <c r="BB101" t="e" cm="1">
        <f t="array" ref="BB101">INDEX(#REF!, MATCH(1, (Table14[[#This Row],[year t]]=Table32[[#All],[year t]])*(Table14[[#This Row],[stratum i]]=Table32[[#All],[stratum i]]), 0))</f>
        <v>#REF!</v>
      </c>
      <c r="BC101" t="e" cm="1">
        <f t="array" ref="BC101">INDEX(#REF!, MATCH(1, (Table14[[#This Row],[year t]]=Table32[[#All],[year t]])*(Table14[[#This Row],[stratum i]]=Table32[[#All],[stratum i]]), 0))</f>
        <v>#REF!</v>
      </c>
      <c r="BD101" t="e" cm="1">
        <f t="array" ref="BD101">INDEX(#REF!, MATCH(1, (Table14[[#This Row],[year t]]=Table32[[#All],[year t]])*(Table14[[#This Row],[stratum i]]=Table32[[#All],[stratum i]]), 0))</f>
        <v>#REF!</v>
      </c>
      <c r="BE101" t="e" cm="1">
        <f t="array" ref="BE101">INDEX(#REF!, MATCH(1, (Table14[[#This Row],[year t]]=Table32[[#All],[year t]])*(Table14[[#This Row],[stratum i]]=Table32[[#All],[stratum i]]), 0))</f>
        <v>#REF!</v>
      </c>
      <c r="BF101" s="30"/>
      <c r="BM101" s="18">
        <v>2041</v>
      </c>
      <c r="BN101">
        <v>3</v>
      </c>
      <c r="BO101" t="e" cm="1">
        <f t="array" ref="BO101">INDEX(#REF!, MATCH(1, (Table132926[[#This Row],[year t]]=Table32[year t])*(Table132926[[#This Row],[stratum i]]=Table32[[#All],[stratum i]]), 0))</f>
        <v>#REF!</v>
      </c>
      <c r="BP101" t="e">
        <f>-44/12*Table132926[[#This Row],[∆CBSL-soil,i,t (tC/ha)]]</f>
        <v>#REF!</v>
      </c>
    </row>
    <row r="102" spans="10:68" x14ac:dyDescent="0.2">
      <c r="J102" s="18">
        <v>2042</v>
      </c>
      <c r="K102">
        <v>3</v>
      </c>
      <c r="L102" cm="1">
        <f t="array" ref="L102">INDEX(Table32[[#All],[ΔCTREE_BSL,i,t (AR Tool 14) t C/yr]], MATCH(1, (Table12[[#This Row],[year t]]=Table32[[#All],[year t]])*(Table12[[#This Row],[stratum i]]=Table32[[#All],[stratum i]]), 0))</f>
        <v>0</v>
      </c>
      <c r="M102" cm="1">
        <f t="array" ref="M102">IF(baseline_abground_nontree = "Included", INDEX(#REF!, MATCH(1, (Table12[[#This Row],[year t]]=Table32[[#All],[year t]])*(Table12[[#This Row],[stratum i]]=Table32[[#All],[stratum i]]), 0)), 0)</f>
        <v>0</v>
      </c>
      <c r="N102">
        <f>12/44*(Table12[[#This Row],[ΔCTREE_BSL,i,t (AR Tool 14) t CO2e/yr]]+Table12[[#This Row],[ΔCSHRUB_BSL,i,t (AR Tool 14) t CO2e/yr]])</f>
        <v>0</v>
      </c>
      <c r="O102" cm="1">
        <f t="array" ref="O102">IF(baseline_abground_nontree = "Included", IFERROR(INDEX(Table13[[#All],[ΔCBSL-herb,i,t (Eq 25)]], MATCH(1, (Table12[[#This Row],[stratum i]]=Table13[[#All],[stratum i]])*(Table12[[#This Row],[year t]]&gt;=#REF!)*(Table12[[#This Row],[year t]]&lt;=Table13[[#All],[year t]]), 0)), 0), 0)</f>
        <v>0</v>
      </c>
      <c r="P102">
        <f>Table12[[#This Row],[ΔCBSL-tree/shrub,i,t (t C/yr) (Eq 24)]]+Table12[[#This Row],[ΔCBSL-herb,i,t (t C/yr)]]-Table12[[#This Row],[ΔCBSL-agbiomass,i,t; t C yr-1 (submergence)]]</f>
        <v>0</v>
      </c>
      <c r="Q102" cm="1">
        <f t="array" ref="Q102">IFERROR(INDEX(Table14[[#All],[GHGBSL-soil,i,t (Eq 26)]], MATCH(1, (Table12[[#This Row],[year t]]=Table14[[#All],[year t]])*(Table12[[#This Row],[stratum i]]=Table14[[#All],[stratum i]]), 0)), 0)</f>
        <v>0</v>
      </c>
      <c r="R102">
        <f>IF(baseline_ff_CO2 = "Included", Table12[[#This Row],[ET(FC,I,t) AR-Tool 5]], 0)</f>
        <v>0</v>
      </c>
      <c r="S102" t="e" cm="1">
        <f t="array" ref="S102">INDEX(#REF!, MATCH(1, (Table12[[#This Row],[year t]]=Table32[[#All],[year t]])*(Table12[[#This Row],[stratum i]]=Table32[[#All],[stratum i]]), 0))</f>
        <v>#REF!</v>
      </c>
      <c r="T102" cm="1">
        <f t="array" ref="T102">IFERROR(INDEX(Table30[[#All],[ΔCBSL-agbiomass,i,t (equation 22) t C yr-1]], MATCH(1, (Table12[[#This Row],[stratum i]]=Table30[[#All],[Stratum i]])*(Table12[[#This Row],[year t]]&lt;Table30[[#All],[Year of reporting]]), 0)), 0)</f>
        <v>0</v>
      </c>
      <c r="AG102" s="18">
        <v>2042</v>
      </c>
      <c r="AH102">
        <v>3</v>
      </c>
      <c r="AI102" s="49" t="e" cm="1">
        <f t="array" ref="AI102">INDEX(#REF!, MATCH(1, (Table13[[#This Row],[year t]]=Table32[[#All],[year t]])*(Table13[[#This Row],[stratum i]]=Table32[[#All],[stratum i]]), 0))</f>
        <v>#REF!</v>
      </c>
      <c r="AJ102" s="49" t="e">
        <f>Table13[[#This Row],[ΔCBSL-herb,i,t (tC/ha)]]</f>
        <v>#REF!</v>
      </c>
      <c r="AO102" s="18">
        <v>2042</v>
      </c>
      <c r="AP102">
        <v>3</v>
      </c>
      <c r="AQ102" s="18" cm="1">
        <f t="array" ref="AQ102">INDEX(Table32[[#All],[Ai,t]], MATCH(1, (Table14[[#This Row],[year t]]=Table32[[#All],[year t]])*(Table14[[#This Row],[stratum i]]=Table32[[#All],[stratum i]]), 0))</f>
        <v>2222.8442528571427</v>
      </c>
      <c r="AR102" t="str">
        <f>IF(AND(INDEX(Table31[[#All],[Soil type (t=0)]], MATCH(Table14[[#This Row],[stratum i]], Table31[[#All],[Stratum i]]))="Peat soil", Table14[[#This Row],[year t]]&lt;=Table14[[#This Row],[End_PDT]]), "Peat soil", "Non-peat soil")</f>
        <v>Non-peat soil</v>
      </c>
      <c r="AS102">
        <f>IF(Emission_reduction_from_stock_loss?, INDEX(Table2[[#All],[End_PDT]], MATCH(Table14[[#This Row],[stratum i]], Table2[[#All],[stratum i]])), crediting_period)</f>
        <v>40</v>
      </c>
      <c r="AT102">
        <f>IF(Emission_reduction_from_stock_loss?, INDEX(Table2[[#All],[End_SDT]], MATCH(Table14[[#This Row],[stratum i]], Table2[[#All],[stratum i]])), crediting_period)</f>
        <v>40</v>
      </c>
      <c r="AU102" cm="1">
        <f t="array" ref="AU10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2" t="e" cm="1">
        <f t="array" ref="AV102">INDEX(#REF!, MATCH(1, (Table14[[#This Row],[year t]]=Table32[[#All],[year t]])*(Table14[[#This Row],[stratum i]]=Table32[[#All],[stratum i]]), 0))</f>
        <v>#REF!</v>
      </c>
      <c r="AW10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2" s="57">
        <f>(Table14[[#This Row],[GHGBSL-soil-CO2,i,t (Eq 27)]]-Table14[[#This Row],[Deductionalloch (Eq 38)]])*Table14[[#This Row],[Ai,t]]</f>
        <v>0</v>
      </c>
      <c r="AY102" cm="1">
        <f t="array" ref="AY102">IF(baseline_soil_CH4 = "Included", INDEX(Table18[[#All],[GHGBSL-soil-CH4,i,t (Eq 59)]], MATCH(1, (Table14[[#This Row],[year t]]=Table18[[#All],[year t]])*(Table14[[#This Row],[stratum i]]=Table18[[#All],[stratum i]]), 0)), 0)</f>
        <v>0</v>
      </c>
      <c r="AZ102" cm="1">
        <f t="array" ref="AZ102">IF(baseline_soil_N2O = "Included", INDEX(Table18[[#All],[GHGBSL-soil-N2O,i,t (Eq 62)]], MATCH(1, (Table14[[#This Row],[year t]]=Table18[[#All],[year t]])*(Table14[[#This Row],[stratum i]]=Table18[[#All],[stratum i]]), 0)), 0)</f>
        <v>0</v>
      </c>
      <c r="BA102">
        <f>IF(AND(Table14[[#This Row],[year t]]&gt;Table14[[#This Row],[End_PDT]],Table14[[#This Row],[year t]]&gt;Table14[[#This Row],[End_SDT]]), 0, Table14[[#This Row],[Ai,t]]*(Table14[[#This Row],[GHGBSL-soil-CO2,i,t (Eq 27)]]-Table14[[#This Row],[Deductionalloch (Eq 38)]]+Table14[[#This Row],[GHGBSL-soil-CH4,i,t]]+Table14[[#This Row],[GHGBSL-soil-N2O,i,t]]))</f>
        <v>0</v>
      </c>
      <c r="BB102" t="e" cm="1">
        <f t="array" ref="BB102">INDEX(#REF!, MATCH(1, (Table14[[#This Row],[year t]]=Table32[[#All],[year t]])*(Table14[[#This Row],[stratum i]]=Table32[[#All],[stratum i]]), 0))</f>
        <v>#REF!</v>
      </c>
      <c r="BC102" t="e" cm="1">
        <f t="array" ref="BC102">INDEX(#REF!, MATCH(1, (Table14[[#This Row],[year t]]=Table32[[#All],[year t]])*(Table14[[#This Row],[stratum i]]=Table32[[#All],[stratum i]]), 0))</f>
        <v>#REF!</v>
      </c>
      <c r="BD102" t="e" cm="1">
        <f t="array" ref="BD102">INDEX(#REF!, MATCH(1, (Table14[[#This Row],[year t]]=Table32[[#All],[year t]])*(Table14[[#This Row],[stratum i]]=Table32[[#All],[stratum i]]), 0))</f>
        <v>#REF!</v>
      </c>
      <c r="BE102" t="e" cm="1">
        <f t="array" ref="BE102">INDEX(#REF!, MATCH(1, (Table14[[#This Row],[year t]]=Table32[[#All],[year t]])*(Table14[[#This Row],[stratum i]]=Table32[[#All],[stratum i]]), 0))</f>
        <v>#REF!</v>
      </c>
      <c r="BF102" s="30"/>
      <c r="BM102" s="18">
        <v>2042</v>
      </c>
      <c r="BN102">
        <v>3</v>
      </c>
      <c r="BO102" t="e" cm="1">
        <f t="array" ref="BO102">INDEX(#REF!, MATCH(1, (Table132926[[#This Row],[year t]]=Table32[year t])*(Table132926[[#This Row],[stratum i]]=Table32[[#All],[stratum i]]), 0))</f>
        <v>#REF!</v>
      </c>
      <c r="BP102" t="e">
        <f>-44/12*Table132926[[#This Row],[∆CBSL-soil,i,t (tC/ha)]]</f>
        <v>#REF!</v>
      </c>
    </row>
    <row r="103" spans="10:68" x14ac:dyDescent="0.2">
      <c r="J103" s="18">
        <v>2043</v>
      </c>
      <c r="K103">
        <v>3</v>
      </c>
      <c r="L103" cm="1">
        <f t="array" ref="L103">INDEX(Table32[[#All],[ΔCTREE_BSL,i,t (AR Tool 14) t C/yr]], MATCH(1, (Table12[[#This Row],[year t]]=Table32[[#All],[year t]])*(Table12[[#This Row],[stratum i]]=Table32[[#All],[stratum i]]), 0))</f>
        <v>0</v>
      </c>
      <c r="M103" cm="1">
        <f t="array" ref="M103">IF(baseline_abground_nontree = "Included", INDEX(#REF!, MATCH(1, (Table12[[#This Row],[year t]]=Table32[[#All],[year t]])*(Table12[[#This Row],[stratum i]]=Table32[[#All],[stratum i]]), 0)), 0)</f>
        <v>0</v>
      </c>
      <c r="N103">
        <f>12/44*(Table12[[#This Row],[ΔCTREE_BSL,i,t (AR Tool 14) t CO2e/yr]]+Table12[[#This Row],[ΔCSHRUB_BSL,i,t (AR Tool 14) t CO2e/yr]])</f>
        <v>0</v>
      </c>
      <c r="O103" cm="1">
        <f t="array" ref="O103">IF(baseline_abground_nontree = "Included", IFERROR(INDEX(Table13[[#All],[ΔCBSL-herb,i,t (Eq 25)]], MATCH(1, (Table12[[#This Row],[stratum i]]=Table13[[#All],[stratum i]])*(Table12[[#This Row],[year t]]&gt;=#REF!)*(Table12[[#This Row],[year t]]&lt;=Table13[[#All],[year t]]), 0)), 0), 0)</f>
        <v>0</v>
      </c>
      <c r="P103">
        <f>Table12[[#This Row],[ΔCBSL-tree/shrub,i,t (t C/yr) (Eq 24)]]+Table12[[#This Row],[ΔCBSL-herb,i,t (t C/yr)]]-Table12[[#This Row],[ΔCBSL-agbiomass,i,t; t C yr-1 (submergence)]]</f>
        <v>0</v>
      </c>
      <c r="Q103" cm="1">
        <f t="array" ref="Q103">IFERROR(INDEX(Table14[[#All],[GHGBSL-soil,i,t (Eq 26)]], MATCH(1, (Table12[[#This Row],[year t]]=Table14[[#All],[year t]])*(Table12[[#This Row],[stratum i]]=Table14[[#All],[stratum i]]), 0)), 0)</f>
        <v>0</v>
      </c>
      <c r="R103">
        <f>IF(baseline_ff_CO2 = "Included", Table12[[#This Row],[ET(FC,I,t) AR-Tool 5]], 0)</f>
        <v>0</v>
      </c>
      <c r="S103" t="e" cm="1">
        <f t="array" ref="S103">INDEX(#REF!, MATCH(1, (Table12[[#This Row],[year t]]=Table32[[#All],[year t]])*(Table12[[#This Row],[stratum i]]=Table32[[#All],[stratum i]]), 0))</f>
        <v>#REF!</v>
      </c>
      <c r="T103" cm="1">
        <f t="array" ref="T103">IFERROR(INDEX(Table30[[#All],[ΔCBSL-agbiomass,i,t (equation 22) t C yr-1]], MATCH(1, (Table12[[#This Row],[stratum i]]=Table30[[#All],[Stratum i]])*(Table12[[#This Row],[year t]]&lt;Table30[[#All],[Year of reporting]]), 0)), 0)</f>
        <v>0</v>
      </c>
      <c r="AG103" s="18">
        <v>2043</v>
      </c>
      <c r="AH103">
        <v>3</v>
      </c>
      <c r="AI103" s="49" t="e" cm="1">
        <f t="array" ref="AI103">INDEX(#REF!, MATCH(1, (Table13[[#This Row],[year t]]=Table32[[#All],[year t]])*(Table13[[#This Row],[stratum i]]=Table32[[#All],[stratum i]]), 0))</f>
        <v>#REF!</v>
      </c>
      <c r="AJ103" s="49" t="e">
        <f>Table13[[#This Row],[ΔCBSL-herb,i,t (tC/ha)]]</f>
        <v>#REF!</v>
      </c>
      <c r="AO103" s="18">
        <v>2043</v>
      </c>
      <c r="AP103">
        <v>3</v>
      </c>
      <c r="AQ103" s="18" cm="1">
        <f t="array" ref="AQ103">INDEX(Table32[[#All],[Ai,t]], MATCH(1, (Table14[[#This Row],[year t]]=Table32[[#All],[year t]])*(Table14[[#This Row],[stratum i]]=Table32[[#All],[stratum i]]), 0))</f>
        <v>2222.8442528571427</v>
      </c>
      <c r="AR103" t="str">
        <f>IF(AND(INDEX(Table31[[#All],[Soil type (t=0)]], MATCH(Table14[[#This Row],[stratum i]], Table31[[#All],[Stratum i]]))="Peat soil", Table14[[#This Row],[year t]]&lt;=Table14[[#This Row],[End_PDT]]), "Peat soil", "Non-peat soil")</f>
        <v>Non-peat soil</v>
      </c>
      <c r="AS103">
        <f>IF(Emission_reduction_from_stock_loss?, INDEX(Table2[[#All],[End_PDT]], MATCH(Table14[[#This Row],[stratum i]], Table2[[#All],[stratum i]])), crediting_period)</f>
        <v>40</v>
      </c>
      <c r="AT103">
        <f>IF(Emission_reduction_from_stock_loss?, INDEX(Table2[[#All],[End_SDT]], MATCH(Table14[[#This Row],[stratum i]], Table2[[#All],[stratum i]])), crediting_period)</f>
        <v>40</v>
      </c>
      <c r="AU103" cm="1">
        <f t="array" ref="AU10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3" t="e" cm="1">
        <f t="array" ref="AV103">INDEX(#REF!, MATCH(1, (Table14[[#This Row],[year t]]=Table32[[#All],[year t]])*(Table14[[#This Row],[stratum i]]=Table32[[#All],[stratum i]]), 0))</f>
        <v>#REF!</v>
      </c>
      <c r="AW10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3" s="57">
        <f>(Table14[[#This Row],[GHGBSL-soil-CO2,i,t (Eq 27)]]-Table14[[#This Row],[Deductionalloch (Eq 38)]])*Table14[[#This Row],[Ai,t]]</f>
        <v>0</v>
      </c>
      <c r="AY103" cm="1">
        <f t="array" ref="AY103">IF(baseline_soil_CH4 = "Included", INDEX(Table18[[#All],[GHGBSL-soil-CH4,i,t (Eq 59)]], MATCH(1, (Table14[[#This Row],[year t]]=Table18[[#All],[year t]])*(Table14[[#This Row],[stratum i]]=Table18[[#All],[stratum i]]), 0)), 0)</f>
        <v>0</v>
      </c>
      <c r="AZ103" cm="1">
        <f t="array" ref="AZ103">IF(baseline_soil_N2O = "Included", INDEX(Table18[[#All],[GHGBSL-soil-N2O,i,t (Eq 62)]], MATCH(1, (Table14[[#This Row],[year t]]=Table18[[#All],[year t]])*(Table14[[#This Row],[stratum i]]=Table18[[#All],[stratum i]]), 0)), 0)</f>
        <v>0</v>
      </c>
      <c r="BA103">
        <f>IF(AND(Table14[[#This Row],[year t]]&gt;Table14[[#This Row],[End_PDT]],Table14[[#This Row],[year t]]&gt;Table14[[#This Row],[End_SDT]]), 0, Table14[[#This Row],[Ai,t]]*(Table14[[#This Row],[GHGBSL-soil-CO2,i,t (Eq 27)]]-Table14[[#This Row],[Deductionalloch (Eq 38)]]+Table14[[#This Row],[GHGBSL-soil-CH4,i,t]]+Table14[[#This Row],[GHGBSL-soil-N2O,i,t]]))</f>
        <v>0</v>
      </c>
      <c r="BB103" t="e" cm="1">
        <f t="array" ref="BB103">INDEX(#REF!, MATCH(1, (Table14[[#This Row],[year t]]=Table32[[#All],[year t]])*(Table14[[#This Row],[stratum i]]=Table32[[#All],[stratum i]]), 0))</f>
        <v>#REF!</v>
      </c>
      <c r="BC103" t="e" cm="1">
        <f t="array" ref="BC103">INDEX(#REF!, MATCH(1, (Table14[[#This Row],[year t]]=Table32[[#All],[year t]])*(Table14[[#This Row],[stratum i]]=Table32[[#All],[stratum i]]), 0))</f>
        <v>#REF!</v>
      </c>
      <c r="BD103" t="e" cm="1">
        <f t="array" ref="BD103">INDEX(#REF!, MATCH(1, (Table14[[#This Row],[year t]]=Table32[[#All],[year t]])*(Table14[[#This Row],[stratum i]]=Table32[[#All],[stratum i]]), 0))</f>
        <v>#REF!</v>
      </c>
      <c r="BE103" t="e" cm="1">
        <f t="array" ref="BE103">INDEX(#REF!, MATCH(1, (Table14[[#This Row],[year t]]=Table32[[#All],[year t]])*(Table14[[#This Row],[stratum i]]=Table32[[#All],[stratum i]]), 0))</f>
        <v>#REF!</v>
      </c>
      <c r="BF103" s="30"/>
      <c r="BM103" s="18">
        <v>2043</v>
      </c>
      <c r="BN103">
        <v>3</v>
      </c>
      <c r="BO103" t="e" cm="1">
        <f t="array" ref="BO103">INDEX(#REF!, MATCH(1, (Table132926[[#This Row],[year t]]=Table32[year t])*(Table132926[[#This Row],[stratum i]]=Table32[[#All],[stratum i]]), 0))</f>
        <v>#REF!</v>
      </c>
      <c r="BP103" t="e">
        <f>-44/12*Table132926[[#This Row],[∆CBSL-soil,i,t (tC/ha)]]</f>
        <v>#REF!</v>
      </c>
    </row>
    <row r="104" spans="10:68" x14ac:dyDescent="0.2">
      <c r="J104" s="18">
        <v>2044</v>
      </c>
      <c r="K104">
        <v>3</v>
      </c>
      <c r="L104" cm="1">
        <f t="array" ref="L104">INDEX(Table32[[#All],[ΔCTREE_BSL,i,t (AR Tool 14) t C/yr]], MATCH(1, (Table12[[#This Row],[year t]]=Table32[[#All],[year t]])*(Table12[[#This Row],[stratum i]]=Table32[[#All],[stratum i]]), 0))</f>
        <v>0</v>
      </c>
      <c r="M104" cm="1">
        <f t="array" ref="M104">IF(baseline_abground_nontree = "Included", INDEX(#REF!, MATCH(1, (Table12[[#This Row],[year t]]=Table32[[#All],[year t]])*(Table12[[#This Row],[stratum i]]=Table32[[#All],[stratum i]]), 0)), 0)</f>
        <v>0</v>
      </c>
      <c r="N104">
        <f>12/44*(Table12[[#This Row],[ΔCTREE_BSL,i,t (AR Tool 14) t CO2e/yr]]+Table12[[#This Row],[ΔCSHRUB_BSL,i,t (AR Tool 14) t CO2e/yr]])</f>
        <v>0</v>
      </c>
      <c r="O104" cm="1">
        <f t="array" ref="O104">IF(baseline_abground_nontree = "Included", IFERROR(INDEX(Table13[[#All],[ΔCBSL-herb,i,t (Eq 25)]], MATCH(1, (Table12[[#This Row],[stratum i]]=Table13[[#All],[stratum i]])*(Table12[[#This Row],[year t]]&gt;=#REF!)*(Table12[[#This Row],[year t]]&lt;=Table13[[#All],[year t]]), 0)), 0), 0)</f>
        <v>0</v>
      </c>
      <c r="P104">
        <f>Table12[[#This Row],[ΔCBSL-tree/shrub,i,t (t C/yr) (Eq 24)]]+Table12[[#This Row],[ΔCBSL-herb,i,t (t C/yr)]]-Table12[[#This Row],[ΔCBSL-agbiomass,i,t; t C yr-1 (submergence)]]</f>
        <v>0</v>
      </c>
      <c r="Q104" cm="1">
        <f t="array" ref="Q104">IFERROR(INDEX(Table14[[#All],[GHGBSL-soil,i,t (Eq 26)]], MATCH(1, (Table12[[#This Row],[year t]]=Table14[[#All],[year t]])*(Table12[[#This Row],[stratum i]]=Table14[[#All],[stratum i]]), 0)), 0)</f>
        <v>0</v>
      </c>
      <c r="R104">
        <f>IF(baseline_ff_CO2 = "Included", Table12[[#This Row],[ET(FC,I,t) AR-Tool 5]], 0)</f>
        <v>0</v>
      </c>
      <c r="S104" t="e" cm="1">
        <f t="array" ref="S104">INDEX(#REF!, MATCH(1, (Table12[[#This Row],[year t]]=Table32[[#All],[year t]])*(Table12[[#This Row],[stratum i]]=Table32[[#All],[stratum i]]), 0))</f>
        <v>#REF!</v>
      </c>
      <c r="T104" cm="1">
        <f t="array" ref="T104">IFERROR(INDEX(Table30[[#All],[ΔCBSL-agbiomass,i,t (equation 22) t C yr-1]], MATCH(1, (Table12[[#This Row],[stratum i]]=Table30[[#All],[Stratum i]])*(Table12[[#This Row],[year t]]&lt;Table30[[#All],[Year of reporting]]), 0)), 0)</f>
        <v>0</v>
      </c>
      <c r="AG104" s="18">
        <v>2044</v>
      </c>
      <c r="AH104">
        <v>3</v>
      </c>
      <c r="AI104" s="49" t="e" cm="1">
        <f t="array" ref="AI104">INDEX(#REF!, MATCH(1, (Table13[[#This Row],[year t]]=Table32[[#All],[year t]])*(Table13[[#This Row],[stratum i]]=Table32[[#All],[stratum i]]), 0))</f>
        <v>#REF!</v>
      </c>
      <c r="AJ104" s="49" t="e">
        <f>Table13[[#This Row],[ΔCBSL-herb,i,t (tC/ha)]]</f>
        <v>#REF!</v>
      </c>
      <c r="AO104" s="18">
        <v>2044</v>
      </c>
      <c r="AP104">
        <v>3</v>
      </c>
      <c r="AQ104" s="18" cm="1">
        <f t="array" ref="AQ104">INDEX(Table32[[#All],[Ai,t]], MATCH(1, (Table14[[#This Row],[year t]]=Table32[[#All],[year t]])*(Table14[[#This Row],[stratum i]]=Table32[[#All],[stratum i]]), 0))</f>
        <v>2222.8442528571427</v>
      </c>
      <c r="AR104" t="str">
        <f>IF(AND(INDEX(Table31[[#All],[Soil type (t=0)]], MATCH(Table14[[#This Row],[stratum i]], Table31[[#All],[Stratum i]]))="Peat soil", Table14[[#This Row],[year t]]&lt;=Table14[[#This Row],[End_PDT]]), "Peat soil", "Non-peat soil")</f>
        <v>Non-peat soil</v>
      </c>
      <c r="AS104">
        <f>IF(Emission_reduction_from_stock_loss?, INDEX(Table2[[#All],[End_PDT]], MATCH(Table14[[#This Row],[stratum i]], Table2[[#All],[stratum i]])), crediting_period)</f>
        <v>40</v>
      </c>
      <c r="AT104">
        <f>IF(Emission_reduction_from_stock_loss?, INDEX(Table2[[#All],[End_SDT]], MATCH(Table14[[#This Row],[stratum i]], Table2[[#All],[stratum i]])), crediting_period)</f>
        <v>40</v>
      </c>
      <c r="AU104" cm="1">
        <f t="array" ref="AU10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4" t="e" cm="1">
        <f t="array" ref="AV104">INDEX(#REF!, MATCH(1, (Table14[[#This Row],[year t]]=Table32[[#All],[year t]])*(Table14[[#This Row],[stratum i]]=Table32[[#All],[stratum i]]), 0))</f>
        <v>#REF!</v>
      </c>
      <c r="AW10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4" s="57">
        <f>(Table14[[#This Row],[GHGBSL-soil-CO2,i,t (Eq 27)]]-Table14[[#This Row],[Deductionalloch (Eq 38)]])*Table14[[#This Row],[Ai,t]]</f>
        <v>0</v>
      </c>
      <c r="AY104" cm="1">
        <f t="array" ref="AY104">IF(baseline_soil_CH4 = "Included", INDEX(Table18[[#All],[GHGBSL-soil-CH4,i,t (Eq 59)]], MATCH(1, (Table14[[#This Row],[year t]]=Table18[[#All],[year t]])*(Table14[[#This Row],[stratum i]]=Table18[[#All],[stratum i]]), 0)), 0)</f>
        <v>0</v>
      </c>
      <c r="AZ104" cm="1">
        <f t="array" ref="AZ104">IF(baseline_soil_N2O = "Included", INDEX(Table18[[#All],[GHGBSL-soil-N2O,i,t (Eq 62)]], MATCH(1, (Table14[[#This Row],[year t]]=Table18[[#All],[year t]])*(Table14[[#This Row],[stratum i]]=Table18[[#All],[stratum i]]), 0)), 0)</f>
        <v>0</v>
      </c>
      <c r="BA104">
        <f>IF(AND(Table14[[#This Row],[year t]]&gt;Table14[[#This Row],[End_PDT]],Table14[[#This Row],[year t]]&gt;Table14[[#This Row],[End_SDT]]), 0, Table14[[#This Row],[Ai,t]]*(Table14[[#This Row],[GHGBSL-soil-CO2,i,t (Eq 27)]]-Table14[[#This Row],[Deductionalloch (Eq 38)]]+Table14[[#This Row],[GHGBSL-soil-CH4,i,t]]+Table14[[#This Row],[GHGBSL-soil-N2O,i,t]]))</f>
        <v>0</v>
      </c>
      <c r="BB104" t="e" cm="1">
        <f t="array" ref="BB104">INDEX(#REF!, MATCH(1, (Table14[[#This Row],[year t]]=Table32[[#All],[year t]])*(Table14[[#This Row],[stratum i]]=Table32[[#All],[stratum i]]), 0))</f>
        <v>#REF!</v>
      </c>
      <c r="BC104" t="e" cm="1">
        <f t="array" ref="BC104">INDEX(#REF!, MATCH(1, (Table14[[#This Row],[year t]]=Table32[[#All],[year t]])*(Table14[[#This Row],[stratum i]]=Table32[[#All],[stratum i]]), 0))</f>
        <v>#REF!</v>
      </c>
      <c r="BD104" t="e" cm="1">
        <f t="array" ref="BD104">INDEX(#REF!, MATCH(1, (Table14[[#This Row],[year t]]=Table32[[#All],[year t]])*(Table14[[#This Row],[stratum i]]=Table32[[#All],[stratum i]]), 0))</f>
        <v>#REF!</v>
      </c>
      <c r="BE104" t="e" cm="1">
        <f t="array" ref="BE104">INDEX(#REF!, MATCH(1, (Table14[[#This Row],[year t]]=Table32[[#All],[year t]])*(Table14[[#This Row],[stratum i]]=Table32[[#All],[stratum i]]), 0))</f>
        <v>#REF!</v>
      </c>
      <c r="BF104" s="30"/>
      <c r="BM104" s="18">
        <v>2044</v>
      </c>
      <c r="BN104">
        <v>3</v>
      </c>
      <c r="BO104" t="e" cm="1">
        <f t="array" ref="BO104">INDEX(#REF!, MATCH(1, (Table132926[[#This Row],[year t]]=Table32[year t])*(Table132926[[#This Row],[stratum i]]=Table32[[#All],[stratum i]]), 0))</f>
        <v>#REF!</v>
      </c>
      <c r="BP104" t="e">
        <f>-44/12*Table132926[[#This Row],[∆CBSL-soil,i,t (tC/ha)]]</f>
        <v>#REF!</v>
      </c>
    </row>
    <row r="105" spans="10:68" x14ac:dyDescent="0.2">
      <c r="J105" s="18">
        <v>2045</v>
      </c>
      <c r="K105">
        <v>3</v>
      </c>
      <c r="L105" cm="1">
        <f t="array" ref="L105">INDEX(Table32[[#All],[ΔCTREE_BSL,i,t (AR Tool 14) t C/yr]], MATCH(1, (Table12[[#This Row],[year t]]=Table32[[#All],[year t]])*(Table12[[#This Row],[stratum i]]=Table32[[#All],[stratum i]]), 0))</f>
        <v>0</v>
      </c>
      <c r="M105" cm="1">
        <f t="array" ref="M105">IF(baseline_abground_nontree = "Included", INDEX(#REF!, MATCH(1, (Table12[[#This Row],[year t]]=Table32[[#All],[year t]])*(Table12[[#This Row],[stratum i]]=Table32[[#All],[stratum i]]), 0)), 0)</f>
        <v>0</v>
      </c>
      <c r="N105">
        <f>12/44*(Table12[[#This Row],[ΔCTREE_BSL,i,t (AR Tool 14) t CO2e/yr]]+Table12[[#This Row],[ΔCSHRUB_BSL,i,t (AR Tool 14) t CO2e/yr]])</f>
        <v>0</v>
      </c>
      <c r="O105" cm="1">
        <f t="array" ref="O105">IF(baseline_abground_nontree = "Included", IFERROR(INDEX(Table13[[#All],[ΔCBSL-herb,i,t (Eq 25)]], MATCH(1, (Table12[[#This Row],[stratum i]]=Table13[[#All],[stratum i]])*(Table12[[#This Row],[year t]]&gt;=#REF!)*(Table12[[#This Row],[year t]]&lt;=Table13[[#All],[year t]]), 0)), 0), 0)</f>
        <v>0</v>
      </c>
      <c r="P105">
        <f>Table12[[#This Row],[ΔCBSL-tree/shrub,i,t (t C/yr) (Eq 24)]]+Table12[[#This Row],[ΔCBSL-herb,i,t (t C/yr)]]-Table12[[#This Row],[ΔCBSL-agbiomass,i,t; t C yr-1 (submergence)]]</f>
        <v>0</v>
      </c>
      <c r="Q105" cm="1">
        <f t="array" ref="Q105">IFERROR(INDEX(Table14[[#All],[GHGBSL-soil,i,t (Eq 26)]], MATCH(1, (Table12[[#This Row],[year t]]=Table14[[#All],[year t]])*(Table12[[#This Row],[stratum i]]=Table14[[#All],[stratum i]]), 0)), 0)</f>
        <v>0</v>
      </c>
      <c r="R105">
        <f>IF(baseline_ff_CO2 = "Included", Table12[[#This Row],[ET(FC,I,t) AR-Tool 5]], 0)</f>
        <v>0</v>
      </c>
      <c r="S105" t="e" cm="1">
        <f t="array" ref="S105">INDEX(#REF!, MATCH(1, (Table12[[#This Row],[year t]]=Table32[[#All],[year t]])*(Table12[[#This Row],[stratum i]]=Table32[[#All],[stratum i]]), 0))</f>
        <v>#REF!</v>
      </c>
      <c r="T105" cm="1">
        <f t="array" ref="T105">IFERROR(INDEX(Table30[[#All],[ΔCBSL-agbiomass,i,t (equation 22) t C yr-1]], MATCH(1, (Table12[[#This Row],[stratum i]]=Table30[[#All],[Stratum i]])*(Table12[[#This Row],[year t]]&lt;Table30[[#All],[Year of reporting]]), 0)), 0)</f>
        <v>0</v>
      </c>
      <c r="AG105" s="18">
        <v>2045</v>
      </c>
      <c r="AH105">
        <v>3</v>
      </c>
      <c r="AI105" s="49" t="e" cm="1">
        <f t="array" ref="AI105">INDEX(#REF!, MATCH(1, (Table13[[#This Row],[year t]]=Table32[[#All],[year t]])*(Table13[[#This Row],[stratum i]]=Table32[[#All],[stratum i]]), 0))</f>
        <v>#REF!</v>
      </c>
      <c r="AJ105" s="49" t="e">
        <f>Table13[[#This Row],[ΔCBSL-herb,i,t (tC/ha)]]</f>
        <v>#REF!</v>
      </c>
      <c r="AO105" s="18">
        <v>2045</v>
      </c>
      <c r="AP105">
        <v>3</v>
      </c>
      <c r="AQ105" s="18" cm="1">
        <f t="array" ref="AQ105">INDEX(Table32[[#All],[Ai,t]], MATCH(1, (Table14[[#This Row],[year t]]=Table32[[#All],[year t]])*(Table14[[#This Row],[stratum i]]=Table32[[#All],[stratum i]]), 0))</f>
        <v>2222.8442528571427</v>
      </c>
      <c r="AR105" t="str">
        <f>IF(AND(INDEX(Table31[[#All],[Soil type (t=0)]], MATCH(Table14[[#This Row],[stratum i]], Table31[[#All],[Stratum i]]))="Peat soil", Table14[[#This Row],[year t]]&lt;=Table14[[#This Row],[End_PDT]]), "Peat soil", "Non-peat soil")</f>
        <v>Non-peat soil</v>
      </c>
      <c r="AS105">
        <f>IF(Emission_reduction_from_stock_loss?, INDEX(Table2[[#All],[End_PDT]], MATCH(Table14[[#This Row],[stratum i]], Table2[[#All],[stratum i]])), crediting_period)</f>
        <v>40</v>
      </c>
      <c r="AT105">
        <f>IF(Emission_reduction_from_stock_loss?, INDEX(Table2[[#All],[End_SDT]], MATCH(Table14[[#This Row],[stratum i]], Table2[[#All],[stratum i]])), crediting_period)</f>
        <v>40</v>
      </c>
      <c r="AU105" cm="1">
        <f t="array" ref="AU10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5" t="e" cm="1">
        <f t="array" ref="AV105">INDEX(#REF!, MATCH(1, (Table14[[#This Row],[year t]]=Table32[[#All],[year t]])*(Table14[[#This Row],[stratum i]]=Table32[[#All],[stratum i]]), 0))</f>
        <v>#REF!</v>
      </c>
      <c r="AW10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5" s="57">
        <f>(Table14[[#This Row],[GHGBSL-soil-CO2,i,t (Eq 27)]]-Table14[[#This Row],[Deductionalloch (Eq 38)]])*Table14[[#This Row],[Ai,t]]</f>
        <v>0</v>
      </c>
      <c r="AY105" cm="1">
        <f t="array" ref="AY105">IF(baseline_soil_CH4 = "Included", INDEX(Table18[[#All],[GHGBSL-soil-CH4,i,t (Eq 59)]], MATCH(1, (Table14[[#This Row],[year t]]=Table18[[#All],[year t]])*(Table14[[#This Row],[stratum i]]=Table18[[#All],[stratum i]]), 0)), 0)</f>
        <v>0</v>
      </c>
      <c r="AZ105" cm="1">
        <f t="array" ref="AZ105">IF(baseline_soil_N2O = "Included", INDEX(Table18[[#All],[GHGBSL-soil-N2O,i,t (Eq 62)]], MATCH(1, (Table14[[#This Row],[year t]]=Table18[[#All],[year t]])*(Table14[[#This Row],[stratum i]]=Table18[[#All],[stratum i]]), 0)), 0)</f>
        <v>0</v>
      </c>
      <c r="BA105">
        <f>IF(AND(Table14[[#This Row],[year t]]&gt;Table14[[#This Row],[End_PDT]],Table14[[#This Row],[year t]]&gt;Table14[[#This Row],[End_SDT]]), 0, Table14[[#This Row],[Ai,t]]*(Table14[[#This Row],[GHGBSL-soil-CO2,i,t (Eq 27)]]-Table14[[#This Row],[Deductionalloch (Eq 38)]]+Table14[[#This Row],[GHGBSL-soil-CH4,i,t]]+Table14[[#This Row],[GHGBSL-soil-N2O,i,t]]))</f>
        <v>0</v>
      </c>
      <c r="BB105" t="e" cm="1">
        <f t="array" ref="BB105">INDEX(#REF!, MATCH(1, (Table14[[#This Row],[year t]]=Table32[[#All],[year t]])*(Table14[[#This Row],[stratum i]]=Table32[[#All],[stratum i]]), 0))</f>
        <v>#REF!</v>
      </c>
      <c r="BC105" t="e" cm="1">
        <f t="array" ref="BC105">INDEX(#REF!, MATCH(1, (Table14[[#This Row],[year t]]=Table32[[#All],[year t]])*(Table14[[#This Row],[stratum i]]=Table32[[#All],[stratum i]]), 0))</f>
        <v>#REF!</v>
      </c>
      <c r="BD105" t="e" cm="1">
        <f t="array" ref="BD105">INDEX(#REF!, MATCH(1, (Table14[[#This Row],[year t]]=Table32[[#All],[year t]])*(Table14[[#This Row],[stratum i]]=Table32[[#All],[stratum i]]), 0))</f>
        <v>#REF!</v>
      </c>
      <c r="BE105" t="e" cm="1">
        <f t="array" ref="BE105">INDEX(#REF!, MATCH(1, (Table14[[#This Row],[year t]]=Table32[[#All],[year t]])*(Table14[[#This Row],[stratum i]]=Table32[[#All],[stratum i]]), 0))</f>
        <v>#REF!</v>
      </c>
      <c r="BF105" s="30"/>
      <c r="BM105" s="18">
        <v>2045</v>
      </c>
      <c r="BN105">
        <v>3</v>
      </c>
      <c r="BO105" t="e" cm="1">
        <f t="array" ref="BO105">INDEX(#REF!, MATCH(1, (Table132926[[#This Row],[year t]]=Table32[year t])*(Table132926[[#This Row],[stratum i]]=Table32[[#All],[stratum i]]), 0))</f>
        <v>#REF!</v>
      </c>
      <c r="BP105" t="e">
        <f>-44/12*Table132926[[#This Row],[∆CBSL-soil,i,t (tC/ha)]]</f>
        <v>#REF!</v>
      </c>
    </row>
    <row r="106" spans="10:68" x14ac:dyDescent="0.2">
      <c r="J106" s="18">
        <v>2046</v>
      </c>
      <c r="K106">
        <v>3</v>
      </c>
      <c r="L106" cm="1">
        <f t="array" ref="L106">INDEX(Table32[[#All],[ΔCTREE_BSL,i,t (AR Tool 14) t C/yr]], MATCH(1, (Table12[[#This Row],[year t]]=Table32[[#All],[year t]])*(Table12[[#This Row],[stratum i]]=Table32[[#All],[stratum i]]), 0))</f>
        <v>0</v>
      </c>
      <c r="M106" cm="1">
        <f t="array" ref="M106">IF(baseline_abground_nontree = "Included", INDEX(#REF!, MATCH(1, (Table12[[#This Row],[year t]]=Table32[[#All],[year t]])*(Table12[[#This Row],[stratum i]]=Table32[[#All],[stratum i]]), 0)), 0)</f>
        <v>0</v>
      </c>
      <c r="N106">
        <f>12/44*(Table12[[#This Row],[ΔCTREE_BSL,i,t (AR Tool 14) t CO2e/yr]]+Table12[[#This Row],[ΔCSHRUB_BSL,i,t (AR Tool 14) t CO2e/yr]])</f>
        <v>0</v>
      </c>
      <c r="O106" cm="1">
        <f t="array" ref="O106">IF(baseline_abground_nontree = "Included", IFERROR(INDEX(Table13[[#All],[ΔCBSL-herb,i,t (Eq 25)]], MATCH(1, (Table12[[#This Row],[stratum i]]=Table13[[#All],[stratum i]])*(Table12[[#This Row],[year t]]&gt;=#REF!)*(Table12[[#This Row],[year t]]&lt;=Table13[[#All],[year t]]), 0)), 0), 0)</f>
        <v>0</v>
      </c>
      <c r="P106">
        <f>Table12[[#This Row],[ΔCBSL-tree/shrub,i,t (t C/yr) (Eq 24)]]+Table12[[#This Row],[ΔCBSL-herb,i,t (t C/yr)]]-Table12[[#This Row],[ΔCBSL-agbiomass,i,t; t C yr-1 (submergence)]]</f>
        <v>0</v>
      </c>
      <c r="Q106" cm="1">
        <f t="array" ref="Q106">IFERROR(INDEX(Table14[[#All],[GHGBSL-soil,i,t (Eq 26)]], MATCH(1, (Table12[[#This Row],[year t]]=Table14[[#All],[year t]])*(Table12[[#This Row],[stratum i]]=Table14[[#All],[stratum i]]), 0)), 0)</f>
        <v>0</v>
      </c>
      <c r="R106">
        <f>IF(baseline_ff_CO2 = "Included", Table12[[#This Row],[ET(FC,I,t) AR-Tool 5]], 0)</f>
        <v>0</v>
      </c>
      <c r="S106" t="e" cm="1">
        <f t="array" ref="S106">INDEX(#REF!, MATCH(1, (Table12[[#This Row],[year t]]=Table32[[#All],[year t]])*(Table12[[#This Row],[stratum i]]=Table32[[#All],[stratum i]]), 0))</f>
        <v>#REF!</v>
      </c>
      <c r="T106" cm="1">
        <f t="array" ref="T106">IFERROR(INDEX(Table30[[#All],[ΔCBSL-agbiomass,i,t (equation 22) t C yr-1]], MATCH(1, (Table12[[#This Row],[stratum i]]=Table30[[#All],[Stratum i]])*(Table12[[#This Row],[year t]]&lt;Table30[[#All],[Year of reporting]]), 0)), 0)</f>
        <v>0</v>
      </c>
      <c r="AG106" s="18">
        <v>2046</v>
      </c>
      <c r="AH106">
        <v>3</v>
      </c>
      <c r="AI106" s="49" t="e" cm="1">
        <f t="array" ref="AI106">INDEX(#REF!, MATCH(1, (Table13[[#This Row],[year t]]=Table32[[#All],[year t]])*(Table13[[#This Row],[stratum i]]=Table32[[#All],[stratum i]]), 0))</f>
        <v>#REF!</v>
      </c>
      <c r="AJ106" s="49" t="e">
        <f>Table13[[#This Row],[ΔCBSL-herb,i,t (tC/ha)]]</f>
        <v>#REF!</v>
      </c>
      <c r="AO106" s="18">
        <v>2046</v>
      </c>
      <c r="AP106">
        <v>3</v>
      </c>
      <c r="AQ106" s="18" cm="1">
        <f t="array" ref="AQ106">INDEX(Table32[[#All],[Ai,t]], MATCH(1, (Table14[[#This Row],[year t]]=Table32[[#All],[year t]])*(Table14[[#This Row],[stratum i]]=Table32[[#All],[stratum i]]), 0))</f>
        <v>2222.8442528571427</v>
      </c>
      <c r="AR106" t="str">
        <f>IF(AND(INDEX(Table31[[#All],[Soil type (t=0)]], MATCH(Table14[[#This Row],[stratum i]], Table31[[#All],[Stratum i]]))="Peat soil", Table14[[#This Row],[year t]]&lt;=Table14[[#This Row],[End_PDT]]), "Peat soil", "Non-peat soil")</f>
        <v>Non-peat soil</v>
      </c>
      <c r="AS106">
        <f>IF(Emission_reduction_from_stock_loss?, INDEX(Table2[[#All],[End_PDT]], MATCH(Table14[[#This Row],[stratum i]], Table2[[#All],[stratum i]])), crediting_period)</f>
        <v>40</v>
      </c>
      <c r="AT106">
        <f>IF(Emission_reduction_from_stock_loss?, INDEX(Table2[[#All],[End_SDT]], MATCH(Table14[[#This Row],[stratum i]], Table2[[#All],[stratum i]])), crediting_period)</f>
        <v>40</v>
      </c>
      <c r="AU106" cm="1">
        <f t="array" ref="AU10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6" t="e" cm="1">
        <f t="array" ref="AV106">INDEX(#REF!, MATCH(1, (Table14[[#This Row],[year t]]=Table32[[#All],[year t]])*(Table14[[#This Row],[stratum i]]=Table32[[#All],[stratum i]]), 0))</f>
        <v>#REF!</v>
      </c>
      <c r="AW10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6" s="57">
        <f>(Table14[[#This Row],[GHGBSL-soil-CO2,i,t (Eq 27)]]-Table14[[#This Row],[Deductionalloch (Eq 38)]])*Table14[[#This Row],[Ai,t]]</f>
        <v>0</v>
      </c>
      <c r="AY106" cm="1">
        <f t="array" ref="AY106">IF(baseline_soil_CH4 = "Included", INDEX(Table18[[#All],[GHGBSL-soil-CH4,i,t (Eq 59)]], MATCH(1, (Table14[[#This Row],[year t]]=Table18[[#All],[year t]])*(Table14[[#This Row],[stratum i]]=Table18[[#All],[stratum i]]), 0)), 0)</f>
        <v>0</v>
      </c>
      <c r="AZ106" cm="1">
        <f t="array" ref="AZ106">IF(baseline_soil_N2O = "Included", INDEX(Table18[[#All],[GHGBSL-soil-N2O,i,t (Eq 62)]], MATCH(1, (Table14[[#This Row],[year t]]=Table18[[#All],[year t]])*(Table14[[#This Row],[stratum i]]=Table18[[#All],[stratum i]]), 0)), 0)</f>
        <v>0</v>
      </c>
      <c r="BA106">
        <f>IF(AND(Table14[[#This Row],[year t]]&gt;Table14[[#This Row],[End_PDT]],Table14[[#This Row],[year t]]&gt;Table14[[#This Row],[End_SDT]]), 0, Table14[[#This Row],[Ai,t]]*(Table14[[#This Row],[GHGBSL-soil-CO2,i,t (Eq 27)]]-Table14[[#This Row],[Deductionalloch (Eq 38)]]+Table14[[#This Row],[GHGBSL-soil-CH4,i,t]]+Table14[[#This Row],[GHGBSL-soil-N2O,i,t]]))</f>
        <v>0</v>
      </c>
      <c r="BB106" t="e" cm="1">
        <f t="array" ref="BB106">INDEX(#REF!, MATCH(1, (Table14[[#This Row],[year t]]=Table32[[#All],[year t]])*(Table14[[#This Row],[stratum i]]=Table32[[#All],[stratum i]]), 0))</f>
        <v>#REF!</v>
      </c>
      <c r="BC106" t="e" cm="1">
        <f t="array" ref="BC106">INDEX(#REF!, MATCH(1, (Table14[[#This Row],[year t]]=Table32[[#All],[year t]])*(Table14[[#This Row],[stratum i]]=Table32[[#All],[stratum i]]), 0))</f>
        <v>#REF!</v>
      </c>
      <c r="BD106" t="e" cm="1">
        <f t="array" ref="BD106">INDEX(#REF!, MATCH(1, (Table14[[#This Row],[year t]]=Table32[[#All],[year t]])*(Table14[[#This Row],[stratum i]]=Table32[[#All],[stratum i]]), 0))</f>
        <v>#REF!</v>
      </c>
      <c r="BE106" t="e" cm="1">
        <f t="array" ref="BE106">INDEX(#REF!, MATCH(1, (Table14[[#This Row],[year t]]=Table32[[#All],[year t]])*(Table14[[#This Row],[stratum i]]=Table32[[#All],[stratum i]]), 0))</f>
        <v>#REF!</v>
      </c>
      <c r="BF106" s="30"/>
      <c r="BM106" s="18">
        <v>2046</v>
      </c>
      <c r="BN106">
        <v>3</v>
      </c>
      <c r="BO106" t="e" cm="1">
        <f t="array" ref="BO106">INDEX(#REF!, MATCH(1, (Table132926[[#This Row],[year t]]=Table32[year t])*(Table132926[[#This Row],[stratum i]]=Table32[[#All],[stratum i]]), 0))</f>
        <v>#REF!</v>
      </c>
      <c r="BP106" t="e">
        <f>-44/12*Table132926[[#This Row],[∆CBSL-soil,i,t (tC/ha)]]</f>
        <v>#REF!</v>
      </c>
    </row>
    <row r="107" spans="10:68" x14ac:dyDescent="0.2">
      <c r="J107" s="18">
        <v>2047</v>
      </c>
      <c r="K107">
        <v>3</v>
      </c>
      <c r="L107" cm="1">
        <f t="array" ref="L107">INDEX(Table32[[#All],[ΔCTREE_BSL,i,t (AR Tool 14) t C/yr]], MATCH(1, (Table12[[#This Row],[year t]]=Table32[[#All],[year t]])*(Table12[[#This Row],[stratum i]]=Table32[[#All],[stratum i]]), 0))</f>
        <v>0</v>
      </c>
      <c r="M107" cm="1">
        <f t="array" ref="M107">IF(baseline_abground_nontree = "Included", INDEX(#REF!, MATCH(1, (Table12[[#This Row],[year t]]=Table32[[#All],[year t]])*(Table12[[#This Row],[stratum i]]=Table32[[#All],[stratum i]]), 0)), 0)</f>
        <v>0</v>
      </c>
      <c r="N107">
        <f>12/44*(Table12[[#This Row],[ΔCTREE_BSL,i,t (AR Tool 14) t CO2e/yr]]+Table12[[#This Row],[ΔCSHRUB_BSL,i,t (AR Tool 14) t CO2e/yr]])</f>
        <v>0</v>
      </c>
      <c r="O107" cm="1">
        <f t="array" ref="O107">IF(baseline_abground_nontree = "Included", IFERROR(INDEX(Table13[[#All],[ΔCBSL-herb,i,t (Eq 25)]], MATCH(1, (Table12[[#This Row],[stratum i]]=Table13[[#All],[stratum i]])*(Table12[[#This Row],[year t]]&gt;=#REF!)*(Table12[[#This Row],[year t]]&lt;=Table13[[#All],[year t]]), 0)), 0), 0)</f>
        <v>0</v>
      </c>
      <c r="P107">
        <f>Table12[[#This Row],[ΔCBSL-tree/shrub,i,t (t C/yr) (Eq 24)]]+Table12[[#This Row],[ΔCBSL-herb,i,t (t C/yr)]]-Table12[[#This Row],[ΔCBSL-agbiomass,i,t; t C yr-1 (submergence)]]</f>
        <v>0</v>
      </c>
      <c r="Q107" cm="1">
        <f t="array" ref="Q107">IFERROR(INDEX(Table14[[#All],[GHGBSL-soil,i,t (Eq 26)]], MATCH(1, (Table12[[#This Row],[year t]]=Table14[[#All],[year t]])*(Table12[[#This Row],[stratum i]]=Table14[[#All],[stratum i]]), 0)), 0)</f>
        <v>0</v>
      </c>
      <c r="R107">
        <f>IF(baseline_ff_CO2 = "Included", Table12[[#This Row],[ET(FC,I,t) AR-Tool 5]], 0)</f>
        <v>0</v>
      </c>
      <c r="S107" t="e" cm="1">
        <f t="array" ref="S107">INDEX(#REF!, MATCH(1, (Table12[[#This Row],[year t]]=Table32[[#All],[year t]])*(Table12[[#This Row],[stratum i]]=Table32[[#All],[stratum i]]), 0))</f>
        <v>#REF!</v>
      </c>
      <c r="T107" cm="1">
        <f t="array" ref="T107">IFERROR(INDEX(Table30[[#All],[ΔCBSL-agbiomass,i,t (equation 22) t C yr-1]], MATCH(1, (Table12[[#This Row],[stratum i]]=Table30[[#All],[Stratum i]])*(Table12[[#This Row],[year t]]&lt;Table30[[#All],[Year of reporting]]), 0)), 0)</f>
        <v>0</v>
      </c>
      <c r="AG107" s="18">
        <v>2047</v>
      </c>
      <c r="AH107">
        <v>3</v>
      </c>
      <c r="AI107" s="49" t="e" cm="1">
        <f t="array" ref="AI107">INDEX(#REF!, MATCH(1, (Table13[[#This Row],[year t]]=Table32[[#All],[year t]])*(Table13[[#This Row],[stratum i]]=Table32[[#All],[stratum i]]), 0))</f>
        <v>#REF!</v>
      </c>
      <c r="AJ107" s="49" t="e">
        <f>Table13[[#This Row],[ΔCBSL-herb,i,t (tC/ha)]]</f>
        <v>#REF!</v>
      </c>
      <c r="AO107" s="18">
        <v>2047</v>
      </c>
      <c r="AP107">
        <v>3</v>
      </c>
      <c r="AQ107" s="18" cm="1">
        <f t="array" ref="AQ107">INDEX(Table32[[#All],[Ai,t]], MATCH(1, (Table14[[#This Row],[year t]]=Table32[[#All],[year t]])*(Table14[[#This Row],[stratum i]]=Table32[[#All],[stratum i]]), 0))</f>
        <v>2222.8442528571427</v>
      </c>
      <c r="AR107" t="str">
        <f>IF(AND(INDEX(Table31[[#All],[Soil type (t=0)]], MATCH(Table14[[#This Row],[stratum i]], Table31[[#All],[Stratum i]]))="Peat soil", Table14[[#This Row],[year t]]&lt;=Table14[[#This Row],[End_PDT]]), "Peat soil", "Non-peat soil")</f>
        <v>Non-peat soil</v>
      </c>
      <c r="AS107">
        <f>IF(Emission_reduction_from_stock_loss?, INDEX(Table2[[#All],[End_PDT]], MATCH(Table14[[#This Row],[stratum i]], Table2[[#All],[stratum i]])), crediting_period)</f>
        <v>40</v>
      </c>
      <c r="AT107">
        <f>IF(Emission_reduction_from_stock_loss?, INDEX(Table2[[#All],[End_SDT]], MATCH(Table14[[#This Row],[stratum i]], Table2[[#All],[stratum i]])), crediting_period)</f>
        <v>40</v>
      </c>
      <c r="AU107" cm="1">
        <f t="array" ref="AU10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7" t="e" cm="1">
        <f t="array" ref="AV107">INDEX(#REF!, MATCH(1, (Table14[[#This Row],[year t]]=Table32[[#All],[year t]])*(Table14[[#This Row],[stratum i]]=Table32[[#All],[stratum i]]), 0))</f>
        <v>#REF!</v>
      </c>
      <c r="AW10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7" s="57">
        <f>(Table14[[#This Row],[GHGBSL-soil-CO2,i,t (Eq 27)]]-Table14[[#This Row],[Deductionalloch (Eq 38)]])*Table14[[#This Row],[Ai,t]]</f>
        <v>0</v>
      </c>
      <c r="AY107" cm="1">
        <f t="array" ref="AY107">IF(baseline_soil_CH4 = "Included", INDEX(Table18[[#All],[GHGBSL-soil-CH4,i,t (Eq 59)]], MATCH(1, (Table14[[#This Row],[year t]]=Table18[[#All],[year t]])*(Table14[[#This Row],[stratum i]]=Table18[[#All],[stratum i]]), 0)), 0)</f>
        <v>0</v>
      </c>
      <c r="AZ107" cm="1">
        <f t="array" ref="AZ107">IF(baseline_soil_N2O = "Included", INDEX(Table18[[#All],[GHGBSL-soil-N2O,i,t (Eq 62)]], MATCH(1, (Table14[[#This Row],[year t]]=Table18[[#All],[year t]])*(Table14[[#This Row],[stratum i]]=Table18[[#All],[stratum i]]), 0)), 0)</f>
        <v>0</v>
      </c>
      <c r="BA107">
        <f>IF(AND(Table14[[#This Row],[year t]]&gt;Table14[[#This Row],[End_PDT]],Table14[[#This Row],[year t]]&gt;Table14[[#This Row],[End_SDT]]), 0, Table14[[#This Row],[Ai,t]]*(Table14[[#This Row],[GHGBSL-soil-CO2,i,t (Eq 27)]]-Table14[[#This Row],[Deductionalloch (Eq 38)]]+Table14[[#This Row],[GHGBSL-soil-CH4,i,t]]+Table14[[#This Row],[GHGBSL-soil-N2O,i,t]]))</f>
        <v>0</v>
      </c>
      <c r="BB107" t="e" cm="1">
        <f t="array" ref="BB107">INDEX(#REF!, MATCH(1, (Table14[[#This Row],[year t]]=Table32[[#All],[year t]])*(Table14[[#This Row],[stratum i]]=Table32[[#All],[stratum i]]), 0))</f>
        <v>#REF!</v>
      </c>
      <c r="BC107" t="e" cm="1">
        <f t="array" ref="BC107">INDEX(#REF!, MATCH(1, (Table14[[#This Row],[year t]]=Table32[[#All],[year t]])*(Table14[[#This Row],[stratum i]]=Table32[[#All],[stratum i]]), 0))</f>
        <v>#REF!</v>
      </c>
      <c r="BD107" t="e" cm="1">
        <f t="array" ref="BD107">INDEX(#REF!, MATCH(1, (Table14[[#This Row],[year t]]=Table32[[#All],[year t]])*(Table14[[#This Row],[stratum i]]=Table32[[#All],[stratum i]]), 0))</f>
        <v>#REF!</v>
      </c>
      <c r="BE107" t="e" cm="1">
        <f t="array" ref="BE107">INDEX(#REF!, MATCH(1, (Table14[[#This Row],[year t]]=Table32[[#All],[year t]])*(Table14[[#This Row],[stratum i]]=Table32[[#All],[stratum i]]), 0))</f>
        <v>#REF!</v>
      </c>
      <c r="BF107" s="30"/>
      <c r="BM107" s="18">
        <v>2047</v>
      </c>
      <c r="BN107">
        <v>3</v>
      </c>
      <c r="BO107" t="e" cm="1">
        <f t="array" ref="BO107">INDEX(#REF!, MATCH(1, (Table132926[[#This Row],[year t]]=Table32[year t])*(Table132926[[#This Row],[stratum i]]=Table32[[#All],[stratum i]]), 0))</f>
        <v>#REF!</v>
      </c>
      <c r="BP107" t="e">
        <f>-44/12*Table132926[[#This Row],[∆CBSL-soil,i,t (tC/ha)]]</f>
        <v>#REF!</v>
      </c>
    </row>
    <row r="108" spans="10:68" x14ac:dyDescent="0.2">
      <c r="J108" s="18">
        <v>2048</v>
      </c>
      <c r="K108">
        <v>3</v>
      </c>
      <c r="L108" cm="1">
        <f t="array" ref="L108">INDEX(Table32[[#All],[ΔCTREE_BSL,i,t (AR Tool 14) t C/yr]], MATCH(1, (Table12[[#This Row],[year t]]=Table32[[#All],[year t]])*(Table12[[#This Row],[stratum i]]=Table32[[#All],[stratum i]]), 0))</f>
        <v>0</v>
      </c>
      <c r="M108" cm="1">
        <f t="array" ref="M108">IF(baseline_abground_nontree = "Included", INDEX(#REF!, MATCH(1, (Table12[[#This Row],[year t]]=Table32[[#All],[year t]])*(Table12[[#This Row],[stratum i]]=Table32[[#All],[stratum i]]), 0)), 0)</f>
        <v>0</v>
      </c>
      <c r="N108">
        <f>12/44*(Table12[[#This Row],[ΔCTREE_BSL,i,t (AR Tool 14) t CO2e/yr]]+Table12[[#This Row],[ΔCSHRUB_BSL,i,t (AR Tool 14) t CO2e/yr]])</f>
        <v>0</v>
      </c>
      <c r="O108" cm="1">
        <f t="array" ref="O108">IF(baseline_abground_nontree = "Included", IFERROR(INDEX(Table13[[#All],[ΔCBSL-herb,i,t (Eq 25)]], MATCH(1, (Table12[[#This Row],[stratum i]]=Table13[[#All],[stratum i]])*(Table12[[#This Row],[year t]]&gt;=#REF!)*(Table12[[#This Row],[year t]]&lt;=Table13[[#All],[year t]]), 0)), 0), 0)</f>
        <v>0</v>
      </c>
      <c r="P108">
        <f>Table12[[#This Row],[ΔCBSL-tree/shrub,i,t (t C/yr) (Eq 24)]]+Table12[[#This Row],[ΔCBSL-herb,i,t (t C/yr)]]-Table12[[#This Row],[ΔCBSL-agbiomass,i,t; t C yr-1 (submergence)]]</f>
        <v>0</v>
      </c>
      <c r="Q108" cm="1">
        <f t="array" ref="Q108">IFERROR(INDEX(Table14[[#All],[GHGBSL-soil,i,t (Eq 26)]], MATCH(1, (Table12[[#This Row],[year t]]=Table14[[#All],[year t]])*(Table12[[#This Row],[stratum i]]=Table14[[#All],[stratum i]]), 0)), 0)</f>
        <v>0</v>
      </c>
      <c r="R108">
        <f>IF(baseline_ff_CO2 = "Included", Table12[[#This Row],[ET(FC,I,t) AR-Tool 5]], 0)</f>
        <v>0</v>
      </c>
      <c r="S108" t="e" cm="1">
        <f t="array" ref="S108">INDEX(#REF!, MATCH(1, (Table12[[#This Row],[year t]]=Table32[[#All],[year t]])*(Table12[[#This Row],[stratum i]]=Table32[[#All],[stratum i]]), 0))</f>
        <v>#REF!</v>
      </c>
      <c r="T108" cm="1">
        <f t="array" ref="T108">IFERROR(INDEX(Table30[[#All],[ΔCBSL-agbiomass,i,t (equation 22) t C yr-1]], MATCH(1, (Table12[[#This Row],[stratum i]]=Table30[[#All],[Stratum i]])*(Table12[[#This Row],[year t]]&lt;Table30[[#All],[Year of reporting]]), 0)), 0)</f>
        <v>0</v>
      </c>
      <c r="AG108" s="18">
        <v>2048</v>
      </c>
      <c r="AH108">
        <v>3</v>
      </c>
      <c r="AI108" s="49" t="e" cm="1">
        <f t="array" ref="AI108">INDEX(#REF!, MATCH(1, (Table13[[#This Row],[year t]]=Table32[[#All],[year t]])*(Table13[[#This Row],[stratum i]]=Table32[[#All],[stratum i]]), 0))</f>
        <v>#REF!</v>
      </c>
      <c r="AJ108" s="49" t="e">
        <f>Table13[[#This Row],[ΔCBSL-herb,i,t (tC/ha)]]</f>
        <v>#REF!</v>
      </c>
      <c r="AO108" s="18">
        <v>2048</v>
      </c>
      <c r="AP108">
        <v>3</v>
      </c>
      <c r="AQ108" s="18" cm="1">
        <f t="array" ref="AQ108">INDEX(Table32[[#All],[Ai,t]], MATCH(1, (Table14[[#This Row],[year t]]=Table32[[#All],[year t]])*(Table14[[#This Row],[stratum i]]=Table32[[#All],[stratum i]]), 0))</f>
        <v>2222.8442528571427</v>
      </c>
      <c r="AR108" t="str">
        <f>IF(AND(INDEX(Table31[[#All],[Soil type (t=0)]], MATCH(Table14[[#This Row],[stratum i]], Table31[[#All],[Stratum i]]))="Peat soil", Table14[[#This Row],[year t]]&lt;=Table14[[#This Row],[End_PDT]]), "Peat soil", "Non-peat soil")</f>
        <v>Non-peat soil</v>
      </c>
      <c r="AS108">
        <f>IF(Emission_reduction_from_stock_loss?, INDEX(Table2[[#All],[End_PDT]], MATCH(Table14[[#This Row],[stratum i]], Table2[[#All],[stratum i]])), crediting_period)</f>
        <v>40</v>
      </c>
      <c r="AT108">
        <f>IF(Emission_reduction_from_stock_loss?, INDEX(Table2[[#All],[End_SDT]], MATCH(Table14[[#This Row],[stratum i]], Table2[[#All],[stratum i]])), crediting_period)</f>
        <v>40</v>
      </c>
      <c r="AU108" cm="1">
        <f t="array" ref="AU10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8" t="e" cm="1">
        <f t="array" ref="AV108">INDEX(#REF!, MATCH(1, (Table14[[#This Row],[year t]]=Table32[[#All],[year t]])*(Table14[[#This Row],[stratum i]]=Table32[[#All],[stratum i]]), 0))</f>
        <v>#REF!</v>
      </c>
      <c r="AW10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8" s="57">
        <f>(Table14[[#This Row],[GHGBSL-soil-CO2,i,t (Eq 27)]]-Table14[[#This Row],[Deductionalloch (Eq 38)]])*Table14[[#This Row],[Ai,t]]</f>
        <v>0</v>
      </c>
      <c r="AY108" cm="1">
        <f t="array" ref="AY108">IF(baseline_soil_CH4 = "Included", INDEX(Table18[[#All],[GHGBSL-soil-CH4,i,t (Eq 59)]], MATCH(1, (Table14[[#This Row],[year t]]=Table18[[#All],[year t]])*(Table14[[#This Row],[stratum i]]=Table18[[#All],[stratum i]]), 0)), 0)</f>
        <v>0</v>
      </c>
      <c r="AZ108" cm="1">
        <f t="array" ref="AZ108">IF(baseline_soil_N2O = "Included", INDEX(Table18[[#All],[GHGBSL-soil-N2O,i,t (Eq 62)]], MATCH(1, (Table14[[#This Row],[year t]]=Table18[[#All],[year t]])*(Table14[[#This Row],[stratum i]]=Table18[[#All],[stratum i]]), 0)), 0)</f>
        <v>0</v>
      </c>
      <c r="BA108">
        <f>IF(AND(Table14[[#This Row],[year t]]&gt;Table14[[#This Row],[End_PDT]],Table14[[#This Row],[year t]]&gt;Table14[[#This Row],[End_SDT]]), 0, Table14[[#This Row],[Ai,t]]*(Table14[[#This Row],[GHGBSL-soil-CO2,i,t (Eq 27)]]-Table14[[#This Row],[Deductionalloch (Eq 38)]]+Table14[[#This Row],[GHGBSL-soil-CH4,i,t]]+Table14[[#This Row],[GHGBSL-soil-N2O,i,t]]))</f>
        <v>0</v>
      </c>
      <c r="BB108" t="e" cm="1">
        <f t="array" ref="BB108">INDEX(#REF!, MATCH(1, (Table14[[#This Row],[year t]]=Table32[[#All],[year t]])*(Table14[[#This Row],[stratum i]]=Table32[[#All],[stratum i]]), 0))</f>
        <v>#REF!</v>
      </c>
      <c r="BC108" t="e" cm="1">
        <f t="array" ref="BC108">INDEX(#REF!, MATCH(1, (Table14[[#This Row],[year t]]=Table32[[#All],[year t]])*(Table14[[#This Row],[stratum i]]=Table32[[#All],[stratum i]]), 0))</f>
        <v>#REF!</v>
      </c>
      <c r="BD108" t="e" cm="1">
        <f t="array" ref="BD108">INDEX(#REF!, MATCH(1, (Table14[[#This Row],[year t]]=Table32[[#All],[year t]])*(Table14[[#This Row],[stratum i]]=Table32[[#All],[stratum i]]), 0))</f>
        <v>#REF!</v>
      </c>
      <c r="BE108" t="e" cm="1">
        <f t="array" ref="BE108">INDEX(#REF!, MATCH(1, (Table14[[#This Row],[year t]]=Table32[[#All],[year t]])*(Table14[[#This Row],[stratum i]]=Table32[[#All],[stratum i]]), 0))</f>
        <v>#REF!</v>
      </c>
      <c r="BF108" s="30"/>
      <c r="BM108" s="18">
        <v>2048</v>
      </c>
      <c r="BN108">
        <v>3</v>
      </c>
      <c r="BO108" t="e" cm="1">
        <f t="array" ref="BO108">INDEX(#REF!, MATCH(1, (Table132926[[#This Row],[year t]]=Table32[year t])*(Table132926[[#This Row],[stratum i]]=Table32[[#All],[stratum i]]), 0))</f>
        <v>#REF!</v>
      </c>
      <c r="BP108" t="e">
        <f>-44/12*Table132926[[#This Row],[∆CBSL-soil,i,t (tC/ha)]]</f>
        <v>#REF!</v>
      </c>
    </row>
    <row r="109" spans="10:68" x14ac:dyDescent="0.2">
      <c r="J109" s="18">
        <v>2049</v>
      </c>
      <c r="K109">
        <v>3</v>
      </c>
      <c r="L109" cm="1">
        <f t="array" ref="L109">INDEX(Table32[[#All],[ΔCTREE_BSL,i,t (AR Tool 14) t C/yr]], MATCH(1, (Table12[[#This Row],[year t]]=Table32[[#All],[year t]])*(Table12[[#This Row],[stratum i]]=Table32[[#All],[stratum i]]), 0))</f>
        <v>0</v>
      </c>
      <c r="M109" cm="1">
        <f t="array" ref="M109">IF(baseline_abground_nontree = "Included", INDEX(#REF!, MATCH(1, (Table12[[#This Row],[year t]]=Table32[[#All],[year t]])*(Table12[[#This Row],[stratum i]]=Table32[[#All],[stratum i]]), 0)), 0)</f>
        <v>0</v>
      </c>
      <c r="N109">
        <f>12/44*(Table12[[#This Row],[ΔCTREE_BSL,i,t (AR Tool 14) t CO2e/yr]]+Table12[[#This Row],[ΔCSHRUB_BSL,i,t (AR Tool 14) t CO2e/yr]])</f>
        <v>0</v>
      </c>
      <c r="O109" cm="1">
        <f t="array" ref="O109">IF(baseline_abground_nontree = "Included", IFERROR(INDEX(Table13[[#All],[ΔCBSL-herb,i,t (Eq 25)]], MATCH(1, (Table12[[#This Row],[stratum i]]=Table13[[#All],[stratum i]])*(Table12[[#This Row],[year t]]&gt;=#REF!)*(Table12[[#This Row],[year t]]&lt;=Table13[[#All],[year t]]), 0)), 0), 0)</f>
        <v>0</v>
      </c>
      <c r="P109">
        <f>Table12[[#This Row],[ΔCBSL-tree/shrub,i,t (t C/yr) (Eq 24)]]+Table12[[#This Row],[ΔCBSL-herb,i,t (t C/yr)]]-Table12[[#This Row],[ΔCBSL-agbiomass,i,t; t C yr-1 (submergence)]]</f>
        <v>0</v>
      </c>
      <c r="Q109" cm="1">
        <f t="array" ref="Q109">IFERROR(INDEX(Table14[[#All],[GHGBSL-soil,i,t (Eq 26)]], MATCH(1, (Table12[[#This Row],[year t]]=Table14[[#All],[year t]])*(Table12[[#This Row],[stratum i]]=Table14[[#All],[stratum i]]), 0)), 0)</f>
        <v>0</v>
      </c>
      <c r="R109">
        <f>IF(baseline_ff_CO2 = "Included", Table12[[#This Row],[ET(FC,I,t) AR-Tool 5]], 0)</f>
        <v>0</v>
      </c>
      <c r="S109" t="e" cm="1">
        <f t="array" ref="S109">INDEX(#REF!, MATCH(1, (Table12[[#This Row],[year t]]=Table32[[#All],[year t]])*(Table12[[#This Row],[stratum i]]=Table32[[#All],[stratum i]]), 0))</f>
        <v>#REF!</v>
      </c>
      <c r="T109" cm="1">
        <f t="array" ref="T109">IFERROR(INDEX(Table30[[#All],[ΔCBSL-agbiomass,i,t (equation 22) t C yr-1]], MATCH(1, (Table12[[#This Row],[stratum i]]=Table30[[#All],[Stratum i]])*(Table12[[#This Row],[year t]]&lt;Table30[[#All],[Year of reporting]]), 0)), 0)</f>
        <v>0</v>
      </c>
      <c r="AG109" s="18">
        <v>2049</v>
      </c>
      <c r="AH109">
        <v>3</v>
      </c>
      <c r="AI109" s="49" t="e" cm="1">
        <f t="array" ref="AI109">INDEX(#REF!, MATCH(1, (Table13[[#This Row],[year t]]=Table32[[#All],[year t]])*(Table13[[#This Row],[stratum i]]=Table32[[#All],[stratum i]]), 0))</f>
        <v>#REF!</v>
      </c>
      <c r="AJ109" s="49" t="e">
        <f>Table13[[#This Row],[ΔCBSL-herb,i,t (tC/ha)]]</f>
        <v>#REF!</v>
      </c>
      <c r="AO109" s="18">
        <v>2049</v>
      </c>
      <c r="AP109">
        <v>3</v>
      </c>
      <c r="AQ109" s="18" cm="1">
        <f t="array" ref="AQ109">INDEX(Table32[[#All],[Ai,t]], MATCH(1, (Table14[[#This Row],[year t]]=Table32[[#All],[year t]])*(Table14[[#This Row],[stratum i]]=Table32[[#All],[stratum i]]), 0))</f>
        <v>2222.8442528571427</v>
      </c>
      <c r="AR109" t="str">
        <f>IF(AND(INDEX(Table31[[#All],[Soil type (t=0)]], MATCH(Table14[[#This Row],[stratum i]], Table31[[#All],[Stratum i]]))="Peat soil", Table14[[#This Row],[year t]]&lt;=Table14[[#This Row],[End_PDT]]), "Peat soil", "Non-peat soil")</f>
        <v>Non-peat soil</v>
      </c>
      <c r="AS109">
        <f>IF(Emission_reduction_from_stock_loss?, INDEX(Table2[[#All],[End_PDT]], MATCH(Table14[[#This Row],[stratum i]], Table2[[#All],[stratum i]])), crediting_period)</f>
        <v>40</v>
      </c>
      <c r="AT109">
        <f>IF(Emission_reduction_from_stock_loss?, INDEX(Table2[[#All],[End_SDT]], MATCH(Table14[[#This Row],[stratum i]], Table2[[#All],[stratum i]])), crediting_period)</f>
        <v>40</v>
      </c>
      <c r="AU109" cm="1">
        <f t="array" ref="AU10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09" t="e" cm="1">
        <f t="array" ref="AV109">INDEX(#REF!, MATCH(1, (Table14[[#This Row],[year t]]=Table32[[#All],[year t]])*(Table14[[#This Row],[stratum i]]=Table32[[#All],[stratum i]]), 0))</f>
        <v>#REF!</v>
      </c>
      <c r="AW10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09" s="57">
        <f>(Table14[[#This Row],[GHGBSL-soil-CO2,i,t (Eq 27)]]-Table14[[#This Row],[Deductionalloch (Eq 38)]])*Table14[[#This Row],[Ai,t]]</f>
        <v>0</v>
      </c>
      <c r="AY109" cm="1">
        <f t="array" ref="AY109">IF(baseline_soil_CH4 = "Included", INDEX(Table18[[#All],[GHGBSL-soil-CH4,i,t (Eq 59)]], MATCH(1, (Table14[[#This Row],[year t]]=Table18[[#All],[year t]])*(Table14[[#This Row],[stratum i]]=Table18[[#All],[stratum i]]), 0)), 0)</f>
        <v>0</v>
      </c>
      <c r="AZ109" cm="1">
        <f t="array" ref="AZ109">IF(baseline_soil_N2O = "Included", INDEX(Table18[[#All],[GHGBSL-soil-N2O,i,t (Eq 62)]], MATCH(1, (Table14[[#This Row],[year t]]=Table18[[#All],[year t]])*(Table14[[#This Row],[stratum i]]=Table18[[#All],[stratum i]]), 0)), 0)</f>
        <v>0</v>
      </c>
      <c r="BA109">
        <f>IF(AND(Table14[[#This Row],[year t]]&gt;Table14[[#This Row],[End_PDT]],Table14[[#This Row],[year t]]&gt;Table14[[#This Row],[End_SDT]]), 0, Table14[[#This Row],[Ai,t]]*(Table14[[#This Row],[GHGBSL-soil-CO2,i,t (Eq 27)]]-Table14[[#This Row],[Deductionalloch (Eq 38)]]+Table14[[#This Row],[GHGBSL-soil-CH4,i,t]]+Table14[[#This Row],[GHGBSL-soil-N2O,i,t]]))</f>
        <v>0</v>
      </c>
      <c r="BB109" t="e" cm="1">
        <f t="array" ref="BB109">INDEX(#REF!, MATCH(1, (Table14[[#This Row],[year t]]=Table32[[#All],[year t]])*(Table14[[#This Row],[stratum i]]=Table32[[#All],[stratum i]]), 0))</f>
        <v>#REF!</v>
      </c>
      <c r="BC109" t="e" cm="1">
        <f t="array" ref="BC109">INDEX(#REF!, MATCH(1, (Table14[[#This Row],[year t]]=Table32[[#All],[year t]])*(Table14[[#This Row],[stratum i]]=Table32[[#All],[stratum i]]), 0))</f>
        <v>#REF!</v>
      </c>
      <c r="BD109" t="e" cm="1">
        <f t="array" ref="BD109">INDEX(#REF!, MATCH(1, (Table14[[#This Row],[year t]]=Table32[[#All],[year t]])*(Table14[[#This Row],[stratum i]]=Table32[[#All],[stratum i]]), 0))</f>
        <v>#REF!</v>
      </c>
      <c r="BE109" t="e" cm="1">
        <f t="array" ref="BE109">INDEX(#REF!, MATCH(1, (Table14[[#This Row],[year t]]=Table32[[#All],[year t]])*(Table14[[#This Row],[stratum i]]=Table32[[#All],[stratum i]]), 0))</f>
        <v>#REF!</v>
      </c>
      <c r="BF109" s="30"/>
      <c r="BM109" s="18">
        <v>2049</v>
      </c>
      <c r="BN109">
        <v>3</v>
      </c>
      <c r="BO109" t="e" cm="1">
        <f t="array" ref="BO109">INDEX(#REF!, MATCH(1, (Table132926[[#This Row],[year t]]=Table32[year t])*(Table132926[[#This Row],[stratum i]]=Table32[[#All],[stratum i]]), 0))</f>
        <v>#REF!</v>
      </c>
      <c r="BP109" t="e">
        <f>-44/12*Table132926[[#This Row],[∆CBSL-soil,i,t (tC/ha)]]</f>
        <v>#REF!</v>
      </c>
    </row>
    <row r="110" spans="10:68" x14ac:dyDescent="0.2">
      <c r="J110" s="18">
        <v>2050</v>
      </c>
      <c r="K110">
        <v>3</v>
      </c>
      <c r="L110" cm="1">
        <f t="array" ref="L110">INDEX(Table32[[#All],[ΔCTREE_BSL,i,t (AR Tool 14) t C/yr]], MATCH(1, (Table12[[#This Row],[year t]]=Table32[[#All],[year t]])*(Table12[[#This Row],[stratum i]]=Table32[[#All],[stratum i]]), 0))</f>
        <v>0</v>
      </c>
      <c r="M110" cm="1">
        <f t="array" ref="M110">IF(baseline_abground_nontree = "Included", INDEX(#REF!, MATCH(1, (Table12[[#This Row],[year t]]=Table32[[#All],[year t]])*(Table12[[#This Row],[stratum i]]=Table32[[#All],[stratum i]]), 0)), 0)</f>
        <v>0</v>
      </c>
      <c r="N110">
        <f>12/44*(Table12[[#This Row],[ΔCTREE_BSL,i,t (AR Tool 14) t CO2e/yr]]+Table12[[#This Row],[ΔCSHRUB_BSL,i,t (AR Tool 14) t CO2e/yr]])</f>
        <v>0</v>
      </c>
      <c r="O110" cm="1">
        <f t="array" ref="O110">IF(baseline_abground_nontree = "Included", IFERROR(INDEX(Table13[[#All],[ΔCBSL-herb,i,t (Eq 25)]], MATCH(1, (Table12[[#This Row],[stratum i]]=Table13[[#All],[stratum i]])*(Table12[[#This Row],[year t]]&gt;=#REF!)*(Table12[[#This Row],[year t]]&lt;=Table13[[#All],[year t]]), 0)), 0), 0)</f>
        <v>0</v>
      </c>
      <c r="P110">
        <f>Table12[[#This Row],[ΔCBSL-tree/shrub,i,t (t C/yr) (Eq 24)]]+Table12[[#This Row],[ΔCBSL-herb,i,t (t C/yr)]]-Table12[[#This Row],[ΔCBSL-agbiomass,i,t; t C yr-1 (submergence)]]</f>
        <v>0</v>
      </c>
      <c r="Q110" cm="1">
        <f t="array" ref="Q110">IFERROR(INDEX(Table14[[#All],[GHGBSL-soil,i,t (Eq 26)]], MATCH(1, (Table12[[#This Row],[year t]]=Table14[[#All],[year t]])*(Table12[[#This Row],[stratum i]]=Table14[[#All],[stratum i]]), 0)), 0)</f>
        <v>0</v>
      </c>
      <c r="R110">
        <f>IF(baseline_ff_CO2 = "Included", Table12[[#This Row],[ET(FC,I,t) AR-Tool 5]], 0)</f>
        <v>0</v>
      </c>
      <c r="S110" t="e" cm="1">
        <f t="array" ref="S110">INDEX(#REF!, MATCH(1, (Table12[[#This Row],[year t]]=Table32[[#All],[year t]])*(Table12[[#This Row],[stratum i]]=Table32[[#All],[stratum i]]), 0))</f>
        <v>#REF!</v>
      </c>
      <c r="T110" cm="1">
        <f t="array" ref="T110">IFERROR(INDEX(Table30[[#All],[ΔCBSL-agbiomass,i,t (equation 22) t C yr-1]], MATCH(1, (Table12[[#This Row],[stratum i]]=Table30[[#All],[Stratum i]])*(Table12[[#This Row],[year t]]&lt;Table30[[#All],[Year of reporting]]), 0)), 0)</f>
        <v>0</v>
      </c>
      <c r="AG110" s="18">
        <v>2050</v>
      </c>
      <c r="AH110">
        <v>3</v>
      </c>
      <c r="AI110" s="49" t="e" cm="1">
        <f t="array" ref="AI110">INDEX(#REF!, MATCH(1, (Table13[[#This Row],[year t]]=Table32[[#All],[year t]])*(Table13[[#This Row],[stratum i]]=Table32[[#All],[stratum i]]), 0))</f>
        <v>#REF!</v>
      </c>
      <c r="AJ110" s="49" t="e">
        <f>Table13[[#This Row],[ΔCBSL-herb,i,t (tC/ha)]]</f>
        <v>#REF!</v>
      </c>
      <c r="AO110" s="18">
        <v>2050</v>
      </c>
      <c r="AP110">
        <v>3</v>
      </c>
      <c r="AQ110" s="18" cm="1">
        <f t="array" ref="AQ110">INDEX(Table32[[#All],[Ai,t]], MATCH(1, (Table14[[#This Row],[year t]]=Table32[[#All],[year t]])*(Table14[[#This Row],[stratum i]]=Table32[[#All],[stratum i]]), 0))</f>
        <v>2222.8442528571427</v>
      </c>
      <c r="AR110" t="str">
        <f>IF(AND(INDEX(Table31[[#All],[Soil type (t=0)]], MATCH(Table14[[#This Row],[stratum i]], Table31[[#All],[Stratum i]]))="Peat soil", Table14[[#This Row],[year t]]&lt;=Table14[[#This Row],[End_PDT]]), "Peat soil", "Non-peat soil")</f>
        <v>Non-peat soil</v>
      </c>
      <c r="AS110">
        <f>IF(Emission_reduction_from_stock_loss?, INDEX(Table2[[#All],[End_PDT]], MATCH(Table14[[#This Row],[stratum i]], Table2[[#All],[stratum i]])), crediting_period)</f>
        <v>40</v>
      </c>
      <c r="AT110">
        <f>IF(Emission_reduction_from_stock_loss?, INDEX(Table2[[#All],[End_SDT]], MATCH(Table14[[#This Row],[stratum i]], Table2[[#All],[stratum i]])), crediting_period)</f>
        <v>40</v>
      </c>
      <c r="AU110" cm="1">
        <f t="array" ref="AU11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0" t="e" cm="1">
        <f t="array" ref="AV110">INDEX(#REF!, MATCH(1, (Table14[[#This Row],[year t]]=Table32[[#All],[year t]])*(Table14[[#This Row],[stratum i]]=Table32[[#All],[stratum i]]), 0))</f>
        <v>#REF!</v>
      </c>
      <c r="AW11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0" s="57">
        <f>(Table14[[#This Row],[GHGBSL-soil-CO2,i,t (Eq 27)]]-Table14[[#This Row],[Deductionalloch (Eq 38)]])*Table14[[#This Row],[Ai,t]]</f>
        <v>0</v>
      </c>
      <c r="AY110" cm="1">
        <f t="array" ref="AY110">IF(baseline_soil_CH4 = "Included", INDEX(Table18[[#All],[GHGBSL-soil-CH4,i,t (Eq 59)]], MATCH(1, (Table14[[#This Row],[year t]]=Table18[[#All],[year t]])*(Table14[[#This Row],[stratum i]]=Table18[[#All],[stratum i]]), 0)), 0)</f>
        <v>0</v>
      </c>
      <c r="AZ110" cm="1">
        <f t="array" ref="AZ110">IF(baseline_soil_N2O = "Included", INDEX(Table18[[#All],[GHGBSL-soil-N2O,i,t (Eq 62)]], MATCH(1, (Table14[[#This Row],[year t]]=Table18[[#All],[year t]])*(Table14[[#This Row],[stratum i]]=Table18[[#All],[stratum i]]), 0)), 0)</f>
        <v>0</v>
      </c>
      <c r="BA110">
        <f>IF(AND(Table14[[#This Row],[year t]]&gt;Table14[[#This Row],[End_PDT]],Table14[[#This Row],[year t]]&gt;Table14[[#This Row],[End_SDT]]), 0, Table14[[#This Row],[Ai,t]]*(Table14[[#This Row],[GHGBSL-soil-CO2,i,t (Eq 27)]]-Table14[[#This Row],[Deductionalloch (Eq 38)]]+Table14[[#This Row],[GHGBSL-soil-CH4,i,t]]+Table14[[#This Row],[GHGBSL-soil-N2O,i,t]]))</f>
        <v>0</v>
      </c>
      <c r="BB110" t="e" cm="1">
        <f t="array" ref="BB110">INDEX(#REF!, MATCH(1, (Table14[[#This Row],[year t]]=Table32[[#All],[year t]])*(Table14[[#This Row],[stratum i]]=Table32[[#All],[stratum i]]), 0))</f>
        <v>#REF!</v>
      </c>
      <c r="BC110" t="e" cm="1">
        <f t="array" ref="BC110">INDEX(#REF!, MATCH(1, (Table14[[#This Row],[year t]]=Table32[[#All],[year t]])*(Table14[[#This Row],[stratum i]]=Table32[[#All],[stratum i]]), 0))</f>
        <v>#REF!</v>
      </c>
      <c r="BD110" t="e" cm="1">
        <f t="array" ref="BD110">INDEX(#REF!, MATCH(1, (Table14[[#This Row],[year t]]=Table32[[#All],[year t]])*(Table14[[#This Row],[stratum i]]=Table32[[#All],[stratum i]]), 0))</f>
        <v>#REF!</v>
      </c>
      <c r="BE110" t="e" cm="1">
        <f t="array" ref="BE110">INDEX(#REF!, MATCH(1, (Table14[[#This Row],[year t]]=Table32[[#All],[year t]])*(Table14[[#This Row],[stratum i]]=Table32[[#All],[stratum i]]), 0))</f>
        <v>#REF!</v>
      </c>
      <c r="BF110" s="30"/>
      <c r="BM110" s="18">
        <v>2050</v>
      </c>
      <c r="BN110">
        <v>3</v>
      </c>
      <c r="BO110" t="e" cm="1">
        <f t="array" ref="BO110">INDEX(#REF!, MATCH(1, (Table132926[[#This Row],[year t]]=Table32[year t])*(Table132926[[#This Row],[stratum i]]=Table32[[#All],[stratum i]]), 0))</f>
        <v>#REF!</v>
      </c>
      <c r="BP110" t="e">
        <f>-44/12*Table132926[[#This Row],[∆CBSL-soil,i,t (tC/ha)]]</f>
        <v>#REF!</v>
      </c>
    </row>
    <row r="111" spans="10:68" x14ac:dyDescent="0.2">
      <c r="J111" s="18">
        <v>2051</v>
      </c>
      <c r="K111">
        <v>3</v>
      </c>
      <c r="L111" cm="1">
        <f t="array" ref="L111">INDEX(Table32[[#All],[ΔCTREE_BSL,i,t (AR Tool 14) t C/yr]], MATCH(1, (Table12[[#This Row],[year t]]=Table32[[#All],[year t]])*(Table12[[#This Row],[stratum i]]=Table32[[#All],[stratum i]]), 0))</f>
        <v>0</v>
      </c>
      <c r="M111" cm="1">
        <f t="array" ref="M111">IF(baseline_abground_nontree = "Included", INDEX(#REF!, MATCH(1, (Table12[[#This Row],[year t]]=Table32[[#All],[year t]])*(Table12[[#This Row],[stratum i]]=Table32[[#All],[stratum i]]), 0)), 0)</f>
        <v>0</v>
      </c>
      <c r="N111">
        <f>12/44*(Table12[[#This Row],[ΔCTREE_BSL,i,t (AR Tool 14) t CO2e/yr]]+Table12[[#This Row],[ΔCSHRUB_BSL,i,t (AR Tool 14) t CO2e/yr]])</f>
        <v>0</v>
      </c>
      <c r="O111" cm="1">
        <f t="array" ref="O111">IF(baseline_abground_nontree = "Included", IFERROR(INDEX(Table13[[#All],[ΔCBSL-herb,i,t (Eq 25)]], MATCH(1, (Table12[[#This Row],[stratum i]]=Table13[[#All],[stratum i]])*(Table12[[#This Row],[year t]]&gt;=#REF!)*(Table12[[#This Row],[year t]]&lt;=Table13[[#All],[year t]]), 0)), 0), 0)</f>
        <v>0</v>
      </c>
      <c r="P111">
        <f>Table12[[#This Row],[ΔCBSL-tree/shrub,i,t (t C/yr) (Eq 24)]]+Table12[[#This Row],[ΔCBSL-herb,i,t (t C/yr)]]-Table12[[#This Row],[ΔCBSL-agbiomass,i,t; t C yr-1 (submergence)]]</f>
        <v>0</v>
      </c>
      <c r="Q111" cm="1">
        <f t="array" ref="Q111">IFERROR(INDEX(Table14[[#All],[GHGBSL-soil,i,t (Eq 26)]], MATCH(1, (Table12[[#This Row],[year t]]=Table14[[#All],[year t]])*(Table12[[#This Row],[stratum i]]=Table14[[#All],[stratum i]]), 0)), 0)</f>
        <v>0</v>
      </c>
      <c r="R111">
        <f>IF(baseline_ff_CO2 = "Included", Table12[[#This Row],[ET(FC,I,t) AR-Tool 5]], 0)</f>
        <v>0</v>
      </c>
      <c r="S111" t="e" cm="1">
        <f t="array" ref="S111">INDEX(#REF!, MATCH(1, (Table12[[#This Row],[year t]]=Table32[[#All],[year t]])*(Table12[[#This Row],[stratum i]]=Table32[[#All],[stratum i]]), 0))</f>
        <v>#REF!</v>
      </c>
      <c r="T111" cm="1">
        <f t="array" ref="T111">IFERROR(INDEX(Table30[[#All],[ΔCBSL-agbiomass,i,t (equation 22) t C yr-1]], MATCH(1, (Table12[[#This Row],[stratum i]]=Table30[[#All],[Stratum i]])*(Table12[[#This Row],[year t]]&lt;Table30[[#All],[Year of reporting]]), 0)), 0)</f>
        <v>0</v>
      </c>
      <c r="AG111" s="18">
        <v>2051</v>
      </c>
      <c r="AH111">
        <v>3</v>
      </c>
      <c r="AI111" s="49" t="e" cm="1">
        <f t="array" ref="AI111">INDEX(#REF!, MATCH(1, (Table13[[#This Row],[year t]]=Table32[[#All],[year t]])*(Table13[[#This Row],[stratum i]]=Table32[[#All],[stratum i]]), 0))</f>
        <v>#REF!</v>
      </c>
      <c r="AJ111" s="49" t="e">
        <f>Table13[[#This Row],[ΔCBSL-herb,i,t (tC/ha)]]</f>
        <v>#REF!</v>
      </c>
      <c r="AO111" s="18">
        <v>2051</v>
      </c>
      <c r="AP111">
        <v>3</v>
      </c>
      <c r="AQ111" s="18" cm="1">
        <f t="array" ref="AQ111">INDEX(Table32[[#All],[Ai,t]], MATCH(1, (Table14[[#This Row],[year t]]=Table32[[#All],[year t]])*(Table14[[#This Row],[stratum i]]=Table32[[#All],[stratum i]]), 0))</f>
        <v>2222.8442528571427</v>
      </c>
      <c r="AR111" t="str">
        <f>IF(AND(INDEX(Table31[[#All],[Soil type (t=0)]], MATCH(Table14[[#This Row],[stratum i]], Table31[[#All],[Stratum i]]))="Peat soil", Table14[[#This Row],[year t]]&lt;=Table14[[#This Row],[End_PDT]]), "Peat soil", "Non-peat soil")</f>
        <v>Non-peat soil</v>
      </c>
      <c r="AS111">
        <f>IF(Emission_reduction_from_stock_loss?, INDEX(Table2[[#All],[End_PDT]], MATCH(Table14[[#This Row],[stratum i]], Table2[[#All],[stratum i]])), crediting_period)</f>
        <v>40</v>
      </c>
      <c r="AT111">
        <f>IF(Emission_reduction_from_stock_loss?, INDEX(Table2[[#All],[End_SDT]], MATCH(Table14[[#This Row],[stratum i]], Table2[[#All],[stratum i]])), crediting_period)</f>
        <v>40</v>
      </c>
      <c r="AU111" cm="1">
        <f t="array" ref="AU11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1" t="e" cm="1">
        <f t="array" ref="AV111">INDEX(#REF!, MATCH(1, (Table14[[#This Row],[year t]]=Table32[[#All],[year t]])*(Table14[[#This Row],[stratum i]]=Table32[[#All],[stratum i]]), 0))</f>
        <v>#REF!</v>
      </c>
      <c r="AW11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1" s="57">
        <f>(Table14[[#This Row],[GHGBSL-soil-CO2,i,t (Eq 27)]]-Table14[[#This Row],[Deductionalloch (Eq 38)]])*Table14[[#This Row],[Ai,t]]</f>
        <v>0</v>
      </c>
      <c r="AY111" cm="1">
        <f t="array" ref="AY111">IF(baseline_soil_CH4 = "Included", INDEX(Table18[[#All],[GHGBSL-soil-CH4,i,t (Eq 59)]], MATCH(1, (Table14[[#This Row],[year t]]=Table18[[#All],[year t]])*(Table14[[#This Row],[stratum i]]=Table18[[#All],[stratum i]]), 0)), 0)</f>
        <v>0</v>
      </c>
      <c r="AZ111" cm="1">
        <f t="array" ref="AZ111">IF(baseline_soil_N2O = "Included", INDEX(Table18[[#All],[GHGBSL-soil-N2O,i,t (Eq 62)]], MATCH(1, (Table14[[#This Row],[year t]]=Table18[[#All],[year t]])*(Table14[[#This Row],[stratum i]]=Table18[[#All],[stratum i]]), 0)), 0)</f>
        <v>0</v>
      </c>
      <c r="BA111">
        <f>IF(AND(Table14[[#This Row],[year t]]&gt;Table14[[#This Row],[End_PDT]],Table14[[#This Row],[year t]]&gt;Table14[[#This Row],[End_SDT]]), 0, Table14[[#This Row],[Ai,t]]*(Table14[[#This Row],[GHGBSL-soil-CO2,i,t (Eq 27)]]-Table14[[#This Row],[Deductionalloch (Eq 38)]]+Table14[[#This Row],[GHGBSL-soil-CH4,i,t]]+Table14[[#This Row],[GHGBSL-soil-N2O,i,t]]))</f>
        <v>0</v>
      </c>
      <c r="BB111" t="e" cm="1">
        <f t="array" ref="BB111">INDEX(#REF!, MATCH(1, (Table14[[#This Row],[year t]]=Table32[[#All],[year t]])*(Table14[[#This Row],[stratum i]]=Table32[[#All],[stratum i]]), 0))</f>
        <v>#REF!</v>
      </c>
      <c r="BC111" t="e" cm="1">
        <f t="array" ref="BC111">INDEX(#REF!, MATCH(1, (Table14[[#This Row],[year t]]=Table32[[#All],[year t]])*(Table14[[#This Row],[stratum i]]=Table32[[#All],[stratum i]]), 0))</f>
        <v>#REF!</v>
      </c>
      <c r="BD111" t="e" cm="1">
        <f t="array" ref="BD111">INDEX(#REF!, MATCH(1, (Table14[[#This Row],[year t]]=Table32[[#All],[year t]])*(Table14[[#This Row],[stratum i]]=Table32[[#All],[stratum i]]), 0))</f>
        <v>#REF!</v>
      </c>
      <c r="BE111" t="e" cm="1">
        <f t="array" ref="BE111">INDEX(#REF!, MATCH(1, (Table14[[#This Row],[year t]]=Table32[[#All],[year t]])*(Table14[[#This Row],[stratum i]]=Table32[[#All],[stratum i]]), 0))</f>
        <v>#REF!</v>
      </c>
      <c r="BF111" s="30"/>
      <c r="BM111" s="18">
        <v>2051</v>
      </c>
      <c r="BN111">
        <v>3</v>
      </c>
      <c r="BO111" t="e" cm="1">
        <f t="array" ref="BO111">INDEX(#REF!, MATCH(1, (Table132926[[#This Row],[year t]]=Table32[year t])*(Table132926[[#This Row],[stratum i]]=Table32[[#All],[stratum i]]), 0))</f>
        <v>#REF!</v>
      </c>
      <c r="BP111" t="e">
        <f>-44/12*Table132926[[#This Row],[∆CBSL-soil,i,t (tC/ha)]]</f>
        <v>#REF!</v>
      </c>
    </row>
    <row r="112" spans="10:68" x14ac:dyDescent="0.2">
      <c r="J112" s="18">
        <v>2052</v>
      </c>
      <c r="K112">
        <v>3</v>
      </c>
      <c r="L112" cm="1">
        <f t="array" ref="L112">INDEX(Table32[[#All],[ΔCTREE_BSL,i,t (AR Tool 14) t C/yr]], MATCH(1, (Table12[[#This Row],[year t]]=Table32[[#All],[year t]])*(Table12[[#This Row],[stratum i]]=Table32[[#All],[stratum i]]), 0))</f>
        <v>0</v>
      </c>
      <c r="M112" cm="1">
        <f t="array" ref="M112">IF(baseline_abground_nontree = "Included", INDEX(#REF!, MATCH(1, (Table12[[#This Row],[year t]]=Table32[[#All],[year t]])*(Table12[[#This Row],[stratum i]]=Table32[[#All],[stratum i]]), 0)), 0)</f>
        <v>0</v>
      </c>
      <c r="N112">
        <f>12/44*(Table12[[#This Row],[ΔCTREE_BSL,i,t (AR Tool 14) t CO2e/yr]]+Table12[[#This Row],[ΔCSHRUB_BSL,i,t (AR Tool 14) t CO2e/yr]])</f>
        <v>0</v>
      </c>
      <c r="O112" cm="1">
        <f t="array" ref="O112">IF(baseline_abground_nontree = "Included", IFERROR(INDEX(Table13[[#All],[ΔCBSL-herb,i,t (Eq 25)]], MATCH(1, (Table12[[#This Row],[stratum i]]=Table13[[#All],[stratum i]])*(Table12[[#This Row],[year t]]&gt;=#REF!)*(Table12[[#This Row],[year t]]&lt;=Table13[[#All],[year t]]), 0)), 0), 0)</f>
        <v>0</v>
      </c>
      <c r="P112">
        <f>Table12[[#This Row],[ΔCBSL-tree/shrub,i,t (t C/yr) (Eq 24)]]+Table12[[#This Row],[ΔCBSL-herb,i,t (t C/yr)]]-Table12[[#This Row],[ΔCBSL-agbiomass,i,t; t C yr-1 (submergence)]]</f>
        <v>0</v>
      </c>
      <c r="Q112" cm="1">
        <f t="array" ref="Q112">IFERROR(INDEX(Table14[[#All],[GHGBSL-soil,i,t (Eq 26)]], MATCH(1, (Table12[[#This Row],[year t]]=Table14[[#All],[year t]])*(Table12[[#This Row],[stratum i]]=Table14[[#All],[stratum i]]), 0)), 0)</f>
        <v>0</v>
      </c>
      <c r="R112">
        <f>IF(baseline_ff_CO2 = "Included", Table12[[#This Row],[ET(FC,I,t) AR-Tool 5]], 0)</f>
        <v>0</v>
      </c>
      <c r="S112" t="e" cm="1">
        <f t="array" ref="S112">INDEX(#REF!, MATCH(1, (Table12[[#This Row],[year t]]=Table32[[#All],[year t]])*(Table12[[#This Row],[stratum i]]=Table32[[#All],[stratum i]]), 0))</f>
        <v>#REF!</v>
      </c>
      <c r="T112" cm="1">
        <f t="array" ref="T112">IFERROR(INDEX(Table30[[#All],[ΔCBSL-agbiomass,i,t (equation 22) t C yr-1]], MATCH(1, (Table12[[#This Row],[stratum i]]=Table30[[#All],[Stratum i]])*(Table12[[#This Row],[year t]]&lt;Table30[[#All],[Year of reporting]]), 0)), 0)</f>
        <v>0</v>
      </c>
      <c r="AG112" s="18">
        <v>2052</v>
      </c>
      <c r="AH112">
        <v>3</v>
      </c>
      <c r="AI112" s="49" t="e" cm="1">
        <f t="array" ref="AI112">INDEX(#REF!, MATCH(1, (Table13[[#This Row],[year t]]=Table32[[#All],[year t]])*(Table13[[#This Row],[stratum i]]=Table32[[#All],[stratum i]]), 0))</f>
        <v>#REF!</v>
      </c>
      <c r="AJ112" s="49" t="e">
        <f>Table13[[#This Row],[ΔCBSL-herb,i,t (tC/ha)]]</f>
        <v>#REF!</v>
      </c>
      <c r="AO112" s="18">
        <v>2052</v>
      </c>
      <c r="AP112">
        <v>3</v>
      </c>
      <c r="AQ112" s="18" cm="1">
        <f t="array" ref="AQ112">INDEX(Table32[[#All],[Ai,t]], MATCH(1, (Table14[[#This Row],[year t]]=Table32[[#All],[year t]])*(Table14[[#This Row],[stratum i]]=Table32[[#All],[stratum i]]), 0))</f>
        <v>2222.8442528571427</v>
      </c>
      <c r="AR112" t="str">
        <f>IF(AND(INDEX(Table31[[#All],[Soil type (t=0)]], MATCH(Table14[[#This Row],[stratum i]], Table31[[#All],[Stratum i]]))="Peat soil", Table14[[#This Row],[year t]]&lt;=Table14[[#This Row],[End_PDT]]), "Peat soil", "Non-peat soil")</f>
        <v>Non-peat soil</v>
      </c>
      <c r="AS112">
        <f>IF(Emission_reduction_from_stock_loss?, INDEX(Table2[[#All],[End_PDT]], MATCH(Table14[[#This Row],[stratum i]], Table2[[#All],[stratum i]])), crediting_period)</f>
        <v>40</v>
      </c>
      <c r="AT112">
        <f>IF(Emission_reduction_from_stock_loss?, INDEX(Table2[[#All],[End_SDT]], MATCH(Table14[[#This Row],[stratum i]], Table2[[#All],[stratum i]])), crediting_period)</f>
        <v>40</v>
      </c>
      <c r="AU112" cm="1">
        <f t="array" ref="AU11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2" t="e" cm="1">
        <f t="array" ref="AV112">INDEX(#REF!, MATCH(1, (Table14[[#This Row],[year t]]=Table32[[#All],[year t]])*(Table14[[#This Row],[stratum i]]=Table32[[#All],[stratum i]]), 0))</f>
        <v>#REF!</v>
      </c>
      <c r="AW11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2" s="57">
        <f>(Table14[[#This Row],[GHGBSL-soil-CO2,i,t (Eq 27)]]-Table14[[#This Row],[Deductionalloch (Eq 38)]])*Table14[[#This Row],[Ai,t]]</f>
        <v>0</v>
      </c>
      <c r="AY112" cm="1">
        <f t="array" ref="AY112">IF(baseline_soil_CH4 = "Included", INDEX(Table18[[#All],[GHGBSL-soil-CH4,i,t (Eq 59)]], MATCH(1, (Table14[[#This Row],[year t]]=Table18[[#All],[year t]])*(Table14[[#This Row],[stratum i]]=Table18[[#All],[stratum i]]), 0)), 0)</f>
        <v>0</v>
      </c>
      <c r="AZ112" cm="1">
        <f t="array" ref="AZ112">IF(baseline_soil_N2O = "Included", INDEX(Table18[[#All],[GHGBSL-soil-N2O,i,t (Eq 62)]], MATCH(1, (Table14[[#This Row],[year t]]=Table18[[#All],[year t]])*(Table14[[#This Row],[stratum i]]=Table18[[#All],[stratum i]]), 0)), 0)</f>
        <v>0</v>
      </c>
      <c r="BA112">
        <f>IF(AND(Table14[[#This Row],[year t]]&gt;Table14[[#This Row],[End_PDT]],Table14[[#This Row],[year t]]&gt;Table14[[#This Row],[End_SDT]]), 0, Table14[[#This Row],[Ai,t]]*(Table14[[#This Row],[GHGBSL-soil-CO2,i,t (Eq 27)]]-Table14[[#This Row],[Deductionalloch (Eq 38)]]+Table14[[#This Row],[GHGBSL-soil-CH4,i,t]]+Table14[[#This Row],[GHGBSL-soil-N2O,i,t]]))</f>
        <v>0</v>
      </c>
      <c r="BB112" t="e" cm="1">
        <f t="array" ref="BB112">INDEX(#REF!, MATCH(1, (Table14[[#This Row],[year t]]=Table32[[#All],[year t]])*(Table14[[#This Row],[stratum i]]=Table32[[#All],[stratum i]]), 0))</f>
        <v>#REF!</v>
      </c>
      <c r="BC112" t="e" cm="1">
        <f t="array" ref="BC112">INDEX(#REF!, MATCH(1, (Table14[[#This Row],[year t]]=Table32[[#All],[year t]])*(Table14[[#This Row],[stratum i]]=Table32[[#All],[stratum i]]), 0))</f>
        <v>#REF!</v>
      </c>
      <c r="BD112" t="e" cm="1">
        <f t="array" ref="BD112">INDEX(#REF!, MATCH(1, (Table14[[#This Row],[year t]]=Table32[[#All],[year t]])*(Table14[[#This Row],[stratum i]]=Table32[[#All],[stratum i]]), 0))</f>
        <v>#REF!</v>
      </c>
      <c r="BE112" t="e" cm="1">
        <f t="array" ref="BE112">INDEX(#REF!, MATCH(1, (Table14[[#This Row],[year t]]=Table32[[#All],[year t]])*(Table14[[#This Row],[stratum i]]=Table32[[#All],[stratum i]]), 0))</f>
        <v>#REF!</v>
      </c>
      <c r="BF112" s="30"/>
      <c r="BM112" s="18">
        <v>2052</v>
      </c>
      <c r="BN112">
        <v>3</v>
      </c>
      <c r="BO112" t="e" cm="1">
        <f t="array" ref="BO112">INDEX(#REF!, MATCH(1, (Table132926[[#This Row],[year t]]=Table32[year t])*(Table132926[[#This Row],[stratum i]]=Table32[[#All],[stratum i]]), 0))</f>
        <v>#REF!</v>
      </c>
      <c r="BP112" t="e">
        <f>-44/12*Table132926[[#This Row],[∆CBSL-soil,i,t (tC/ha)]]</f>
        <v>#REF!</v>
      </c>
    </row>
    <row r="113" spans="10:68" x14ac:dyDescent="0.2">
      <c r="J113" s="18">
        <v>2053</v>
      </c>
      <c r="K113">
        <v>3</v>
      </c>
      <c r="L113" cm="1">
        <f t="array" ref="L113">INDEX(Table32[[#All],[ΔCTREE_BSL,i,t (AR Tool 14) t C/yr]], MATCH(1, (Table12[[#This Row],[year t]]=Table32[[#All],[year t]])*(Table12[[#This Row],[stratum i]]=Table32[[#All],[stratum i]]), 0))</f>
        <v>0</v>
      </c>
      <c r="M113" cm="1">
        <f t="array" ref="M113">IF(baseline_abground_nontree = "Included", INDEX(#REF!, MATCH(1, (Table12[[#This Row],[year t]]=Table32[[#All],[year t]])*(Table12[[#This Row],[stratum i]]=Table32[[#All],[stratum i]]), 0)), 0)</f>
        <v>0</v>
      </c>
      <c r="N113">
        <f>12/44*(Table12[[#This Row],[ΔCTREE_BSL,i,t (AR Tool 14) t CO2e/yr]]+Table12[[#This Row],[ΔCSHRUB_BSL,i,t (AR Tool 14) t CO2e/yr]])</f>
        <v>0</v>
      </c>
      <c r="O113" cm="1">
        <f t="array" ref="O113">IF(baseline_abground_nontree = "Included", IFERROR(INDEX(Table13[[#All],[ΔCBSL-herb,i,t (Eq 25)]], MATCH(1, (Table12[[#This Row],[stratum i]]=Table13[[#All],[stratum i]])*(Table12[[#This Row],[year t]]&gt;=#REF!)*(Table12[[#This Row],[year t]]&lt;=Table13[[#All],[year t]]), 0)), 0), 0)</f>
        <v>0</v>
      </c>
      <c r="P113">
        <f>Table12[[#This Row],[ΔCBSL-tree/shrub,i,t (t C/yr) (Eq 24)]]+Table12[[#This Row],[ΔCBSL-herb,i,t (t C/yr)]]-Table12[[#This Row],[ΔCBSL-agbiomass,i,t; t C yr-1 (submergence)]]</f>
        <v>0</v>
      </c>
      <c r="Q113" cm="1">
        <f t="array" ref="Q113">IFERROR(INDEX(Table14[[#All],[GHGBSL-soil,i,t (Eq 26)]], MATCH(1, (Table12[[#This Row],[year t]]=Table14[[#All],[year t]])*(Table12[[#This Row],[stratum i]]=Table14[[#All],[stratum i]]), 0)), 0)</f>
        <v>0</v>
      </c>
      <c r="R113">
        <f>IF(baseline_ff_CO2 = "Included", Table12[[#This Row],[ET(FC,I,t) AR-Tool 5]], 0)</f>
        <v>0</v>
      </c>
      <c r="S113" t="e" cm="1">
        <f t="array" ref="S113">INDEX(#REF!, MATCH(1, (Table12[[#This Row],[year t]]=Table32[[#All],[year t]])*(Table12[[#This Row],[stratum i]]=Table32[[#All],[stratum i]]), 0))</f>
        <v>#REF!</v>
      </c>
      <c r="T113" cm="1">
        <f t="array" ref="T113">IFERROR(INDEX(Table30[[#All],[ΔCBSL-agbiomass,i,t (equation 22) t C yr-1]], MATCH(1, (Table12[[#This Row],[stratum i]]=Table30[[#All],[Stratum i]])*(Table12[[#This Row],[year t]]&lt;Table30[[#All],[Year of reporting]]), 0)), 0)</f>
        <v>0</v>
      </c>
      <c r="AG113" s="18">
        <v>2053</v>
      </c>
      <c r="AH113">
        <v>3</v>
      </c>
      <c r="AI113" s="49" t="e" cm="1">
        <f t="array" ref="AI113">INDEX(#REF!, MATCH(1, (Table13[[#This Row],[year t]]=Table32[[#All],[year t]])*(Table13[[#This Row],[stratum i]]=Table32[[#All],[stratum i]]), 0))</f>
        <v>#REF!</v>
      </c>
      <c r="AJ113" s="49" t="e">
        <f>Table13[[#This Row],[ΔCBSL-herb,i,t (tC/ha)]]</f>
        <v>#REF!</v>
      </c>
      <c r="AO113" s="18">
        <v>2053</v>
      </c>
      <c r="AP113">
        <v>3</v>
      </c>
      <c r="AQ113" s="18" cm="1">
        <f t="array" ref="AQ113">INDEX(Table32[[#All],[Ai,t]], MATCH(1, (Table14[[#This Row],[year t]]=Table32[[#All],[year t]])*(Table14[[#This Row],[stratum i]]=Table32[[#All],[stratum i]]), 0))</f>
        <v>2222.8442528571427</v>
      </c>
      <c r="AR113" t="str">
        <f>IF(AND(INDEX(Table31[[#All],[Soil type (t=0)]], MATCH(Table14[[#This Row],[stratum i]], Table31[[#All],[Stratum i]]))="Peat soil", Table14[[#This Row],[year t]]&lt;=Table14[[#This Row],[End_PDT]]), "Peat soil", "Non-peat soil")</f>
        <v>Non-peat soil</v>
      </c>
      <c r="AS113">
        <f>IF(Emission_reduction_from_stock_loss?, INDEX(Table2[[#All],[End_PDT]], MATCH(Table14[[#This Row],[stratum i]], Table2[[#All],[stratum i]])), crediting_period)</f>
        <v>40</v>
      </c>
      <c r="AT113">
        <f>IF(Emission_reduction_from_stock_loss?, INDEX(Table2[[#All],[End_SDT]], MATCH(Table14[[#This Row],[stratum i]], Table2[[#All],[stratum i]])), crediting_period)</f>
        <v>40</v>
      </c>
      <c r="AU113" cm="1">
        <f t="array" ref="AU11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3" t="e" cm="1">
        <f t="array" ref="AV113">INDEX(#REF!, MATCH(1, (Table14[[#This Row],[year t]]=Table32[[#All],[year t]])*(Table14[[#This Row],[stratum i]]=Table32[[#All],[stratum i]]), 0))</f>
        <v>#REF!</v>
      </c>
      <c r="AW11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3" s="57">
        <f>(Table14[[#This Row],[GHGBSL-soil-CO2,i,t (Eq 27)]]-Table14[[#This Row],[Deductionalloch (Eq 38)]])*Table14[[#This Row],[Ai,t]]</f>
        <v>0</v>
      </c>
      <c r="AY113" cm="1">
        <f t="array" ref="AY113">IF(baseline_soil_CH4 = "Included", INDEX(Table18[[#All],[GHGBSL-soil-CH4,i,t (Eq 59)]], MATCH(1, (Table14[[#This Row],[year t]]=Table18[[#All],[year t]])*(Table14[[#This Row],[stratum i]]=Table18[[#All],[stratum i]]), 0)), 0)</f>
        <v>0</v>
      </c>
      <c r="AZ113" cm="1">
        <f t="array" ref="AZ113">IF(baseline_soil_N2O = "Included", INDEX(Table18[[#All],[GHGBSL-soil-N2O,i,t (Eq 62)]], MATCH(1, (Table14[[#This Row],[year t]]=Table18[[#All],[year t]])*(Table14[[#This Row],[stratum i]]=Table18[[#All],[stratum i]]), 0)), 0)</f>
        <v>0</v>
      </c>
      <c r="BA113">
        <f>IF(AND(Table14[[#This Row],[year t]]&gt;Table14[[#This Row],[End_PDT]],Table14[[#This Row],[year t]]&gt;Table14[[#This Row],[End_SDT]]), 0, Table14[[#This Row],[Ai,t]]*(Table14[[#This Row],[GHGBSL-soil-CO2,i,t (Eq 27)]]-Table14[[#This Row],[Deductionalloch (Eq 38)]]+Table14[[#This Row],[GHGBSL-soil-CH4,i,t]]+Table14[[#This Row],[GHGBSL-soil-N2O,i,t]]))</f>
        <v>0</v>
      </c>
      <c r="BB113" t="e" cm="1">
        <f t="array" ref="BB113">INDEX(#REF!, MATCH(1, (Table14[[#This Row],[year t]]=Table32[[#All],[year t]])*(Table14[[#This Row],[stratum i]]=Table32[[#All],[stratum i]]), 0))</f>
        <v>#REF!</v>
      </c>
      <c r="BC113" t="e" cm="1">
        <f t="array" ref="BC113">INDEX(#REF!, MATCH(1, (Table14[[#This Row],[year t]]=Table32[[#All],[year t]])*(Table14[[#This Row],[stratum i]]=Table32[[#All],[stratum i]]), 0))</f>
        <v>#REF!</v>
      </c>
      <c r="BD113" t="e" cm="1">
        <f t="array" ref="BD113">INDEX(#REF!, MATCH(1, (Table14[[#This Row],[year t]]=Table32[[#All],[year t]])*(Table14[[#This Row],[stratum i]]=Table32[[#All],[stratum i]]), 0))</f>
        <v>#REF!</v>
      </c>
      <c r="BE113" t="e" cm="1">
        <f t="array" ref="BE113">INDEX(#REF!, MATCH(1, (Table14[[#This Row],[year t]]=Table32[[#All],[year t]])*(Table14[[#This Row],[stratum i]]=Table32[[#All],[stratum i]]), 0))</f>
        <v>#REF!</v>
      </c>
      <c r="BF113" s="30"/>
      <c r="BM113" s="18">
        <v>2053</v>
      </c>
      <c r="BN113">
        <v>3</v>
      </c>
      <c r="BO113" t="e" cm="1">
        <f t="array" ref="BO113">INDEX(#REF!, MATCH(1, (Table132926[[#This Row],[year t]]=Table32[year t])*(Table132926[[#This Row],[stratum i]]=Table32[[#All],[stratum i]]), 0))</f>
        <v>#REF!</v>
      </c>
      <c r="BP113" t="e">
        <f>-44/12*Table132926[[#This Row],[∆CBSL-soil,i,t (tC/ha)]]</f>
        <v>#REF!</v>
      </c>
    </row>
    <row r="114" spans="10:68" x14ac:dyDescent="0.2">
      <c r="J114" s="18">
        <v>2054</v>
      </c>
      <c r="K114">
        <v>3</v>
      </c>
      <c r="L114" cm="1">
        <f t="array" ref="L114">INDEX(Table32[[#All],[ΔCTREE_BSL,i,t (AR Tool 14) t C/yr]], MATCH(1, (Table12[[#This Row],[year t]]=Table32[[#All],[year t]])*(Table12[[#This Row],[stratum i]]=Table32[[#All],[stratum i]]), 0))</f>
        <v>0</v>
      </c>
      <c r="M114" cm="1">
        <f t="array" ref="M114">IF(baseline_abground_nontree = "Included", INDEX(#REF!, MATCH(1, (Table12[[#This Row],[year t]]=Table32[[#All],[year t]])*(Table12[[#This Row],[stratum i]]=Table32[[#All],[stratum i]]), 0)), 0)</f>
        <v>0</v>
      </c>
      <c r="N114">
        <f>12/44*(Table12[[#This Row],[ΔCTREE_BSL,i,t (AR Tool 14) t CO2e/yr]]+Table12[[#This Row],[ΔCSHRUB_BSL,i,t (AR Tool 14) t CO2e/yr]])</f>
        <v>0</v>
      </c>
      <c r="O114" cm="1">
        <f t="array" ref="O114">IF(baseline_abground_nontree = "Included", IFERROR(INDEX(Table13[[#All],[ΔCBSL-herb,i,t (Eq 25)]], MATCH(1, (Table12[[#This Row],[stratum i]]=Table13[[#All],[stratum i]])*(Table12[[#This Row],[year t]]&gt;=#REF!)*(Table12[[#This Row],[year t]]&lt;=Table13[[#All],[year t]]), 0)), 0), 0)</f>
        <v>0</v>
      </c>
      <c r="P114">
        <f>Table12[[#This Row],[ΔCBSL-tree/shrub,i,t (t C/yr) (Eq 24)]]+Table12[[#This Row],[ΔCBSL-herb,i,t (t C/yr)]]-Table12[[#This Row],[ΔCBSL-agbiomass,i,t; t C yr-1 (submergence)]]</f>
        <v>0</v>
      </c>
      <c r="Q114" cm="1">
        <f t="array" ref="Q114">IFERROR(INDEX(Table14[[#All],[GHGBSL-soil,i,t (Eq 26)]], MATCH(1, (Table12[[#This Row],[year t]]=Table14[[#All],[year t]])*(Table12[[#This Row],[stratum i]]=Table14[[#All],[stratum i]]), 0)), 0)</f>
        <v>0</v>
      </c>
      <c r="R114">
        <f>IF(baseline_ff_CO2 = "Included", Table12[[#This Row],[ET(FC,I,t) AR-Tool 5]], 0)</f>
        <v>0</v>
      </c>
      <c r="S114" t="e" cm="1">
        <f t="array" ref="S114">INDEX(#REF!, MATCH(1, (Table12[[#This Row],[year t]]=Table32[[#All],[year t]])*(Table12[[#This Row],[stratum i]]=Table32[[#All],[stratum i]]), 0))</f>
        <v>#REF!</v>
      </c>
      <c r="T114" cm="1">
        <f t="array" ref="T114">IFERROR(INDEX(Table30[[#All],[ΔCBSL-agbiomass,i,t (equation 22) t C yr-1]], MATCH(1, (Table12[[#This Row],[stratum i]]=Table30[[#All],[Stratum i]])*(Table12[[#This Row],[year t]]&lt;Table30[[#All],[Year of reporting]]), 0)), 0)</f>
        <v>0</v>
      </c>
      <c r="AG114" s="18">
        <v>2054</v>
      </c>
      <c r="AH114">
        <v>3</v>
      </c>
      <c r="AI114" s="49" t="e" cm="1">
        <f t="array" ref="AI114">INDEX(#REF!, MATCH(1, (Table13[[#This Row],[year t]]=Table32[[#All],[year t]])*(Table13[[#This Row],[stratum i]]=Table32[[#All],[stratum i]]), 0))</f>
        <v>#REF!</v>
      </c>
      <c r="AJ114" s="49" t="e">
        <f>Table13[[#This Row],[ΔCBSL-herb,i,t (tC/ha)]]</f>
        <v>#REF!</v>
      </c>
      <c r="AO114" s="18">
        <v>2054</v>
      </c>
      <c r="AP114">
        <v>3</v>
      </c>
      <c r="AQ114" s="18" cm="1">
        <f t="array" ref="AQ114">INDEX(Table32[[#All],[Ai,t]], MATCH(1, (Table14[[#This Row],[year t]]=Table32[[#All],[year t]])*(Table14[[#This Row],[stratum i]]=Table32[[#All],[stratum i]]), 0))</f>
        <v>2222.8442528571427</v>
      </c>
      <c r="AR114" t="str">
        <f>IF(AND(INDEX(Table31[[#All],[Soil type (t=0)]], MATCH(Table14[[#This Row],[stratum i]], Table31[[#All],[Stratum i]]))="Peat soil", Table14[[#This Row],[year t]]&lt;=Table14[[#This Row],[End_PDT]]), "Peat soil", "Non-peat soil")</f>
        <v>Non-peat soil</v>
      </c>
      <c r="AS114">
        <f>IF(Emission_reduction_from_stock_loss?, INDEX(Table2[[#All],[End_PDT]], MATCH(Table14[[#This Row],[stratum i]], Table2[[#All],[stratum i]])), crediting_period)</f>
        <v>40</v>
      </c>
      <c r="AT114">
        <f>IF(Emission_reduction_from_stock_loss?, INDEX(Table2[[#All],[End_SDT]], MATCH(Table14[[#This Row],[stratum i]], Table2[[#All],[stratum i]])), crediting_period)</f>
        <v>40</v>
      </c>
      <c r="AU114" cm="1">
        <f t="array" ref="AU11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4" t="e" cm="1">
        <f t="array" ref="AV114">INDEX(#REF!, MATCH(1, (Table14[[#This Row],[year t]]=Table32[[#All],[year t]])*(Table14[[#This Row],[stratum i]]=Table32[[#All],[stratum i]]), 0))</f>
        <v>#REF!</v>
      </c>
      <c r="AW11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4" s="57">
        <f>(Table14[[#This Row],[GHGBSL-soil-CO2,i,t (Eq 27)]]-Table14[[#This Row],[Deductionalloch (Eq 38)]])*Table14[[#This Row],[Ai,t]]</f>
        <v>0</v>
      </c>
      <c r="AY114" cm="1">
        <f t="array" ref="AY114">IF(baseline_soil_CH4 = "Included", INDEX(Table18[[#All],[GHGBSL-soil-CH4,i,t (Eq 59)]], MATCH(1, (Table14[[#This Row],[year t]]=Table18[[#All],[year t]])*(Table14[[#This Row],[stratum i]]=Table18[[#All],[stratum i]]), 0)), 0)</f>
        <v>0</v>
      </c>
      <c r="AZ114" cm="1">
        <f t="array" ref="AZ114">IF(baseline_soil_N2O = "Included", INDEX(Table18[[#All],[GHGBSL-soil-N2O,i,t (Eq 62)]], MATCH(1, (Table14[[#This Row],[year t]]=Table18[[#All],[year t]])*(Table14[[#This Row],[stratum i]]=Table18[[#All],[stratum i]]), 0)), 0)</f>
        <v>0</v>
      </c>
      <c r="BA114">
        <f>IF(AND(Table14[[#This Row],[year t]]&gt;Table14[[#This Row],[End_PDT]],Table14[[#This Row],[year t]]&gt;Table14[[#This Row],[End_SDT]]), 0, Table14[[#This Row],[Ai,t]]*(Table14[[#This Row],[GHGBSL-soil-CO2,i,t (Eq 27)]]-Table14[[#This Row],[Deductionalloch (Eq 38)]]+Table14[[#This Row],[GHGBSL-soil-CH4,i,t]]+Table14[[#This Row],[GHGBSL-soil-N2O,i,t]]))</f>
        <v>0</v>
      </c>
      <c r="BB114" t="e" cm="1">
        <f t="array" ref="BB114">INDEX(#REF!, MATCH(1, (Table14[[#This Row],[year t]]=Table32[[#All],[year t]])*(Table14[[#This Row],[stratum i]]=Table32[[#All],[stratum i]]), 0))</f>
        <v>#REF!</v>
      </c>
      <c r="BC114" t="e" cm="1">
        <f t="array" ref="BC114">INDEX(#REF!, MATCH(1, (Table14[[#This Row],[year t]]=Table32[[#All],[year t]])*(Table14[[#This Row],[stratum i]]=Table32[[#All],[stratum i]]), 0))</f>
        <v>#REF!</v>
      </c>
      <c r="BD114" t="e" cm="1">
        <f t="array" ref="BD114">INDEX(#REF!, MATCH(1, (Table14[[#This Row],[year t]]=Table32[[#All],[year t]])*(Table14[[#This Row],[stratum i]]=Table32[[#All],[stratum i]]), 0))</f>
        <v>#REF!</v>
      </c>
      <c r="BE114" t="e" cm="1">
        <f t="array" ref="BE114">INDEX(#REF!, MATCH(1, (Table14[[#This Row],[year t]]=Table32[[#All],[year t]])*(Table14[[#This Row],[stratum i]]=Table32[[#All],[stratum i]]), 0))</f>
        <v>#REF!</v>
      </c>
      <c r="BF114" s="30"/>
      <c r="BM114" s="18">
        <v>2054</v>
      </c>
      <c r="BN114">
        <v>3</v>
      </c>
      <c r="BO114" t="e" cm="1">
        <f t="array" ref="BO114">INDEX(#REF!, MATCH(1, (Table132926[[#This Row],[year t]]=Table32[year t])*(Table132926[[#This Row],[stratum i]]=Table32[[#All],[stratum i]]), 0))</f>
        <v>#REF!</v>
      </c>
      <c r="BP114" t="e">
        <f>-44/12*Table132926[[#This Row],[∆CBSL-soil,i,t (tC/ha)]]</f>
        <v>#REF!</v>
      </c>
    </row>
    <row r="115" spans="10:68" x14ac:dyDescent="0.2">
      <c r="J115" s="18">
        <v>2055</v>
      </c>
      <c r="K115">
        <v>3</v>
      </c>
      <c r="L115" cm="1">
        <f t="array" ref="L115">INDEX(Table32[[#All],[ΔCTREE_BSL,i,t (AR Tool 14) t C/yr]], MATCH(1, (Table12[[#This Row],[year t]]=Table32[[#All],[year t]])*(Table12[[#This Row],[stratum i]]=Table32[[#All],[stratum i]]), 0))</f>
        <v>0</v>
      </c>
      <c r="M115" cm="1">
        <f t="array" ref="M115">IF(baseline_abground_nontree = "Included", INDEX(#REF!, MATCH(1, (Table12[[#This Row],[year t]]=Table32[[#All],[year t]])*(Table12[[#This Row],[stratum i]]=Table32[[#All],[stratum i]]), 0)), 0)</f>
        <v>0</v>
      </c>
      <c r="N115">
        <f>12/44*(Table12[[#This Row],[ΔCTREE_BSL,i,t (AR Tool 14) t CO2e/yr]]+Table12[[#This Row],[ΔCSHRUB_BSL,i,t (AR Tool 14) t CO2e/yr]])</f>
        <v>0</v>
      </c>
      <c r="O115" cm="1">
        <f t="array" ref="O115">IF(baseline_abground_nontree = "Included", IFERROR(INDEX(Table13[[#All],[ΔCBSL-herb,i,t (Eq 25)]], MATCH(1, (Table12[[#This Row],[stratum i]]=Table13[[#All],[stratum i]])*(Table12[[#This Row],[year t]]&gt;=#REF!)*(Table12[[#This Row],[year t]]&lt;=Table13[[#All],[year t]]), 0)), 0), 0)</f>
        <v>0</v>
      </c>
      <c r="P115">
        <f>Table12[[#This Row],[ΔCBSL-tree/shrub,i,t (t C/yr) (Eq 24)]]+Table12[[#This Row],[ΔCBSL-herb,i,t (t C/yr)]]-Table12[[#This Row],[ΔCBSL-agbiomass,i,t; t C yr-1 (submergence)]]</f>
        <v>0</v>
      </c>
      <c r="Q115" cm="1">
        <f t="array" ref="Q115">IFERROR(INDEX(Table14[[#All],[GHGBSL-soil,i,t (Eq 26)]], MATCH(1, (Table12[[#This Row],[year t]]=Table14[[#All],[year t]])*(Table12[[#This Row],[stratum i]]=Table14[[#All],[stratum i]]), 0)), 0)</f>
        <v>0</v>
      </c>
      <c r="R115">
        <f>IF(baseline_ff_CO2 = "Included", Table12[[#This Row],[ET(FC,I,t) AR-Tool 5]], 0)</f>
        <v>0</v>
      </c>
      <c r="S115" t="e" cm="1">
        <f t="array" ref="S115">INDEX(#REF!, MATCH(1, (Table12[[#This Row],[year t]]=Table32[[#All],[year t]])*(Table12[[#This Row],[stratum i]]=Table32[[#All],[stratum i]]), 0))</f>
        <v>#REF!</v>
      </c>
      <c r="T115" cm="1">
        <f t="array" ref="T115">IFERROR(INDEX(Table30[[#All],[ΔCBSL-agbiomass,i,t (equation 22) t C yr-1]], MATCH(1, (Table12[[#This Row],[stratum i]]=Table30[[#All],[Stratum i]])*(Table12[[#This Row],[year t]]&lt;Table30[[#All],[Year of reporting]]), 0)), 0)</f>
        <v>0</v>
      </c>
      <c r="AG115" s="18">
        <v>2055</v>
      </c>
      <c r="AH115">
        <v>3</v>
      </c>
      <c r="AI115" s="49" t="e" cm="1">
        <f t="array" ref="AI115">INDEX(#REF!, MATCH(1, (Table13[[#This Row],[year t]]=Table32[[#All],[year t]])*(Table13[[#This Row],[stratum i]]=Table32[[#All],[stratum i]]), 0))</f>
        <v>#REF!</v>
      </c>
      <c r="AJ115" s="49" t="e">
        <f>Table13[[#This Row],[ΔCBSL-herb,i,t (tC/ha)]]</f>
        <v>#REF!</v>
      </c>
      <c r="AO115" s="18">
        <v>2055</v>
      </c>
      <c r="AP115">
        <v>3</v>
      </c>
      <c r="AQ115" s="18" cm="1">
        <f t="array" ref="AQ115">INDEX(Table32[[#All],[Ai,t]], MATCH(1, (Table14[[#This Row],[year t]]=Table32[[#All],[year t]])*(Table14[[#This Row],[stratum i]]=Table32[[#All],[stratum i]]), 0))</f>
        <v>2222.8442528571427</v>
      </c>
      <c r="AR115" t="str">
        <f>IF(AND(INDEX(Table31[[#All],[Soil type (t=0)]], MATCH(Table14[[#This Row],[stratum i]], Table31[[#All],[Stratum i]]))="Peat soil", Table14[[#This Row],[year t]]&lt;=Table14[[#This Row],[End_PDT]]), "Peat soil", "Non-peat soil")</f>
        <v>Non-peat soil</v>
      </c>
      <c r="AS115">
        <f>IF(Emission_reduction_from_stock_loss?, INDEX(Table2[[#All],[End_PDT]], MATCH(Table14[[#This Row],[stratum i]], Table2[[#All],[stratum i]])), crediting_period)</f>
        <v>40</v>
      </c>
      <c r="AT115">
        <f>IF(Emission_reduction_from_stock_loss?, INDEX(Table2[[#All],[End_SDT]], MATCH(Table14[[#This Row],[stratum i]], Table2[[#All],[stratum i]])), crediting_period)</f>
        <v>40</v>
      </c>
      <c r="AU115" cm="1">
        <f t="array" ref="AU11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5" t="e" cm="1">
        <f t="array" ref="AV115">INDEX(#REF!, MATCH(1, (Table14[[#This Row],[year t]]=Table32[[#All],[year t]])*(Table14[[#This Row],[stratum i]]=Table32[[#All],[stratum i]]), 0))</f>
        <v>#REF!</v>
      </c>
      <c r="AW11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5" s="57">
        <f>(Table14[[#This Row],[GHGBSL-soil-CO2,i,t (Eq 27)]]-Table14[[#This Row],[Deductionalloch (Eq 38)]])*Table14[[#This Row],[Ai,t]]</f>
        <v>0</v>
      </c>
      <c r="AY115" cm="1">
        <f t="array" ref="AY115">IF(baseline_soil_CH4 = "Included", INDEX(Table18[[#All],[GHGBSL-soil-CH4,i,t (Eq 59)]], MATCH(1, (Table14[[#This Row],[year t]]=Table18[[#All],[year t]])*(Table14[[#This Row],[stratum i]]=Table18[[#All],[stratum i]]), 0)), 0)</f>
        <v>0</v>
      </c>
      <c r="AZ115" cm="1">
        <f t="array" ref="AZ115">IF(baseline_soil_N2O = "Included", INDEX(Table18[[#All],[GHGBSL-soil-N2O,i,t (Eq 62)]], MATCH(1, (Table14[[#This Row],[year t]]=Table18[[#All],[year t]])*(Table14[[#This Row],[stratum i]]=Table18[[#All],[stratum i]]), 0)), 0)</f>
        <v>0</v>
      </c>
      <c r="BA115">
        <f>IF(AND(Table14[[#This Row],[year t]]&gt;Table14[[#This Row],[End_PDT]],Table14[[#This Row],[year t]]&gt;Table14[[#This Row],[End_SDT]]), 0, Table14[[#This Row],[Ai,t]]*(Table14[[#This Row],[GHGBSL-soil-CO2,i,t (Eq 27)]]-Table14[[#This Row],[Deductionalloch (Eq 38)]]+Table14[[#This Row],[GHGBSL-soil-CH4,i,t]]+Table14[[#This Row],[GHGBSL-soil-N2O,i,t]]))</f>
        <v>0</v>
      </c>
      <c r="BB115" t="e" cm="1">
        <f t="array" ref="BB115">INDEX(#REF!, MATCH(1, (Table14[[#This Row],[year t]]=Table32[[#All],[year t]])*(Table14[[#This Row],[stratum i]]=Table32[[#All],[stratum i]]), 0))</f>
        <v>#REF!</v>
      </c>
      <c r="BC115" t="e" cm="1">
        <f t="array" ref="BC115">INDEX(#REF!, MATCH(1, (Table14[[#This Row],[year t]]=Table32[[#All],[year t]])*(Table14[[#This Row],[stratum i]]=Table32[[#All],[stratum i]]), 0))</f>
        <v>#REF!</v>
      </c>
      <c r="BD115" t="e" cm="1">
        <f t="array" ref="BD115">INDEX(#REF!, MATCH(1, (Table14[[#This Row],[year t]]=Table32[[#All],[year t]])*(Table14[[#This Row],[stratum i]]=Table32[[#All],[stratum i]]), 0))</f>
        <v>#REF!</v>
      </c>
      <c r="BE115" t="e" cm="1">
        <f t="array" ref="BE115">INDEX(#REF!, MATCH(1, (Table14[[#This Row],[year t]]=Table32[[#All],[year t]])*(Table14[[#This Row],[stratum i]]=Table32[[#All],[stratum i]]), 0))</f>
        <v>#REF!</v>
      </c>
      <c r="BF115" s="30"/>
      <c r="BM115" s="18">
        <v>2055</v>
      </c>
      <c r="BN115">
        <v>3</v>
      </c>
      <c r="BO115" t="e" cm="1">
        <f t="array" ref="BO115">INDEX(#REF!, MATCH(1, (Table132926[[#This Row],[year t]]=Table32[year t])*(Table132926[[#This Row],[stratum i]]=Table32[[#All],[stratum i]]), 0))</f>
        <v>#REF!</v>
      </c>
      <c r="BP115" t="e">
        <f>-44/12*Table132926[[#This Row],[∆CBSL-soil,i,t (tC/ha)]]</f>
        <v>#REF!</v>
      </c>
    </row>
    <row r="116" spans="10:68" x14ac:dyDescent="0.2">
      <c r="J116" s="18">
        <v>2056</v>
      </c>
      <c r="K116">
        <v>3</v>
      </c>
      <c r="L116" cm="1">
        <f t="array" ref="L116">INDEX(Table32[[#All],[ΔCTREE_BSL,i,t (AR Tool 14) t C/yr]], MATCH(1, (Table12[[#This Row],[year t]]=Table32[[#All],[year t]])*(Table12[[#This Row],[stratum i]]=Table32[[#All],[stratum i]]), 0))</f>
        <v>0</v>
      </c>
      <c r="M116" cm="1">
        <f t="array" ref="M116">IF(baseline_abground_nontree = "Included", INDEX(#REF!, MATCH(1, (Table12[[#This Row],[year t]]=Table32[[#All],[year t]])*(Table12[[#This Row],[stratum i]]=Table32[[#All],[stratum i]]), 0)), 0)</f>
        <v>0</v>
      </c>
      <c r="N116">
        <f>12/44*(Table12[[#This Row],[ΔCTREE_BSL,i,t (AR Tool 14) t CO2e/yr]]+Table12[[#This Row],[ΔCSHRUB_BSL,i,t (AR Tool 14) t CO2e/yr]])</f>
        <v>0</v>
      </c>
      <c r="O116" cm="1">
        <f t="array" ref="O116">IF(baseline_abground_nontree = "Included", IFERROR(INDEX(Table13[[#All],[ΔCBSL-herb,i,t (Eq 25)]], MATCH(1, (Table12[[#This Row],[stratum i]]=Table13[[#All],[stratum i]])*(Table12[[#This Row],[year t]]&gt;=#REF!)*(Table12[[#This Row],[year t]]&lt;=Table13[[#All],[year t]]), 0)), 0), 0)</f>
        <v>0</v>
      </c>
      <c r="P116">
        <f>Table12[[#This Row],[ΔCBSL-tree/shrub,i,t (t C/yr) (Eq 24)]]+Table12[[#This Row],[ΔCBSL-herb,i,t (t C/yr)]]-Table12[[#This Row],[ΔCBSL-agbiomass,i,t; t C yr-1 (submergence)]]</f>
        <v>0</v>
      </c>
      <c r="Q116" cm="1">
        <f t="array" ref="Q116">IFERROR(INDEX(Table14[[#All],[GHGBSL-soil,i,t (Eq 26)]], MATCH(1, (Table12[[#This Row],[year t]]=Table14[[#All],[year t]])*(Table12[[#This Row],[stratum i]]=Table14[[#All],[stratum i]]), 0)), 0)</f>
        <v>0</v>
      </c>
      <c r="R116">
        <f>IF(baseline_ff_CO2 = "Included", Table12[[#This Row],[ET(FC,I,t) AR-Tool 5]], 0)</f>
        <v>0</v>
      </c>
      <c r="S116" t="e" cm="1">
        <f t="array" ref="S116">INDEX(#REF!, MATCH(1, (Table12[[#This Row],[year t]]=Table32[[#All],[year t]])*(Table12[[#This Row],[stratum i]]=Table32[[#All],[stratum i]]), 0))</f>
        <v>#REF!</v>
      </c>
      <c r="T116" cm="1">
        <f t="array" ref="T116">IFERROR(INDEX(Table30[[#All],[ΔCBSL-agbiomass,i,t (equation 22) t C yr-1]], MATCH(1, (Table12[[#This Row],[stratum i]]=Table30[[#All],[Stratum i]])*(Table12[[#This Row],[year t]]&lt;Table30[[#All],[Year of reporting]]), 0)), 0)</f>
        <v>0</v>
      </c>
      <c r="AG116" s="18">
        <v>2056</v>
      </c>
      <c r="AH116">
        <v>3</v>
      </c>
      <c r="AI116" s="49" t="e" cm="1">
        <f t="array" ref="AI116">INDEX(#REF!, MATCH(1, (Table13[[#This Row],[year t]]=Table32[[#All],[year t]])*(Table13[[#This Row],[stratum i]]=Table32[[#All],[stratum i]]), 0))</f>
        <v>#REF!</v>
      </c>
      <c r="AJ116" s="49" t="e">
        <f>Table13[[#This Row],[ΔCBSL-herb,i,t (tC/ha)]]</f>
        <v>#REF!</v>
      </c>
      <c r="AO116" s="18">
        <v>2056</v>
      </c>
      <c r="AP116">
        <v>3</v>
      </c>
      <c r="AQ116" s="18" cm="1">
        <f t="array" ref="AQ116">INDEX(Table32[[#All],[Ai,t]], MATCH(1, (Table14[[#This Row],[year t]]=Table32[[#All],[year t]])*(Table14[[#This Row],[stratum i]]=Table32[[#All],[stratum i]]), 0))</f>
        <v>2222.8442528571427</v>
      </c>
      <c r="AR116" t="str">
        <f>IF(AND(INDEX(Table31[[#All],[Soil type (t=0)]], MATCH(Table14[[#This Row],[stratum i]], Table31[[#All],[Stratum i]]))="Peat soil", Table14[[#This Row],[year t]]&lt;=Table14[[#This Row],[End_PDT]]), "Peat soil", "Non-peat soil")</f>
        <v>Non-peat soil</v>
      </c>
      <c r="AS116">
        <f>IF(Emission_reduction_from_stock_loss?, INDEX(Table2[[#All],[End_PDT]], MATCH(Table14[[#This Row],[stratum i]], Table2[[#All],[stratum i]])), crediting_period)</f>
        <v>40</v>
      </c>
      <c r="AT116">
        <f>IF(Emission_reduction_from_stock_loss?, INDEX(Table2[[#All],[End_SDT]], MATCH(Table14[[#This Row],[stratum i]], Table2[[#All],[stratum i]])), crediting_period)</f>
        <v>40</v>
      </c>
      <c r="AU116" cm="1">
        <f t="array" ref="AU11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6" t="e" cm="1">
        <f t="array" ref="AV116">INDEX(#REF!, MATCH(1, (Table14[[#This Row],[year t]]=Table32[[#All],[year t]])*(Table14[[#This Row],[stratum i]]=Table32[[#All],[stratum i]]), 0))</f>
        <v>#REF!</v>
      </c>
      <c r="AW11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6" s="57">
        <f>(Table14[[#This Row],[GHGBSL-soil-CO2,i,t (Eq 27)]]-Table14[[#This Row],[Deductionalloch (Eq 38)]])*Table14[[#This Row],[Ai,t]]</f>
        <v>0</v>
      </c>
      <c r="AY116" cm="1">
        <f t="array" ref="AY116">IF(baseline_soil_CH4 = "Included", INDEX(Table18[[#All],[GHGBSL-soil-CH4,i,t (Eq 59)]], MATCH(1, (Table14[[#This Row],[year t]]=Table18[[#All],[year t]])*(Table14[[#This Row],[stratum i]]=Table18[[#All],[stratum i]]), 0)), 0)</f>
        <v>0</v>
      </c>
      <c r="AZ116" cm="1">
        <f t="array" ref="AZ116">IF(baseline_soil_N2O = "Included", INDEX(Table18[[#All],[GHGBSL-soil-N2O,i,t (Eq 62)]], MATCH(1, (Table14[[#This Row],[year t]]=Table18[[#All],[year t]])*(Table14[[#This Row],[stratum i]]=Table18[[#All],[stratum i]]), 0)), 0)</f>
        <v>0</v>
      </c>
      <c r="BA116">
        <f>IF(AND(Table14[[#This Row],[year t]]&gt;Table14[[#This Row],[End_PDT]],Table14[[#This Row],[year t]]&gt;Table14[[#This Row],[End_SDT]]), 0, Table14[[#This Row],[Ai,t]]*(Table14[[#This Row],[GHGBSL-soil-CO2,i,t (Eq 27)]]-Table14[[#This Row],[Deductionalloch (Eq 38)]]+Table14[[#This Row],[GHGBSL-soil-CH4,i,t]]+Table14[[#This Row],[GHGBSL-soil-N2O,i,t]]))</f>
        <v>0</v>
      </c>
      <c r="BB116" t="e" cm="1">
        <f t="array" ref="BB116">INDEX(#REF!, MATCH(1, (Table14[[#This Row],[year t]]=Table32[[#All],[year t]])*(Table14[[#This Row],[stratum i]]=Table32[[#All],[stratum i]]), 0))</f>
        <v>#REF!</v>
      </c>
      <c r="BC116" t="e" cm="1">
        <f t="array" ref="BC116">INDEX(#REF!, MATCH(1, (Table14[[#This Row],[year t]]=Table32[[#All],[year t]])*(Table14[[#This Row],[stratum i]]=Table32[[#All],[stratum i]]), 0))</f>
        <v>#REF!</v>
      </c>
      <c r="BD116" t="e" cm="1">
        <f t="array" ref="BD116">INDEX(#REF!, MATCH(1, (Table14[[#This Row],[year t]]=Table32[[#All],[year t]])*(Table14[[#This Row],[stratum i]]=Table32[[#All],[stratum i]]), 0))</f>
        <v>#REF!</v>
      </c>
      <c r="BE116" t="e" cm="1">
        <f t="array" ref="BE116">INDEX(#REF!, MATCH(1, (Table14[[#This Row],[year t]]=Table32[[#All],[year t]])*(Table14[[#This Row],[stratum i]]=Table32[[#All],[stratum i]]), 0))</f>
        <v>#REF!</v>
      </c>
      <c r="BF116" s="30"/>
      <c r="BM116" s="18">
        <v>2056</v>
      </c>
      <c r="BN116">
        <v>3</v>
      </c>
      <c r="BO116" t="e" cm="1">
        <f t="array" ref="BO116">INDEX(#REF!, MATCH(1, (Table132926[[#This Row],[year t]]=Table32[year t])*(Table132926[[#This Row],[stratum i]]=Table32[[#All],[stratum i]]), 0))</f>
        <v>#REF!</v>
      </c>
      <c r="BP116" t="e">
        <f>-44/12*Table132926[[#This Row],[∆CBSL-soil,i,t (tC/ha)]]</f>
        <v>#REF!</v>
      </c>
    </row>
    <row r="117" spans="10:68" x14ac:dyDescent="0.2">
      <c r="J117" s="18">
        <v>2057</v>
      </c>
      <c r="K117">
        <v>3</v>
      </c>
      <c r="L117" cm="1">
        <f t="array" ref="L117">INDEX(Table32[[#All],[ΔCTREE_BSL,i,t (AR Tool 14) t C/yr]], MATCH(1, (Table12[[#This Row],[year t]]=Table32[[#All],[year t]])*(Table12[[#This Row],[stratum i]]=Table32[[#All],[stratum i]]), 0))</f>
        <v>0</v>
      </c>
      <c r="M117" cm="1">
        <f t="array" ref="M117">IF(baseline_abground_nontree = "Included", INDEX(#REF!, MATCH(1, (Table12[[#This Row],[year t]]=Table32[[#All],[year t]])*(Table12[[#This Row],[stratum i]]=Table32[[#All],[stratum i]]), 0)), 0)</f>
        <v>0</v>
      </c>
      <c r="N117">
        <f>12/44*(Table12[[#This Row],[ΔCTREE_BSL,i,t (AR Tool 14) t CO2e/yr]]+Table12[[#This Row],[ΔCSHRUB_BSL,i,t (AR Tool 14) t CO2e/yr]])</f>
        <v>0</v>
      </c>
      <c r="O117" cm="1">
        <f t="array" ref="O117">IF(baseline_abground_nontree = "Included", IFERROR(INDEX(Table13[[#All],[ΔCBSL-herb,i,t (Eq 25)]], MATCH(1, (Table12[[#This Row],[stratum i]]=Table13[[#All],[stratum i]])*(Table12[[#This Row],[year t]]&gt;=#REF!)*(Table12[[#This Row],[year t]]&lt;=Table13[[#All],[year t]]), 0)), 0), 0)</f>
        <v>0</v>
      </c>
      <c r="P117">
        <f>Table12[[#This Row],[ΔCBSL-tree/shrub,i,t (t C/yr) (Eq 24)]]+Table12[[#This Row],[ΔCBSL-herb,i,t (t C/yr)]]-Table12[[#This Row],[ΔCBSL-agbiomass,i,t; t C yr-1 (submergence)]]</f>
        <v>0</v>
      </c>
      <c r="Q117" cm="1">
        <f t="array" ref="Q117">IFERROR(INDEX(Table14[[#All],[GHGBSL-soil,i,t (Eq 26)]], MATCH(1, (Table12[[#This Row],[year t]]=Table14[[#All],[year t]])*(Table12[[#This Row],[stratum i]]=Table14[[#All],[stratum i]]), 0)), 0)</f>
        <v>0</v>
      </c>
      <c r="R117">
        <f>IF(baseline_ff_CO2 = "Included", Table12[[#This Row],[ET(FC,I,t) AR-Tool 5]], 0)</f>
        <v>0</v>
      </c>
      <c r="S117" t="e" cm="1">
        <f t="array" ref="S117">INDEX(#REF!, MATCH(1, (Table12[[#This Row],[year t]]=Table32[[#All],[year t]])*(Table12[[#This Row],[stratum i]]=Table32[[#All],[stratum i]]), 0))</f>
        <v>#REF!</v>
      </c>
      <c r="T117" cm="1">
        <f t="array" ref="T117">IFERROR(INDEX(Table30[[#All],[ΔCBSL-agbiomass,i,t (equation 22) t C yr-1]], MATCH(1, (Table12[[#This Row],[stratum i]]=Table30[[#All],[Stratum i]])*(Table12[[#This Row],[year t]]&lt;Table30[[#All],[Year of reporting]]), 0)), 0)</f>
        <v>0</v>
      </c>
      <c r="AG117" s="18">
        <v>2057</v>
      </c>
      <c r="AH117">
        <v>3</v>
      </c>
      <c r="AI117" s="49" t="e" cm="1">
        <f t="array" ref="AI117">INDEX(#REF!, MATCH(1, (Table13[[#This Row],[year t]]=Table32[[#All],[year t]])*(Table13[[#This Row],[stratum i]]=Table32[[#All],[stratum i]]), 0))</f>
        <v>#REF!</v>
      </c>
      <c r="AJ117" s="49" t="e">
        <f>Table13[[#This Row],[ΔCBSL-herb,i,t (tC/ha)]]</f>
        <v>#REF!</v>
      </c>
      <c r="AO117" s="18">
        <v>2057</v>
      </c>
      <c r="AP117">
        <v>3</v>
      </c>
      <c r="AQ117" s="18" cm="1">
        <f t="array" ref="AQ117">INDEX(Table32[[#All],[Ai,t]], MATCH(1, (Table14[[#This Row],[year t]]=Table32[[#All],[year t]])*(Table14[[#This Row],[stratum i]]=Table32[[#All],[stratum i]]), 0))</f>
        <v>2222.8442528571427</v>
      </c>
      <c r="AR117" t="str">
        <f>IF(AND(INDEX(Table31[[#All],[Soil type (t=0)]], MATCH(Table14[[#This Row],[stratum i]], Table31[[#All],[Stratum i]]))="Peat soil", Table14[[#This Row],[year t]]&lt;=Table14[[#This Row],[End_PDT]]), "Peat soil", "Non-peat soil")</f>
        <v>Non-peat soil</v>
      </c>
      <c r="AS117">
        <f>IF(Emission_reduction_from_stock_loss?, INDEX(Table2[[#All],[End_PDT]], MATCH(Table14[[#This Row],[stratum i]], Table2[[#All],[stratum i]])), crediting_period)</f>
        <v>40</v>
      </c>
      <c r="AT117">
        <f>IF(Emission_reduction_from_stock_loss?, INDEX(Table2[[#All],[End_SDT]], MATCH(Table14[[#This Row],[stratum i]], Table2[[#All],[stratum i]])), crediting_period)</f>
        <v>40</v>
      </c>
      <c r="AU117" cm="1">
        <f t="array" ref="AU11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7" t="e" cm="1">
        <f t="array" ref="AV117">INDEX(#REF!, MATCH(1, (Table14[[#This Row],[year t]]=Table32[[#All],[year t]])*(Table14[[#This Row],[stratum i]]=Table32[[#All],[stratum i]]), 0))</f>
        <v>#REF!</v>
      </c>
      <c r="AW11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7" s="57">
        <f>(Table14[[#This Row],[GHGBSL-soil-CO2,i,t (Eq 27)]]-Table14[[#This Row],[Deductionalloch (Eq 38)]])*Table14[[#This Row],[Ai,t]]</f>
        <v>0</v>
      </c>
      <c r="AY117" cm="1">
        <f t="array" ref="AY117">IF(baseline_soil_CH4 = "Included", INDEX(Table18[[#All],[GHGBSL-soil-CH4,i,t (Eq 59)]], MATCH(1, (Table14[[#This Row],[year t]]=Table18[[#All],[year t]])*(Table14[[#This Row],[stratum i]]=Table18[[#All],[stratum i]]), 0)), 0)</f>
        <v>0</v>
      </c>
      <c r="AZ117" cm="1">
        <f t="array" ref="AZ117">IF(baseline_soil_N2O = "Included", INDEX(Table18[[#All],[GHGBSL-soil-N2O,i,t (Eq 62)]], MATCH(1, (Table14[[#This Row],[year t]]=Table18[[#All],[year t]])*(Table14[[#This Row],[stratum i]]=Table18[[#All],[stratum i]]), 0)), 0)</f>
        <v>0</v>
      </c>
      <c r="BA117">
        <f>IF(AND(Table14[[#This Row],[year t]]&gt;Table14[[#This Row],[End_PDT]],Table14[[#This Row],[year t]]&gt;Table14[[#This Row],[End_SDT]]), 0, Table14[[#This Row],[Ai,t]]*(Table14[[#This Row],[GHGBSL-soil-CO2,i,t (Eq 27)]]-Table14[[#This Row],[Deductionalloch (Eq 38)]]+Table14[[#This Row],[GHGBSL-soil-CH4,i,t]]+Table14[[#This Row],[GHGBSL-soil-N2O,i,t]]))</f>
        <v>0</v>
      </c>
      <c r="BB117" t="e" cm="1">
        <f t="array" ref="BB117">INDEX(#REF!, MATCH(1, (Table14[[#This Row],[year t]]=Table32[[#All],[year t]])*(Table14[[#This Row],[stratum i]]=Table32[[#All],[stratum i]]), 0))</f>
        <v>#REF!</v>
      </c>
      <c r="BC117" t="e" cm="1">
        <f t="array" ref="BC117">INDEX(#REF!, MATCH(1, (Table14[[#This Row],[year t]]=Table32[[#All],[year t]])*(Table14[[#This Row],[stratum i]]=Table32[[#All],[stratum i]]), 0))</f>
        <v>#REF!</v>
      </c>
      <c r="BD117" t="e" cm="1">
        <f t="array" ref="BD117">INDEX(#REF!, MATCH(1, (Table14[[#This Row],[year t]]=Table32[[#All],[year t]])*(Table14[[#This Row],[stratum i]]=Table32[[#All],[stratum i]]), 0))</f>
        <v>#REF!</v>
      </c>
      <c r="BE117" t="e" cm="1">
        <f t="array" ref="BE117">INDEX(#REF!, MATCH(1, (Table14[[#This Row],[year t]]=Table32[[#All],[year t]])*(Table14[[#This Row],[stratum i]]=Table32[[#All],[stratum i]]), 0))</f>
        <v>#REF!</v>
      </c>
      <c r="BF117" s="30"/>
      <c r="BM117" s="18">
        <v>2057</v>
      </c>
      <c r="BN117">
        <v>3</v>
      </c>
      <c r="BO117" t="e" cm="1">
        <f t="array" ref="BO117">INDEX(#REF!, MATCH(1, (Table132926[[#This Row],[year t]]=Table32[year t])*(Table132926[[#This Row],[stratum i]]=Table32[[#All],[stratum i]]), 0))</f>
        <v>#REF!</v>
      </c>
      <c r="BP117" t="e">
        <f>-44/12*Table132926[[#This Row],[∆CBSL-soil,i,t (tC/ha)]]</f>
        <v>#REF!</v>
      </c>
    </row>
    <row r="118" spans="10:68" x14ac:dyDescent="0.2">
      <c r="J118" s="18">
        <v>2058</v>
      </c>
      <c r="K118">
        <v>3</v>
      </c>
      <c r="L118" cm="1">
        <f t="array" ref="L118">INDEX(Table32[[#All],[ΔCTREE_BSL,i,t (AR Tool 14) t C/yr]], MATCH(1, (Table12[[#This Row],[year t]]=Table32[[#All],[year t]])*(Table12[[#This Row],[stratum i]]=Table32[[#All],[stratum i]]), 0))</f>
        <v>0</v>
      </c>
      <c r="M118" cm="1">
        <f t="array" ref="M118">IF(baseline_abground_nontree = "Included", INDEX(#REF!, MATCH(1, (Table12[[#This Row],[year t]]=Table32[[#All],[year t]])*(Table12[[#This Row],[stratum i]]=Table32[[#All],[stratum i]]), 0)), 0)</f>
        <v>0</v>
      </c>
      <c r="N118">
        <f>12/44*(Table12[[#This Row],[ΔCTREE_BSL,i,t (AR Tool 14) t CO2e/yr]]+Table12[[#This Row],[ΔCSHRUB_BSL,i,t (AR Tool 14) t CO2e/yr]])</f>
        <v>0</v>
      </c>
      <c r="O118" cm="1">
        <f t="array" ref="O118">IF(baseline_abground_nontree = "Included", IFERROR(INDEX(Table13[[#All],[ΔCBSL-herb,i,t (Eq 25)]], MATCH(1, (Table12[[#This Row],[stratum i]]=Table13[[#All],[stratum i]])*(Table12[[#This Row],[year t]]&gt;=#REF!)*(Table12[[#This Row],[year t]]&lt;=Table13[[#All],[year t]]), 0)), 0), 0)</f>
        <v>0</v>
      </c>
      <c r="P118">
        <f>Table12[[#This Row],[ΔCBSL-tree/shrub,i,t (t C/yr) (Eq 24)]]+Table12[[#This Row],[ΔCBSL-herb,i,t (t C/yr)]]-Table12[[#This Row],[ΔCBSL-agbiomass,i,t; t C yr-1 (submergence)]]</f>
        <v>0</v>
      </c>
      <c r="Q118" cm="1">
        <f t="array" ref="Q118">IFERROR(INDEX(Table14[[#All],[GHGBSL-soil,i,t (Eq 26)]], MATCH(1, (Table12[[#This Row],[year t]]=Table14[[#All],[year t]])*(Table12[[#This Row],[stratum i]]=Table14[[#All],[stratum i]]), 0)), 0)</f>
        <v>0</v>
      </c>
      <c r="R118">
        <f>IF(baseline_ff_CO2 = "Included", Table12[[#This Row],[ET(FC,I,t) AR-Tool 5]], 0)</f>
        <v>0</v>
      </c>
      <c r="S118" t="e" cm="1">
        <f t="array" ref="S118">INDEX(#REF!, MATCH(1, (Table12[[#This Row],[year t]]=Table32[[#All],[year t]])*(Table12[[#This Row],[stratum i]]=Table32[[#All],[stratum i]]), 0))</f>
        <v>#REF!</v>
      </c>
      <c r="T118" cm="1">
        <f t="array" ref="T118">IFERROR(INDEX(Table30[[#All],[ΔCBSL-agbiomass,i,t (equation 22) t C yr-1]], MATCH(1, (Table12[[#This Row],[stratum i]]=Table30[[#All],[Stratum i]])*(Table12[[#This Row],[year t]]&lt;Table30[[#All],[Year of reporting]]), 0)), 0)</f>
        <v>0</v>
      </c>
      <c r="AG118" s="18">
        <v>2058</v>
      </c>
      <c r="AH118">
        <v>3</v>
      </c>
      <c r="AI118" s="49" t="e" cm="1">
        <f t="array" ref="AI118">INDEX(#REF!, MATCH(1, (Table13[[#This Row],[year t]]=Table32[[#All],[year t]])*(Table13[[#This Row],[stratum i]]=Table32[[#All],[stratum i]]), 0))</f>
        <v>#REF!</v>
      </c>
      <c r="AJ118" s="49" t="e">
        <f>Table13[[#This Row],[ΔCBSL-herb,i,t (tC/ha)]]</f>
        <v>#REF!</v>
      </c>
      <c r="AO118" s="18">
        <v>2058</v>
      </c>
      <c r="AP118">
        <v>3</v>
      </c>
      <c r="AQ118" s="18" cm="1">
        <f t="array" ref="AQ118">INDEX(Table32[[#All],[Ai,t]], MATCH(1, (Table14[[#This Row],[year t]]=Table32[[#All],[year t]])*(Table14[[#This Row],[stratum i]]=Table32[[#All],[stratum i]]), 0))</f>
        <v>2222.8442528571427</v>
      </c>
      <c r="AR118" t="str">
        <f>IF(AND(INDEX(Table31[[#All],[Soil type (t=0)]], MATCH(Table14[[#This Row],[stratum i]], Table31[[#All],[Stratum i]]))="Peat soil", Table14[[#This Row],[year t]]&lt;=Table14[[#This Row],[End_PDT]]), "Peat soil", "Non-peat soil")</f>
        <v>Non-peat soil</v>
      </c>
      <c r="AS118">
        <f>IF(Emission_reduction_from_stock_loss?, INDEX(Table2[[#All],[End_PDT]], MATCH(Table14[[#This Row],[stratum i]], Table2[[#All],[stratum i]])), crediting_period)</f>
        <v>40</v>
      </c>
      <c r="AT118">
        <f>IF(Emission_reduction_from_stock_loss?, INDEX(Table2[[#All],[End_SDT]], MATCH(Table14[[#This Row],[stratum i]], Table2[[#All],[stratum i]])), crediting_period)</f>
        <v>40</v>
      </c>
      <c r="AU118" cm="1">
        <f t="array" ref="AU11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8" t="e" cm="1">
        <f t="array" ref="AV118">INDEX(#REF!, MATCH(1, (Table14[[#This Row],[year t]]=Table32[[#All],[year t]])*(Table14[[#This Row],[stratum i]]=Table32[[#All],[stratum i]]), 0))</f>
        <v>#REF!</v>
      </c>
      <c r="AW11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8" s="57">
        <f>(Table14[[#This Row],[GHGBSL-soil-CO2,i,t (Eq 27)]]-Table14[[#This Row],[Deductionalloch (Eq 38)]])*Table14[[#This Row],[Ai,t]]</f>
        <v>0</v>
      </c>
      <c r="AY118" cm="1">
        <f t="array" ref="AY118">IF(baseline_soil_CH4 = "Included", INDEX(Table18[[#All],[GHGBSL-soil-CH4,i,t (Eq 59)]], MATCH(1, (Table14[[#This Row],[year t]]=Table18[[#All],[year t]])*(Table14[[#This Row],[stratum i]]=Table18[[#All],[stratum i]]), 0)), 0)</f>
        <v>0</v>
      </c>
      <c r="AZ118" cm="1">
        <f t="array" ref="AZ118">IF(baseline_soil_N2O = "Included", INDEX(Table18[[#All],[GHGBSL-soil-N2O,i,t (Eq 62)]], MATCH(1, (Table14[[#This Row],[year t]]=Table18[[#All],[year t]])*(Table14[[#This Row],[stratum i]]=Table18[[#All],[stratum i]]), 0)), 0)</f>
        <v>0</v>
      </c>
      <c r="BA118">
        <f>IF(AND(Table14[[#This Row],[year t]]&gt;Table14[[#This Row],[End_PDT]],Table14[[#This Row],[year t]]&gt;Table14[[#This Row],[End_SDT]]), 0, Table14[[#This Row],[Ai,t]]*(Table14[[#This Row],[GHGBSL-soil-CO2,i,t (Eq 27)]]-Table14[[#This Row],[Deductionalloch (Eq 38)]]+Table14[[#This Row],[GHGBSL-soil-CH4,i,t]]+Table14[[#This Row],[GHGBSL-soil-N2O,i,t]]))</f>
        <v>0</v>
      </c>
      <c r="BB118" t="e" cm="1">
        <f t="array" ref="BB118">INDEX(#REF!, MATCH(1, (Table14[[#This Row],[year t]]=Table32[[#All],[year t]])*(Table14[[#This Row],[stratum i]]=Table32[[#All],[stratum i]]), 0))</f>
        <v>#REF!</v>
      </c>
      <c r="BC118" t="e" cm="1">
        <f t="array" ref="BC118">INDEX(#REF!, MATCH(1, (Table14[[#This Row],[year t]]=Table32[[#All],[year t]])*(Table14[[#This Row],[stratum i]]=Table32[[#All],[stratum i]]), 0))</f>
        <v>#REF!</v>
      </c>
      <c r="BD118" t="e" cm="1">
        <f t="array" ref="BD118">INDEX(#REF!, MATCH(1, (Table14[[#This Row],[year t]]=Table32[[#All],[year t]])*(Table14[[#This Row],[stratum i]]=Table32[[#All],[stratum i]]), 0))</f>
        <v>#REF!</v>
      </c>
      <c r="BE118" t="e" cm="1">
        <f t="array" ref="BE118">INDEX(#REF!, MATCH(1, (Table14[[#This Row],[year t]]=Table32[[#All],[year t]])*(Table14[[#This Row],[stratum i]]=Table32[[#All],[stratum i]]), 0))</f>
        <v>#REF!</v>
      </c>
      <c r="BF118" s="30"/>
      <c r="BM118" s="18">
        <v>2058</v>
      </c>
      <c r="BN118">
        <v>3</v>
      </c>
      <c r="BO118" t="e" cm="1">
        <f t="array" ref="BO118">INDEX(#REF!, MATCH(1, (Table132926[[#This Row],[year t]]=Table32[year t])*(Table132926[[#This Row],[stratum i]]=Table32[[#All],[stratum i]]), 0))</f>
        <v>#REF!</v>
      </c>
      <c r="BP118" t="e">
        <f>-44/12*Table132926[[#This Row],[∆CBSL-soil,i,t (tC/ha)]]</f>
        <v>#REF!</v>
      </c>
    </row>
    <row r="119" spans="10:68" x14ac:dyDescent="0.2">
      <c r="J119" s="18">
        <v>2059</v>
      </c>
      <c r="K119">
        <v>3</v>
      </c>
      <c r="L119" cm="1">
        <f t="array" ref="L119">INDEX(Table32[[#All],[ΔCTREE_BSL,i,t (AR Tool 14) t C/yr]], MATCH(1, (Table12[[#This Row],[year t]]=Table32[[#All],[year t]])*(Table12[[#This Row],[stratum i]]=Table32[[#All],[stratum i]]), 0))</f>
        <v>0</v>
      </c>
      <c r="M119" cm="1">
        <f t="array" ref="M119">IF(baseline_abground_nontree = "Included", INDEX(#REF!, MATCH(1, (Table12[[#This Row],[year t]]=Table32[[#All],[year t]])*(Table12[[#This Row],[stratum i]]=Table32[[#All],[stratum i]]), 0)), 0)</f>
        <v>0</v>
      </c>
      <c r="N119">
        <f>12/44*(Table12[[#This Row],[ΔCTREE_BSL,i,t (AR Tool 14) t CO2e/yr]]+Table12[[#This Row],[ΔCSHRUB_BSL,i,t (AR Tool 14) t CO2e/yr]])</f>
        <v>0</v>
      </c>
      <c r="O119" cm="1">
        <f t="array" ref="O119">IF(baseline_abground_nontree = "Included", IFERROR(INDEX(Table13[[#All],[ΔCBSL-herb,i,t (Eq 25)]], MATCH(1, (Table12[[#This Row],[stratum i]]=Table13[[#All],[stratum i]])*(Table12[[#This Row],[year t]]&gt;=#REF!)*(Table12[[#This Row],[year t]]&lt;=Table13[[#All],[year t]]), 0)), 0), 0)</f>
        <v>0</v>
      </c>
      <c r="P119">
        <f>Table12[[#This Row],[ΔCBSL-tree/shrub,i,t (t C/yr) (Eq 24)]]+Table12[[#This Row],[ΔCBSL-herb,i,t (t C/yr)]]-Table12[[#This Row],[ΔCBSL-agbiomass,i,t; t C yr-1 (submergence)]]</f>
        <v>0</v>
      </c>
      <c r="Q119" cm="1">
        <f t="array" ref="Q119">IFERROR(INDEX(Table14[[#All],[GHGBSL-soil,i,t (Eq 26)]], MATCH(1, (Table12[[#This Row],[year t]]=Table14[[#All],[year t]])*(Table12[[#This Row],[stratum i]]=Table14[[#All],[stratum i]]), 0)), 0)</f>
        <v>0</v>
      </c>
      <c r="R119">
        <f>IF(baseline_ff_CO2 = "Included", Table12[[#This Row],[ET(FC,I,t) AR-Tool 5]], 0)</f>
        <v>0</v>
      </c>
      <c r="S119" t="e" cm="1">
        <f t="array" ref="S119">INDEX(#REF!, MATCH(1, (Table12[[#This Row],[year t]]=Table32[[#All],[year t]])*(Table12[[#This Row],[stratum i]]=Table32[[#All],[stratum i]]), 0))</f>
        <v>#REF!</v>
      </c>
      <c r="T119" cm="1">
        <f t="array" ref="T119">IFERROR(INDEX(Table30[[#All],[ΔCBSL-agbiomass,i,t (equation 22) t C yr-1]], MATCH(1, (Table12[[#This Row],[stratum i]]=Table30[[#All],[Stratum i]])*(Table12[[#This Row],[year t]]&lt;Table30[[#All],[Year of reporting]]), 0)), 0)</f>
        <v>0</v>
      </c>
      <c r="AG119" s="18">
        <v>2059</v>
      </c>
      <c r="AH119">
        <v>3</v>
      </c>
      <c r="AI119" s="49" t="e" cm="1">
        <f t="array" ref="AI119">INDEX(#REF!, MATCH(1, (Table13[[#This Row],[year t]]=Table32[[#All],[year t]])*(Table13[[#This Row],[stratum i]]=Table32[[#All],[stratum i]]), 0))</f>
        <v>#REF!</v>
      </c>
      <c r="AJ119" s="49" t="e">
        <f>Table13[[#This Row],[ΔCBSL-herb,i,t (tC/ha)]]</f>
        <v>#REF!</v>
      </c>
      <c r="AO119" s="18">
        <v>2059</v>
      </c>
      <c r="AP119">
        <v>3</v>
      </c>
      <c r="AQ119" s="18" cm="1">
        <f t="array" ref="AQ119">INDEX(Table32[[#All],[Ai,t]], MATCH(1, (Table14[[#This Row],[year t]]=Table32[[#All],[year t]])*(Table14[[#This Row],[stratum i]]=Table32[[#All],[stratum i]]), 0))</f>
        <v>2222.8442528571427</v>
      </c>
      <c r="AR119" t="str">
        <f>IF(AND(INDEX(Table31[[#All],[Soil type (t=0)]], MATCH(Table14[[#This Row],[stratum i]], Table31[[#All],[Stratum i]]))="Peat soil", Table14[[#This Row],[year t]]&lt;=Table14[[#This Row],[End_PDT]]), "Peat soil", "Non-peat soil")</f>
        <v>Non-peat soil</v>
      </c>
      <c r="AS119">
        <f>IF(Emission_reduction_from_stock_loss?, INDEX(Table2[[#All],[End_PDT]], MATCH(Table14[[#This Row],[stratum i]], Table2[[#All],[stratum i]])), crediting_period)</f>
        <v>40</v>
      </c>
      <c r="AT119">
        <f>IF(Emission_reduction_from_stock_loss?, INDEX(Table2[[#All],[End_SDT]], MATCH(Table14[[#This Row],[stratum i]], Table2[[#All],[stratum i]])), crediting_period)</f>
        <v>40</v>
      </c>
      <c r="AU119" cm="1">
        <f t="array" ref="AU11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19" t="e" cm="1">
        <f t="array" ref="AV119">INDEX(#REF!, MATCH(1, (Table14[[#This Row],[year t]]=Table32[[#All],[year t]])*(Table14[[#This Row],[stratum i]]=Table32[[#All],[stratum i]]), 0))</f>
        <v>#REF!</v>
      </c>
      <c r="AW11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19" s="57">
        <f>(Table14[[#This Row],[GHGBSL-soil-CO2,i,t (Eq 27)]]-Table14[[#This Row],[Deductionalloch (Eq 38)]])*Table14[[#This Row],[Ai,t]]</f>
        <v>0</v>
      </c>
      <c r="AY119" cm="1">
        <f t="array" ref="AY119">IF(baseline_soil_CH4 = "Included", INDEX(Table18[[#All],[GHGBSL-soil-CH4,i,t (Eq 59)]], MATCH(1, (Table14[[#This Row],[year t]]=Table18[[#All],[year t]])*(Table14[[#This Row],[stratum i]]=Table18[[#All],[stratum i]]), 0)), 0)</f>
        <v>0</v>
      </c>
      <c r="AZ119" cm="1">
        <f t="array" ref="AZ119">IF(baseline_soil_N2O = "Included", INDEX(Table18[[#All],[GHGBSL-soil-N2O,i,t (Eq 62)]], MATCH(1, (Table14[[#This Row],[year t]]=Table18[[#All],[year t]])*(Table14[[#This Row],[stratum i]]=Table18[[#All],[stratum i]]), 0)), 0)</f>
        <v>0</v>
      </c>
      <c r="BA119">
        <f>IF(AND(Table14[[#This Row],[year t]]&gt;Table14[[#This Row],[End_PDT]],Table14[[#This Row],[year t]]&gt;Table14[[#This Row],[End_SDT]]), 0, Table14[[#This Row],[Ai,t]]*(Table14[[#This Row],[GHGBSL-soil-CO2,i,t (Eq 27)]]-Table14[[#This Row],[Deductionalloch (Eq 38)]]+Table14[[#This Row],[GHGBSL-soil-CH4,i,t]]+Table14[[#This Row],[GHGBSL-soil-N2O,i,t]]))</f>
        <v>0</v>
      </c>
      <c r="BB119" t="e" cm="1">
        <f t="array" ref="BB119">INDEX(#REF!, MATCH(1, (Table14[[#This Row],[year t]]=Table32[[#All],[year t]])*(Table14[[#This Row],[stratum i]]=Table32[[#All],[stratum i]]), 0))</f>
        <v>#REF!</v>
      </c>
      <c r="BC119" t="e" cm="1">
        <f t="array" ref="BC119">INDEX(#REF!, MATCH(1, (Table14[[#This Row],[year t]]=Table32[[#All],[year t]])*(Table14[[#This Row],[stratum i]]=Table32[[#All],[stratum i]]), 0))</f>
        <v>#REF!</v>
      </c>
      <c r="BD119" t="e" cm="1">
        <f t="array" ref="BD119">INDEX(#REF!, MATCH(1, (Table14[[#This Row],[year t]]=Table32[[#All],[year t]])*(Table14[[#This Row],[stratum i]]=Table32[[#All],[stratum i]]), 0))</f>
        <v>#REF!</v>
      </c>
      <c r="BE119" t="e" cm="1">
        <f t="array" ref="BE119">INDEX(#REF!, MATCH(1, (Table14[[#This Row],[year t]]=Table32[[#All],[year t]])*(Table14[[#This Row],[stratum i]]=Table32[[#All],[stratum i]]), 0))</f>
        <v>#REF!</v>
      </c>
      <c r="BF119" s="30"/>
      <c r="BM119" s="18">
        <v>2059</v>
      </c>
      <c r="BN119">
        <v>3</v>
      </c>
      <c r="BO119" t="e" cm="1">
        <f t="array" ref="BO119">INDEX(#REF!, MATCH(1, (Table132926[[#This Row],[year t]]=Table32[year t])*(Table132926[[#This Row],[stratum i]]=Table32[[#All],[stratum i]]), 0))</f>
        <v>#REF!</v>
      </c>
      <c r="BP119" t="e">
        <f>-44/12*Table132926[[#This Row],[∆CBSL-soil,i,t (tC/ha)]]</f>
        <v>#REF!</v>
      </c>
    </row>
    <row r="120" spans="10:68" x14ac:dyDescent="0.2">
      <c r="J120" s="18">
        <v>2060</v>
      </c>
      <c r="K120">
        <v>3</v>
      </c>
      <c r="L120" cm="1">
        <f t="array" ref="L120">INDEX(Table32[[#All],[ΔCTREE_BSL,i,t (AR Tool 14) t C/yr]], MATCH(1, (Table12[[#This Row],[year t]]=Table32[[#All],[year t]])*(Table12[[#This Row],[stratum i]]=Table32[[#All],[stratum i]]), 0))</f>
        <v>0</v>
      </c>
      <c r="M120" cm="1">
        <f t="array" ref="M120">IF(baseline_abground_nontree = "Included", INDEX(#REF!, MATCH(1, (Table12[[#This Row],[year t]]=Table32[[#All],[year t]])*(Table12[[#This Row],[stratum i]]=Table32[[#All],[stratum i]]), 0)), 0)</f>
        <v>0</v>
      </c>
      <c r="N120">
        <f>12/44*(Table12[[#This Row],[ΔCTREE_BSL,i,t (AR Tool 14) t CO2e/yr]]+Table12[[#This Row],[ΔCSHRUB_BSL,i,t (AR Tool 14) t CO2e/yr]])</f>
        <v>0</v>
      </c>
      <c r="O120" cm="1">
        <f t="array" ref="O120">IF(baseline_abground_nontree = "Included", IFERROR(INDEX(Table13[[#All],[ΔCBSL-herb,i,t (Eq 25)]], MATCH(1, (Table12[[#This Row],[stratum i]]=Table13[[#All],[stratum i]])*(Table12[[#This Row],[year t]]&gt;=#REF!)*(Table12[[#This Row],[year t]]&lt;=Table13[[#All],[year t]]), 0)), 0), 0)</f>
        <v>0</v>
      </c>
      <c r="P120">
        <f>Table12[[#This Row],[ΔCBSL-tree/shrub,i,t (t C/yr) (Eq 24)]]+Table12[[#This Row],[ΔCBSL-herb,i,t (t C/yr)]]-Table12[[#This Row],[ΔCBSL-agbiomass,i,t; t C yr-1 (submergence)]]</f>
        <v>0</v>
      </c>
      <c r="Q120" cm="1">
        <f t="array" ref="Q120">IFERROR(INDEX(Table14[[#All],[GHGBSL-soil,i,t (Eq 26)]], MATCH(1, (Table12[[#This Row],[year t]]=Table14[[#All],[year t]])*(Table12[[#This Row],[stratum i]]=Table14[[#All],[stratum i]]), 0)), 0)</f>
        <v>0</v>
      </c>
      <c r="R120">
        <f>IF(baseline_ff_CO2 = "Included", Table12[[#This Row],[ET(FC,I,t) AR-Tool 5]], 0)</f>
        <v>0</v>
      </c>
      <c r="S120" t="e" cm="1">
        <f t="array" ref="S120">INDEX(#REF!, MATCH(1, (Table12[[#This Row],[year t]]=Table32[[#All],[year t]])*(Table12[[#This Row],[stratum i]]=Table32[[#All],[stratum i]]), 0))</f>
        <v>#REF!</v>
      </c>
      <c r="T120" cm="1">
        <f t="array" ref="T120">IFERROR(INDEX(Table30[[#All],[ΔCBSL-agbiomass,i,t (equation 22) t C yr-1]], MATCH(1, (Table12[[#This Row],[stratum i]]=Table30[[#All],[Stratum i]])*(Table12[[#This Row],[year t]]&lt;Table30[[#All],[Year of reporting]]), 0)), 0)</f>
        <v>0</v>
      </c>
      <c r="AG120" s="18">
        <v>2060</v>
      </c>
      <c r="AH120">
        <v>3</v>
      </c>
      <c r="AI120" s="49" t="e" cm="1">
        <f t="array" ref="AI120">INDEX(#REF!, MATCH(1, (Table13[[#This Row],[year t]]=Table32[[#All],[year t]])*(Table13[[#This Row],[stratum i]]=Table32[[#All],[stratum i]]), 0))</f>
        <v>#REF!</v>
      </c>
      <c r="AJ120" s="49" t="e">
        <f>Table13[[#This Row],[ΔCBSL-herb,i,t (tC/ha)]]</f>
        <v>#REF!</v>
      </c>
      <c r="AO120" s="18">
        <v>2060</v>
      </c>
      <c r="AP120">
        <v>3</v>
      </c>
      <c r="AQ120" s="18" cm="1">
        <f t="array" ref="AQ120">INDEX(Table32[[#All],[Ai,t]], MATCH(1, (Table14[[#This Row],[year t]]=Table32[[#All],[year t]])*(Table14[[#This Row],[stratum i]]=Table32[[#All],[stratum i]]), 0))</f>
        <v>2222.8442528571427</v>
      </c>
      <c r="AR120" t="str">
        <f>IF(AND(INDEX(Table31[[#All],[Soil type (t=0)]], MATCH(Table14[[#This Row],[stratum i]], Table31[[#All],[Stratum i]]))="Peat soil", Table14[[#This Row],[year t]]&lt;=Table14[[#This Row],[End_PDT]]), "Peat soil", "Non-peat soil")</f>
        <v>Non-peat soil</v>
      </c>
      <c r="AS120">
        <f>IF(Emission_reduction_from_stock_loss?, INDEX(Table2[[#All],[End_PDT]], MATCH(Table14[[#This Row],[stratum i]], Table2[[#All],[stratum i]])), crediting_period)</f>
        <v>40</v>
      </c>
      <c r="AT120">
        <f>IF(Emission_reduction_from_stock_loss?, INDEX(Table2[[#All],[End_SDT]], MATCH(Table14[[#This Row],[stratum i]], Table2[[#All],[stratum i]])), crediting_period)</f>
        <v>40</v>
      </c>
      <c r="AU120" cm="1">
        <f t="array" ref="AU12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0" t="e" cm="1">
        <f t="array" ref="AV120">INDEX(#REF!, MATCH(1, (Table14[[#This Row],[year t]]=Table32[[#All],[year t]])*(Table14[[#This Row],[stratum i]]=Table32[[#All],[stratum i]]), 0))</f>
        <v>#REF!</v>
      </c>
      <c r="AW12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0" s="57">
        <f>(Table14[[#This Row],[GHGBSL-soil-CO2,i,t (Eq 27)]]-Table14[[#This Row],[Deductionalloch (Eq 38)]])*Table14[[#This Row],[Ai,t]]</f>
        <v>0</v>
      </c>
      <c r="AY120" cm="1">
        <f t="array" ref="AY120">IF(baseline_soil_CH4 = "Included", INDEX(Table18[[#All],[GHGBSL-soil-CH4,i,t (Eq 59)]], MATCH(1, (Table14[[#This Row],[year t]]=Table18[[#All],[year t]])*(Table14[[#This Row],[stratum i]]=Table18[[#All],[stratum i]]), 0)), 0)</f>
        <v>0</v>
      </c>
      <c r="AZ120" cm="1">
        <f t="array" ref="AZ120">IF(baseline_soil_N2O = "Included", INDEX(Table18[[#All],[GHGBSL-soil-N2O,i,t (Eq 62)]], MATCH(1, (Table14[[#This Row],[year t]]=Table18[[#All],[year t]])*(Table14[[#This Row],[stratum i]]=Table18[[#All],[stratum i]]), 0)), 0)</f>
        <v>0</v>
      </c>
      <c r="BA120">
        <f>IF(AND(Table14[[#This Row],[year t]]&gt;Table14[[#This Row],[End_PDT]],Table14[[#This Row],[year t]]&gt;Table14[[#This Row],[End_SDT]]), 0, Table14[[#This Row],[Ai,t]]*(Table14[[#This Row],[GHGBSL-soil-CO2,i,t (Eq 27)]]-Table14[[#This Row],[Deductionalloch (Eq 38)]]+Table14[[#This Row],[GHGBSL-soil-CH4,i,t]]+Table14[[#This Row],[GHGBSL-soil-N2O,i,t]]))</f>
        <v>0</v>
      </c>
      <c r="BB120" t="e" cm="1">
        <f t="array" ref="BB120">INDEX(#REF!, MATCH(1, (Table14[[#This Row],[year t]]=Table32[[#All],[year t]])*(Table14[[#This Row],[stratum i]]=Table32[[#All],[stratum i]]), 0))</f>
        <v>#REF!</v>
      </c>
      <c r="BC120" t="e" cm="1">
        <f t="array" ref="BC120">INDEX(#REF!, MATCH(1, (Table14[[#This Row],[year t]]=Table32[[#All],[year t]])*(Table14[[#This Row],[stratum i]]=Table32[[#All],[stratum i]]), 0))</f>
        <v>#REF!</v>
      </c>
      <c r="BD120" t="e" cm="1">
        <f t="array" ref="BD120">INDEX(#REF!, MATCH(1, (Table14[[#This Row],[year t]]=Table32[[#All],[year t]])*(Table14[[#This Row],[stratum i]]=Table32[[#All],[stratum i]]), 0))</f>
        <v>#REF!</v>
      </c>
      <c r="BE120" t="e" cm="1">
        <f t="array" ref="BE120">INDEX(#REF!, MATCH(1, (Table14[[#This Row],[year t]]=Table32[[#All],[year t]])*(Table14[[#This Row],[stratum i]]=Table32[[#All],[stratum i]]), 0))</f>
        <v>#REF!</v>
      </c>
      <c r="BF120" s="30"/>
      <c r="BM120" s="18">
        <v>2060</v>
      </c>
      <c r="BN120">
        <v>3</v>
      </c>
      <c r="BO120" t="e" cm="1">
        <f t="array" ref="BO120">INDEX(#REF!, MATCH(1, (Table132926[[#This Row],[year t]]=Table32[year t])*(Table132926[[#This Row],[stratum i]]=Table32[[#All],[stratum i]]), 0))</f>
        <v>#REF!</v>
      </c>
      <c r="BP120" t="e">
        <f>-44/12*Table132926[[#This Row],[∆CBSL-soil,i,t (tC/ha)]]</f>
        <v>#REF!</v>
      </c>
    </row>
    <row r="121" spans="10:68" x14ac:dyDescent="0.2">
      <c r="J121" s="18">
        <v>2061</v>
      </c>
      <c r="K121">
        <v>3</v>
      </c>
      <c r="L121" cm="1">
        <f t="array" ref="L121">INDEX(Table32[[#All],[ΔCTREE_BSL,i,t (AR Tool 14) t C/yr]], MATCH(1, (Table12[[#This Row],[year t]]=Table32[[#All],[year t]])*(Table12[[#This Row],[stratum i]]=Table32[[#All],[stratum i]]), 0))</f>
        <v>0</v>
      </c>
      <c r="M121" cm="1">
        <f t="array" ref="M121">IF(baseline_abground_nontree = "Included", INDEX(#REF!, MATCH(1, (Table12[[#This Row],[year t]]=Table32[[#All],[year t]])*(Table12[[#This Row],[stratum i]]=Table32[[#All],[stratum i]]), 0)), 0)</f>
        <v>0</v>
      </c>
      <c r="N121">
        <f>12/44*(Table12[[#This Row],[ΔCTREE_BSL,i,t (AR Tool 14) t CO2e/yr]]+Table12[[#This Row],[ΔCSHRUB_BSL,i,t (AR Tool 14) t CO2e/yr]])</f>
        <v>0</v>
      </c>
      <c r="O121" cm="1">
        <f t="array" ref="O121">IF(baseline_abground_nontree = "Included", IFERROR(INDEX(Table13[[#All],[ΔCBSL-herb,i,t (Eq 25)]], MATCH(1, (Table12[[#This Row],[stratum i]]=Table13[[#All],[stratum i]])*(Table12[[#This Row],[year t]]&gt;=#REF!)*(Table12[[#This Row],[year t]]&lt;=Table13[[#All],[year t]]), 0)), 0), 0)</f>
        <v>0</v>
      </c>
      <c r="P121">
        <f>Table12[[#This Row],[ΔCBSL-tree/shrub,i,t (t C/yr) (Eq 24)]]+Table12[[#This Row],[ΔCBSL-herb,i,t (t C/yr)]]-Table12[[#This Row],[ΔCBSL-agbiomass,i,t; t C yr-1 (submergence)]]</f>
        <v>0</v>
      </c>
      <c r="Q121" cm="1">
        <f t="array" ref="Q121">IFERROR(INDEX(Table14[[#All],[GHGBSL-soil,i,t (Eq 26)]], MATCH(1, (Table12[[#This Row],[year t]]=Table14[[#All],[year t]])*(Table12[[#This Row],[stratum i]]=Table14[[#All],[stratum i]]), 0)), 0)</f>
        <v>0</v>
      </c>
      <c r="R121">
        <f>IF(baseline_ff_CO2 = "Included", Table12[[#This Row],[ET(FC,I,t) AR-Tool 5]], 0)</f>
        <v>0</v>
      </c>
      <c r="S121" t="e" cm="1">
        <f t="array" ref="S121">INDEX(#REF!, MATCH(1, (Table12[[#This Row],[year t]]=Table32[[#All],[year t]])*(Table12[[#This Row],[stratum i]]=Table32[[#All],[stratum i]]), 0))</f>
        <v>#REF!</v>
      </c>
      <c r="T121" cm="1">
        <f t="array" ref="T121">IFERROR(INDEX(Table30[[#All],[ΔCBSL-agbiomass,i,t (equation 22) t C yr-1]], MATCH(1, (Table12[[#This Row],[stratum i]]=Table30[[#All],[Stratum i]])*(Table12[[#This Row],[year t]]&lt;Table30[[#All],[Year of reporting]]), 0)), 0)</f>
        <v>0</v>
      </c>
      <c r="AG121" s="18">
        <v>2061</v>
      </c>
      <c r="AH121">
        <v>3</v>
      </c>
      <c r="AI121" s="49" t="e" cm="1">
        <f t="array" ref="AI121">INDEX(#REF!, MATCH(1, (Table13[[#This Row],[year t]]=Table32[[#All],[year t]])*(Table13[[#This Row],[stratum i]]=Table32[[#All],[stratum i]]), 0))</f>
        <v>#REF!</v>
      </c>
      <c r="AJ121" s="49" t="e">
        <f>Table13[[#This Row],[ΔCBSL-herb,i,t (tC/ha)]]</f>
        <v>#REF!</v>
      </c>
      <c r="AO121" s="18">
        <v>2061</v>
      </c>
      <c r="AP121">
        <v>3</v>
      </c>
      <c r="AQ121" s="18" cm="1">
        <f t="array" ref="AQ121">INDEX(Table32[[#All],[Ai,t]], MATCH(1, (Table14[[#This Row],[year t]]=Table32[[#All],[year t]])*(Table14[[#This Row],[stratum i]]=Table32[[#All],[stratum i]]), 0))</f>
        <v>2222.8442528571427</v>
      </c>
      <c r="AR121" t="str">
        <f>IF(AND(INDEX(Table31[[#All],[Soil type (t=0)]], MATCH(Table14[[#This Row],[stratum i]], Table31[[#All],[Stratum i]]))="Peat soil", Table14[[#This Row],[year t]]&lt;=Table14[[#This Row],[End_PDT]]), "Peat soil", "Non-peat soil")</f>
        <v>Non-peat soil</v>
      </c>
      <c r="AS121">
        <f>IF(Emission_reduction_from_stock_loss?, INDEX(Table2[[#All],[End_PDT]], MATCH(Table14[[#This Row],[stratum i]], Table2[[#All],[stratum i]])), crediting_period)</f>
        <v>40</v>
      </c>
      <c r="AT121">
        <f>IF(Emission_reduction_from_stock_loss?, INDEX(Table2[[#All],[End_SDT]], MATCH(Table14[[#This Row],[stratum i]], Table2[[#All],[stratum i]])), crediting_period)</f>
        <v>40</v>
      </c>
      <c r="AU121" cm="1">
        <f t="array" ref="AU12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1" t="e" cm="1">
        <f t="array" ref="AV121">INDEX(#REF!, MATCH(1, (Table14[[#This Row],[year t]]=Table32[[#All],[year t]])*(Table14[[#This Row],[stratum i]]=Table32[[#All],[stratum i]]), 0))</f>
        <v>#REF!</v>
      </c>
      <c r="AW12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1" s="57">
        <f>(Table14[[#This Row],[GHGBSL-soil-CO2,i,t (Eq 27)]]-Table14[[#This Row],[Deductionalloch (Eq 38)]])*Table14[[#This Row],[Ai,t]]</f>
        <v>0</v>
      </c>
      <c r="AY121" cm="1">
        <f t="array" ref="AY121">IF(baseline_soil_CH4 = "Included", INDEX(Table18[[#All],[GHGBSL-soil-CH4,i,t (Eq 59)]], MATCH(1, (Table14[[#This Row],[year t]]=Table18[[#All],[year t]])*(Table14[[#This Row],[stratum i]]=Table18[[#All],[stratum i]]), 0)), 0)</f>
        <v>0</v>
      </c>
      <c r="AZ121" cm="1">
        <f t="array" ref="AZ121">IF(baseline_soil_N2O = "Included", INDEX(Table18[[#All],[GHGBSL-soil-N2O,i,t (Eq 62)]], MATCH(1, (Table14[[#This Row],[year t]]=Table18[[#All],[year t]])*(Table14[[#This Row],[stratum i]]=Table18[[#All],[stratum i]]), 0)), 0)</f>
        <v>0</v>
      </c>
      <c r="BA121">
        <f>IF(AND(Table14[[#This Row],[year t]]&gt;Table14[[#This Row],[End_PDT]],Table14[[#This Row],[year t]]&gt;Table14[[#This Row],[End_SDT]]), 0, Table14[[#This Row],[Ai,t]]*(Table14[[#This Row],[GHGBSL-soil-CO2,i,t (Eq 27)]]-Table14[[#This Row],[Deductionalloch (Eq 38)]]+Table14[[#This Row],[GHGBSL-soil-CH4,i,t]]+Table14[[#This Row],[GHGBSL-soil-N2O,i,t]]))</f>
        <v>0</v>
      </c>
      <c r="BB121" t="e" cm="1">
        <f t="array" ref="BB121">INDEX(#REF!, MATCH(1, (Table14[[#This Row],[year t]]=Table32[[#All],[year t]])*(Table14[[#This Row],[stratum i]]=Table32[[#All],[stratum i]]), 0))</f>
        <v>#REF!</v>
      </c>
      <c r="BC121" t="e" cm="1">
        <f t="array" ref="BC121">INDEX(#REF!, MATCH(1, (Table14[[#This Row],[year t]]=Table32[[#All],[year t]])*(Table14[[#This Row],[stratum i]]=Table32[[#All],[stratum i]]), 0))</f>
        <v>#REF!</v>
      </c>
      <c r="BD121" t="e" cm="1">
        <f t="array" ref="BD121">INDEX(#REF!, MATCH(1, (Table14[[#This Row],[year t]]=Table32[[#All],[year t]])*(Table14[[#This Row],[stratum i]]=Table32[[#All],[stratum i]]), 0))</f>
        <v>#REF!</v>
      </c>
      <c r="BE121" t="e" cm="1">
        <f t="array" ref="BE121">INDEX(#REF!, MATCH(1, (Table14[[#This Row],[year t]]=Table32[[#All],[year t]])*(Table14[[#This Row],[stratum i]]=Table32[[#All],[stratum i]]), 0))</f>
        <v>#REF!</v>
      </c>
      <c r="BF121" s="30"/>
      <c r="BM121" s="18">
        <v>2061</v>
      </c>
      <c r="BN121">
        <v>3</v>
      </c>
      <c r="BO121" t="e" cm="1">
        <f t="array" ref="BO121">INDEX(#REF!, MATCH(1, (Table132926[[#This Row],[year t]]=Table32[year t])*(Table132926[[#This Row],[stratum i]]=Table32[[#All],[stratum i]]), 0))</f>
        <v>#REF!</v>
      </c>
      <c r="BP121" t="e">
        <f>-44/12*Table132926[[#This Row],[∆CBSL-soil,i,t (tC/ha)]]</f>
        <v>#REF!</v>
      </c>
    </row>
    <row r="122" spans="10:68" x14ac:dyDescent="0.2">
      <c r="J122" s="18">
        <v>2025</v>
      </c>
      <c r="K122">
        <v>4</v>
      </c>
      <c r="L122" cm="1">
        <f t="array" ref="L122">INDEX(Table32[[#All],[ΔCTREE_BSL,i,t (AR Tool 14) t C/yr]], MATCH(1, (Table12[[#This Row],[year t]]=Table32[[#All],[year t]])*(Table12[[#This Row],[stratum i]]=Table32[[#All],[stratum i]]), 0))</f>
        <v>0</v>
      </c>
      <c r="M122" cm="1">
        <f t="array" ref="M122">IF(baseline_abground_nontree = "Included", INDEX(#REF!, MATCH(1, (Table12[[#This Row],[year t]]=Table32[[#All],[year t]])*(Table12[[#This Row],[stratum i]]=Table32[[#All],[stratum i]]), 0)), 0)</f>
        <v>0</v>
      </c>
      <c r="N122">
        <f>12/44*(Table12[[#This Row],[ΔCTREE_BSL,i,t (AR Tool 14) t CO2e/yr]]+Table12[[#This Row],[ΔCSHRUB_BSL,i,t (AR Tool 14) t CO2e/yr]])</f>
        <v>0</v>
      </c>
      <c r="O122" cm="1">
        <f t="array" ref="O122">IF(baseline_abground_nontree = "Included", IFERROR(INDEX(Table13[[#All],[ΔCBSL-herb,i,t (Eq 25)]], MATCH(1, (Table12[[#This Row],[stratum i]]=Table13[[#All],[stratum i]])*(Table12[[#This Row],[year t]]&gt;=#REF!)*(Table12[[#This Row],[year t]]&lt;=Table13[[#All],[year t]]), 0)), 0), 0)</f>
        <v>0</v>
      </c>
      <c r="P122">
        <f>Table12[[#This Row],[ΔCBSL-tree/shrub,i,t (t C/yr) (Eq 24)]]+Table12[[#This Row],[ΔCBSL-herb,i,t (t C/yr)]]-Table12[[#This Row],[ΔCBSL-agbiomass,i,t; t C yr-1 (submergence)]]</f>
        <v>0</v>
      </c>
      <c r="Q122" cm="1">
        <f t="array" ref="Q122">IFERROR(INDEX(Table14[[#All],[GHGBSL-soil,i,t (Eq 26)]], MATCH(1, (Table12[[#This Row],[year t]]=Table14[[#All],[year t]])*(Table12[[#This Row],[stratum i]]=Table14[[#All],[stratum i]]), 0)), 0)</f>
        <v>0</v>
      </c>
      <c r="R122">
        <f>IF(baseline_ff_CO2 = "Included", Table12[[#This Row],[ET(FC,I,t) AR-Tool 5]], 0)</f>
        <v>0</v>
      </c>
      <c r="S122" t="e" cm="1">
        <f t="array" ref="S122">INDEX(#REF!, MATCH(1, (Table12[[#This Row],[year t]]=Table32[[#All],[year t]])*(Table12[[#This Row],[stratum i]]=Table32[[#All],[stratum i]]), 0))</f>
        <v>#REF!</v>
      </c>
      <c r="T122" cm="1">
        <f t="array" ref="T122">IFERROR(INDEX(Table30[[#All],[ΔCBSL-agbiomass,i,t (equation 22) t C yr-1]], MATCH(1, (Table12[[#This Row],[stratum i]]=Table30[[#All],[Stratum i]])*(Table12[[#This Row],[year t]]&lt;Table30[[#All],[Year of reporting]]), 0)), 0)</f>
        <v>0</v>
      </c>
      <c r="AG122" s="18">
        <v>2025</v>
      </c>
      <c r="AH122">
        <v>4</v>
      </c>
      <c r="AI122" s="49" t="e" cm="1">
        <f t="array" ref="AI122">INDEX(#REF!, MATCH(1, (Table13[[#This Row],[year t]]=Table32[[#All],[year t]])*(Table13[[#This Row],[stratum i]]=Table32[[#All],[stratum i]]), 0))</f>
        <v>#REF!</v>
      </c>
      <c r="AJ122" s="49" t="e">
        <f>Table13[[#This Row],[ΔCBSL-herb,i,t (tC/ha)]]</f>
        <v>#REF!</v>
      </c>
      <c r="AO122" s="18">
        <v>2025</v>
      </c>
      <c r="AP122">
        <v>4</v>
      </c>
      <c r="AQ122" s="18" cm="1">
        <f t="array" ref="AQ122">INDEX(Table32[[#All],[Ai,t]], MATCH(1, (Table14[[#This Row],[year t]]=Table32[[#All],[year t]])*(Table14[[#This Row],[stratum i]]=Table32[[#All],[stratum i]]), 0))</f>
        <v>1227.7635314285715</v>
      </c>
      <c r="AR122" t="str">
        <f>IF(AND(INDEX(Table31[[#All],[Soil type (t=0)]], MATCH(Table14[[#This Row],[stratum i]], Table31[[#All],[Stratum i]]))="Peat soil", Table14[[#This Row],[year t]]&lt;=Table14[[#This Row],[End_PDT]]), "Peat soil", "Non-peat soil")</f>
        <v>Non-peat soil</v>
      </c>
      <c r="AS122">
        <f>IF(Emission_reduction_from_stock_loss?, INDEX(Table2[[#All],[End_PDT]], MATCH(Table14[[#This Row],[stratum i]], Table2[[#All],[stratum i]])), crediting_period)</f>
        <v>40</v>
      </c>
      <c r="AT122">
        <f>IF(Emission_reduction_from_stock_loss?, INDEX(Table2[[#All],[End_SDT]], MATCH(Table14[[#This Row],[stratum i]], Table2[[#All],[stratum i]])), crediting_period)</f>
        <v>40</v>
      </c>
      <c r="AU122" cm="1">
        <f t="array" ref="AU12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2" t="e" cm="1">
        <f t="array" ref="AV122">INDEX(#REF!, MATCH(1, (Table14[[#This Row],[year t]]=Table32[[#All],[year t]])*(Table14[[#This Row],[stratum i]]=Table32[[#All],[stratum i]]), 0))</f>
        <v>#REF!</v>
      </c>
      <c r="AW12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2" s="57">
        <f>(Table14[[#This Row],[GHGBSL-soil-CO2,i,t (Eq 27)]]-Table14[[#This Row],[Deductionalloch (Eq 38)]])*Table14[[#This Row],[Ai,t]]</f>
        <v>0</v>
      </c>
      <c r="AY122" cm="1">
        <f t="array" ref="AY122">IF(baseline_soil_CH4 = "Included", INDEX(Table18[[#All],[GHGBSL-soil-CH4,i,t (Eq 59)]], MATCH(1, (Table14[[#This Row],[year t]]=Table18[[#All],[year t]])*(Table14[[#This Row],[stratum i]]=Table18[[#All],[stratum i]]), 0)), 0)</f>
        <v>0</v>
      </c>
      <c r="AZ122" cm="1">
        <f t="array" ref="AZ122">IF(baseline_soil_N2O = "Included", INDEX(Table18[[#All],[GHGBSL-soil-N2O,i,t (Eq 62)]], MATCH(1, (Table14[[#This Row],[year t]]=Table18[[#All],[year t]])*(Table14[[#This Row],[stratum i]]=Table18[[#All],[stratum i]]), 0)), 0)</f>
        <v>0</v>
      </c>
      <c r="BA122">
        <f>IF(AND(Table14[[#This Row],[year t]]&gt;Table14[[#This Row],[End_PDT]],Table14[[#This Row],[year t]]&gt;Table14[[#This Row],[End_SDT]]), 0, Table14[[#This Row],[Ai,t]]*(Table14[[#This Row],[GHGBSL-soil-CO2,i,t (Eq 27)]]-Table14[[#This Row],[Deductionalloch (Eq 38)]]+Table14[[#This Row],[GHGBSL-soil-CH4,i,t]]+Table14[[#This Row],[GHGBSL-soil-N2O,i,t]]))</f>
        <v>0</v>
      </c>
      <c r="BB122" t="e" cm="1">
        <f t="array" ref="BB122">INDEX(#REF!, MATCH(1, (Table14[[#This Row],[year t]]=Table32[[#All],[year t]])*(Table14[[#This Row],[stratum i]]=Table32[[#All],[stratum i]]), 0))</f>
        <v>#REF!</v>
      </c>
      <c r="BC122" t="e" cm="1">
        <f t="array" ref="BC122">INDEX(#REF!, MATCH(1, (Table14[[#This Row],[year t]]=Table32[[#All],[year t]])*(Table14[[#This Row],[stratum i]]=Table32[[#All],[stratum i]]), 0))</f>
        <v>#REF!</v>
      </c>
      <c r="BD122" t="e" cm="1">
        <f t="array" ref="BD122">INDEX(#REF!, MATCH(1, (Table14[[#This Row],[year t]]=Table32[[#All],[year t]])*(Table14[[#This Row],[stratum i]]=Table32[[#All],[stratum i]]), 0))</f>
        <v>#REF!</v>
      </c>
      <c r="BE122" t="e" cm="1">
        <f t="array" ref="BE122">INDEX(#REF!, MATCH(1, (Table14[[#This Row],[year t]]=Table32[[#All],[year t]])*(Table14[[#This Row],[stratum i]]=Table32[[#All],[stratum i]]), 0))</f>
        <v>#REF!</v>
      </c>
      <c r="BF122" s="30"/>
      <c r="BM122" s="18">
        <v>2025</v>
      </c>
      <c r="BN122">
        <v>4</v>
      </c>
      <c r="BO122" t="e" cm="1">
        <f t="array" ref="BO122">INDEX(#REF!, MATCH(1, (Table132926[[#This Row],[year t]]=Table32[year t])*(Table132926[[#This Row],[stratum i]]=Table32[[#All],[stratum i]]), 0))</f>
        <v>#REF!</v>
      </c>
      <c r="BP122" t="e">
        <f>-44/12*Table132926[[#This Row],[∆CBSL-soil,i,t (tC/ha)]]</f>
        <v>#REF!</v>
      </c>
    </row>
    <row r="123" spans="10:68" x14ac:dyDescent="0.2">
      <c r="J123" s="18">
        <v>2026</v>
      </c>
      <c r="K123">
        <v>4</v>
      </c>
      <c r="L123" cm="1">
        <f t="array" ref="L123">INDEX(Table32[[#All],[ΔCTREE_BSL,i,t (AR Tool 14) t C/yr]], MATCH(1, (Table12[[#This Row],[year t]]=Table32[[#All],[year t]])*(Table12[[#This Row],[stratum i]]=Table32[[#All],[stratum i]]), 0))</f>
        <v>0</v>
      </c>
      <c r="M123" cm="1">
        <f t="array" ref="M123">IF(baseline_abground_nontree = "Included", INDEX(#REF!, MATCH(1, (Table12[[#This Row],[year t]]=Table32[[#All],[year t]])*(Table12[[#This Row],[stratum i]]=Table32[[#All],[stratum i]]), 0)), 0)</f>
        <v>0</v>
      </c>
      <c r="N123">
        <f>12/44*(Table12[[#This Row],[ΔCTREE_BSL,i,t (AR Tool 14) t CO2e/yr]]+Table12[[#This Row],[ΔCSHRUB_BSL,i,t (AR Tool 14) t CO2e/yr]])</f>
        <v>0</v>
      </c>
      <c r="O123" cm="1">
        <f t="array" ref="O123">IF(baseline_abground_nontree = "Included", IFERROR(INDEX(Table13[[#All],[ΔCBSL-herb,i,t (Eq 25)]], MATCH(1, (Table12[[#This Row],[stratum i]]=Table13[[#All],[stratum i]])*(Table12[[#This Row],[year t]]&gt;=#REF!)*(Table12[[#This Row],[year t]]&lt;=Table13[[#All],[year t]]), 0)), 0), 0)</f>
        <v>0</v>
      </c>
      <c r="P123">
        <f>Table12[[#This Row],[ΔCBSL-tree/shrub,i,t (t C/yr) (Eq 24)]]+Table12[[#This Row],[ΔCBSL-herb,i,t (t C/yr)]]-Table12[[#This Row],[ΔCBSL-agbiomass,i,t; t C yr-1 (submergence)]]</f>
        <v>0</v>
      </c>
      <c r="Q123" cm="1">
        <f t="array" ref="Q123">IFERROR(INDEX(Table14[[#All],[GHGBSL-soil,i,t (Eq 26)]], MATCH(1, (Table12[[#This Row],[year t]]=Table14[[#All],[year t]])*(Table12[[#This Row],[stratum i]]=Table14[[#All],[stratum i]]), 0)), 0)</f>
        <v>0</v>
      </c>
      <c r="R123">
        <f>IF(baseline_ff_CO2 = "Included", Table12[[#This Row],[ET(FC,I,t) AR-Tool 5]], 0)</f>
        <v>0</v>
      </c>
      <c r="S123" t="e" cm="1">
        <f t="array" ref="S123">INDEX(#REF!, MATCH(1, (Table12[[#This Row],[year t]]=Table32[[#All],[year t]])*(Table12[[#This Row],[stratum i]]=Table32[[#All],[stratum i]]), 0))</f>
        <v>#REF!</v>
      </c>
      <c r="T123" cm="1">
        <f t="array" ref="T123">IFERROR(INDEX(Table30[[#All],[ΔCBSL-agbiomass,i,t (equation 22) t C yr-1]], MATCH(1, (Table12[[#This Row],[stratum i]]=Table30[[#All],[Stratum i]])*(Table12[[#This Row],[year t]]&lt;Table30[[#All],[Year of reporting]]), 0)), 0)</f>
        <v>0</v>
      </c>
      <c r="AG123" s="18">
        <v>2026</v>
      </c>
      <c r="AH123">
        <v>4</v>
      </c>
      <c r="AI123" s="49" t="e" cm="1">
        <f t="array" ref="AI123">INDEX(#REF!, MATCH(1, (Table13[[#This Row],[year t]]=Table32[[#All],[year t]])*(Table13[[#This Row],[stratum i]]=Table32[[#All],[stratum i]]), 0))</f>
        <v>#REF!</v>
      </c>
      <c r="AJ123" s="49" t="e">
        <f>Table13[[#This Row],[ΔCBSL-herb,i,t (tC/ha)]]</f>
        <v>#REF!</v>
      </c>
      <c r="AO123" s="18">
        <v>2026</v>
      </c>
      <c r="AP123">
        <v>4</v>
      </c>
      <c r="AQ123" s="18" cm="1">
        <f t="array" ref="AQ123">INDEX(Table32[[#All],[Ai,t]], MATCH(1, (Table14[[#This Row],[year t]]=Table32[[#All],[year t]])*(Table14[[#This Row],[stratum i]]=Table32[[#All],[stratum i]]), 0))</f>
        <v>1227.7635314285715</v>
      </c>
      <c r="AR123" t="str">
        <f>IF(AND(INDEX(Table31[[#All],[Soil type (t=0)]], MATCH(Table14[[#This Row],[stratum i]], Table31[[#All],[Stratum i]]))="Peat soil", Table14[[#This Row],[year t]]&lt;=Table14[[#This Row],[End_PDT]]), "Peat soil", "Non-peat soil")</f>
        <v>Non-peat soil</v>
      </c>
      <c r="AS123">
        <f>IF(Emission_reduction_from_stock_loss?, INDEX(Table2[[#All],[End_PDT]], MATCH(Table14[[#This Row],[stratum i]], Table2[[#All],[stratum i]])), crediting_period)</f>
        <v>40</v>
      </c>
      <c r="AT123">
        <f>IF(Emission_reduction_from_stock_loss?, INDEX(Table2[[#All],[End_SDT]], MATCH(Table14[[#This Row],[stratum i]], Table2[[#All],[stratum i]])), crediting_period)</f>
        <v>40</v>
      </c>
      <c r="AU123" cm="1">
        <f t="array" ref="AU12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3" t="e" cm="1">
        <f t="array" ref="AV123">INDEX(#REF!, MATCH(1, (Table14[[#This Row],[year t]]=Table32[[#All],[year t]])*(Table14[[#This Row],[stratum i]]=Table32[[#All],[stratum i]]), 0))</f>
        <v>#REF!</v>
      </c>
      <c r="AW12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3" s="57">
        <f>(Table14[[#This Row],[GHGBSL-soil-CO2,i,t (Eq 27)]]-Table14[[#This Row],[Deductionalloch (Eq 38)]])*Table14[[#This Row],[Ai,t]]</f>
        <v>0</v>
      </c>
      <c r="AY123" cm="1">
        <f t="array" ref="AY123">IF(baseline_soil_CH4 = "Included", INDEX(Table18[[#All],[GHGBSL-soil-CH4,i,t (Eq 59)]], MATCH(1, (Table14[[#This Row],[year t]]=Table18[[#All],[year t]])*(Table14[[#This Row],[stratum i]]=Table18[[#All],[stratum i]]), 0)), 0)</f>
        <v>0</v>
      </c>
      <c r="AZ123" cm="1">
        <f t="array" ref="AZ123">IF(baseline_soil_N2O = "Included", INDEX(Table18[[#All],[GHGBSL-soil-N2O,i,t (Eq 62)]], MATCH(1, (Table14[[#This Row],[year t]]=Table18[[#All],[year t]])*(Table14[[#This Row],[stratum i]]=Table18[[#All],[stratum i]]), 0)), 0)</f>
        <v>0</v>
      </c>
      <c r="BA123">
        <f>IF(AND(Table14[[#This Row],[year t]]&gt;Table14[[#This Row],[End_PDT]],Table14[[#This Row],[year t]]&gt;Table14[[#This Row],[End_SDT]]), 0, Table14[[#This Row],[Ai,t]]*(Table14[[#This Row],[GHGBSL-soil-CO2,i,t (Eq 27)]]-Table14[[#This Row],[Deductionalloch (Eq 38)]]+Table14[[#This Row],[GHGBSL-soil-CH4,i,t]]+Table14[[#This Row],[GHGBSL-soil-N2O,i,t]]))</f>
        <v>0</v>
      </c>
      <c r="BB123" t="e" cm="1">
        <f t="array" ref="BB123">INDEX(#REF!, MATCH(1, (Table14[[#This Row],[year t]]=Table32[[#All],[year t]])*(Table14[[#This Row],[stratum i]]=Table32[[#All],[stratum i]]), 0))</f>
        <v>#REF!</v>
      </c>
      <c r="BC123" t="e" cm="1">
        <f t="array" ref="BC123">INDEX(#REF!, MATCH(1, (Table14[[#This Row],[year t]]=Table32[[#All],[year t]])*(Table14[[#This Row],[stratum i]]=Table32[[#All],[stratum i]]), 0))</f>
        <v>#REF!</v>
      </c>
      <c r="BD123" t="e" cm="1">
        <f t="array" ref="BD123">INDEX(#REF!, MATCH(1, (Table14[[#This Row],[year t]]=Table32[[#All],[year t]])*(Table14[[#This Row],[stratum i]]=Table32[[#All],[stratum i]]), 0))</f>
        <v>#REF!</v>
      </c>
      <c r="BE123" t="e" cm="1">
        <f t="array" ref="BE123">INDEX(#REF!, MATCH(1, (Table14[[#This Row],[year t]]=Table32[[#All],[year t]])*(Table14[[#This Row],[stratum i]]=Table32[[#All],[stratum i]]), 0))</f>
        <v>#REF!</v>
      </c>
      <c r="BF123" s="30"/>
      <c r="BM123" s="18">
        <v>2026</v>
      </c>
      <c r="BN123">
        <v>4</v>
      </c>
      <c r="BO123" t="e" cm="1">
        <f t="array" ref="BO123">INDEX(#REF!, MATCH(1, (Table132926[[#This Row],[year t]]=Table32[year t])*(Table132926[[#This Row],[stratum i]]=Table32[[#All],[stratum i]]), 0))</f>
        <v>#REF!</v>
      </c>
      <c r="BP123" t="e">
        <f>-44/12*Table132926[[#This Row],[∆CBSL-soil,i,t (tC/ha)]]</f>
        <v>#REF!</v>
      </c>
    </row>
    <row r="124" spans="10:68" x14ac:dyDescent="0.2">
      <c r="J124" s="18">
        <v>2027</v>
      </c>
      <c r="K124">
        <v>4</v>
      </c>
      <c r="L124" cm="1">
        <f t="array" ref="L124">INDEX(Table32[[#All],[ΔCTREE_BSL,i,t (AR Tool 14) t C/yr]], MATCH(1, (Table12[[#This Row],[year t]]=Table32[[#All],[year t]])*(Table12[[#This Row],[stratum i]]=Table32[[#All],[stratum i]]), 0))</f>
        <v>0</v>
      </c>
      <c r="M124" cm="1">
        <f t="array" ref="M124">IF(baseline_abground_nontree = "Included", INDEX(#REF!, MATCH(1, (Table12[[#This Row],[year t]]=Table32[[#All],[year t]])*(Table12[[#This Row],[stratum i]]=Table32[[#All],[stratum i]]), 0)), 0)</f>
        <v>0</v>
      </c>
      <c r="N124">
        <f>12/44*(Table12[[#This Row],[ΔCTREE_BSL,i,t (AR Tool 14) t CO2e/yr]]+Table12[[#This Row],[ΔCSHRUB_BSL,i,t (AR Tool 14) t CO2e/yr]])</f>
        <v>0</v>
      </c>
      <c r="O124" cm="1">
        <f t="array" ref="O124">IF(baseline_abground_nontree = "Included", IFERROR(INDEX(Table13[[#All],[ΔCBSL-herb,i,t (Eq 25)]], MATCH(1, (Table12[[#This Row],[stratum i]]=Table13[[#All],[stratum i]])*(Table12[[#This Row],[year t]]&gt;=#REF!)*(Table12[[#This Row],[year t]]&lt;=Table13[[#All],[year t]]), 0)), 0), 0)</f>
        <v>0</v>
      </c>
      <c r="P124">
        <f>Table12[[#This Row],[ΔCBSL-tree/shrub,i,t (t C/yr) (Eq 24)]]+Table12[[#This Row],[ΔCBSL-herb,i,t (t C/yr)]]-Table12[[#This Row],[ΔCBSL-agbiomass,i,t; t C yr-1 (submergence)]]</f>
        <v>0</v>
      </c>
      <c r="Q124" cm="1">
        <f t="array" ref="Q124">IFERROR(INDEX(Table14[[#All],[GHGBSL-soil,i,t (Eq 26)]], MATCH(1, (Table12[[#This Row],[year t]]=Table14[[#All],[year t]])*(Table12[[#This Row],[stratum i]]=Table14[[#All],[stratum i]]), 0)), 0)</f>
        <v>0</v>
      </c>
      <c r="R124">
        <f>IF(baseline_ff_CO2 = "Included", Table12[[#This Row],[ET(FC,I,t) AR-Tool 5]], 0)</f>
        <v>0</v>
      </c>
      <c r="S124" t="e" cm="1">
        <f t="array" ref="S124">INDEX(#REF!, MATCH(1, (Table12[[#This Row],[year t]]=Table32[[#All],[year t]])*(Table12[[#This Row],[stratum i]]=Table32[[#All],[stratum i]]), 0))</f>
        <v>#REF!</v>
      </c>
      <c r="T124" cm="1">
        <f t="array" ref="T124">IFERROR(INDEX(Table30[[#All],[ΔCBSL-agbiomass,i,t (equation 22) t C yr-1]], MATCH(1, (Table12[[#This Row],[stratum i]]=Table30[[#All],[Stratum i]])*(Table12[[#This Row],[year t]]&lt;Table30[[#All],[Year of reporting]]), 0)), 0)</f>
        <v>0</v>
      </c>
      <c r="AG124" s="18">
        <v>2027</v>
      </c>
      <c r="AH124">
        <v>4</v>
      </c>
      <c r="AI124" s="49" t="e" cm="1">
        <f t="array" ref="AI124">INDEX(#REF!, MATCH(1, (Table13[[#This Row],[year t]]=Table32[[#All],[year t]])*(Table13[[#This Row],[stratum i]]=Table32[[#All],[stratum i]]), 0))</f>
        <v>#REF!</v>
      </c>
      <c r="AJ124" s="49" t="e">
        <f>Table13[[#This Row],[ΔCBSL-herb,i,t (tC/ha)]]</f>
        <v>#REF!</v>
      </c>
      <c r="AO124" s="18">
        <v>2027</v>
      </c>
      <c r="AP124">
        <v>4</v>
      </c>
      <c r="AQ124" s="18" cm="1">
        <f t="array" ref="AQ124">INDEX(Table32[[#All],[Ai,t]], MATCH(1, (Table14[[#This Row],[year t]]=Table32[[#All],[year t]])*(Table14[[#This Row],[stratum i]]=Table32[[#All],[stratum i]]), 0))</f>
        <v>1227.7635314285715</v>
      </c>
      <c r="AR124" t="str">
        <f>IF(AND(INDEX(Table31[[#All],[Soil type (t=0)]], MATCH(Table14[[#This Row],[stratum i]], Table31[[#All],[Stratum i]]))="Peat soil", Table14[[#This Row],[year t]]&lt;=Table14[[#This Row],[End_PDT]]), "Peat soil", "Non-peat soil")</f>
        <v>Non-peat soil</v>
      </c>
      <c r="AS124">
        <f>IF(Emission_reduction_from_stock_loss?, INDEX(Table2[[#All],[End_PDT]], MATCH(Table14[[#This Row],[stratum i]], Table2[[#All],[stratum i]])), crediting_period)</f>
        <v>40</v>
      </c>
      <c r="AT124">
        <f>IF(Emission_reduction_from_stock_loss?, INDEX(Table2[[#All],[End_SDT]], MATCH(Table14[[#This Row],[stratum i]], Table2[[#All],[stratum i]])), crediting_period)</f>
        <v>40</v>
      </c>
      <c r="AU124" cm="1">
        <f t="array" ref="AU12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4" t="e" cm="1">
        <f t="array" ref="AV124">INDEX(#REF!, MATCH(1, (Table14[[#This Row],[year t]]=Table32[[#All],[year t]])*(Table14[[#This Row],[stratum i]]=Table32[[#All],[stratum i]]), 0))</f>
        <v>#REF!</v>
      </c>
      <c r="AW12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4" s="57">
        <f>(Table14[[#This Row],[GHGBSL-soil-CO2,i,t (Eq 27)]]-Table14[[#This Row],[Deductionalloch (Eq 38)]])*Table14[[#This Row],[Ai,t]]</f>
        <v>0</v>
      </c>
      <c r="AY124" cm="1">
        <f t="array" ref="AY124">IF(baseline_soil_CH4 = "Included", INDEX(Table18[[#All],[GHGBSL-soil-CH4,i,t (Eq 59)]], MATCH(1, (Table14[[#This Row],[year t]]=Table18[[#All],[year t]])*(Table14[[#This Row],[stratum i]]=Table18[[#All],[stratum i]]), 0)), 0)</f>
        <v>0</v>
      </c>
      <c r="AZ124" cm="1">
        <f t="array" ref="AZ124">IF(baseline_soil_N2O = "Included", INDEX(Table18[[#All],[GHGBSL-soil-N2O,i,t (Eq 62)]], MATCH(1, (Table14[[#This Row],[year t]]=Table18[[#All],[year t]])*(Table14[[#This Row],[stratum i]]=Table18[[#All],[stratum i]]), 0)), 0)</f>
        <v>0</v>
      </c>
      <c r="BA124">
        <f>IF(AND(Table14[[#This Row],[year t]]&gt;Table14[[#This Row],[End_PDT]],Table14[[#This Row],[year t]]&gt;Table14[[#This Row],[End_SDT]]), 0, Table14[[#This Row],[Ai,t]]*(Table14[[#This Row],[GHGBSL-soil-CO2,i,t (Eq 27)]]-Table14[[#This Row],[Deductionalloch (Eq 38)]]+Table14[[#This Row],[GHGBSL-soil-CH4,i,t]]+Table14[[#This Row],[GHGBSL-soil-N2O,i,t]]))</f>
        <v>0</v>
      </c>
      <c r="BB124" t="e" cm="1">
        <f t="array" ref="BB124">INDEX(#REF!, MATCH(1, (Table14[[#This Row],[year t]]=Table32[[#All],[year t]])*(Table14[[#This Row],[stratum i]]=Table32[[#All],[stratum i]]), 0))</f>
        <v>#REF!</v>
      </c>
      <c r="BC124" t="e" cm="1">
        <f t="array" ref="BC124">INDEX(#REF!, MATCH(1, (Table14[[#This Row],[year t]]=Table32[[#All],[year t]])*(Table14[[#This Row],[stratum i]]=Table32[[#All],[stratum i]]), 0))</f>
        <v>#REF!</v>
      </c>
      <c r="BD124" t="e" cm="1">
        <f t="array" ref="BD124">INDEX(#REF!, MATCH(1, (Table14[[#This Row],[year t]]=Table32[[#All],[year t]])*(Table14[[#This Row],[stratum i]]=Table32[[#All],[stratum i]]), 0))</f>
        <v>#REF!</v>
      </c>
      <c r="BE124" t="e" cm="1">
        <f t="array" ref="BE124">INDEX(#REF!, MATCH(1, (Table14[[#This Row],[year t]]=Table32[[#All],[year t]])*(Table14[[#This Row],[stratum i]]=Table32[[#All],[stratum i]]), 0))</f>
        <v>#REF!</v>
      </c>
      <c r="BF124" s="30"/>
      <c r="BM124" s="18">
        <v>2027</v>
      </c>
      <c r="BN124">
        <v>4</v>
      </c>
      <c r="BO124" t="e" cm="1">
        <f t="array" ref="BO124">INDEX(#REF!, MATCH(1, (Table132926[[#This Row],[year t]]=Table32[year t])*(Table132926[[#This Row],[stratum i]]=Table32[[#All],[stratum i]]), 0))</f>
        <v>#REF!</v>
      </c>
      <c r="BP124" t="e">
        <f>-44/12*Table132926[[#This Row],[∆CBSL-soil,i,t (tC/ha)]]</f>
        <v>#REF!</v>
      </c>
    </row>
    <row r="125" spans="10:68" x14ac:dyDescent="0.2">
      <c r="J125" s="18">
        <v>2028</v>
      </c>
      <c r="K125">
        <v>4</v>
      </c>
      <c r="L125" cm="1">
        <f t="array" ref="L125">INDEX(Table32[[#All],[ΔCTREE_BSL,i,t (AR Tool 14) t C/yr]], MATCH(1, (Table12[[#This Row],[year t]]=Table32[[#All],[year t]])*(Table12[[#This Row],[stratum i]]=Table32[[#All],[stratum i]]), 0))</f>
        <v>0</v>
      </c>
      <c r="M125" cm="1">
        <f t="array" ref="M125">IF(baseline_abground_nontree = "Included", INDEX(#REF!, MATCH(1, (Table12[[#This Row],[year t]]=Table32[[#All],[year t]])*(Table12[[#This Row],[stratum i]]=Table32[[#All],[stratum i]]), 0)), 0)</f>
        <v>0</v>
      </c>
      <c r="N125">
        <f>12/44*(Table12[[#This Row],[ΔCTREE_BSL,i,t (AR Tool 14) t CO2e/yr]]+Table12[[#This Row],[ΔCSHRUB_BSL,i,t (AR Tool 14) t CO2e/yr]])</f>
        <v>0</v>
      </c>
      <c r="O125" cm="1">
        <f t="array" ref="O125">IF(baseline_abground_nontree = "Included", IFERROR(INDEX(Table13[[#All],[ΔCBSL-herb,i,t (Eq 25)]], MATCH(1, (Table12[[#This Row],[stratum i]]=Table13[[#All],[stratum i]])*(Table12[[#This Row],[year t]]&gt;=#REF!)*(Table12[[#This Row],[year t]]&lt;=Table13[[#All],[year t]]), 0)), 0), 0)</f>
        <v>0</v>
      </c>
      <c r="P125">
        <f>Table12[[#This Row],[ΔCBSL-tree/shrub,i,t (t C/yr) (Eq 24)]]+Table12[[#This Row],[ΔCBSL-herb,i,t (t C/yr)]]-Table12[[#This Row],[ΔCBSL-agbiomass,i,t; t C yr-1 (submergence)]]</f>
        <v>0</v>
      </c>
      <c r="Q125" cm="1">
        <f t="array" ref="Q125">IFERROR(INDEX(Table14[[#All],[GHGBSL-soil,i,t (Eq 26)]], MATCH(1, (Table12[[#This Row],[year t]]=Table14[[#All],[year t]])*(Table12[[#This Row],[stratum i]]=Table14[[#All],[stratum i]]), 0)), 0)</f>
        <v>0</v>
      </c>
      <c r="R125">
        <f>IF(baseline_ff_CO2 = "Included", Table12[[#This Row],[ET(FC,I,t) AR-Tool 5]], 0)</f>
        <v>0</v>
      </c>
      <c r="S125" t="e" cm="1">
        <f t="array" ref="S125">INDEX(#REF!, MATCH(1, (Table12[[#This Row],[year t]]=Table32[[#All],[year t]])*(Table12[[#This Row],[stratum i]]=Table32[[#All],[stratum i]]), 0))</f>
        <v>#REF!</v>
      </c>
      <c r="T125" cm="1">
        <f t="array" ref="T125">IFERROR(INDEX(Table30[[#All],[ΔCBSL-agbiomass,i,t (equation 22) t C yr-1]], MATCH(1, (Table12[[#This Row],[stratum i]]=Table30[[#All],[Stratum i]])*(Table12[[#This Row],[year t]]&lt;Table30[[#All],[Year of reporting]]), 0)), 0)</f>
        <v>0</v>
      </c>
      <c r="AG125" s="18">
        <v>2028</v>
      </c>
      <c r="AH125">
        <v>4</v>
      </c>
      <c r="AI125" s="49" t="e" cm="1">
        <f t="array" ref="AI125">INDEX(#REF!, MATCH(1, (Table13[[#This Row],[year t]]=Table32[[#All],[year t]])*(Table13[[#This Row],[stratum i]]=Table32[[#All],[stratum i]]), 0))</f>
        <v>#REF!</v>
      </c>
      <c r="AJ125" s="49" t="e">
        <f>Table13[[#This Row],[ΔCBSL-herb,i,t (tC/ha)]]</f>
        <v>#REF!</v>
      </c>
      <c r="AO125" s="18">
        <v>2028</v>
      </c>
      <c r="AP125">
        <v>4</v>
      </c>
      <c r="AQ125" s="18" cm="1">
        <f t="array" ref="AQ125">INDEX(Table32[[#All],[Ai,t]], MATCH(1, (Table14[[#This Row],[year t]]=Table32[[#All],[year t]])*(Table14[[#This Row],[stratum i]]=Table32[[#All],[stratum i]]), 0))</f>
        <v>1227.7635314285715</v>
      </c>
      <c r="AR125" t="str">
        <f>IF(AND(INDEX(Table31[[#All],[Soil type (t=0)]], MATCH(Table14[[#This Row],[stratum i]], Table31[[#All],[Stratum i]]))="Peat soil", Table14[[#This Row],[year t]]&lt;=Table14[[#This Row],[End_PDT]]), "Peat soil", "Non-peat soil")</f>
        <v>Non-peat soil</v>
      </c>
      <c r="AS125">
        <f>IF(Emission_reduction_from_stock_loss?, INDEX(Table2[[#All],[End_PDT]], MATCH(Table14[[#This Row],[stratum i]], Table2[[#All],[stratum i]])), crediting_period)</f>
        <v>40</v>
      </c>
      <c r="AT125">
        <f>IF(Emission_reduction_from_stock_loss?, INDEX(Table2[[#All],[End_SDT]], MATCH(Table14[[#This Row],[stratum i]], Table2[[#All],[stratum i]])), crediting_period)</f>
        <v>40</v>
      </c>
      <c r="AU125" cm="1">
        <f t="array" ref="AU12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5" t="e" cm="1">
        <f t="array" ref="AV125">INDEX(#REF!, MATCH(1, (Table14[[#This Row],[year t]]=Table32[[#All],[year t]])*(Table14[[#This Row],[stratum i]]=Table32[[#All],[stratum i]]), 0))</f>
        <v>#REF!</v>
      </c>
      <c r="AW12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5" s="57">
        <f>(Table14[[#This Row],[GHGBSL-soil-CO2,i,t (Eq 27)]]-Table14[[#This Row],[Deductionalloch (Eq 38)]])*Table14[[#This Row],[Ai,t]]</f>
        <v>0</v>
      </c>
      <c r="AY125" cm="1">
        <f t="array" ref="AY125">IF(baseline_soil_CH4 = "Included", INDEX(Table18[[#All],[GHGBSL-soil-CH4,i,t (Eq 59)]], MATCH(1, (Table14[[#This Row],[year t]]=Table18[[#All],[year t]])*(Table14[[#This Row],[stratum i]]=Table18[[#All],[stratum i]]), 0)), 0)</f>
        <v>0</v>
      </c>
      <c r="AZ125" cm="1">
        <f t="array" ref="AZ125">IF(baseline_soil_N2O = "Included", INDEX(Table18[[#All],[GHGBSL-soil-N2O,i,t (Eq 62)]], MATCH(1, (Table14[[#This Row],[year t]]=Table18[[#All],[year t]])*(Table14[[#This Row],[stratum i]]=Table18[[#All],[stratum i]]), 0)), 0)</f>
        <v>0</v>
      </c>
      <c r="BA125">
        <f>IF(AND(Table14[[#This Row],[year t]]&gt;Table14[[#This Row],[End_PDT]],Table14[[#This Row],[year t]]&gt;Table14[[#This Row],[End_SDT]]), 0, Table14[[#This Row],[Ai,t]]*(Table14[[#This Row],[GHGBSL-soil-CO2,i,t (Eq 27)]]-Table14[[#This Row],[Deductionalloch (Eq 38)]]+Table14[[#This Row],[GHGBSL-soil-CH4,i,t]]+Table14[[#This Row],[GHGBSL-soil-N2O,i,t]]))</f>
        <v>0</v>
      </c>
      <c r="BB125" t="e" cm="1">
        <f t="array" ref="BB125">INDEX(#REF!, MATCH(1, (Table14[[#This Row],[year t]]=Table32[[#All],[year t]])*(Table14[[#This Row],[stratum i]]=Table32[[#All],[stratum i]]), 0))</f>
        <v>#REF!</v>
      </c>
      <c r="BC125" t="e" cm="1">
        <f t="array" ref="BC125">INDEX(#REF!, MATCH(1, (Table14[[#This Row],[year t]]=Table32[[#All],[year t]])*(Table14[[#This Row],[stratum i]]=Table32[[#All],[stratum i]]), 0))</f>
        <v>#REF!</v>
      </c>
      <c r="BD125" t="e" cm="1">
        <f t="array" ref="BD125">INDEX(#REF!, MATCH(1, (Table14[[#This Row],[year t]]=Table32[[#All],[year t]])*(Table14[[#This Row],[stratum i]]=Table32[[#All],[stratum i]]), 0))</f>
        <v>#REF!</v>
      </c>
      <c r="BE125" t="e" cm="1">
        <f t="array" ref="BE125">INDEX(#REF!, MATCH(1, (Table14[[#This Row],[year t]]=Table32[[#All],[year t]])*(Table14[[#This Row],[stratum i]]=Table32[[#All],[stratum i]]), 0))</f>
        <v>#REF!</v>
      </c>
      <c r="BF125" s="30"/>
      <c r="BM125" s="18">
        <v>2028</v>
      </c>
      <c r="BN125">
        <v>4</v>
      </c>
      <c r="BO125" t="e" cm="1">
        <f t="array" ref="BO125">INDEX(#REF!, MATCH(1, (Table132926[[#This Row],[year t]]=Table32[year t])*(Table132926[[#This Row],[stratum i]]=Table32[[#All],[stratum i]]), 0))</f>
        <v>#REF!</v>
      </c>
      <c r="BP125" t="e">
        <f>-44/12*Table132926[[#This Row],[∆CBSL-soil,i,t (tC/ha)]]</f>
        <v>#REF!</v>
      </c>
    </row>
    <row r="126" spans="10:68" x14ac:dyDescent="0.2">
      <c r="J126" s="18">
        <v>2029</v>
      </c>
      <c r="K126">
        <v>4</v>
      </c>
      <c r="L126" cm="1">
        <f t="array" ref="L126">INDEX(Table32[[#All],[ΔCTREE_BSL,i,t (AR Tool 14) t C/yr]], MATCH(1, (Table12[[#This Row],[year t]]=Table32[[#All],[year t]])*(Table12[[#This Row],[stratum i]]=Table32[[#All],[stratum i]]), 0))</f>
        <v>0</v>
      </c>
      <c r="M126" cm="1">
        <f t="array" ref="M126">IF(baseline_abground_nontree = "Included", INDEX(#REF!, MATCH(1, (Table12[[#This Row],[year t]]=Table32[[#All],[year t]])*(Table12[[#This Row],[stratum i]]=Table32[[#All],[stratum i]]), 0)), 0)</f>
        <v>0</v>
      </c>
      <c r="N126">
        <f>12/44*(Table12[[#This Row],[ΔCTREE_BSL,i,t (AR Tool 14) t CO2e/yr]]+Table12[[#This Row],[ΔCSHRUB_BSL,i,t (AR Tool 14) t CO2e/yr]])</f>
        <v>0</v>
      </c>
      <c r="O126" cm="1">
        <f t="array" ref="O126">IF(baseline_abground_nontree = "Included", IFERROR(INDEX(Table13[[#All],[ΔCBSL-herb,i,t (Eq 25)]], MATCH(1, (Table12[[#This Row],[stratum i]]=Table13[[#All],[stratum i]])*(Table12[[#This Row],[year t]]&gt;=#REF!)*(Table12[[#This Row],[year t]]&lt;=Table13[[#All],[year t]]), 0)), 0), 0)</f>
        <v>0</v>
      </c>
      <c r="P126">
        <f>Table12[[#This Row],[ΔCBSL-tree/shrub,i,t (t C/yr) (Eq 24)]]+Table12[[#This Row],[ΔCBSL-herb,i,t (t C/yr)]]-Table12[[#This Row],[ΔCBSL-agbiomass,i,t; t C yr-1 (submergence)]]</f>
        <v>0</v>
      </c>
      <c r="Q126" cm="1">
        <f t="array" ref="Q126">IFERROR(INDEX(Table14[[#All],[GHGBSL-soil,i,t (Eq 26)]], MATCH(1, (Table12[[#This Row],[year t]]=Table14[[#All],[year t]])*(Table12[[#This Row],[stratum i]]=Table14[[#All],[stratum i]]), 0)), 0)</f>
        <v>0</v>
      </c>
      <c r="R126">
        <f>IF(baseline_ff_CO2 = "Included", Table12[[#This Row],[ET(FC,I,t) AR-Tool 5]], 0)</f>
        <v>0</v>
      </c>
      <c r="S126" t="e" cm="1">
        <f t="array" ref="S126">INDEX(#REF!, MATCH(1, (Table12[[#This Row],[year t]]=Table32[[#All],[year t]])*(Table12[[#This Row],[stratum i]]=Table32[[#All],[stratum i]]), 0))</f>
        <v>#REF!</v>
      </c>
      <c r="T126" cm="1">
        <f t="array" ref="T126">IFERROR(INDEX(Table30[[#All],[ΔCBSL-agbiomass,i,t (equation 22) t C yr-1]], MATCH(1, (Table12[[#This Row],[stratum i]]=Table30[[#All],[Stratum i]])*(Table12[[#This Row],[year t]]&lt;Table30[[#All],[Year of reporting]]), 0)), 0)</f>
        <v>0</v>
      </c>
      <c r="AG126" s="18">
        <v>2029</v>
      </c>
      <c r="AH126">
        <v>4</v>
      </c>
      <c r="AI126" s="49" t="e" cm="1">
        <f t="array" ref="AI126">INDEX(#REF!, MATCH(1, (Table13[[#This Row],[year t]]=Table32[[#All],[year t]])*(Table13[[#This Row],[stratum i]]=Table32[[#All],[stratum i]]), 0))</f>
        <v>#REF!</v>
      </c>
      <c r="AJ126" s="49" t="e">
        <f>Table13[[#This Row],[ΔCBSL-herb,i,t (tC/ha)]]</f>
        <v>#REF!</v>
      </c>
      <c r="AO126" s="18">
        <v>2029</v>
      </c>
      <c r="AP126">
        <v>4</v>
      </c>
      <c r="AQ126" s="18" cm="1">
        <f t="array" ref="AQ126">INDEX(Table32[[#All],[Ai,t]], MATCH(1, (Table14[[#This Row],[year t]]=Table32[[#All],[year t]])*(Table14[[#This Row],[stratum i]]=Table32[[#All],[stratum i]]), 0))</f>
        <v>1227.7635314285715</v>
      </c>
      <c r="AR126" t="str">
        <f>IF(AND(INDEX(Table31[[#All],[Soil type (t=0)]], MATCH(Table14[[#This Row],[stratum i]], Table31[[#All],[Stratum i]]))="Peat soil", Table14[[#This Row],[year t]]&lt;=Table14[[#This Row],[End_PDT]]), "Peat soil", "Non-peat soil")</f>
        <v>Non-peat soil</v>
      </c>
      <c r="AS126">
        <f>IF(Emission_reduction_from_stock_loss?, INDEX(Table2[[#All],[End_PDT]], MATCH(Table14[[#This Row],[stratum i]], Table2[[#All],[stratum i]])), crediting_period)</f>
        <v>40</v>
      </c>
      <c r="AT126">
        <f>IF(Emission_reduction_from_stock_loss?, INDEX(Table2[[#All],[End_SDT]], MATCH(Table14[[#This Row],[stratum i]], Table2[[#All],[stratum i]])), crediting_period)</f>
        <v>40</v>
      </c>
      <c r="AU126" cm="1">
        <f t="array" ref="AU12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6" t="e" cm="1">
        <f t="array" ref="AV126">INDEX(#REF!, MATCH(1, (Table14[[#This Row],[year t]]=Table32[[#All],[year t]])*(Table14[[#This Row],[stratum i]]=Table32[[#All],[stratum i]]), 0))</f>
        <v>#REF!</v>
      </c>
      <c r="AW12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6" s="57">
        <f>(Table14[[#This Row],[GHGBSL-soil-CO2,i,t (Eq 27)]]-Table14[[#This Row],[Deductionalloch (Eq 38)]])*Table14[[#This Row],[Ai,t]]</f>
        <v>0</v>
      </c>
      <c r="AY126" cm="1">
        <f t="array" ref="AY126">IF(baseline_soil_CH4 = "Included", INDEX(Table18[[#All],[GHGBSL-soil-CH4,i,t (Eq 59)]], MATCH(1, (Table14[[#This Row],[year t]]=Table18[[#All],[year t]])*(Table14[[#This Row],[stratum i]]=Table18[[#All],[stratum i]]), 0)), 0)</f>
        <v>0</v>
      </c>
      <c r="AZ126" cm="1">
        <f t="array" ref="AZ126">IF(baseline_soil_N2O = "Included", INDEX(Table18[[#All],[GHGBSL-soil-N2O,i,t (Eq 62)]], MATCH(1, (Table14[[#This Row],[year t]]=Table18[[#All],[year t]])*(Table14[[#This Row],[stratum i]]=Table18[[#All],[stratum i]]), 0)), 0)</f>
        <v>0</v>
      </c>
      <c r="BA126">
        <f>IF(AND(Table14[[#This Row],[year t]]&gt;Table14[[#This Row],[End_PDT]],Table14[[#This Row],[year t]]&gt;Table14[[#This Row],[End_SDT]]), 0, Table14[[#This Row],[Ai,t]]*(Table14[[#This Row],[GHGBSL-soil-CO2,i,t (Eq 27)]]-Table14[[#This Row],[Deductionalloch (Eq 38)]]+Table14[[#This Row],[GHGBSL-soil-CH4,i,t]]+Table14[[#This Row],[GHGBSL-soil-N2O,i,t]]))</f>
        <v>0</v>
      </c>
      <c r="BB126" t="e" cm="1">
        <f t="array" ref="BB126">INDEX(#REF!, MATCH(1, (Table14[[#This Row],[year t]]=Table32[[#All],[year t]])*(Table14[[#This Row],[stratum i]]=Table32[[#All],[stratum i]]), 0))</f>
        <v>#REF!</v>
      </c>
      <c r="BC126" t="e" cm="1">
        <f t="array" ref="BC126">INDEX(#REF!, MATCH(1, (Table14[[#This Row],[year t]]=Table32[[#All],[year t]])*(Table14[[#This Row],[stratum i]]=Table32[[#All],[stratum i]]), 0))</f>
        <v>#REF!</v>
      </c>
      <c r="BD126" t="e" cm="1">
        <f t="array" ref="BD126">INDEX(#REF!, MATCH(1, (Table14[[#This Row],[year t]]=Table32[[#All],[year t]])*(Table14[[#This Row],[stratum i]]=Table32[[#All],[stratum i]]), 0))</f>
        <v>#REF!</v>
      </c>
      <c r="BE126" t="e" cm="1">
        <f t="array" ref="BE126">INDEX(#REF!, MATCH(1, (Table14[[#This Row],[year t]]=Table32[[#All],[year t]])*(Table14[[#This Row],[stratum i]]=Table32[[#All],[stratum i]]), 0))</f>
        <v>#REF!</v>
      </c>
      <c r="BF126" s="30"/>
      <c r="BM126" s="18">
        <v>2029</v>
      </c>
      <c r="BN126">
        <v>4</v>
      </c>
      <c r="BO126" t="e" cm="1">
        <f t="array" ref="BO126">INDEX(#REF!, MATCH(1, (Table132926[[#This Row],[year t]]=Table32[year t])*(Table132926[[#This Row],[stratum i]]=Table32[[#All],[stratum i]]), 0))</f>
        <v>#REF!</v>
      </c>
      <c r="BP126" t="e">
        <f>-44/12*Table132926[[#This Row],[∆CBSL-soil,i,t (tC/ha)]]</f>
        <v>#REF!</v>
      </c>
    </row>
    <row r="127" spans="10:68" x14ac:dyDescent="0.2">
      <c r="J127" s="18">
        <v>2030</v>
      </c>
      <c r="K127">
        <v>4</v>
      </c>
      <c r="L127" cm="1">
        <f t="array" ref="L127">INDEX(Table32[[#All],[ΔCTREE_BSL,i,t (AR Tool 14) t C/yr]], MATCH(1, (Table12[[#This Row],[year t]]=Table32[[#All],[year t]])*(Table12[[#This Row],[stratum i]]=Table32[[#All],[stratum i]]), 0))</f>
        <v>0</v>
      </c>
      <c r="M127" cm="1">
        <f t="array" ref="M127">IF(baseline_abground_nontree = "Included", INDEX(#REF!, MATCH(1, (Table12[[#This Row],[year t]]=Table32[[#All],[year t]])*(Table12[[#This Row],[stratum i]]=Table32[[#All],[stratum i]]), 0)), 0)</f>
        <v>0</v>
      </c>
      <c r="N127">
        <f>12/44*(Table12[[#This Row],[ΔCTREE_BSL,i,t (AR Tool 14) t CO2e/yr]]+Table12[[#This Row],[ΔCSHRUB_BSL,i,t (AR Tool 14) t CO2e/yr]])</f>
        <v>0</v>
      </c>
      <c r="O127" cm="1">
        <f t="array" ref="O127">IF(baseline_abground_nontree = "Included", IFERROR(INDEX(Table13[[#All],[ΔCBSL-herb,i,t (Eq 25)]], MATCH(1, (Table12[[#This Row],[stratum i]]=Table13[[#All],[stratum i]])*(Table12[[#This Row],[year t]]&gt;=#REF!)*(Table12[[#This Row],[year t]]&lt;=Table13[[#All],[year t]]), 0)), 0), 0)</f>
        <v>0</v>
      </c>
      <c r="P127">
        <f>Table12[[#This Row],[ΔCBSL-tree/shrub,i,t (t C/yr) (Eq 24)]]+Table12[[#This Row],[ΔCBSL-herb,i,t (t C/yr)]]-Table12[[#This Row],[ΔCBSL-agbiomass,i,t; t C yr-1 (submergence)]]</f>
        <v>0</v>
      </c>
      <c r="Q127" cm="1">
        <f t="array" ref="Q127">IFERROR(INDEX(Table14[[#All],[GHGBSL-soil,i,t (Eq 26)]], MATCH(1, (Table12[[#This Row],[year t]]=Table14[[#All],[year t]])*(Table12[[#This Row],[stratum i]]=Table14[[#All],[stratum i]]), 0)), 0)</f>
        <v>0</v>
      </c>
      <c r="R127">
        <f>IF(baseline_ff_CO2 = "Included", Table12[[#This Row],[ET(FC,I,t) AR-Tool 5]], 0)</f>
        <v>0</v>
      </c>
      <c r="S127" t="e" cm="1">
        <f t="array" ref="S127">INDEX(#REF!, MATCH(1, (Table12[[#This Row],[year t]]=Table32[[#All],[year t]])*(Table12[[#This Row],[stratum i]]=Table32[[#All],[stratum i]]), 0))</f>
        <v>#REF!</v>
      </c>
      <c r="T127" cm="1">
        <f t="array" ref="T127">IFERROR(INDEX(Table30[[#All],[ΔCBSL-agbiomass,i,t (equation 22) t C yr-1]], MATCH(1, (Table12[[#This Row],[stratum i]]=Table30[[#All],[Stratum i]])*(Table12[[#This Row],[year t]]&lt;Table30[[#All],[Year of reporting]]), 0)), 0)</f>
        <v>0</v>
      </c>
      <c r="AG127" s="18">
        <v>2030</v>
      </c>
      <c r="AH127">
        <v>4</v>
      </c>
      <c r="AI127" s="49" t="e" cm="1">
        <f t="array" ref="AI127">INDEX(#REF!, MATCH(1, (Table13[[#This Row],[year t]]=Table32[[#All],[year t]])*(Table13[[#This Row],[stratum i]]=Table32[[#All],[stratum i]]), 0))</f>
        <v>#REF!</v>
      </c>
      <c r="AJ127" s="49" t="e">
        <f>Table13[[#This Row],[ΔCBSL-herb,i,t (tC/ha)]]</f>
        <v>#REF!</v>
      </c>
      <c r="AO127" s="18">
        <v>2030</v>
      </c>
      <c r="AP127">
        <v>4</v>
      </c>
      <c r="AQ127" s="18" cm="1">
        <f t="array" ref="AQ127">INDEX(Table32[[#All],[Ai,t]], MATCH(1, (Table14[[#This Row],[year t]]=Table32[[#All],[year t]])*(Table14[[#This Row],[stratum i]]=Table32[[#All],[stratum i]]), 0))</f>
        <v>1227.7635314285715</v>
      </c>
      <c r="AR127" t="str">
        <f>IF(AND(INDEX(Table31[[#All],[Soil type (t=0)]], MATCH(Table14[[#This Row],[stratum i]], Table31[[#All],[Stratum i]]))="Peat soil", Table14[[#This Row],[year t]]&lt;=Table14[[#This Row],[End_PDT]]), "Peat soil", "Non-peat soil")</f>
        <v>Non-peat soil</v>
      </c>
      <c r="AS127">
        <f>IF(Emission_reduction_from_stock_loss?, INDEX(Table2[[#All],[End_PDT]], MATCH(Table14[[#This Row],[stratum i]], Table2[[#All],[stratum i]])), crediting_period)</f>
        <v>40</v>
      </c>
      <c r="AT127">
        <f>IF(Emission_reduction_from_stock_loss?, INDEX(Table2[[#All],[End_SDT]], MATCH(Table14[[#This Row],[stratum i]], Table2[[#All],[stratum i]])), crediting_period)</f>
        <v>40</v>
      </c>
      <c r="AU127" cm="1">
        <f t="array" ref="AU12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7" t="e" cm="1">
        <f t="array" ref="AV127">INDEX(#REF!, MATCH(1, (Table14[[#This Row],[year t]]=Table32[[#All],[year t]])*(Table14[[#This Row],[stratum i]]=Table32[[#All],[stratum i]]), 0))</f>
        <v>#REF!</v>
      </c>
      <c r="AW12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7" s="57">
        <f>(Table14[[#This Row],[GHGBSL-soil-CO2,i,t (Eq 27)]]-Table14[[#This Row],[Deductionalloch (Eq 38)]])*Table14[[#This Row],[Ai,t]]</f>
        <v>0</v>
      </c>
      <c r="AY127" cm="1">
        <f t="array" ref="AY127">IF(baseline_soil_CH4 = "Included", INDEX(Table18[[#All],[GHGBSL-soil-CH4,i,t (Eq 59)]], MATCH(1, (Table14[[#This Row],[year t]]=Table18[[#All],[year t]])*(Table14[[#This Row],[stratum i]]=Table18[[#All],[stratum i]]), 0)), 0)</f>
        <v>0</v>
      </c>
      <c r="AZ127" cm="1">
        <f t="array" ref="AZ127">IF(baseline_soil_N2O = "Included", INDEX(Table18[[#All],[GHGBSL-soil-N2O,i,t (Eq 62)]], MATCH(1, (Table14[[#This Row],[year t]]=Table18[[#All],[year t]])*(Table14[[#This Row],[stratum i]]=Table18[[#All],[stratum i]]), 0)), 0)</f>
        <v>0</v>
      </c>
      <c r="BA127">
        <f>IF(AND(Table14[[#This Row],[year t]]&gt;Table14[[#This Row],[End_PDT]],Table14[[#This Row],[year t]]&gt;Table14[[#This Row],[End_SDT]]), 0, Table14[[#This Row],[Ai,t]]*(Table14[[#This Row],[GHGBSL-soil-CO2,i,t (Eq 27)]]-Table14[[#This Row],[Deductionalloch (Eq 38)]]+Table14[[#This Row],[GHGBSL-soil-CH4,i,t]]+Table14[[#This Row],[GHGBSL-soil-N2O,i,t]]))</f>
        <v>0</v>
      </c>
      <c r="BB127" t="e" cm="1">
        <f t="array" ref="BB127">INDEX(#REF!, MATCH(1, (Table14[[#This Row],[year t]]=Table32[[#All],[year t]])*(Table14[[#This Row],[stratum i]]=Table32[[#All],[stratum i]]), 0))</f>
        <v>#REF!</v>
      </c>
      <c r="BC127" t="e" cm="1">
        <f t="array" ref="BC127">INDEX(#REF!, MATCH(1, (Table14[[#This Row],[year t]]=Table32[[#All],[year t]])*(Table14[[#This Row],[stratum i]]=Table32[[#All],[stratum i]]), 0))</f>
        <v>#REF!</v>
      </c>
      <c r="BD127" t="e" cm="1">
        <f t="array" ref="BD127">INDEX(#REF!, MATCH(1, (Table14[[#This Row],[year t]]=Table32[[#All],[year t]])*(Table14[[#This Row],[stratum i]]=Table32[[#All],[stratum i]]), 0))</f>
        <v>#REF!</v>
      </c>
      <c r="BE127" t="e" cm="1">
        <f t="array" ref="BE127">INDEX(#REF!, MATCH(1, (Table14[[#This Row],[year t]]=Table32[[#All],[year t]])*(Table14[[#This Row],[stratum i]]=Table32[[#All],[stratum i]]), 0))</f>
        <v>#REF!</v>
      </c>
      <c r="BF127" s="30"/>
      <c r="BM127" s="18">
        <v>2030</v>
      </c>
      <c r="BN127">
        <v>4</v>
      </c>
      <c r="BO127" t="e" cm="1">
        <f t="array" ref="BO127">INDEX(#REF!, MATCH(1, (Table132926[[#This Row],[year t]]=Table32[year t])*(Table132926[[#This Row],[stratum i]]=Table32[[#All],[stratum i]]), 0))</f>
        <v>#REF!</v>
      </c>
      <c r="BP127" t="e">
        <f>-44/12*Table132926[[#This Row],[∆CBSL-soil,i,t (tC/ha)]]</f>
        <v>#REF!</v>
      </c>
    </row>
    <row r="128" spans="10:68" x14ac:dyDescent="0.2">
      <c r="J128" s="18">
        <v>2031</v>
      </c>
      <c r="K128">
        <v>4</v>
      </c>
      <c r="L128" cm="1">
        <f t="array" ref="L128">INDEX(Table32[[#All],[ΔCTREE_BSL,i,t (AR Tool 14) t C/yr]], MATCH(1, (Table12[[#This Row],[year t]]=Table32[[#All],[year t]])*(Table12[[#This Row],[stratum i]]=Table32[[#All],[stratum i]]), 0))</f>
        <v>0</v>
      </c>
      <c r="M128" cm="1">
        <f t="array" ref="M128">IF(baseline_abground_nontree = "Included", INDEX(#REF!, MATCH(1, (Table12[[#This Row],[year t]]=Table32[[#All],[year t]])*(Table12[[#This Row],[stratum i]]=Table32[[#All],[stratum i]]), 0)), 0)</f>
        <v>0</v>
      </c>
      <c r="N128">
        <f>12/44*(Table12[[#This Row],[ΔCTREE_BSL,i,t (AR Tool 14) t CO2e/yr]]+Table12[[#This Row],[ΔCSHRUB_BSL,i,t (AR Tool 14) t CO2e/yr]])</f>
        <v>0</v>
      </c>
      <c r="O128" cm="1">
        <f t="array" ref="O128">IF(baseline_abground_nontree = "Included", IFERROR(INDEX(Table13[[#All],[ΔCBSL-herb,i,t (Eq 25)]], MATCH(1, (Table12[[#This Row],[stratum i]]=Table13[[#All],[stratum i]])*(Table12[[#This Row],[year t]]&gt;=#REF!)*(Table12[[#This Row],[year t]]&lt;=Table13[[#All],[year t]]), 0)), 0), 0)</f>
        <v>0</v>
      </c>
      <c r="P128">
        <f>Table12[[#This Row],[ΔCBSL-tree/shrub,i,t (t C/yr) (Eq 24)]]+Table12[[#This Row],[ΔCBSL-herb,i,t (t C/yr)]]-Table12[[#This Row],[ΔCBSL-agbiomass,i,t; t C yr-1 (submergence)]]</f>
        <v>0</v>
      </c>
      <c r="Q128" cm="1">
        <f t="array" ref="Q128">IFERROR(INDEX(Table14[[#All],[GHGBSL-soil,i,t (Eq 26)]], MATCH(1, (Table12[[#This Row],[year t]]=Table14[[#All],[year t]])*(Table12[[#This Row],[stratum i]]=Table14[[#All],[stratum i]]), 0)), 0)</f>
        <v>0</v>
      </c>
      <c r="R128">
        <f>IF(baseline_ff_CO2 = "Included", Table12[[#This Row],[ET(FC,I,t) AR-Tool 5]], 0)</f>
        <v>0</v>
      </c>
      <c r="S128" t="e" cm="1">
        <f t="array" ref="S128">INDEX(#REF!, MATCH(1, (Table12[[#This Row],[year t]]=Table32[[#All],[year t]])*(Table12[[#This Row],[stratum i]]=Table32[[#All],[stratum i]]), 0))</f>
        <v>#REF!</v>
      </c>
      <c r="T128" cm="1">
        <f t="array" ref="T128">IFERROR(INDEX(Table30[[#All],[ΔCBSL-agbiomass,i,t (equation 22) t C yr-1]], MATCH(1, (Table12[[#This Row],[stratum i]]=Table30[[#All],[Stratum i]])*(Table12[[#This Row],[year t]]&lt;Table30[[#All],[Year of reporting]]), 0)), 0)</f>
        <v>0</v>
      </c>
      <c r="AG128" s="18">
        <v>2031</v>
      </c>
      <c r="AH128">
        <v>4</v>
      </c>
      <c r="AI128" s="49" t="e" cm="1">
        <f t="array" ref="AI128">INDEX(#REF!, MATCH(1, (Table13[[#This Row],[year t]]=Table32[[#All],[year t]])*(Table13[[#This Row],[stratum i]]=Table32[[#All],[stratum i]]), 0))</f>
        <v>#REF!</v>
      </c>
      <c r="AJ128" s="49" t="e">
        <f>Table13[[#This Row],[ΔCBSL-herb,i,t (tC/ha)]]</f>
        <v>#REF!</v>
      </c>
      <c r="AO128" s="18">
        <v>2031</v>
      </c>
      <c r="AP128">
        <v>4</v>
      </c>
      <c r="AQ128" s="18" cm="1">
        <f t="array" ref="AQ128">INDEX(Table32[[#All],[Ai,t]], MATCH(1, (Table14[[#This Row],[year t]]=Table32[[#All],[year t]])*(Table14[[#This Row],[stratum i]]=Table32[[#All],[stratum i]]), 0))</f>
        <v>1227.7635314285715</v>
      </c>
      <c r="AR128" t="str">
        <f>IF(AND(INDEX(Table31[[#All],[Soil type (t=0)]], MATCH(Table14[[#This Row],[stratum i]], Table31[[#All],[Stratum i]]))="Peat soil", Table14[[#This Row],[year t]]&lt;=Table14[[#This Row],[End_PDT]]), "Peat soil", "Non-peat soil")</f>
        <v>Non-peat soil</v>
      </c>
      <c r="AS128">
        <f>IF(Emission_reduction_from_stock_loss?, INDEX(Table2[[#All],[End_PDT]], MATCH(Table14[[#This Row],[stratum i]], Table2[[#All],[stratum i]])), crediting_period)</f>
        <v>40</v>
      </c>
      <c r="AT128">
        <f>IF(Emission_reduction_from_stock_loss?, INDEX(Table2[[#All],[End_SDT]], MATCH(Table14[[#This Row],[stratum i]], Table2[[#All],[stratum i]])), crediting_period)</f>
        <v>40</v>
      </c>
      <c r="AU128" cm="1">
        <f t="array" ref="AU12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8" t="e" cm="1">
        <f t="array" ref="AV128">INDEX(#REF!, MATCH(1, (Table14[[#This Row],[year t]]=Table32[[#All],[year t]])*(Table14[[#This Row],[stratum i]]=Table32[[#All],[stratum i]]), 0))</f>
        <v>#REF!</v>
      </c>
      <c r="AW12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8" s="57">
        <f>(Table14[[#This Row],[GHGBSL-soil-CO2,i,t (Eq 27)]]-Table14[[#This Row],[Deductionalloch (Eq 38)]])*Table14[[#This Row],[Ai,t]]</f>
        <v>0</v>
      </c>
      <c r="AY128" cm="1">
        <f t="array" ref="AY128">IF(baseline_soil_CH4 = "Included", INDEX(Table18[[#All],[GHGBSL-soil-CH4,i,t (Eq 59)]], MATCH(1, (Table14[[#This Row],[year t]]=Table18[[#All],[year t]])*(Table14[[#This Row],[stratum i]]=Table18[[#All],[stratum i]]), 0)), 0)</f>
        <v>0</v>
      </c>
      <c r="AZ128" cm="1">
        <f t="array" ref="AZ128">IF(baseline_soil_N2O = "Included", INDEX(Table18[[#All],[GHGBSL-soil-N2O,i,t (Eq 62)]], MATCH(1, (Table14[[#This Row],[year t]]=Table18[[#All],[year t]])*(Table14[[#This Row],[stratum i]]=Table18[[#All],[stratum i]]), 0)), 0)</f>
        <v>0</v>
      </c>
      <c r="BA128">
        <f>IF(AND(Table14[[#This Row],[year t]]&gt;Table14[[#This Row],[End_PDT]],Table14[[#This Row],[year t]]&gt;Table14[[#This Row],[End_SDT]]), 0, Table14[[#This Row],[Ai,t]]*(Table14[[#This Row],[GHGBSL-soil-CO2,i,t (Eq 27)]]-Table14[[#This Row],[Deductionalloch (Eq 38)]]+Table14[[#This Row],[GHGBSL-soil-CH4,i,t]]+Table14[[#This Row],[GHGBSL-soil-N2O,i,t]]))</f>
        <v>0</v>
      </c>
      <c r="BB128" t="e" cm="1">
        <f t="array" ref="BB128">INDEX(#REF!, MATCH(1, (Table14[[#This Row],[year t]]=Table32[[#All],[year t]])*(Table14[[#This Row],[stratum i]]=Table32[[#All],[stratum i]]), 0))</f>
        <v>#REF!</v>
      </c>
      <c r="BC128" t="e" cm="1">
        <f t="array" ref="BC128">INDEX(#REF!, MATCH(1, (Table14[[#This Row],[year t]]=Table32[[#All],[year t]])*(Table14[[#This Row],[stratum i]]=Table32[[#All],[stratum i]]), 0))</f>
        <v>#REF!</v>
      </c>
      <c r="BD128" t="e" cm="1">
        <f t="array" ref="BD128">INDEX(#REF!, MATCH(1, (Table14[[#This Row],[year t]]=Table32[[#All],[year t]])*(Table14[[#This Row],[stratum i]]=Table32[[#All],[stratum i]]), 0))</f>
        <v>#REF!</v>
      </c>
      <c r="BE128" t="e" cm="1">
        <f t="array" ref="BE128">INDEX(#REF!, MATCH(1, (Table14[[#This Row],[year t]]=Table32[[#All],[year t]])*(Table14[[#This Row],[stratum i]]=Table32[[#All],[stratum i]]), 0))</f>
        <v>#REF!</v>
      </c>
      <c r="BF128" s="30"/>
      <c r="BM128" s="18">
        <v>2031</v>
      </c>
      <c r="BN128">
        <v>4</v>
      </c>
      <c r="BO128" t="e" cm="1">
        <f t="array" ref="BO128">INDEX(#REF!, MATCH(1, (Table132926[[#This Row],[year t]]=Table32[year t])*(Table132926[[#This Row],[stratum i]]=Table32[[#All],[stratum i]]), 0))</f>
        <v>#REF!</v>
      </c>
      <c r="BP128" t="e">
        <f>-44/12*Table132926[[#This Row],[∆CBSL-soil,i,t (tC/ha)]]</f>
        <v>#REF!</v>
      </c>
    </row>
    <row r="129" spans="10:68" x14ac:dyDescent="0.2">
      <c r="J129" s="18">
        <v>2032</v>
      </c>
      <c r="K129">
        <v>4</v>
      </c>
      <c r="L129" cm="1">
        <f t="array" ref="L129">INDEX(Table32[[#All],[ΔCTREE_BSL,i,t (AR Tool 14) t C/yr]], MATCH(1, (Table12[[#This Row],[year t]]=Table32[[#All],[year t]])*(Table12[[#This Row],[stratum i]]=Table32[[#All],[stratum i]]), 0))</f>
        <v>0</v>
      </c>
      <c r="M129" cm="1">
        <f t="array" ref="M129">IF(baseline_abground_nontree = "Included", INDEX(#REF!, MATCH(1, (Table12[[#This Row],[year t]]=Table32[[#All],[year t]])*(Table12[[#This Row],[stratum i]]=Table32[[#All],[stratum i]]), 0)), 0)</f>
        <v>0</v>
      </c>
      <c r="N129">
        <f>12/44*(Table12[[#This Row],[ΔCTREE_BSL,i,t (AR Tool 14) t CO2e/yr]]+Table12[[#This Row],[ΔCSHRUB_BSL,i,t (AR Tool 14) t CO2e/yr]])</f>
        <v>0</v>
      </c>
      <c r="O129" cm="1">
        <f t="array" ref="O129">IF(baseline_abground_nontree = "Included", IFERROR(INDEX(Table13[[#All],[ΔCBSL-herb,i,t (Eq 25)]], MATCH(1, (Table12[[#This Row],[stratum i]]=Table13[[#All],[stratum i]])*(Table12[[#This Row],[year t]]&gt;=#REF!)*(Table12[[#This Row],[year t]]&lt;=Table13[[#All],[year t]]), 0)), 0), 0)</f>
        <v>0</v>
      </c>
      <c r="P129">
        <f>Table12[[#This Row],[ΔCBSL-tree/shrub,i,t (t C/yr) (Eq 24)]]+Table12[[#This Row],[ΔCBSL-herb,i,t (t C/yr)]]-Table12[[#This Row],[ΔCBSL-agbiomass,i,t; t C yr-1 (submergence)]]</f>
        <v>0</v>
      </c>
      <c r="Q129" cm="1">
        <f t="array" ref="Q129">IFERROR(INDEX(Table14[[#All],[GHGBSL-soil,i,t (Eq 26)]], MATCH(1, (Table12[[#This Row],[year t]]=Table14[[#All],[year t]])*(Table12[[#This Row],[stratum i]]=Table14[[#All],[stratum i]]), 0)), 0)</f>
        <v>0</v>
      </c>
      <c r="R129">
        <f>IF(baseline_ff_CO2 = "Included", Table12[[#This Row],[ET(FC,I,t) AR-Tool 5]], 0)</f>
        <v>0</v>
      </c>
      <c r="S129" t="e" cm="1">
        <f t="array" ref="S129">INDEX(#REF!, MATCH(1, (Table12[[#This Row],[year t]]=Table32[[#All],[year t]])*(Table12[[#This Row],[stratum i]]=Table32[[#All],[stratum i]]), 0))</f>
        <v>#REF!</v>
      </c>
      <c r="T129" cm="1">
        <f t="array" ref="T129">IFERROR(INDEX(Table30[[#All],[ΔCBSL-agbiomass,i,t (equation 22) t C yr-1]], MATCH(1, (Table12[[#This Row],[stratum i]]=Table30[[#All],[Stratum i]])*(Table12[[#This Row],[year t]]&lt;Table30[[#All],[Year of reporting]]), 0)), 0)</f>
        <v>0</v>
      </c>
      <c r="AG129" s="18">
        <v>2032</v>
      </c>
      <c r="AH129">
        <v>4</v>
      </c>
      <c r="AI129" s="49" t="e" cm="1">
        <f t="array" ref="AI129">INDEX(#REF!, MATCH(1, (Table13[[#This Row],[year t]]=Table32[[#All],[year t]])*(Table13[[#This Row],[stratum i]]=Table32[[#All],[stratum i]]), 0))</f>
        <v>#REF!</v>
      </c>
      <c r="AJ129" s="49" t="e">
        <f>Table13[[#This Row],[ΔCBSL-herb,i,t (tC/ha)]]</f>
        <v>#REF!</v>
      </c>
      <c r="AO129" s="18">
        <v>2032</v>
      </c>
      <c r="AP129">
        <v>4</v>
      </c>
      <c r="AQ129" s="18" cm="1">
        <f t="array" ref="AQ129">INDEX(Table32[[#All],[Ai,t]], MATCH(1, (Table14[[#This Row],[year t]]=Table32[[#All],[year t]])*(Table14[[#This Row],[stratum i]]=Table32[[#All],[stratum i]]), 0))</f>
        <v>1227.7635314285715</v>
      </c>
      <c r="AR129" t="str">
        <f>IF(AND(INDEX(Table31[[#All],[Soil type (t=0)]], MATCH(Table14[[#This Row],[stratum i]], Table31[[#All],[Stratum i]]))="Peat soil", Table14[[#This Row],[year t]]&lt;=Table14[[#This Row],[End_PDT]]), "Peat soil", "Non-peat soil")</f>
        <v>Non-peat soil</v>
      </c>
      <c r="AS129">
        <f>IF(Emission_reduction_from_stock_loss?, INDEX(Table2[[#All],[End_PDT]], MATCH(Table14[[#This Row],[stratum i]], Table2[[#All],[stratum i]])), crediting_period)</f>
        <v>40</v>
      </c>
      <c r="AT129">
        <f>IF(Emission_reduction_from_stock_loss?, INDEX(Table2[[#All],[End_SDT]], MATCH(Table14[[#This Row],[stratum i]], Table2[[#All],[stratum i]])), crediting_period)</f>
        <v>40</v>
      </c>
      <c r="AU129" cm="1">
        <f t="array" ref="AU12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29" t="e" cm="1">
        <f t="array" ref="AV129">INDEX(#REF!, MATCH(1, (Table14[[#This Row],[year t]]=Table32[[#All],[year t]])*(Table14[[#This Row],[stratum i]]=Table32[[#All],[stratum i]]), 0))</f>
        <v>#REF!</v>
      </c>
      <c r="AW12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29" s="57">
        <f>(Table14[[#This Row],[GHGBSL-soil-CO2,i,t (Eq 27)]]-Table14[[#This Row],[Deductionalloch (Eq 38)]])*Table14[[#This Row],[Ai,t]]</f>
        <v>0</v>
      </c>
      <c r="AY129" cm="1">
        <f t="array" ref="AY129">IF(baseline_soil_CH4 = "Included", INDEX(Table18[[#All],[GHGBSL-soil-CH4,i,t (Eq 59)]], MATCH(1, (Table14[[#This Row],[year t]]=Table18[[#All],[year t]])*(Table14[[#This Row],[stratum i]]=Table18[[#All],[stratum i]]), 0)), 0)</f>
        <v>0</v>
      </c>
      <c r="AZ129" cm="1">
        <f t="array" ref="AZ129">IF(baseline_soil_N2O = "Included", INDEX(Table18[[#All],[GHGBSL-soil-N2O,i,t (Eq 62)]], MATCH(1, (Table14[[#This Row],[year t]]=Table18[[#All],[year t]])*(Table14[[#This Row],[stratum i]]=Table18[[#All],[stratum i]]), 0)), 0)</f>
        <v>0</v>
      </c>
      <c r="BA129">
        <f>IF(AND(Table14[[#This Row],[year t]]&gt;Table14[[#This Row],[End_PDT]],Table14[[#This Row],[year t]]&gt;Table14[[#This Row],[End_SDT]]), 0, Table14[[#This Row],[Ai,t]]*(Table14[[#This Row],[GHGBSL-soil-CO2,i,t (Eq 27)]]-Table14[[#This Row],[Deductionalloch (Eq 38)]]+Table14[[#This Row],[GHGBSL-soil-CH4,i,t]]+Table14[[#This Row],[GHGBSL-soil-N2O,i,t]]))</f>
        <v>0</v>
      </c>
      <c r="BB129" t="e" cm="1">
        <f t="array" ref="BB129">INDEX(#REF!, MATCH(1, (Table14[[#This Row],[year t]]=Table32[[#All],[year t]])*(Table14[[#This Row],[stratum i]]=Table32[[#All],[stratum i]]), 0))</f>
        <v>#REF!</v>
      </c>
      <c r="BC129" t="e" cm="1">
        <f t="array" ref="BC129">INDEX(#REF!, MATCH(1, (Table14[[#This Row],[year t]]=Table32[[#All],[year t]])*(Table14[[#This Row],[stratum i]]=Table32[[#All],[stratum i]]), 0))</f>
        <v>#REF!</v>
      </c>
      <c r="BD129" t="e" cm="1">
        <f t="array" ref="BD129">INDEX(#REF!, MATCH(1, (Table14[[#This Row],[year t]]=Table32[[#All],[year t]])*(Table14[[#This Row],[stratum i]]=Table32[[#All],[stratum i]]), 0))</f>
        <v>#REF!</v>
      </c>
      <c r="BE129" t="e" cm="1">
        <f t="array" ref="BE129">INDEX(#REF!, MATCH(1, (Table14[[#This Row],[year t]]=Table32[[#All],[year t]])*(Table14[[#This Row],[stratum i]]=Table32[[#All],[stratum i]]), 0))</f>
        <v>#REF!</v>
      </c>
      <c r="BF129" s="30"/>
      <c r="BM129" s="18">
        <v>2032</v>
      </c>
      <c r="BN129">
        <v>4</v>
      </c>
      <c r="BO129" t="e" cm="1">
        <f t="array" ref="BO129">INDEX(#REF!, MATCH(1, (Table132926[[#This Row],[year t]]=Table32[year t])*(Table132926[[#This Row],[stratum i]]=Table32[[#All],[stratum i]]), 0))</f>
        <v>#REF!</v>
      </c>
      <c r="BP129" t="e">
        <f>-44/12*Table132926[[#This Row],[∆CBSL-soil,i,t (tC/ha)]]</f>
        <v>#REF!</v>
      </c>
    </row>
    <row r="130" spans="10:68" x14ac:dyDescent="0.2">
      <c r="J130" s="18">
        <v>2033</v>
      </c>
      <c r="K130">
        <v>4</v>
      </c>
      <c r="L130" cm="1">
        <f t="array" ref="L130">INDEX(Table32[[#All],[ΔCTREE_BSL,i,t (AR Tool 14) t C/yr]], MATCH(1, (Table12[[#This Row],[year t]]=Table32[[#All],[year t]])*(Table12[[#This Row],[stratum i]]=Table32[[#All],[stratum i]]), 0))</f>
        <v>0</v>
      </c>
      <c r="M130" cm="1">
        <f t="array" ref="M130">IF(baseline_abground_nontree = "Included", INDEX(#REF!, MATCH(1, (Table12[[#This Row],[year t]]=Table32[[#All],[year t]])*(Table12[[#This Row],[stratum i]]=Table32[[#All],[stratum i]]), 0)), 0)</f>
        <v>0</v>
      </c>
      <c r="N130">
        <f>12/44*(Table12[[#This Row],[ΔCTREE_BSL,i,t (AR Tool 14) t CO2e/yr]]+Table12[[#This Row],[ΔCSHRUB_BSL,i,t (AR Tool 14) t CO2e/yr]])</f>
        <v>0</v>
      </c>
      <c r="O130" cm="1">
        <f t="array" ref="O130">IF(baseline_abground_nontree = "Included", IFERROR(INDEX(Table13[[#All],[ΔCBSL-herb,i,t (Eq 25)]], MATCH(1, (Table12[[#This Row],[stratum i]]=Table13[[#All],[stratum i]])*(Table12[[#This Row],[year t]]&gt;=#REF!)*(Table12[[#This Row],[year t]]&lt;=Table13[[#All],[year t]]), 0)), 0), 0)</f>
        <v>0</v>
      </c>
      <c r="P130">
        <f>Table12[[#This Row],[ΔCBSL-tree/shrub,i,t (t C/yr) (Eq 24)]]+Table12[[#This Row],[ΔCBSL-herb,i,t (t C/yr)]]-Table12[[#This Row],[ΔCBSL-agbiomass,i,t; t C yr-1 (submergence)]]</f>
        <v>0</v>
      </c>
      <c r="Q130" cm="1">
        <f t="array" ref="Q130">IFERROR(INDEX(Table14[[#All],[GHGBSL-soil,i,t (Eq 26)]], MATCH(1, (Table12[[#This Row],[year t]]=Table14[[#All],[year t]])*(Table12[[#This Row],[stratum i]]=Table14[[#All],[stratum i]]), 0)), 0)</f>
        <v>0</v>
      </c>
      <c r="R130">
        <f>IF(baseline_ff_CO2 = "Included", Table12[[#This Row],[ET(FC,I,t) AR-Tool 5]], 0)</f>
        <v>0</v>
      </c>
      <c r="S130" t="e" cm="1">
        <f t="array" ref="S130">INDEX(#REF!, MATCH(1, (Table12[[#This Row],[year t]]=Table32[[#All],[year t]])*(Table12[[#This Row],[stratum i]]=Table32[[#All],[stratum i]]), 0))</f>
        <v>#REF!</v>
      </c>
      <c r="T130" cm="1">
        <f t="array" ref="T130">IFERROR(INDEX(Table30[[#All],[ΔCBSL-agbiomass,i,t (equation 22) t C yr-1]], MATCH(1, (Table12[[#This Row],[stratum i]]=Table30[[#All],[Stratum i]])*(Table12[[#This Row],[year t]]&lt;Table30[[#All],[Year of reporting]]), 0)), 0)</f>
        <v>0</v>
      </c>
      <c r="AG130" s="18">
        <v>2033</v>
      </c>
      <c r="AH130">
        <v>4</v>
      </c>
      <c r="AI130" s="49" t="e" cm="1">
        <f t="array" ref="AI130">INDEX(#REF!, MATCH(1, (Table13[[#This Row],[year t]]=Table32[[#All],[year t]])*(Table13[[#This Row],[stratum i]]=Table32[[#All],[stratum i]]), 0))</f>
        <v>#REF!</v>
      </c>
      <c r="AJ130" s="49" t="e">
        <f>Table13[[#This Row],[ΔCBSL-herb,i,t (tC/ha)]]</f>
        <v>#REF!</v>
      </c>
      <c r="AO130" s="18">
        <v>2033</v>
      </c>
      <c r="AP130">
        <v>4</v>
      </c>
      <c r="AQ130" s="18" cm="1">
        <f t="array" ref="AQ130">INDEX(Table32[[#All],[Ai,t]], MATCH(1, (Table14[[#This Row],[year t]]=Table32[[#All],[year t]])*(Table14[[#This Row],[stratum i]]=Table32[[#All],[stratum i]]), 0))</f>
        <v>1227.7635314285715</v>
      </c>
      <c r="AR130" t="str">
        <f>IF(AND(INDEX(Table31[[#All],[Soil type (t=0)]], MATCH(Table14[[#This Row],[stratum i]], Table31[[#All],[Stratum i]]))="Peat soil", Table14[[#This Row],[year t]]&lt;=Table14[[#This Row],[End_PDT]]), "Peat soil", "Non-peat soil")</f>
        <v>Non-peat soil</v>
      </c>
      <c r="AS130">
        <f>IF(Emission_reduction_from_stock_loss?, INDEX(Table2[[#All],[End_PDT]], MATCH(Table14[[#This Row],[stratum i]], Table2[[#All],[stratum i]])), crediting_period)</f>
        <v>40</v>
      </c>
      <c r="AT130">
        <f>IF(Emission_reduction_from_stock_loss?, INDEX(Table2[[#All],[End_SDT]], MATCH(Table14[[#This Row],[stratum i]], Table2[[#All],[stratum i]])), crediting_period)</f>
        <v>40</v>
      </c>
      <c r="AU130" cm="1">
        <f t="array" ref="AU13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0" t="e" cm="1">
        <f t="array" ref="AV130">INDEX(#REF!, MATCH(1, (Table14[[#This Row],[year t]]=Table32[[#All],[year t]])*(Table14[[#This Row],[stratum i]]=Table32[[#All],[stratum i]]), 0))</f>
        <v>#REF!</v>
      </c>
      <c r="AW13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0" s="57">
        <f>(Table14[[#This Row],[GHGBSL-soil-CO2,i,t (Eq 27)]]-Table14[[#This Row],[Deductionalloch (Eq 38)]])*Table14[[#This Row],[Ai,t]]</f>
        <v>0</v>
      </c>
      <c r="AY130" cm="1">
        <f t="array" ref="AY130">IF(baseline_soil_CH4 = "Included", INDEX(Table18[[#All],[GHGBSL-soil-CH4,i,t (Eq 59)]], MATCH(1, (Table14[[#This Row],[year t]]=Table18[[#All],[year t]])*(Table14[[#This Row],[stratum i]]=Table18[[#All],[stratum i]]), 0)), 0)</f>
        <v>0</v>
      </c>
      <c r="AZ130" cm="1">
        <f t="array" ref="AZ130">IF(baseline_soil_N2O = "Included", INDEX(Table18[[#All],[GHGBSL-soil-N2O,i,t (Eq 62)]], MATCH(1, (Table14[[#This Row],[year t]]=Table18[[#All],[year t]])*(Table14[[#This Row],[stratum i]]=Table18[[#All],[stratum i]]), 0)), 0)</f>
        <v>0</v>
      </c>
      <c r="BA130">
        <f>IF(AND(Table14[[#This Row],[year t]]&gt;Table14[[#This Row],[End_PDT]],Table14[[#This Row],[year t]]&gt;Table14[[#This Row],[End_SDT]]), 0, Table14[[#This Row],[Ai,t]]*(Table14[[#This Row],[GHGBSL-soil-CO2,i,t (Eq 27)]]-Table14[[#This Row],[Deductionalloch (Eq 38)]]+Table14[[#This Row],[GHGBSL-soil-CH4,i,t]]+Table14[[#This Row],[GHGBSL-soil-N2O,i,t]]))</f>
        <v>0</v>
      </c>
      <c r="BB130" t="e" cm="1">
        <f t="array" ref="BB130">INDEX(#REF!, MATCH(1, (Table14[[#This Row],[year t]]=Table32[[#All],[year t]])*(Table14[[#This Row],[stratum i]]=Table32[[#All],[stratum i]]), 0))</f>
        <v>#REF!</v>
      </c>
      <c r="BC130" t="e" cm="1">
        <f t="array" ref="BC130">INDEX(#REF!, MATCH(1, (Table14[[#This Row],[year t]]=Table32[[#All],[year t]])*(Table14[[#This Row],[stratum i]]=Table32[[#All],[stratum i]]), 0))</f>
        <v>#REF!</v>
      </c>
      <c r="BD130" t="e" cm="1">
        <f t="array" ref="BD130">INDEX(#REF!, MATCH(1, (Table14[[#This Row],[year t]]=Table32[[#All],[year t]])*(Table14[[#This Row],[stratum i]]=Table32[[#All],[stratum i]]), 0))</f>
        <v>#REF!</v>
      </c>
      <c r="BE130" t="e" cm="1">
        <f t="array" ref="BE130">INDEX(#REF!, MATCH(1, (Table14[[#This Row],[year t]]=Table32[[#All],[year t]])*(Table14[[#This Row],[stratum i]]=Table32[[#All],[stratum i]]), 0))</f>
        <v>#REF!</v>
      </c>
      <c r="BF130" s="30"/>
      <c r="BM130" s="18">
        <v>2033</v>
      </c>
      <c r="BN130">
        <v>4</v>
      </c>
      <c r="BO130" t="e" cm="1">
        <f t="array" ref="BO130">INDEX(#REF!, MATCH(1, (Table132926[[#This Row],[year t]]=Table32[year t])*(Table132926[[#This Row],[stratum i]]=Table32[[#All],[stratum i]]), 0))</f>
        <v>#REF!</v>
      </c>
      <c r="BP130" t="e">
        <f>-44/12*Table132926[[#This Row],[∆CBSL-soil,i,t (tC/ha)]]</f>
        <v>#REF!</v>
      </c>
    </row>
    <row r="131" spans="10:68" x14ac:dyDescent="0.2">
      <c r="J131" s="18">
        <v>2034</v>
      </c>
      <c r="K131">
        <v>4</v>
      </c>
      <c r="L131" cm="1">
        <f t="array" ref="L131">INDEX(Table32[[#All],[ΔCTREE_BSL,i,t (AR Tool 14) t C/yr]], MATCH(1, (Table12[[#This Row],[year t]]=Table32[[#All],[year t]])*(Table12[[#This Row],[stratum i]]=Table32[[#All],[stratum i]]), 0))</f>
        <v>0</v>
      </c>
      <c r="M131" cm="1">
        <f t="array" ref="M131">IF(baseline_abground_nontree = "Included", INDEX(#REF!, MATCH(1, (Table12[[#This Row],[year t]]=Table32[[#All],[year t]])*(Table12[[#This Row],[stratum i]]=Table32[[#All],[stratum i]]), 0)), 0)</f>
        <v>0</v>
      </c>
      <c r="N131">
        <f>12/44*(Table12[[#This Row],[ΔCTREE_BSL,i,t (AR Tool 14) t CO2e/yr]]+Table12[[#This Row],[ΔCSHRUB_BSL,i,t (AR Tool 14) t CO2e/yr]])</f>
        <v>0</v>
      </c>
      <c r="O131" cm="1">
        <f t="array" ref="O131">IF(baseline_abground_nontree = "Included", IFERROR(INDEX(Table13[[#All],[ΔCBSL-herb,i,t (Eq 25)]], MATCH(1, (Table12[[#This Row],[stratum i]]=Table13[[#All],[stratum i]])*(Table12[[#This Row],[year t]]&gt;=#REF!)*(Table12[[#This Row],[year t]]&lt;=Table13[[#All],[year t]]), 0)), 0), 0)</f>
        <v>0</v>
      </c>
      <c r="P131">
        <f>Table12[[#This Row],[ΔCBSL-tree/shrub,i,t (t C/yr) (Eq 24)]]+Table12[[#This Row],[ΔCBSL-herb,i,t (t C/yr)]]-Table12[[#This Row],[ΔCBSL-agbiomass,i,t; t C yr-1 (submergence)]]</f>
        <v>0</v>
      </c>
      <c r="Q131" cm="1">
        <f t="array" ref="Q131">IFERROR(INDEX(Table14[[#All],[GHGBSL-soil,i,t (Eq 26)]], MATCH(1, (Table12[[#This Row],[year t]]=Table14[[#All],[year t]])*(Table12[[#This Row],[stratum i]]=Table14[[#All],[stratum i]]), 0)), 0)</f>
        <v>0</v>
      </c>
      <c r="R131">
        <f>IF(baseline_ff_CO2 = "Included", Table12[[#This Row],[ET(FC,I,t) AR-Tool 5]], 0)</f>
        <v>0</v>
      </c>
      <c r="S131" t="e" cm="1">
        <f t="array" ref="S131">INDEX(#REF!, MATCH(1, (Table12[[#This Row],[year t]]=Table32[[#All],[year t]])*(Table12[[#This Row],[stratum i]]=Table32[[#All],[stratum i]]), 0))</f>
        <v>#REF!</v>
      </c>
      <c r="T131" cm="1">
        <f t="array" ref="T131">IFERROR(INDEX(Table30[[#All],[ΔCBSL-agbiomass,i,t (equation 22) t C yr-1]], MATCH(1, (Table12[[#This Row],[stratum i]]=Table30[[#All],[Stratum i]])*(Table12[[#This Row],[year t]]&lt;Table30[[#All],[Year of reporting]]), 0)), 0)</f>
        <v>0</v>
      </c>
      <c r="AG131" s="18">
        <v>2034</v>
      </c>
      <c r="AH131">
        <v>4</v>
      </c>
      <c r="AI131" s="49" t="e" cm="1">
        <f t="array" ref="AI131">INDEX(#REF!, MATCH(1, (Table13[[#This Row],[year t]]=Table32[[#All],[year t]])*(Table13[[#This Row],[stratum i]]=Table32[[#All],[stratum i]]), 0))</f>
        <v>#REF!</v>
      </c>
      <c r="AJ131" s="49" t="e">
        <f>Table13[[#This Row],[ΔCBSL-herb,i,t (tC/ha)]]</f>
        <v>#REF!</v>
      </c>
      <c r="AO131" s="18">
        <v>2034</v>
      </c>
      <c r="AP131">
        <v>4</v>
      </c>
      <c r="AQ131" s="18" cm="1">
        <f t="array" ref="AQ131">INDEX(Table32[[#All],[Ai,t]], MATCH(1, (Table14[[#This Row],[year t]]=Table32[[#All],[year t]])*(Table14[[#This Row],[stratum i]]=Table32[[#All],[stratum i]]), 0))</f>
        <v>1227.7635314285715</v>
      </c>
      <c r="AR131" t="str">
        <f>IF(AND(INDEX(Table31[[#All],[Soil type (t=0)]], MATCH(Table14[[#This Row],[stratum i]], Table31[[#All],[Stratum i]]))="Peat soil", Table14[[#This Row],[year t]]&lt;=Table14[[#This Row],[End_PDT]]), "Peat soil", "Non-peat soil")</f>
        <v>Non-peat soil</v>
      </c>
      <c r="AS131">
        <f>IF(Emission_reduction_from_stock_loss?, INDEX(Table2[[#All],[End_PDT]], MATCH(Table14[[#This Row],[stratum i]], Table2[[#All],[stratum i]])), crediting_period)</f>
        <v>40</v>
      </c>
      <c r="AT131">
        <f>IF(Emission_reduction_from_stock_loss?, INDEX(Table2[[#All],[End_SDT]], MATCH(Table14[[#This Row],[stratum i]], Table2[[#All],[stratum i]])), crediting_period)</f>
        <v>40</v>
      </c>
      <c r="AU131" cm="1">
        <f t="array" ref="AU13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1" t="e" cm="1">
        <f t="array" ref="AV131">INDEX(#REF!, MATCH(1, (Table14[[#This Row],[year t]]=Table32[[#All],[year t]])*(Table14[[#This Row],[stratum i]]=Table32[[#All],[stratum i]]), 0))</f>
        <v>#REF!</v>
      </c>
      <c r="AW13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1" s="57">
        <f>(Table14[[#This Row],[GHGBSL-soil-CO2,i,t (Eq 27)]]-Table14[[#This Row],[Deductionalloch (Eq 38)]])*Table14[[#This Row],[Ai,t]]</f>
        <v>0</v>
      </c>
      <c r="AY131" cm="1">
        <f t="array" ref="AY131">IF(baseline_soil_CH4 = "Included", INDEX(Table18[[#All],[GHGBSL-soil-CH4,i,t (Eq 59)]], MATCH(1, (Table14[[#This Row],[year t]]=Table18[[#All],[year t]])*(Table14[[#This Row],[stratum i]]=Table18[[#All],[stratum i]]), 0)), 0)</f>
        <v>0</v>
      </c>
      <c r="AZ131" cm="1">
        <f t="array" ref="AZ131">IF(baseline_soil_N2O = "Included", INDEX(Table18[[#All],[GHGBSL-soil-N2O,i,t (Eq 62)]], MATCH(1, (Table14[[#This Row],[year t]]=Table18[[#All],[year t]])*(Table14[[#This Row],[stratum i]]=Table18[[#All],[stratum i]]), 0)), 0)</f>
        <v>0</v>
      </c>
      <c r="BA131">
        <f>IF(AND(Table14[[#This Row],[year t]]&gt;Table14[[#This Row],[End_PDT]],Table14[[#This Row],[year t]]&gt;Table14[[#This Row],[End_SDT]]), 0, Table14[[#This Row],[Ai,t]]*(Table14[[#This Row],[GHGBSL-soil-CO2,i,t (Eq 27)]]-Table14[[#This Row],[Deductionalloch (Eq 38)]]+Table14[[#This Row],[GHGBSL-soil-CH4,i,t]]+Table14[[#This Row],[GHGBSL-soil-N2O,i,t]]))</f>
        <v>0</v>
      </c>
      <c r="BB131" t="e" cm="1">
        <f t="array" ref="BB131">INDEX(#REF!, MATCH(1, (Table14[[#This Row],[year t]]=Table32[[#All],[year t]])*(Table14[[#This Row],[stratum i]]=Table32[[#All],[stratum i]]), 0))</f>
        <v>#REF!</v>
      </c>
      <c r="BC131" t="e" cm="1">
        <f t="array" ref="BC131">INDEX(#REF!, MATCH(1, (Table14[[#This Row],[year t]]=Table32[[#All],[year t]])*(Table14[[#This Row],[stratum i]]=Table32[[#All],[stratum i]]), 0))</f>
        <v>#REF!</v>
      </c>
      <c r="BD131" t="e" cm="1">
        <f t="array" ref="BD131">INDEX(#REF!, MATCH(1, (Table14[[#This Row],[year t]]=Table32[[#All],[year t]])*(Table14[[#This Row],[stratum i]]=Table32[[#All],[stratum i]]), 0))</f>
        <v>#REF!</v>
      </c>
      <c r="BE131" t="e" cm="1">
        <f t="array" ref="BE131">INDEX(#REF!, MATCH(1, (Table14[[#This Row],[year t]]=Table32[[#All],[year t]])*(Table14[[#This Row],[stratum i]]=Table32[[#All],[stratum i]]), 0))</f>
        <v>#REF!</v>
      </c>
      <c r="BF131" s="30"/>
      <c r="BM131" s="18">
        <v>2034</v>
      </c>
      <c r="BN131">
        <v>4</v>
      </c>
      <c r="BO131" t="e" cm="1">
        <f t="array" ref="BO131">INDEX(#REF!, MATCH(1, (Table132926[[#This Row],[year t]]=Table32[year t])*(Table132926[[#This Row],[stratum i]]=Table32[[#All],[stratum i]]), 0))</f>
        <v>#REF!</v>
      </c>
      <c r="BP131" t="e">
        <f>-44/12*Table132926[[#This Row],[∆CBSL-soil,i,t (tC/ha)]]</f>
        <v>#REF!</v>
      </c>
    </row>
    <row r="132" spans="10:68" x14ac:dyDescent="0.2">
      <c r="J132" s="18">
        <v>2035</v>
      </c>
      <c r="K132">
        <v>4</v>
      </c>
      <c r="L132" cm="1">
        <f t="array" ref="L132">INDEX(Table32[[#All],[ΔCTREE_BSL,i,t (AR Tool 14) t C/yr]], MATCH(1, (Table12[[#This Row],[year t]]=Table32[[#All],[year t]])*(Table12[[#This Row],[stratum i]]=Table32[[#All],[stratum i]]), 0))</f>
        <v>0</v>
      </c>
      <c r="M132" cm="1">
        <f t="array" ref="M132">IF(baseline_abground_nontree = "Included", INDEX(#REF!, MATCH(1, (Table12[[#This Row],[year t]]=Table32[[#All],[year t]])*(Table12[[#This Row],[stratum i]]=Table32[[#All],[stratum i]]), 0)), 0)</f>
        <v>0</v>
      </c>
      <c r="N132">
        <f>12/44*(Table12[[#This Row],[ΔCTREE_BSL,i,t (AR Tool 14) t CO2e/yr]]+Table12[[#This Row],[ΔCSHRUB_BSL,i,t (AR Tool 14) t CO2e/yr]])</f>
        <v>0</v>
      </c>
      <c r="O132" cm="1">
        <f t="array" ref="O132">IF(baseline_abground_nontree = "Included", IFERROR(INDEX(Table13[[#All],[ΔCBSL-herb,i,t (Eq 25)]], MATCH(1, (Table12[[#This Row],[stratum i]]=Table13[[#All],[stratum i]])*(Table12[[#This Row],[year t]]&gt;=#REF!)*(Table12[[#This Row],[year t]]&lt;=Table13[[#All],[year t]]), 0)), 0), 0)</f>
        <v>0</v>
      </c>
      <c r="P132">
        <f>Table12[[#This Row],[ΔCBSL-tree/shrub,i,t (t C/yr) (Eq 24)]]+Table12[[#This Row],[ΔCBSL-herb,i,t (t C/yr)]]-Table12[[#This Row],[ΔCBSL-agbiomass,i,t; t C yr-1 (submergence)]]</f>
        <v>0</v>
      </c>
      <c r="Q132" cm="1">
        <f t="array" ref="Q132">IFERROR(INDEX(Table14[[#All],[GHGBSL-soil,i,t (Eq 26)]], MATCH(1, (Table12[[#This Row],[year t]]=Table14[[#All],[year t]])*(Table12[[#This Row],[stratum i]]=Table14[[#All],[stratum i]]), 0)), 0)</f>
        <v>0</v>
      </c>
      <c r="R132">
        <f>IF(baseline_ff_CO2 = "Included", Table12[[#This Row],[ET(FC,I,t) AR-Tool 5]], 0)</f>
        <v>0</v>
      </c>
      <c r="S132" t="e" cm="1">
        <f t="array" ref="S132">INDEX(#REF!, MATCH(1, (Table12[[#This Row],[year t]]=Table32[[#All],[year t]])*(Table12[[#This Row],[stratum i]]=Table32[[#All],[stratum i]]), 0))</f>
        <v>#REF!</v>
      </c>
      <c r="T132" cm="1">
        <f t="array" ref="T132">IFERROR(INDEX(Table30[[#All],[ΔCBSL-agbiomass,i,t (equation 22) t C yr-1]], MATCH(1, (Table12[[#This Row],[stratum i]]=Table30[[#All],[Stratum i]])*(Table12[[#This Row],[year t]]&lt;Table30[[#All],[Year of reporting]]), 0)), 0)</f>
        <v>0</v>
      </c>
      <c r="AG132" s="18">
        <v>2035</v>
      </c>
      <c r="AH132">
        <v>4</v>
      </c>
      <c r="AI132" s="49" t="e" cm="1">
        <f t="array" ref="AI132">INDEX(#REF!, MATCH(1, (Table13[[#This Row],[year t]]=Table32[[#All],[year t]])*(Table13[[#This Row],[stratum i]]=Table32[[#All],[stratum i]]), 0))</f>
        <v>#REF!</v>
      </c>
      <c r="AJ132" s="49" t="e">
        <f>Table13[[#This Row],[ΔCBSL-herb,i,t (tC/ha)]]</f>
        <v>#REF!</v>
      </c>
      <c r="AO132" s="18">
        <v>2035</v>
      </c>
      <c r="AP132">
        <v>4</v>
      </c>
      <c r="AQ132" s="18" cm="1">
        <f t="array" ref="AQ132">INDEX(Table32[[#All],[Ai,t]], MATCH(1, (Table14[[#This Row],[year t]]=Table32[[#All],[year t]])*(Table14[[#This Row],[stratum i]]=Table32[[#All],[stratum i]]), 0))</f>
        <v>1227.7635314285715</v>
      </c>
      <c r="AR132" t="str">
        <f>IF(AND(INDEX(Table31[[#All],[Soil type (t=0)]], MATCH(Table14[[#This Row],[stratum i]], Table31[[#All],[Stratum i]]))="Peat soil", Table14[[#This Row],[year t]]&lt;=Table14[[#This Row],[End_PDT]]), "Peat soil", "Non-peat soil")</f>
        <v>Non-peat soil</v>
      </c>
      <c r="AS132">
        <f>IF(Emission_reduction_from_stock_loss?, INDEX(Table2[[#All],[End_PDT]], MATCH(Table14[[#This Row],[stratum i]], Table2[[#All],[stratum i]])), crediting_period)</f>
        <v>40</v>
      </c>
      <c r="AT132">
        <f>IF(Emission_reduction_from_stock_loss?, INDEX(Table2[[#All],[End_SDT]], MATCH(Table14[[#This Row],[stratum i]], Table2[[#All],[stratum i]])), crediting_period)</f>
        <v>40</v>
      </c>
      <c r="AU132" cm="1">
        <f t="array" ref="AU13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2" t="e" cm="1">
        <f t="array" ref="AV132">INDEX(#REF!, MATCH(1, (Table14[[#This Row],[year t]]=Table32[[#All],[year t]])*(Table14[[#This Row],[stratum i]]=Table32[[#All],[stratum i]]), 0))</f>
        <v>#REF!</v>
      </c>
      <c r="AW13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2" s="57">
        <f>(Table14[[#This Row],[GHGBSL-soil-CO2,i,t (Eq 27)]]-Table14[[#This Row],[Deductionalloch (Eq 38)]])*Table14[[#This Row],[Ai,t]]</f>
        <v>0</v>
      </c>
      <c r="AY132" cm="1">
        <f t="array" ref="AY132">IF(baseline_soil_CH4 = "Included", INDEX(Table18[[#All],[GHGBSL-soil-CH4,i,t (Eq 59)]], MATCH(1, (Table14[[#This Row],[year t]]=Table18[[#All],[year t]])*(Table14[[#This Row],[stratum i]]=Table18[[#All],[stratum i]]), 0)), 0)</f>
        <v>0</v>
      </c>
      <c r="AZ132" cm="1">
        <f t="array" ref="AZ132">IF(baseline_soil_N2O = "Included", INDEX(Table18[[#All],[GHGBSL-soil-N2O,i,t (Eq 62)]], MATCH(1, (Table14[[#This Row],[year t]]=Table18[[#All],[year t]])*(Table14[[#This Row],[stratum i]]=Table18[[#All],[stratum i]]), 0)), 0)</f>
        <v>0</v>
      </c>
      <c r="BA132">
        <f>IF(AND(Table14[[#This Row],[year t]]&gt;Table14[[#This Row],[End_PDT]],Table14[[#This Row],[year t]]&gt;Table14[[#This Row],[End_SDT]]), 0, Table14[[#This Row],[Ai,t]]*(Table14[[#This Row],[GHGBSL-soil-CO2,i,t (Eq 27)]]-Table14[[#This Row],[Deductionalloch (Eq 38)]]+Table14[[#This Row],[GHGBSL-soil-CH4,i,t]]+Table14[[#This Row],[GHGBSL-soil-N2O,i,t]]))</f>
        <v>0</v>
      </c>
      <c r="BB132" t="e" cm="1">
        <f t="array" ref="BB132">INDEX(#REF!, MATCH(1, (Table14[[#This Row],[year t]]=Table32[[#All],[year t]])*(Table14[[#This Row],[stratum i]]=Table32[[#All],[stratum i]]), 0))</f>
        <v>#REF!</v>
      </c>
      <c r="BC132" t="e" cm="1">
        <f t="array" ref="BC132">INDEX(#REF!, MATCH(1, (Table14[[#This Row],[year t]]=Table32[[#All],[year t]])*(Table14[[#This Row],[stratum i]]=Table32[[#All],[stratum i]]), 0))</f>
        <v>#REF!</v>
      </c>
      <c r="BD132" t="e" cm="1">
        <f t="array" ref="BD132">INDEX(#REF!, MATCH(1, (Table14[[#This Row],[year t]]=Table32[[#All],[year t]])*(Table14[[#This Row],[stratum i]]=Table32[[#All],[stratum i]]), 0))</f>
        <v>#REF!</v>
      </c>
      <c r="BE132" t="e" cm="1">
        <f t="array" ref="BE132">INDEX(#REF!, MATCH(1, (Table14[[#This Row],[year t]]=Table32[[#All],[year t]])*(Table14[[#This Row],[stratum i]]=Table32[[#All],[stratum i]]), 0))</f>
        <v>#REF!</v>
      </c>
      <c r="BF132" s="30"/>
      <c r="BM132" s="18">
        <v>2035</v>
      </c>
      <c r="BN132">
        <v>4</v>
      </c>
      <c r="BO132" t="e" cm="1">
        <f t="array" ref="BO132">INDEX(#REF!, MATCH(1, (Table132926[[#This Row],[year t]]=Table32[year t])*(Table132926[[#This Row],[stratum i]]=Table32[[#All],[stratum i]]), 0))</f>
        <v>#REF!</v>
      </c>
      <c r="BP132" t="e">
        <f>-44/12*Table132926[[#This Row],[∆CBSL-soil,i,t (tC/ha)]]</f>
        <v>#REF!</v>
      </c>
    </row>
    <row r="133" spans="10:68" x14ac:dyDescent="0.2">
      <c r="J133" s="18">
        <v>2036</v>
      </c>
      <c r="K133">
        <v>4</v>
      </c>
      <c r="L133" cm="1">
        <f t="array" ref="L133">INDEX(Table32[[#All],[ΔCTREE_BSL,i,t (AR Tool 14) t C/yr]], MATCH(1, (Table12[[#This Row],[year t]]=Table32[[#All],[year t]])*(Table12[[#This Row],[stratum i]]=Table32[[#All],[stratum i]]), 0))</f>
        <v>0</v>
      </c>
      <c r="M133" cm="1">
        <f t="array" ref="M133">IF(baseline_abground_nontree = "Included", INDEX(#REF!, MATCH(1, (Table12[[#This Row],[year t]]=Table32[[#All],[year t]])*(Table12[[#This Row],[stratum i]]=Table32[[#All],[stratum i]]), 0)), 0)</f>
        <v>0</v>
      </c>
      <c r="N133">
        <f>12/44*(Table12[[#This Row],[ΔCTREE_BSL,i,t (AR Tool 14) t CO2e/yr]]+Table12[[#This Row],[ΔCSHRUB_BSL,i,t (AR Tool 14) t CO2e/yr]])</f>
        <v>0</v>
      </c>
      <c r="O133" cm="1">
        <f t="array" ref="O133">IF(baseline_abground_nontree = "Included", IFERROR(INDEX(Table13[[#All],[ΔCBSL-herb,i,t (Eq 25)]], MATCH(1, (Table12[[#This Row],[stratum i]]=Table13[[#All],[stratum i]])*(Table12[[#This Row],[year t]]&gt;=#REF!)*(Table12[[#This Row],[year t]]&lt;=Table13[[#All],[year t]]), 0)), 0), 0)</f>
        <v>0</v>
      </c>
      <c r="P133">
        <f>Table12[[#This Row],[ΔCBSL-tree/shrub,i,t (t C/yr) (Eq 24)]]+Table12[[#This Row],[ΔCBSL-herb,i,t (t C/yr)]]-Table12[[#This Row],[ΔCBSL-agbiomass,i,t; t C yr-1 (submergence)]]</f>
        <v>0</v>
      </c>
      <c r="Q133" cm="1">
        <f t="array" ref="Q133">IFERROR(INDEX(Table14[[#All],[GHGBSL-soil,i,t (Eq 26)]], MATCH(1, (Table12[[#This Row],[year t]]=Table14[[#All],[year t]])*(Table12[[#This Row],[stratum i]]=Table14[[#All],[stratum i]]), 0)), 0)</f>
        <v>0</v>
      </c>
      <c r="R133">
        <f>IF(baseline_ff_CO2 = "Included", Table12[[#This Row],[ET(FC,I,t) AR-Tool 5]], 0)</f>
        <v>0</v>
      </c>
      <c r="S133" t="e" cm="1">
        <f t="array" ref="S133">INDEX(#REF!, MATCH(1, (Table12[[#This Row],[year t]]=Table32[[#All],[year t]])*(Table12[[#This Row],[stratum i]]=Table32[[#All],[stratum i]]), 0))</f>
        <v>#REF!</v>
      </c>
      <c r="T133" cm="1">
        <f t="array" ref="T133">IFERROR(INDEX(Table30[[#All],[ΔCBSL-agbiomass,i,t (equation 22) t C yr-1]], MATCH(1, (Table12[[#This Row],[stratum i]]=Table30[[#All],[Stratum i]])*(Table12[[#This Row],[year t]]&lt;Table30[[#All],[Year of reporting]]), 0)), 0)</f>
        <v>0</v>
      </c>
      <c r="AG133" s="18">
        <v>2036</v>
      </c>
      <c r="AH133">
        <v>4</v>
      </c>
      <c r="AI133" s="49" t="e" cm="1">
        <f t="array" ref="AI133">INDEX(#REF!, MATCH(1, (Table13[[#This Row],[year t]]=Table32[[#All],[year t]])*(Table13[[#This Row],[stratum i]]=Table32[[#All],[stratum i]]), 0))</f>
        <v>#REF!</v>
      </c>
      <c r="AJ133" s="49" t="e">
        <f>Table13[[#This Row],[ΔCBSL-herb,i,t (tC/ha)]]</f>
        <v>#REF!</v>
      </c>
      <c r="AO133" s="18">
        <v>2036</v>
      </c>
      <c r="AP133">
        <v>4</v>
      </c>
      <c r="AQ133" s="18" cm="1">
        <f t="array" ref="AQ133">INDEX(Table32[[#All],[Ai,t]], MATCH(1, (Table14[[#This Row],[year t]]=Table32[[#All],[year t]])*(Table14[[#This Row],[stratum i]]=Table32[[#All],[stratum i]]), 0))</f>
        <v>1227.7635314285715</v>
      </c>
      <c r="AR133" t="str">
        <f>IF(AND(INDEX(Table31[[#All],[Soil type (t=0)]], MATCH(Table14[[#This Row],[stratum i]], Table31[[#All],[Stratum i]]))="Peat soil", Table14[[#This Row],[year t]]&lt;=Table14[[#This Row],[End_PDT]]), "Peat soil", "Non-peat soil")</f>
        <v>Non-peat soil</v>
      </c>
      <c r="AS133">
        <f>IF(Emission_reduction_from_stock_loss?, INDEX(Table2[[#All],[End_PDT]], MATCH(Table14[[#This Row],[stratum i]], Table2[[#All],[stratum i]])), crediting_period)</f>
        <v>40</v>
      </c>
      <c r="AT133">
        <f>IF(Emission_reduction_from_stock_loss?, INDEX(Table2[[#All],[End_SDT]], MATCH(Table14[[#This Row],[stratum i]], Table2[[#All],[stratum i]])), crediting_period)</f>
        <v>40</v>
      </c>
      <c r="AU133" cm="1">
        <f t="array" ref="AU13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3" t="e" cm="1">
        <f t="array" ref="AV133">INDEX(#REF!, MATCH(1, (Table14[[#This Row],[year t]]=Table32[[#All],[year t]])*(Table14[[#This Row],[stratum i]]=Table32[[#All],[stratum i]]), 0))</f>
        <v>#REF!</v>
      </c>
      <c r="AW13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3" s="57">
        <f>(Table14[[#This Row],[GHGBSL-soil-CO2,i,t (Eq 27)]]-Table14[[#This Row],[Deductionalloch (Eq 38)]])*Table14[[#This Row],[Ai,t]]</f>
        <v>0</v>
      </c>
      <c r="AY133" cm="1">
        <f t="array" ref="AY133">IF(baseline_soil_CH4 = "Included", INDEX(Table18[[#All],[GHGBSL-soil-CH4,i,t (Eq 59)]], MATCH(1, (Table14[[#This Row],[year t]]=Table18[[#All],[year t]])*(Table14[[#This Row],[stratum i]]=Table18[[#All],[stratum i]]), 0)), 0)</f>
        <v>0</v>
      </c>
      <c r="AZ133" cm="1">
        <f t="array" ref="AZ133">IF(baseline_soil_N2O = "Included", INDEX(Table18[[#All],[GHGBSL-soil-N2O,i,t (Eq 62)]], MATCH(1, (Table14[[#This Row],[year t]]=Table18[[#All],[year t]])*(Table14[[#This Row],[stratum i]]=Table18[[#All],[stratum i]]), 0)), 0)</f>
        <v>0</v>
      </c>
      <c r="BA133">
        <f>IF(AND(Table14[[#This Row],[year t]]&gt;Table14[[#This Row],[End_PDT]],Table14[[#This Row],[year t]]&gt;Table14[[#This Row],[End_SDT]]), 0, Table14[[#This Row],[Ai,t]]*(Table14[[#This Row],[GHGBSL-soil-CO2,i,t (Eq 27)]]-Table14[[#This Row],[Deductionalloch (Eq 38)]]+Table14[[#This Row],[GHGBSL-soil-CH4,i,t]]+Table14[[#This Row],[GHGBSL-soil-N2O,i,t]]))</f>
        <v>0</v>
      </c>
      <c r="BB133" t="e" cm="1">
        <f t="array" ref="BB133">INDEX(#REF!, MATCH(1, (Table14[[#This Row],[year t]]=Table32[[#All],[year t]])*(Table14[[#This Row],[stratum i]]=Table32[[#All],[stratum i]]), 0))</f>
        <v>#REF!</v>
      </c>
      <c r="BC133" t="e" cm="1">
        <f t="array" ref="BC133">INDEX(#REF!, MATCH(1, (Table14[[#This Row],[year t]]=Table32[[#All],[year t]])*(Table14[[#This Row],[stratum i]]=Table32[[#All],[stratum i]]), 0))</f>
        <v>#REF!</v>
      </c>
      <c r="BD133" t="e" cm="1">
        <f t="array" ref="BD133">INDEX(#REF!, MATCH(1, (Table14[[#This Row],[year t]]=Table32[[#All],[year t]])*(Table14[[#This Row],[stratum i]]=Table32[[#All],[stratum i]]), 0))</f>
        <v>#REF!</v>
      </c>
      <c r="BE133" t="e" cm="1">
        <f t="array" ref="BE133">INDEX(#REF!, MATCH(1, (Table14[[#This Row],[year t]]=Table32[[#All],[year t]])*(Table14[[#This Row],[stratum i]]=Table32[[#All],[stratum i]]), 0))</f>
        <v>#REF!</v>
      </c>
      <c r="BF133" s="30"/>
      <c r="BM133" s="18">
        <v>2036</v>
      </c>
      <c r="BN133">
        <v>4</v>
      </c>
      <c r="BO133" t="e" cm="1">
        <f t="array" ref="BO133">INDEX(#REF!, MATCH(1, (Table132926[[#This Row],[year t]]=Table32[year t])*(Table132926[[#This Row],[stratum i]]=Table32[[#All],[stratum i]]), 0))</f>
        <v>#REF!</v>
      </c>
      <c r="BP133" t="e">
        <f>-44/12*Table132926[[#This Row],[∆CBSL-soil,i,t (tC/ha)]]</f>
        <v>#REF!</v>
      </c>
    </row>
    <row r="134" spans="10:68" x14ac:dyDescent="0.2">
      <c r="J134" s="18">
        <v>2037</v>
      </c>
      <c r="K134">
        <v>4</v>
      </c>
      <c r="L134" cm="1">
        <f t="array" ref="L134">INDEX(Table32[[#All],[ΔCTREE_BSL,i,t (AR Tool 14) t C/yr]], MATCH(1, (Table12[[#This Row],[year t]]=Table32[[#All],[year t]])*(Table12[[#This Row],[stratum i]]=Table32[[#All],[stratum i]]), 0))</f>
        <v>0</v>
      </c>
      <c r="M134" cm="1">
        <f t="array" ref="M134">IF(baseline_abground_nontree = "Included", INDEX(#REF!, MATCH(1, (Table12[[#This Row],[year t]]=Table32[[#All],[year t]])*(Table12[[#This Row],[stratum i]]=Table32[[#All],[stratum i]]), 0)), 0)</f>
        <v>0</v>
      </c>
      <c r="N134">
        <f>12/44*(Table12[[#This Row],[ΔCTREE_BSL,i,t (AR Tool 14) t CO2e/yr]]+Table12[[#This Row],[ΔCSHRUB_BSL,i,t (AR Tool 14) t CO2e/yr]])</f>
        <v>0</v>
      </c>
      <c r="O134" cm="1">
        <f t="array" ref="O134">IF(baseline_abground_nontree = "Included", IFERROR(INDEX(Table13[[#All],[ΔCBSL-herb,i,t (Eq 25)]], MATCH(1, (Table12[[#This Row],[stratum i]]=Table13[[#All],[stratum i]])*(Table12[[#This Row],[year t]]&gt;=#REF!)*(Table12[[#This Row],[year t]]&lt;=Table13[[#All],[year t]]), 0)), 0), 0)</f>
        <v>0</v>
      </c>
      <c r="P134">
        <f>Table12[[#This Row],[ΔCBSL-tree/shrub,i,t (t C/yr) (Eq 24)]]+Table12[[#This Row],[ΔCBSL-herb,i,t (t C/yr)]]-Table12[[#This Row],[ΔCBSL-agbiomass,i,t; t C yr-1 (submergence)]]</f>
        <v>0</v>
      </c>
      <c r="Q134" cm="1">
        <f t="array" ref="Q134">IFERROR(INDEX(Table14[[#All],[GHGBSL-soil,i,t (Eq 26)]], MATCH(1, (Table12[[#This Row],[year t]]=Table14[[#All],[year t]])*(Table12[[#This Row],[stratum i]]=Table14[[#All],[stratum i]]), 0)), 0)</f>
        <v>0</v>
      </c>
      <c r="R134">
        <f>IF(baseline_ff_CO2 = "Included", Table12[[#This Row],[ET(FC,I,t) AR-Tool 5]], 0)</f>
        <v>0</v>
      </c>
      <c r="S134" t="e" cm="1">
        <f t="array" ref="S134">INDEX(#REF!, MATCH(1, (Table12[[#This Row],[year t]]=Table32[[#All],[year t]])*(Table12[[#This Row],[stratum i]]=Table32[[#All],[stratum i]]), 0))</f>
        <v>#REF!</v>
      </c>
      <c r="T134" cm="1">
        <f t="array" ref="T134">IFERROR(INDEX(Table30[[#All],[ΔCBSL-agbiomass,i,t (equation 22) t C yr-1]], MATCH(1, (Table12[[#This Row],[stratum i]]=Table30[[#All],[Stratum i]])*(Table12[[#This Row],[year t]]&lt;Table30[[#All],[Year of reporting]]), 0)), 0)</f>
        <v>0</v>
      </c>
      <c r="AG134" s="18">
        <v>2037</v>
      </c>
      <c r="AH134">
        <v>4</v>
      </c>
      <c r="AI134" s="49" t="e" cm="1">
        <f t="array" ref="AI134">INDEX(#REF!, MATCH(1, (Table13[[#This Row],[year t]]=Table32[[#All],[year t]])*(Table13[[#This Row],[stratum i]]=Table32[[#All],[stratum i]]), 0))</f>
        <v>#REF!</v>
      </c>
      <c r="AJ134" s="49" t="e">
        <f>Table13[[#This Row],[ΔCBSL-herb,i,t (tC/ha)]]</f>
        <v>#REF!</v>
      </c>
      <c r="AO134" s="18">
        <v>2037</v>
      </c>
      <c r="AP134">
        <v>4</v>
      </c>
      <c r="AQ134" s="18" cm="1">
        <f t="array" ref="AQ134">INDEX(Table32[[#All],[Ai,t]], MATCH(1, (Table14[[#This Row],[year t]]=Table32[[#All],[year t]])*(Table14[[#This Row],[stratum i]]=Table32[[#All],[stratum i]]), 0))</f>
        <v>1227.7635314285715</v>
      </c>
      <c r="AR134" t="str">
        <f>IF(AND(INDEX(Table31[[#All],[Soil type (t=0)]], MATCH(Table14[[#This Row],[stratum i]], Table31[[#All],[Stratum i]]))="Peat soil", Table14[[#This Row],[year t]]&lt;=Table14[[#This Row],[End_PDT]]), "Peat soil", "Non-peat soil")</f>
        <v>Non-peat soil</v>
      </c>
      <c r="AS134">
        <f>IF(Emission_reduction_from_stock_loss?, INDEX(Table2[[#All],[End_PDT]], MATCH(Table14[[#This Row],[stratum i]], Table2[[#All],[stratum i]])), crediting_period)</f>
        <v>40</v>
      </c>
      <c r="AT134">
        <f>IF(Emission_reduction_from_stock_loss?, INDEX(Table2[[#All],[End_SDT]], MATCH(Table14[[#This Row],[stratum i]], Table2[[#All],[stratum i]])), crediting_period)</f>
        <v>40</v>
      </c>
      <c r="AU134" cm="1">
        <f t="array" ref="AU13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4" t="e" cm="1">
        <f t="array" ref="AV134">INDEX(#REF!, MATCH(1, (Table14[[#This Row],[year t]]=Table32[[#All],[year t]])*(Table14[[#This Row],[stratum i]]=Table32[[#All],[stratum i]]), 0))</f>
        <v>#REF!</v>
      </c>
      <c r="AW13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4" s="57">
        <f>(Table14[[#This Row],[GHGBSL-soil-CO2,i,t (Eq 27)]]-Table14[[#This Row],[Deductionalloch (Eq 38)]])*Table14[[#This Row],[Ai,t]]</f>
        <v>0</v>
      </c>
      <c r="AY134" cm="1">
        <f t="array" ref="AY134">IF(baseline_soil_CH4 = "Included", INDEX(Table18[[#All],[GHGBSL-soil-CH4,i,t (Eq 59)]], MATCH(1, (Table14[[#This Row],[year t]]=Table18[[#All],[year t]])*(Table14[[#This Row],[stratum i]]=Table18[[#All],[stratum i]]), 0)), 0)</f>
        <v>0</v>
      </c>
      <c r="AZ134" cm="1">
        <f t="array" ref="AZ134">IF(baseline_soil_N2O = "Included", INDEX(Table18[[#All],[GHGBSL-soil-N2O,i,t (Eq 62)]], MATCH(1, (Table14[[#This Row],[year t]]=Table18[[#All],[year t]])*(Table14[[#This Row],[stratum i]]=Table18[[#All],[stratum i]]), 0)), 0)</f>
        <v>0</v>
      </c>
      <c r="BA134">
        <f>IF(AND(Table14[[#This Row],[year t]]&gt;Table14[[#This Row],[End_PDT]],Table14[[#This Row],[year t]]&gt;Table14[[#This Row],[End_SDT]]), 0, Table14[[#This Row],[Ai,t]]*(Table14[[#This Row],[GHGBSL-soil-CO2,i,t (Eq 27)]]-Table14[[#This Row],[Deductionalloch (Eq 38)]]+Table14[[#This Row],[GHGBSL-soil-CH4,i,t]]+Table14[[#This Row],[GHGBSL-soil-N2O,i,t]]))</f>
        <v>0</v>
      </c>
      <c r="BB134" t="e" cm="1">
        <f t="array" ref="BB134">INDEX(#REF!, MATCH(1, (Table14[[#This Row],[year t]]=Table32[[#All],[year t]])*(Table14[[#This Row],[stratum i]]=Table32[[#All],[stratum i]]), 0))</f>
        <v>#REF!</v>
      </c>
      <c r="BC134" t="e" cm="1">
        <f t="array" ref="BC134">INDEX(#REF!, MATCH(1, (Table14[[#This Row],[year t]]=Table32[[#All],[year t]])*(Table14[[#This Row],[stratum i]]=Table32[[#All],[stratum i]]), 0))</f>
        <v>#REF!</v>
      </c>
      <c r="BD134" t="e" cm="1">
        <f t="array" ref="BD134">INDEX(#REF!, MATCH(1, (Table14[[#This Row],[year t]]=Table32[[#All],[year t]])*(Table14[[#This Row],[stratum i]]=Table32[[#All],[stratum i]]), 0))</f>
        <v>#REF!</v>
      </c>
      <c r="BE134" t="e" cm="1">
        <f t="array" ref="BE134">INDEX(#REF!, MATCH(1, (Table14[[#This Row],[year t]]=Table32[[#All],[year t]])*(Table14[[#This Row],[stratum i]]=Table32[[#All],[stratum i]]), 0))</f>
        <v>#REF!</v>
      </c>
      <c r="BF134" s="30"/>
      <c r="BM134" s="18">
        <v>2037</v>
      </c>
      <c r="BN134">
        <v>4</v>
      </c>
      <c r="BO134" t="e" cm="1">
        <f t="array" ref="BO134">INDEX(#REF!, MATCH(1, (Table132926[[#This Row],[year t]]=Table32[year t])*(Table132926[[#This Row],[stratum i]]=Table32[[#All],[stratum i]]), 0))</f>
        <v>#REF!</v>
      </c>
      <c r="BP134" t="e">
        <f>-44/12*Table132926[[#This Row],[∆CBSL-soil,i,t (tC/ha)]]</f>
        <v>#REF!</v>
      </c>
    </row>
    <row r="135" spans="10:68" x14ac:dyDescent="0.2">
      <c r="J135" s="18">
        <v>2038</v>
      </c>
      <c r="K135">
        <v>4</v>
      </c>
      <c r="L135" cm="1">
        <f t="array" ref="L135">INDEX(Table32[[#All],[ΔCTREE_BSL,i,t (AR Tool 14) t C/yr]], MATCH(1, (Table12[[#This Row],[year t]]=Table32[[#All],[year t]])*(Table12[[#This Row],[stratum i]]=Table32[[#All],[stratum i]]), 0))</f>
        <v>0</v>
      </c>
      <c r="M135" cm="1">
        <f t="array" ref="M135">IF(baseline_abground_nontree = "Included", INDEX(#REF!, MATCH(1, (Table12[[#This Row],[year t]]=Table32[[#All],[year t]])*(Table12[[#This Row],[stratum i]]=Table32[[#All],[stratum i]]), 0)), 0)</f>
        <v>0</v>
      </c>
      <c r="N135">
        <f>12/44*(Table12[[#This Row],[ΔCTREE_BSL,i,t (AR Tool 14) t CO2e/yr]]+Table12[[#This Row],[ΔCSHRUB_BSL,i,t (AR Tool 14) t CO2e/yr]])</f>
        <v>0</v>
      </c>
      <c r="O135" cm="1">
        <f t="array" ref="O135">IF(baseline_abground_nontree = "Included", IFERROR(INDEX(Table13[[#All],[ΔCBSL-herb,i,t (Eq 25)]], MATCH(1, (Table12[[#This Row],[stratum i]]=Table13[[#All],[stratum i]])*(Table12[[#This Row],[year t]]&gt;=#REF!)*(Table12[[#This Row],[year t]]&lt;=Table13[[#All],[year t]]), 0)), 0), 0)</f>
        <v>0</v>
      </c>
      <c r="P135">
        <f>Table12[[#This Row],[ΔCBSL-tree/shrub,i,t (t C/yr) (Eq 24)]]+Table12[[#This Row],[ΔCBSL-herb,i,t (t C/yr)]]-Table12[[#This Row],[ΔCBSL-agbiomass,i,t; t C yr-1 (submergence)]]</f>
        <v>0</v>
      </c>
      <c r="Q135" cm="1">
        <f t="array" ref="Q135">IFERROR(INDEX(Table14[[#All],[GHGBSL-soil,i,t (Eq 26)]], MATCH(1, (Table12[[#This Row],[year t]]=Table14[[#All],[year t]])*(Table12[[#This Row],[stratum i]]=Table14[[#All],[stratum i]]), 0)), 0)</f>
        <v>0</v>
      </c>
      <c r="R135">
        <f>IF(baseline_ff_CO2 = "Included", Table12[[#This Row],[ET(FC,I,t) AR-Tool 5]], 0)</f>
        <v>0</v>
      </c>
      <c r="S135" t="e" cm="1">
        <f t="array" ref="S135">INDEX(#REF!, MATCH(1, (Table12[[#This Row],[year t]]=Table32[[#All],[year t]])*(Table12[[#This Row],[stratum i]]=Table32[[#All],[stratum i]]), 0))</f>
        <v>#REF!</v>
      </c>
      <c r="T135" cm="1">
        <f t="array" ref="T135">IFERROR(INDEX(Table30[[#All],[ΔCBSL-agbiomass,i,t (equation 22) t C yr-1]], MATCH(1, (Table12[[#This Row],[stratum i]]=Table30[[#All],[Stratum i]])*(Table12[[#This Row],[year t]]&lt;Table30[[#All],[Year of reporting]]), 0)), 0)</f>
        <v>0</v>
      </c>
      <c r="AG135" s="18">
        <v>2038</v>
      </c>
      <c r="AH135">
        <v>4</v>
      </c>
      <c r="AI135" s="49" t="e" cm="1">
        <f t="array" ref="AI135">INDEX(#REF!, MATCH(1, (Table13[[#This Row],[year t]]=Table32[[#All],[year t]])*(Table13[[#This Row],[stratum i]]=Table32[[#All],[stratum i]]), 0))</f>
        <v>#REF!</v>
      </c>
      <c r="AJ135" s="49" t="e">
        <f>Table13[[#This Row],[ΔCBSL-herb,i,t (tC/ha)]]</f>
        <v>#REF!</v>
      </c>
      <c r="AO135" s="18">
        <v>2038</v>
      </c>
      <c r="AP135">
        <v>4</v>
      </c>
      <c r="AQ135" s="18" cm="1">
        <f t="array" ref="AQ135">INDEX(Table32[[#All],[Ai,t]], MATCH(1, (Table14[[#This Row],[year t]]=Table32[[#All],[year t]])*(Table14[[#This Row],[stratum i]]=Table32[[#All],[stratum i]]), 0))</f>
        <v>1227.7635314285715</v>
      </c>
      <c r="AR135" t="str">
        <f>IF(AND(INDEX(Table31[[#All],[Soil type (t=0)]], MATCH(Table14[[#This Row],[stratum i]], Table31[[#All],[Stratum i]]))="Peat soil", Table14[[#This Row],[year t]]&lt;=Table14[[#This Row],[End_PDT]]), "Peat soil", "Non-peat soil")</f>
        <v>Non-peat soil</v>
      </c>
      <c r="AS135">
        <f>IF(Emission_reduction_from_stock_loss?, INDEX(Table2[[#All],[End_PDT]], MATCH(Table14[[#This Row],[stratum i]], Table2[[#All],[stratum i]])), crediting_period)</f>
        <v>40</v>
      </c>
      <c r="AT135">
        <f>IF(Emission_reduction_from_stock_loss?, INDEX(Table2[[#All],[End_SDT]], MATCH(Table14[[#This Row],[stratum i]], Table2[[#All],[stratum i]])), crediting_period)</f>
        <v>40</v>
      </c>
      <c r="AU135" cm="1">
        <f t="array" ref="AU13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5" t="e" cm="1">
        <f t="array" ref="AV135">INDEX(#REF!, MATCH(1, (Table14[[#This Row],[year t]]=Table32[[#All],[year t]])*(Table14[[#This Row],[stratum i]]=Table32[[#All],[stratum i]]), 0))</f>
        <v>#REF!</v>
      </c>
      <c r="AW13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5" s="57">
        <f>(Table14[[#This Row],[GHGBSL-soil-CO2,i,t (Eq 27)]]-Table14[[#This Row],[Deductionalloch (Eq 38)]])*Table14[[#This Row],[Ai,t]]</f>
        <v>0</v>
      </c>
      <c r="AY135" cm="1">
        <f t="array" ref="AY135">IF(baseline_soil_CH4 = "Included", INDEX(Table18[[#All],[GHGBSL-soil-CH4,i,t (Eq 59)]], MATCH(1, (Table14[[#This Row],[year t]]=Table18[[#All],[year t]])*(Table14[[#This Row],[stratum i]]=Table18[[#All],[stratum i]]), 0)), 0)</f>
        <v>0</v>
      </c>
      <c r="AZ135" cm="1">
        <f t="array" ref="AZ135">IF(baseline_soil_N2O = "Included", INDEX(Table18[[#All],[GHGBSL-soil-N2O,i,t (Eq 62)]], MATCH(1, (Table14[[#This Row],[year t]]=Table18[[#All],[year t]])*(Table14[[#This Row],[stratum i]]=Table18[[#All],[stratum i]]), 0)), 0)</f>
        <v>0</v>
      </c>
      <c r="BA135">
        <f>IF(AND(Table14[[#This Row],[year t]]&gt;Table14[[#This Row],[End_PDT]],Table14[[#This Row],[year t]]&gt;Table14[[#This Row],[End_SDT]]), 0, Table14[[#This Row],[Ai,t]]*(Table14[[#This Row],[GHGBSL-soil-CO2,i,t (Eq 27)]]-Table14[[#This Row],[Deductionalloch (Eq 38)]]+Table14[[#This Row],[GHGBSL-soil-CH4,i,t]]+Table14[[#This Row],[GHGBSL-soil-N2O,i,t]]))</f>
        <v>0</v>
      </c>
      <c r="BB135" t="e" cm="1">
        <f t="array" ref="BB135">INDEX(#REF!, MATCH(1, (Table14[[#This Row],[year t]]=Table32[[#All],[year t]])*(Table14[[#This Row],[stratum i]]=Table32[[#All],[stratum i]]), 0))</f>
        <v>#REF!</v>
      </c>
      <c r="BC135" t="e" cm="1">
        <f t="array" ref="BC135">INDEX(#REF!, MATCH(1, (Table14[[#This Row],[year t]]=Table32[[#All],[year t]])*(Table14[[#This Row],[stratum i]]=Table32[[#All],[stratum i]]), 0))</f>
        <v>#REF!</v>
      </c>
      <c r="BD135" t="e" cm="1">
        <f t="array" ref="BD135">INDEX(#REF!, MATCH(1, (Table14[[#This Row],[year t]]=Table32[[#All],[year t]])*(Table14[[#This Row],[stratum i]]=Table32[[#All],[stratum i]]), 0))</f>
        <v>#REF!</v>
      </c>
      <c r="BE135" t="e" cm="1">
        <f t="array" ref="BE135">INDEX(#REF!, MATCH(1, (Table14[[#This Row],[year t]]=Table32[[#All],[year t]])*(Table14[[#This Row],[stratum i]]=Table32[[#All],[stratum i]]), 0))</f>
        <v>#REF!</v>
      </c>
      <c r="BF135" s="30"/>
      <c r="BM135" s="18">
        <v>2038</v>
      </c>
      <c r="BN135">
        <v>4</v>
      </c>
      <c r="BO135" t="e" cm="1">
        <f t="array" ref="BO135">INDEX(#REF!, MATCH(1, (Table132926[[#This Row],[year t]]=Table32[year t])*(Table132926[[#This Row],[stratum i]]=Table32[[#All],[stratum i]]), 0))</f>
        <v>#REF!</v>
      </c>
      <c r="BP135" t="e">
        <f>-44/12*Table132926[[#This Row],[∆CBSL-soil,i,t (tC/ha)]]</f>
        <v>#REF!</v>
      </c>
    </row>
    <row r="136" spans="10:68" x14ac:dyDescent="0.2">
      <c r="J136" s="18">
        <v>2039</v>
      </c>
      <c r="K136">
        <v>4</v>
      </c>
      <c r="L136" cm="1">
        <f t="array" ref="L136">INDEX(Table32[[#All],[ΔCTREE_BSL,i,t (AR Tool 14) t C/yr]], MATCH(1, (Table12[[#This Row],[year t]]=Table32[[#All],[year t]])*(Table12[[#This Row],[stratum i]]=Table32[[#All],[stratum i]]), 0))</f>
        <v>0</v>
      </c>
      <c r="M136" cm="1">
        <f t="array" ref="M136">IF(baseline_abground_nontree = "Included", INDEX(#REF!, MATCH(1, (Table12[[#This Row],[year t]]=Table32[[#All],[year t]])*(Table12[[#This Row],[stratum i]]=Table32[[#All],[stratum i]]), 0)), 0)</f>
        <v>0</v>
      </c>
      <c r="N136">
        <f>12/44*(Table12[[#This Row],[ΔCTREE_BSL,i,t (AR Tool 14) t CO2e/yr]]+Table12[[#This Row],[ΔCSHRUB_BSL,i,t (AR Tool 14) t CO2e/yr]])</f>
        <v>0</v>
      </c>
      <c r="O136" cm="1">
        <f t="array" ref="O136">IF(baseline_abground_nontree = "Included", IFERROR(INDEX(Table13[[#All],[ΔCBSL-herb,i,t (Eq 25)]], MATCH(1, (Table12[[#This Row],[stratum i]]=Table13[[#All],[stratum i]])*(Table12[[#This Row],[year t]]&gt;=#REF!)*(Table12[[#This Row],[year t]]&lt;=Table13[[#All],[year t]]), 0)), 0), 0)</f>
        <v>0</v>
      </c>
      <c r="P136">
        <f>Table12[[#This Row],[ΔCBSL-tree/shrub,i,t (t C/yr) (Eq 24)]]+Table12[[#This Row],[ΔCBSL-herb,i,t (t C/yr)]]-Table12[[#This Row],[ΔCBSL-agbiomass,i,t; t C yr-1 (submergence)]]</f>
        <v>0</v>
      </c>
      <c r="Q136" cm="1">
        <f t="array" ref="Q136">IFERROR(INDEX(Table14[[#All],[GHGBSL-soil,i,t (Eq 26)]], MATCH(1, (Table12[[#This Row],[year t]]=Table14[[#All],[year t]])*(Table12[[#This Row],[stratum i]]=Table14[[#All],[stratum i]]), 0)), 0)</f>
        <v>0</v>
      </c>
      <c r="R136">
        <f>IF(baseline_ff_CO2 = "Included", Table12[[#This Row],[ET(FC,I,t) AR-Tool 5]], 0)</f>
        <v>0</v>
      </c>
      <c r="S136" t="e" cm="1">
        <f t="array" ref="S136">INDEX(#REF!, MATCH(1, (Table12[[#This Row],[year t]]=Table32[[#All],[year t]])*(Table12[[#This Row],[stratum i]]=Table32[[#All],[stratum i]]), 0))</f>
        <v>#REF!</v>
      </c>
      <c r="T136" cm="1">
        <f t="array" ref="T136">IFERROR(INDEX(Table30[[#All],[ΔCBSL-agbiomass,i,t (equation 22) t C yr-1]], MATCH(1, (Table12[[#This Row],[stratum i]]=Table30[[#All],[Stratum i]])*(Table12[[#This Row],[year t]]&lt;Table30[[#All],[Year of reporting]]), 0)), 0)</f>
        <v>0</v>
      </c>
      <c r="AG136" s="18">
        <v>2039</v>
      </c>
      <c r="AH136">
        <v>4</v>
      </c>
      <c r="AI136" s="49" t="e" cm="1">
        <f t="array" ref="AI136">INDEX(#REF!, MATCH(1, (Table13[[#This Row],[year t]]=Table32[[#All],[year t]])*(Table13[[#This Row],[stratum i]]=Table32[[#All],[stratum i]]), 0))</f>
        <v>#REF!</v>
      </c>
      <c r="AJ136" s="49" t="e">
        <f>Table13[[#This Row],[ΔCBSL-herb,i,t (tC/ha)]]</f>
        <v>#REF!</v>
      </c>
      <c r="AO136" s="18">
        <v>2039</v>
      </c>
      <c r="AP136">
        <v>4</v>
      </c>
      <c r="AQ136" s="18" cm="1">
        <f t="array" ref="AQ136">INDEX(Table32[[#All],[Ai,t]], MATCH(1, (Table14[[#This Row],[year t]]=Table32[[#All],[year t]])*(Table14[[#This Row],[stratum i]]=Table32[[#All],[stratum i]]), 0))</f>
        <v>1227.7635314285715</v>
      </c>
      <c r="AR136" t="str">
        <f>IF(AND(INDEX(Table31[[#All],[Soil type (t=0)]], MATCH(Table14[[#This Row],[stratum i]], Table31[[#All],[Stratum i]]))="Peat soil", Table14[[#This Row],[year t]]&lt;=Table14[[#This Row],[End_PDT]]), "Peat soil", "Non-peat soil")</f>
        <v>Non-peat soil</v>
      </c>
      <c r="AS136">
        <f>IF(Emission_reduction_from_stock_loss?, INDEX(Table2[[#All],[End_PDT]], MATCH(Table14[[#This Row],[stratum i]], Table2[[#All],[stratum i]])), crediting_period)</f>
        <v>40</v>
      </c>
      <c r="AT136">
        <f>IF(Emission_reduction_from_stock_loss?, INDEX(Table2[[#All],[End_SDT]], MATCH(Table14[[#This Row],[stratum i]], Table2[[#All],[stratum i]])), crediting_period)</f>
        <v>40</v>
      </c>
      <c r="AU136" cm="1">
        <f t="array" ref="AU13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6" t="e" cm="1">
        <f t="array" ref="AV136">INDEX(#REF!, MATCH(1, (Table14[[#This Row],[year t]]=Table32[[#All],[year t]])*(Table14[[#This Row],[stratum i]]=Table32[[#All],[stratum i]]), 0))</f>
        <v>#REF!</v>
      </c>
      <c r="AW13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6" s="57">
        <f>(Table14[[#This Row],[GHGBSL-soil-CO2,i,t (Eq 27)]]-Table14[[#This Row],[Deductionalloch (Eq 38)]])*Table14[[#This Row],[Ai,t]]</f>
        <v>0</v>
      </c>
      <c r="AY136" cm="1">
        <f t="array" ref="AY136">IF(baseline_soil_CH4 = "Included", INDEX(Table18[[#All],[GHGBSL-soil-CH4,i,t (Eq 59)]], MATCH(1, (Table14[[#This Row],[year t]]=Table18[[#All],[year t]])*(Table14[[#This Row],[stratum i]]=Table18[[#All],[stratum i]]), 0)), 0)</f>
        <v>0</v>
      </c>
      <c r="AZ136" cm="1">
        <f t="array" ref="AZ136">IF(baseline_soil_N2O = "Included", INDEX(Table18[[#All],[GHGBSL-soil-N2O,i,t (Eq 62)]], MATCH(1, (Table14[[#This Row],[year t]]=Table18[[#All],[year t]])*(Table14[[#This Row],[stratum i]]=Table18[[#All],[stratum i]]), 0)), 0)</f>
        <v>0</v>
      </c>
      <c r="BA136">
        <f>IF(AND(Table14[[#This Row],[year t]]&gt;Table14[[#This Row],[End_PDT]],Table14[[#This Row],[year t]]&gt;Table14[[#This Row],[End_SDT]]), 0, Table14[[#This Row],[Ai,t]]*(Table14[[#This Row],[GHGBSL-soil-CO2,i,t (Eq 27)]]-Table14[[#This Row],[Deductionalloch (Eq 38)]]+Table14[[#This Row],[GHGBSL-soil-CH4,i,t]]+Table14[[#This Row],[GHGBSL-soil-N2O,i,t]]))</f>
        <v>0</v>
      </c>
      <c r="BB136" t="e" cm="1">
        <f t="array" ref="BB136">INDEX(#REF!, MATCH(1, (Table14[[#This Row],[year t]]=Table32[[#All],[year t]])*(Table14[[#This Row],[stratum i]]=Table32[[#All],[stratum i]]), 0))</f>
        <v>#REF!</v>
      </c>
      <c r="BC136" t="e" cm="1">
        <f t="array" ref="BC136">INDEX(#REF!, MATCH(1, (Table14[[#This Row],[year t]]=Table32[[#All],[year t]])*(Table14[[#This Row],[stratum i]]=Table32[[#All],[stratum i]]), 0))</f>
        <v>#REF!</v>
      </c>
      <c r="BD136" t="e" cm="1">
        <f t="array" ref="BD136">INDEX(#REF!, MATCH(1, (Table14[[#This Row],[year t]]=Table32[[#All],[year t]])*(Table14[[#This Row],[stratum i]]=Table32[[#All],[stratum i]]), 0))</f>
        <v>#REF!</v>
      </c>
      <c r="BE136" t="e" cm="1">
        <f t="array" ref="BE136">INDEX(#REF!, MATCH(1, (Table14[[#This Row],[year t]]=Table32[[#All],[year t]])*(Table14[[#This Row],[stratum i]]=Table32[[#All],[stratum i]]), 0))</f>
        <v>#REF!</v>
      </c>
      <c r="BF136" s="30"/>
      <c r="BM136" s="18">
        <v>2039</v>
      </c>
      <c r="BN136">
        <v>4</v>
      </c>
      <c r="BO136" t="e" cm="1">
        <f t="array" ref="BO136">INDEX(#REF!, MATCH(1, (Table132926[[#This Row],[year t]]=Table32[year t])*(Table132926[[#This Row],[stratum i]]=Table32[[#All],[stratum i]]), 0))</f>
        <v>#REF!</v>
      </c>
      <c r="BP136" t="e">
        <f>-44/12*Table132926[[#This Row],[∆CBSL-soil,i,t (tC/ha)]]</f>
        <v>#REF!</v>
      </c>
    </row>
    <row r="137" spans="10:68" x14ac:dyDescent="0.2">
      <c r="J137" s="18">
        <v>2040</v>
      </c>
      <c r="K137">
        <v>4</v>
      </c>
      <c r="L137" cm="1">
        <f t="array" ref="L137">INDEX(Table32[[#All],[ΔCTREE_BSL,i,t (AR Tool 14) t C/yr]], MATCH(1, (Table12[[#This Row],[year t]]=Table32[[#All],[year t]])*(Table12[[#This Row],[stratum i]]=Table32[[#All],[stratum i]]), 0))</f>
        <v>0</v>
      </c>
      <c r="M137" cm="1">
        <f t="array" ref="M137">IF(baseline_abground_nontree = "Included", INDEX(#REF!, MATCH(1, (Table12[[#This Row],[year t]]=Table32[[#All],[year t]])*(Table12[[#This Row],[stratum i]]=Table32[[#All],[stratum i]]), 0)), 0)</f>
        <v>0</v>
      </c>
      <c r="N137">
        <f>12/44*(Table12[[#This Row],[ΔCTREE_BSL,i,t (AR Tool 14) t CO2e/yr]]+Table12[[#This Row],[ΔCSHRUB_BSL,i,t (AR Tool 14) t CO2e/yr]])</f>
        <v>0</v>
      </c>
      <c r="O137" cm="1">
        <f t="array" ref="O137">IF(baseline_abground_nontree = "Included", IFERROR(INDEX(Table13[[#All],[ΔCBSL-herb,i,t (Eq 25)]], MATCH(1, (Table12[[#This Row],[stratum i]]=Table13[[#All],[stratum i]])*(Table12[[#This Row],[year t]]&gt;=#REF!)*(Table12[[#This Row],[year t]]&lt;=Table13[[#All],[year t]]), 0)), 0), 0)</f>
        <v>0</v>
      </c>
      <c r="P137">
        <f>Table12[[#This Row],[ΔCBSL-tree/shrub,i,t (t C/yr) (Eq 24)]]+Table12[[#This Row],[ΔCBSL-herb,i,t (t C/yr)]]-Table12[[#This Row],[ΔCBSL-agbiomass,i,t; t C yr-1 (submergence)]]</f>
        <v>0</v>
      </c>
      <c r="Q137" cm="1">
        <f t="array" ref="Q137">IFERROR(INDEX(Table14[[#All],[GHGBSL-soil,i,t (Eq 26)]], MATCH(1, (Table12[[#This Row],[year t]]=Table14[[#All],[year t]])*(Table12[[#This Row],[stratum i]]=Table14[[#All],[stratum i]]), 0)), 0)</f>
        <v>0</v>
      </c>
      <c r="R137">
        <f>IF(baseline_ff_CO2 = "Included", Table12[[#This Row],[ET(FC,I,t) AR-Tool 5]], 0)</f>
        <v>0</v>
      </c>
      <c r="S137" t="e" cm="1">
        <f t="array" ref="S137">INDEX(#REF!, MATCH(1, (Table12[[#This Row],[year t]]=Table32[[#All],[year t]])*(Table12[[#This Row],[stratum i]]=Table32[[#All],[stratum i]]), 0))</f>
        <v>#REF!</v>
      </c>
      <c r="T137" cm="1">
        <f t="array" ref="T137">IFERROR(INDEX(Table30[[#All],[ΔCBSL-agbiomass,i,t (equation 22) t C yr-1]], MATCH(1, (Table12[[#This Row],[stratum i]]=Table30[[#All],[Stratum i]])*(Table12[[#This Row],[year t]]&lt;Table30[[#All],[Year of reporting]]), 0)), 0)</f>
        <v>0</v>
      </c>
      <c r="AG137" s="18">
        <v>2040</v>
      </c>
      <c r="AH137">
        <v>4</v>
      </c>
      <c r="AI137" s="49" t="e" cm="1">
        <f t="array" ref="AI137">INDEX(#REF!, MATCH(1, (Table13[[#This Row],[year t]]=Table32[[#All],[year t]])*(Table13[[#This Row],[stratum i]]=Table32[[#All],[stratum i]]), 0))</f>
        <v>#REF!</v>
      </c>
      <c r="AJ137" s="49" t="e">
        <f>Table13[[#This Row],[ΔCBSL-herb,i,t (tC/ha)]]</f>
        <v>#REF!</v>
      </c>
      <c r="AO137" s="18">
        <v>2040</v>
      </c>
      <c r="AP137">
        <v>4</v>
      </c>
      <c r="AQ137" s="18" cm="1">
        <f t="array" ref="AQ137">INDEX(Table32[[#All],[Ai,t]], MATCH(1, (Table14[[#This Row],[year t]]=Table32[[#All],[year t]])*(Table14[[#This Row],[stratum i]]=Table32[[#All],[stratum i]]), 0))</f>
        <v>1227.7635314285715</v>
      </c>
      <c r="AR137" t="str">
        <f>IF(AND(INDEX(Table31[[#All],[Soil type (t=0)]], MATCH(Table14[[#This Row],[stratum i]], Table31[[#All],[Stratum i]]))="Peat soil", Table14[[#This Row],[year t]]&lt;=Table14[[#This Row],[End_PDT]]), "Peat soil", "Non-peat soil")</f>
        <v>Non-peat soil</v>
      </c>
      <c r="AS137">
        <f>IF(Emission_reduction_from_stock_loss?, INDEX(Table2[[#All],[End_PDT]], MATCH(Table14[[#This Row],[stratum i]], Table2[[#All],[stratum i]])), crediting_period)</f>
        <v>40</v>
      </c>
      <c r="AT137">
        <f>IF(Emission_reduction_from_stock_loss?, INDEX(Table2[[#All],[End_SDT]], MATCH(Table14[[#This Row],[stratum i]], Table2[[#All],[stratum i]])), crediting_period)</f>
        <v>40</v>
      </c>
      <c r="AU137" cm="1">
        <f t="array" ref="AU13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7" t="e" cm="1">
        <f t="array" ref="AV137">INDEX(#REF!, MATCH(1, (Table14[[#This Row],[year t]]=Table32[[#All],[year t]])*(Table14[[#This Row],[stratum i]]=Table32[[#All],[stratum i]]), 0))</f>
        <v>#REF!</v>
      </c>
      <c r="AW13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7" s="57">
        <f>(Table14[[#This Row],[GHGBSL-soil-CO2,i,t (Eq 27)]]-Table14[[#This Row],[Deductionalloch (Eq 38)]])*Table14[[#This Row],[Ai,t]]</f>
        <v>0</v>
      </c>
      <c r="AY137" cm="1">
        <f t="array" ref="AY137">IF(baseline_soil_CH4 = "Included", INDEX(Table18[[#All],[GHGBSL-soil-CH4,i,t (Eq 59)]], MATCH(1, (Table14[[#This Row],[year t]]=Table18[[#All],[year t]])*(Table14[[#This Row],[stratum i]]=Table18[[#All],[stratum i]]), 0)), 0)</f>
        <v>0</v>
      </c>
      <c r="AZ137" cm="1">
        <f t="array" ref="AZ137">IF(baseline_soil_N2O = "Included", INDEX(Table18[[#All],[GHGBSL-soil-N2O,i,t (Eq 62)]], MATCH(1, (Table14[[#This Row],[year t]]=Table18[[#All],[year t]])*(Table14[[#This Row],[stratum i]]=Table18[[#All],[stratum i]]), 0)), 0)</f>
        <v>0</v>
      </c>
      <c r="BA137">
        <f>IF(AND(Table14[[#This Row],[year t]]&gt;Table14[[#This Row],[End_PDT]],Table14[[#This Row],[year t]]&gt;Table14[[#This Row],[End_SDT]]), 0, Table14[[#This Row],[Ai,t]]*(Table14[[#This Row],[GHGBSL-soil-CO2,i,t (Eq 27)]]-Table14[[#This Row],[Deductionalloch (Eq 38)]]+Table14[[#This Row],[GHGBSL-soil-CH4,i,t]]+Table14[[#This Row],[GHGBSL-soil-N2O,i,t]]))</f>
        <v>0</v>
      </c>
      <c r="BB137" t="e" cm="1">
        <f t="array" ref="BB137">INDEX(#REF!, MATCH(1, (Table14[[#This Row],[year t]]=Table32[[#All],[year t]])*(Table14[[#This Row],[stratum i]]=Table32[[#All],[stratum i]]), 0))</f>
        <v>#REF!</v>
      </c>
      <c r="BC137" t="e" cm="1">
        <f t="array" ref="BC137">INDEX(#REF!, MATCH(1, (Table14[[#This Row],[year t]]=Table32[[#All],[year t]])*(Table14[[#This Row],[stratum i]]=Table32[[#All],[stratum i]]), 0))</f>
        <v>#REF!</v>
      </c>
      <c r="BD137" t="e" cm="1">
        <f t="array" ref="BD137">INDEX(#REF!, MATCH(1, (Table14[[#This Row],[year t]]=Table32[[#All],[year t]])*(Table14[[#This Row],[stratum i]]=Table32[[#All],[stratum i]]), 0))</f>
        <v>#REF!</v>
      </c>
      <c r="BE137" t="e" cm="1">
        <f t="array" ref="BE137">INDEX(#REF!, MATCH(1, (Table14[[#This Row],[year t]]=Table32[[#All],[year t]])*(Table14[[#This Row],[stratum i]]=Table32[[#All],[stratum i]]), 0))</f>
        <v>#REF!</v>
      </c>
      <c r="BF137" s="30"/>
      <c r="BM137" s="18">
        <v>2040</v>
      </c>
      <c r="BN137">
        <v>4</v>
      </c>
      <c r="BO137" t="e" cm="1">
        <f t="array" ref="BO137">INDEX(#REF!, MATCH(1, (Table132926[[#This Row],[year t]]=Table32[year t])*(Table132926[[#This Row],[stratum i]]=Table32[[#All],[stratum i]]), 0))</f>
        <v>#REF!</v>
      </c>
      <c r="BP137" t="e">
        <f>-44/12*Table132926[[#This Row],[∆CBSL-soil,i,t (tC/ha)]]</f>
        <v>#REF!</v>
      </c>
    </row>
    <row r="138" spans="10:68" x14ac:dyDescent="0.2">
      <c r="J138" s="18">
        <v>2041</v>
      </c>
      <c r="K138">
        <v>4</v>
      </c>
      <c r="L138" cm="1">
        <f t="array" ref="L138">INDEX(Table32[[#All],[ΔCTREE_BSL,i,t (AR Tool 14) t C/yr]], MATCH(1, (Table12[[#This Row],[year t]]=Table32[[#All],[year t]])*(Table12[[#This Row],[stratum i]]=Table32[[#All],[stratum i]]), 0))</f>
        <v>0</v>
      </c>
      <c r="M138" cm="1">
        <f t="array" ref="M138">IF(baseline_abground_nontree = "Included", INDEX(#REF!, MATCH(1, (Table12[[#This Row],[year t]]=Table32[[#All],[year t]])*(Table12[[#This Row],[stratum i]]=Table32[[#All],[stratum i]]), 0)), 0)</f>
        <v>0</v>
      </c>
      <c r="N138">
        <f>12/44*(Table12[[#This Row],[ΔCTREE_BSL,i,t (AR Tool 14) t CO2e/yr]]+Table12[[#This Row],[ΔCSHRUB_BSL,i,t (AR Tool 14) t CO2e/yr]])</f>
        <v>0</v>
      </c>
      <c r="O138" cm="1">
        <f t="array" ref="O138">IF(baseline_abground_nontree = "Included", IFERROR(INDEX(Table13[[#All],[ΔCBSL-herb,i,t (Eq 25)]], MATCH(1, (Table12[[#This Row],[stratum i]]=Table13[[#All],[stratum i]])*(Table12[[#This Row],[year t]]&gt;=#REF!)*(Table12[[#This Row],[year t]]&lt;=Table13[[#All],[year t]]), 0)), 0), 0)</f>
        <v>0</v>
      </c>
      <c r="P138">
        <f>Table12[[#This Row],[ΔCBSL-tree/shrub,i,t (t C/yr) (Eq 24)]]+Table12[[#This Row],[ΔCBSL-herb,i,t (t C/yr)]]-Table12[[#This Row],[ΔCBSL-agbiomass,i,t; t C yr-1 (submergence)]]</f>
        <v>0</v>
      </c>
      <c r="Q138" cm="1">
        <f t="array" ref="Q138">IFERROR(INDEX(Table14[[#All],[GHGBSL-soil,i,t (Eq 26)]], MATCH(1, (Table12[[#This Row],[year t]]=Table14[[#All],[year t]])*(Table12[[#This Row],[stratum i]]=Table14[[#All],[stratum i]]), 0)), 0)</f>
        <v>0</v>
      </c>
      <c r="R138">
        <f>IF(baseline_ff_CO2 = "Included", Table12[[#This Row],[ET(FC,I,t) AR-Tool 5]], 0)</f>
        <v>0</v>
      </c>
      <c r="S138" t="e" cm="1">
        <f t="array" ref="S138">INDEX(#REF!, MATCH(1, (Table12[[#This Row],[year t]]=Table32[[#All],[year t]])*(Table12[[#This Row],[stratum i]]=Table32[[#All],[stratum i]]), 0))</f>
        <v>#REF!</v>
      </c>
      <c r="T138" cm="1">
        <f t="array" ref="T138">IFERROR(INDEX(Table30[[#All],[ΔCBSL-agbiomass,i,t (equation 22) t C yr-1]], MATCH(1, (Table12[[#This Row],[stratum i]]=Table30[[#All],[Stratum i]])*(Table12[[#This Row],[year t]]&lt;Table30[[#All],[Year of reporting]]), 0)), 0)</f>
        <v>0</v>
      </c>
      <c r="AG138" s="18">
        <v>2041</v>
      </c>
      <c r="AH138">
        <v>4</v>
      </c>
      <c r="AI138" s="49" t="e" cm="1">
        <f t="array" ref="AI138">INDEX(#REF!, MATCH(1, (Table13[[#This Row],[year t]]=Table32[[#All],[year t]])*(Table13[[#This Row],[stratum i]]=Table32[[#All],[stratum i]]), 0))</f>
        <v>#REF!</v>
      </c>
      <c r="AJ138" s="49" t="e">
        <f>Table13[[#This Row],[ΔCBSL-herb,i,t (tC/ha)]]</f>
        <v>#REF!</v>
      </c>
      <c r="AO138" s="18">
        <v>2041</v>
      </c>
      <c r="AP138">
        <v>4</v>
      </c>
      <c r="AQ138" s="18" cm="1">
        <f t="array" ref="AQ138">INDEX(Table32[[#All],[Ai,t]], MATCH(1, (Table14[[#This Row],[year t]]=Table32[[#All],[year t]])*(Table14[[#This Row],[stratum i]]=Table32[[#All],[stratum i]]), 0))</f>
        <v>1227.7635314285715</v>
      </c>
      <c r="AR138" t="str">
        <f>IF(AND(INDEX(Table31[[#All],[Soil type (t=0)]], MATCH(Table14[[#This Row],[stratum i]], Table31[[#All],[Stratum i]]))="Peat soil", Table14[[#This Row],[year t]]&lt;=Table14[[#This Row],[End_PDT]]), "Peat soil", "Non-peat soil")</f>
        <v>Non-peat soil</v>
      </c>
      <c r="AS138">
        <f>IF(Emission_reduction_from_stock_loss?, INDEX(Table2[[#All],[End_PDT]], MATCH(Table14[[#This Row],[stratum i]], Table2[[#All],[stratum i]])), crediting_period)</f>
        <v>40</v>
      </c>
      <c r="AT138">
        <f>IF(Emission_reduction_from_stock_loss?, INDEX(Table2[[#All],[End_SDT]], MATCH(Table14[[#This Row],[stratum i]], Table2[[#All],[stratum i]])), crediting_period)</f>
        <v>40</v>
      </c>
      <c r="AU138" cm="1">
        <f t="array" ref="AU13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8" t="e" cm="1">
        <f t="array" ref="AV138">INDEX(#REF!, MATCH(1, (Table14[[#This Row],[year t]]=Table32[[#All],[year t]])*(Table14[[#This Row],[stratum i]]=Table32[[#All],[stratum i]]), 0))</f>
        <v>#REF!</v>
      </c>
      <c r="AW13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8" s="57">
        <f>(Table14[[#This Row],[GHGBSL-soil-CO2,i,t (Eq 27)]]-Table14[[#This Row],[Deductionalloch (Eq 38)]])*Table14[[#This Row],[Ai,t]]</f>
        <v>0</v>
      </c>
      <c r="AY138" cm="1">
        <f t="array" ref="AY138">IF(baseline_soil_CH4 = "Included", INDEX(Table18[[#All],[GHGBSL-soil-CH4,i,t (Eq 59)]], MATCH(1, (Table14[[#This Row],[year t]]=Table18[[#All],[year t]])*(Table14[[#This Row],[stratum i]]=Table18[[#All],[stratum i]]), 0)), 0)</f>
        <v>0</v>
      </c>
      <c r="AZ138" cm="1">
        <f t="array" ref="AZ138">IF(baseline_soil_N2O = "Included", INDEX(Table18[[#All],[GHGBSL-soil-N2O,i,t (Eq 62)]], MATCH(1, (Table14[[#This Row],[year t]]=Table18[[#All],[year t]])*(Table14[[#This Row],[stratum i]]=Table18[[#All],[stratum i]]), 0)), 0)</f>
        <v>0</v>
      </c>
      <c r="BA138">
        <f>IF(AND(Table14[[#This Row],[year t]]&gt;Table14[[#This Row],[End_PDT]],Table14[[#This Row],[year t]]&gt;Table14[[#This Row],[End_SDT]]), 0, Table14[[#This Row],[Ai,t]]*(Table14[[#This Row],[GHGBSL-soil-CO2,i,t (Eq 27)]]-Table14[[#This Row],[Deductionalloch (Eq 38)]]+Table14[[#This Row],[GHGBSL-soil-CH4,i,t]]+Table14[[#This Row],[GHGBSL-soil-N2O,i,t]]))</f>
        <v>0</v>
      </c>
      <c r="BB138" t="e" cm="1">
        <f t="array" ref="BB138">INDEX(#REF!, MATCH(1, (Table14[[#This Row],[year t]]=Table32[[#All],[year t]])*(Table14[[#This Row],[stratum i]]=Table32[[#All],[stratum i]]), 0))</f>
        <v>#REF!</v>
      </c>
      <c r="BC138" t="e" cm="1">
        <f t="array" ref="BC138">INDEX(#REF!, MATCH(1, (Table14[[#This Row],[year t]]=Table32[[#All],[year t]])*(Table14[[#This Row],[stratum i]]=Table32[[#All],[stratum i]]), 0))</f>
        <v>#REF!</v>
      </c>
      <c r="BD138" t="e" cm="1">
        <f t="array" ref="BD138">INDEX(#REF!, MATCH(1, (Table14[[#This Row],[year t]]=Table32[[#All],[year t]])*(Table14[[#This Row],[stratum i]]=Table32[[#All],[stratum i]]), 0))</f>
        <v>#REF!</v>
      </c>
      <c r="BE138" t="e" cm="1">
        <f t="array" ref="BE138">INDEX(#REF!, MATCH(1, (Table14[[#This Row],[year t]]=Table32[[#All],[year t]])*(Table14[[#This Row],[stratum i]]=Table32[[#All],[stratum i]]), 0))</f>
        <v>#REF!</v>
      </c>
      <c r="BF138" s="30"/>
      <c r="BM138" s="18">
        <v>2041</v>
      </c>
      <c r="BN138">
        <v>4</v>
      </c>
      <c r="BO138" t="e" cm="1">
        <f t="array" ref="BO138">INDEX(#REF!, MATCH(1, (Table132926[[#This Row],[year t]]=Table32[year t])*(Table132926[[#This Row],[stratum i]]=Table32[[#All],[stratum i]]), 0))</f>
        <v>#REF!</v>
      </c>
      <c r="BP138" t="e">
        <f>-44/12*Table132926[[#This Row],[∆CBSL-soil,i,t (tC/ha)]]</f>
        <v>#REF!</v>
      </c>
    </row>
    <row r="139" spans="10:68" x14ac:dyDescent="0.2">
      <c r="J139" s="18">
        <v>2042</v>
      </c>
      <c r="K139">
        <v>4</v>
      </c>
      <c r="L139" cm="1">
        <f t="array" ref="L139">INDEX(Table32[[#All],[ΔCTREE_BSL,i,t (AR Tool 14) t C/yr]], MATCH(1, (Table12[[#This Row],[year t]]=Table32[[#All],[year t]])*(Table12[[#This Row],[stratum i]]=Table32[[#All],[stratum i]]), 0))</f>
        <v>0</v>
      </c>
      <c r="M139" cm="1">
        <f t="array" ref="M139">IF(baseline_abground_nontree = "Included", INDEX(#REF!, MATCH(1, (Table12[[#This Row],[year t]]=Table32[[#All],[year t]])*(Table12[[#This Row],[stratum i]]=Table32[[#All],[stratum i]]), 0)), 0)</f>
        <v>0</v>
      </c>
      <c r="N139">
        <f>12/44*(Table12[[#This Row],[ΔCTREE_BSL,i,t (AR Tool 14) t CO2e/yr]]+Table12[[#This Row],[ΔCSHRUB_BSL,i,t (AR Tool 14) t CO2e/yr]])</f>
        <v>0</v>
      </c>
      <c r="O139" cm="1">
        <f t="array" ref="O139">IF(baseline_abground_nontree = "Included", IFERROR(INDEX(Table13[[#All],[ΔCBSL-herb,i,t (Eq 25)]], MATCH(1, (Table12[[#This Row],[stratum i]]=Table13[[#All],[stratum i]])*(Table12[[#This Row],[year t]]&gt;=#REF!)*(Table12[[#This Row],[year t]]&lt;=Table13[[#All],[year t]]), 0)), 0), 0)</f>
        <v>0</v>
      </c>
      <c r="P139">
        <f>Table12[[#This Row],[ΔCBSL-tree/shrub,i,t (t C/yr) (Eq 24)]]+Table12[[#This Row],[ΔCBSL-herb,i,t (t C/yr)]]-Table12[[#This Row],[ΔCBSL-agbiomass,i,t; t C yr-1 (submergence)]]</f>
        <v>0</v>
      </c>
      <c r="Q139" cm="1">
        <f t="array" ref="Q139">IFERROR(INDEX(Table14[[#All],[GHGBSL-soil,i,t (Eq 26)]], MATCH(1, (Table12[[#This Row],[year t]]=Table14[[#All],[year t]])*(Table12[[#This Row],[stratum i]]=Table14[[#All],[stratum i]]), 0)), 0)</f>
        <v>0</v>
      </c>
      <c r="R139">
        <f>IF(baseline_ff_CO2 = "Included", Table12[[#This Row],[ET(FC,I,t) AR-Tool 5]], 0)</f>
        <v>0</v>
      </c>
      <c r="S139" t="e" cm="1">
        <f t="array" ref="S139">INDEX(#REF!, MATCH(1, (Table12[[#This Row],[year t]]=Table32[[#All],[year t]])*(Table12[[#This Row],[stratum i]]=Table32[[#All],[stratum i]]), 0))</f>
        <v>#REF!</v>
      </c>
      <c r="T139" cm="1">
        <f t="array" ref="T139">IFERROR(INDEX(Table30[[#All],[ΔCBSL-agbiomass,i,t (equation 22) t C yr-1]], MATCH(1, (Table12[[#This Row],[stratum i]]=Table30[[#All],[Stratum i]])*(Table12[[#This Row],[year t]]&lt;Table30[[#All],[Year of reporting]]), 0)), 0)</f>
        <v>0</v>
      </c>
      <c r="AG139" s="18">
        <v>2042</v>
      </c>
      <c r="AH139">
        <v>4</v>
      </c>
      <c r="AI139" s="49" t="e" cm="1">
        <f t="array" ref="AI139">INDEX(#REF!, MATCH(1, (Table13[[#This Row],[year t]]=Table32[[#All],[year t]])*(Table13[[#This Row],[stratum i]]=Table32[[#All],[stratum i]]), 0))</f>
        <v>#REF!</v>
      </c>
      <c r="AJ139" s="49" t="e">
        <f>Table13[[#This Row],[ΔCBSL-herb,i,t (tC/ha)]]</f>
        <v>#REF!</v>
      </c>
      <c r="AO139" s="18">
        <v>2042</v>
      </c>
      <c r="AP139">
        <v>4</v>
      </c>
      <c r="AQ139" s="18" cm="1">
        <f t="array" ref="AQ139">INDEX(Table32[[#All],[Ai,t]], MATCH(1, (Table14[[#This Row],[year t]]=Table32[[#All],[year t]])*(Table14[[#This Row],[stratum i]]=Table32[[#All],[stratum i]]), 0))</f>
        <v>1227.7635314285715</v>
      </c>
      <c r="AR139" t="str">
        <f>IF(AND(INDEX(Table31[[#All],[Soil type (t=0)]], MATCH(Table14[[#This Row],[stratum i]], Table31[[#All],[Stratum i]]))="Peat soil", Table14[[#This Row],[year t]]&lt;=Table14[[#This Row],[End_PDT]]), "Peat soil", "Non-peat soil")</f>
        <v>Non-peat soil</v>
      </c>
      <c r="AS139">
        <f>IF(Emission_reduction_from_stock_loss?, INDEX(Table2[[#All],[End_PDT]], MATCH(Table14[[#This Row],[stratum i]], Table2[[#All],[stratum i]])), crediting_period)</f>
        <v>40</v>
      </c>
      <c r="AT139">
        <f>IF(Emission_reduction_from_stock_loss?, INDEX(Table2[[#All],[End_SDT]], MATCH(Table14[[#This Row],[stratum i]], Table2[[#All],[stratum i]])), crediting_period)</f>
        <v>40</v>
      </c>
      <c r="AU139" cm="1">
        <f t="array" ref="AU13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39" t="e" cm="1">
        <f t="array" ref="AV139">INDEX(#REF!, MATCH(1, (Table14[[#This Row],[year t]]=Table32[[#All],[year t]])*(Table14[[#This Row],[stratum i]]=Table32[[#All],[stratum i]]), 0))</f>
        <v>#REF!</v>
      </c>
      <c r="AW13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39" s="57">
        <f>(Table14[[#This Row],[GHGBSL-soil-CO2,i,t (Eq 27)]]-Table14[[#This Row],[Deductionalloch (Eq 38)]])*Table14[[#This Row],[Ai,t]]</f>
        <v>0</v>
      </c>
      <c r="AY139" cm="1">
        <f t="array" ref="AY139">IF(baseline_soil_CH4 = "Included", INDEX(Table18[[#All],[GHGBSL-soil-CH4,i,t (Eq 59)]], MATCH(1, (Table14[[#This Row],[year t]]=Table18[[#All],[year t]])*(Table14[[#This Row],[stratum i]]=Table18[[#All],[stratum i]]), 0)), 0)</f>
        <v>0</v>
      </c>
      <c r="AZ139" cm="1">
        <f t="array" ref="AZ139">IF(baseline_soil_N2O = "Included", INDEX(Table18[[#All],[GHGBSL-soil-N2O,i,t (Eq 62)]], MATCH(1, (Table14[[#This Row],[year t]]=Table18[[#All],[year t]])*(Table14[[#This Row],[stratum i]]=Table18[[#All],[stratum i]]), 0)), 0)</f>
        <v>0</v>
      </c>
      <c r="BA139">
        <f>IF(AND(Table14[[#This Row],[year t]]&gt;Table14[[#This Row],[End_PDT]],Table14[[#This Row],[year t]]&gt;Table14[[#This Row],[End_SDT]]), 0, Table14[[#This Row],[Ai,t]]*(Table14[[#This Row],[GHGBSL-soil-CO2,i,t (Eq 27)]]-Table14[[#This Row],[Deductionalloch (Eq 38)]]+Table14[[#This Row],[GHGBSL-soil-CH4,i,t]]+Table14[[#This Row],[GHGBSL-soil-N2O,i,t]]))</f>
        <v>0</v>
      </c>
      <c r="BB139" t="e" cm="1">
        <f t="array" ref="BB139">INDEX(#REF!, MATCH(1, (Table14[[#This Row],[year t]]=Table32[[#All],[year t]])*(Table14[[#This Row],[stratum i]]=Table32[[#All],[stratum i]]), 0))</f>
        <v>#REF!</v>
      </c>
      <c r="BC139" t="e" cm="1">
        <f t="array" ref="BC139">INDEX(#REF!, MATCH(1, (Table14[[#This Row],[year t]]=Table32[[#All],[year t]])*(Table14[[#This Row],[stratum i]]=Table32[[#All],[stratum i]]), 0))</f>
        <v>#REF!</v>
      </c>
      <c r="BD139" t="e" cm="1">
        <f t="array" ref="BD139">INDEX(#REF!, MATCH(1, (Table14[[#This Row],[year t]]=Table32[[#All],[year t]])*(Table14[[#This Row],[stratum i]]=Table32[[#All],[stratum i]]), 0))</f>
        <v>#REF!</v>
      </c>
      <c r="BE139" t="e" cm="1">
        <f t="array" ref="BE139">INDEX(#REF!, MATCH(1, (Table14[[#This Row],[year t]]=Table32[[#All],[year t]])*(Table14[[#This Row],[stratum i]]=Table32[[#All],[stratum i]]), 0))</f>
        <v>#REF!</v>
      </c>
      <c r="BF139" s="30"/>
      <c r="BM139" s="18">
        <v>2042</v>
      </c>
      <c r="BN139">
        <v>4</v>
      </c>
      <c r="BO139" t="e" cm="1">
        <f t="array" ref="BO139">INDEX(#REF!, MATCH(1, (Table132926[[#This Row],[year t]]=Table32[year t])*(Table132926[[#This Row],[stratum i]]=Table32[[#All],[stratum i]]), 0))</f>
        <v>#REF!</v>
      </c>
      <c r="BP139" t="e">
        <f>-44/12*Table132926[[#This Row],[∆CBSL-soil,i,t (tC/ha)]]</f>
        <v>#REF!</v>
      </c>
    </row>
    <row r="140" spans="10:68" x14ac:dyDescent="0.2">
      <c r="J140" s="18">
        <v>2043</v>
      </c>
      <c r="K140">
        <v>4</v>
      </c>
      <c r="L140" cm="1">
        <f t="array" ref="L140">INDEX(Table32[[#All],[ΔCTREE_BSL,i,t (AR Tool 14) t C/yr]], MATCH(1, (Table12[[#This Row],[year t]]=Table32[[#All],[year t]])*(Table12[[#This Row],[stratum i]]=Table32[[#All],[stratum i]]), 0))</f>
        <v>0</v>
      </c>
      <c r="M140" cm="1">
        <f t="array" ref="M140">IF(baseline_abground_nontree = "Included", INDEX(#REF!, MATCH(1, (Table12[[#This Row],[year t]]=Table32[[#All],[year t]])*(Table12[[#This Row],[stratum i]]=Table32[[#All],[stratum i]]), 0)), 0)</f>
        <v>0</v>
      </c>
      <c r="N140">
        <f>12/44*(Table12[[#This Row],[ΔCTREE_BSL,i,t (AR Tool 14) t CO2e/yr]]+Table12[[#This Row],[ΔCSHRUB_BSL,i,t (AR Tool 14) t CO2e/yr]])</f>
        <v>0</v>
      </c>
      <c r="O140" cm="1">
        <f t="array" ref="O140">IF(baseline_abground_nontree = "Included", IFERROR(INDEX(Table13[[#All],[ΔCBSL-herb,i,t (Eq 25)]], MATCH(1, (Table12[[#This Row],[stratum i]]=Table13[[#All],[stratum i]])*(Table12[[#This Row],[year t]]&gt;=#REF!)*(Table12[[#This Row],[year t]]&lt;=Table13[[#All],[year t]]), 0)), 0), 0)</f>
        <v>0</v>
      </c>
      <c r="P140">
        <f>Table12[[#This Row],[ΔCBSL-tree/shrub,i,t (t C/yr) (Eq 24)]]+Table12[[#This Row],[ΔCBSL-herb,i,t (t C/yr)]]-Table12[[#This Row],[ΔCBSL-agbiomass,i,t; t C yr-1 (submergence)]]</f>
        <v>0</v>
      </c>
      <c r="Q140" cm="1">
        <f t="array" ref="Q140">IFERROR(INDEX(Table14[[#All],[GHGBSL-soil,i,t (Eq 26)]], MATCH(1, (Table12[[#This Row],[year t]]=Table14[[#All],[year t]])*(Table12[[#This Row],[stratum i]]=Table14[[#All],[stratum i]]), 0)), 0)</f>
        <v>0</v>
      </c>
      <c r="R140">
        <f>IF(baseline_ff_CO2 = "Included", Table12[[#This Row],[ET(FC,I,t) AR-Tool 5]], 0)</f>
        <v>0</v>
      </c>
      <c r="S140" t="e" cm="1">
        <f t="array" ref="S140">INDEX(#REF!, MATCH(1, (Table12[[#This Row],[year t]]=Table32[[#All],[year t]])*(Table12[[#This Row],[stratum i]]=Table32[[#All],[stratum i]]), 0))</f>
        <v>#REF!</v>
      </c>
      <c r="T140" cm="1">
        <f t="array" ref="T140">IFERROR(INDEX(Table30[[#All],[ΔCBSL-agbiomass,i,t (equation 22) t C yr-1]], MATCH(1, (Table12[[#This Row],[stratum i]]=Table30[[#All],[Stratum i]])*(Table12[[#This Row],[year t]]&lt;Table30[[#All],[Year of reporting]]), 0)), 0)</f>
        <v>0</v>
      </c>
      <c r="AG140" s="18">
        <v>2043</v>
      </c>
      <c r="AH140">
        <v>4</v>
      </c>
      <c r="AI140" s="49" t="e" cm="1">
        <f t="array" ref="AI140">INDEX(#REF!, MATCH(1, (Table13[[#This Row],[year t]]=Table32[[#All],[year t]])*(Table13[[#This Row],[stratum i]]=Table32[[#All],[stratum i]]), 0))</f>
        <v>#REF!</v>
      </c>
      <c r="AJ140" s="49" t="e">
        <f>Table13[[#This Row],[ΔCBSL-herb,i,t (tC/ha)]]</f>
        <v>#REF!</v>
      </c>
      <c r="AO140" s="18">
        <v>2043</v>
      </c>
      <c r="AP140">
        <v>4</v>
      </c>
      <c r="AQ140" s="18" cm="1">
        <f t="array" ref="AQ140">INDEX(Table32[[#All],[Ai,t]], MATCH(1, (Table14[[#This Row],[year t]]=Table32[[#All],[year t]])*(Table14[[#This Row],[stratum i]]=Table32[[#All],[stratum i]]), 0))</f>
        <v>1227.7635314285715</v>
      </c>
      <c r="AR140" t="str">
        <f>IF(AND(INDEX(Table31[[#All],[Soil type (t=0)]], MATCH(Table14[[#This Row],[stratum i]], Table31[[#All],[Stratum i]]))="Peat soil", Table14[[#This Row],[year t]]&lt;=Table14[[#This Row],[End_PDT]]), "Peat soil", "Non-peat soil")</f>
        <v>Non-peat soil</v>
      </c>
      <c r="AS140">
        <f>IF(Emission_reduction_from_stock_loss?, INDEX(Table2[[#All],[End_PDT]], MATCH(Table14[[#This Row],[stratum i]], Table2[[#All],[stratum i]])), crediting_period)</f>
        <v>40</v>
      </c>
      <c r="AT140">
        <f>IF(Emission_reduction_from_stock_loss?, INDEX(Table2[[#All],[End_SDT]], MATCH(Table14[[#This Row],[stratum i]], Table2[[#All],[stratum i]])), crediting_period)</f>
        <v>40</v>
      </c>
      <c r="AU140" cm="1">
        <f t="array" ref="AU14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0" t="e" cm="1">
        <f t="array" ref="AV140">INDEX(#REF!, MATCH(1, (Table14[[#This Row],[year t]]=Table32[[#All],[year t]])*(Table14[[#This Row],[stratum i]]=Table32[[#All],[stratum i]]), 0))</f>
        <v>#REF!</v>
      </c>
      <c r="AW14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0" s="57">
        <f>(Table14[[#This Row],[GHGBSL-soil-CO2,i,t (Eq 27)]]-Table14[[#This Row],[Deductionalloch (Eq 38)]])*Table14[[#This Row],[Ai,t]]</f>
        <v>0</v>
      </c>
      <c r="AY140" cm="1">
        <f t="array" ref="AY140">IF(baseline_soil_CH4 = "Included", INDEX(Table18[[#All],[GHGBSL-soil-CH4,i,t (Eq 59)]], MATCH(1, (Table14[[#This Row],[year t]]=Table18[[#All],[year t]])*(Table14[[#This Row],[stratum i]]=Table18[[#All],[stratum i]]), 0)), 0)</f>
        <v>0</v>
      </c>
      <c r="AZ140" cm="1">
        <f t="array" ref="AZ140">IF(baseline_soil_N2O = "Included", INDEX(Table18[[#All],[GHGBSL-soil-N2O,i,t (Eq 62)]], MATCH(1, (Table14[[#This Row],[year t]]=Table18[[#All],[year t]])*(Table14[[#This Row],[stratum i]]=Table18[[#All],[stratum i]]), 0)), 0)</f>
        <v>0</v>
      </c>
      <c r="BA140">
        <f>IF(AND(Table14[[#This Row],[year t]]&gt;Table14[[#This Row],[End_PDT]],Table14[[#This Row],[year t]]&gt;Table14[[#This Row],[End_SDT]]), 0, Table14[[#This Row],[Ai,t]]*(Table14[[#This Row],[GHGBSL-soil-CO2,i,t (Eq 27)]]-Table14[[#This Row],[Deductionalloch (Eq 38)]]+Table14[[#This Row],[GHGBSL-soil-CH4,i,t]]+Table14[[#This Row],[GHGBSL-soil-N2O,i,t]]))</f>
        <v>0</v>
      </c>
      <c r="BB140" t="e" cm="1">
        <f t="array" ref="BB140">INDEX(#REF!, MATCH(1, (Table14[[#This Row],[year t]]=Table32[[#All],[year t]])*(Table14[[#This Row],[stratum i]]=Table32[[#All],[stratum i]]), 0))</f>
        <v>#REF!</v>
      </c>
      <c r="BC140" t="e" cm="1">
        <f t="array" ref="BC140">INDEX(#REF!, MATCH(1, (Table14[[#This Row],[year t]]=Table32[[#All],[year t]])*(Table14[[#This Row],[stratum i]]=Table32[[#All],[stratum i]]), 0))</f>
        <v>#REF!</v>
      </c>
      <c r="BD140" t="e" cm="1">
        <f t="array" ref="BD140">INDEX(#REF!, MATCH(1, (Table14[[#This Row],[year t]]=Table32[[#All],[year t]])*(Table14[[#This Row],[stratum i]]=Table32[[#All],[stratum i]]), 0))</f>
        <v>#REF!</v>
      </c>
      <c r="BE140" t="e" cm="1">
        <f t="array" ref="BE140">INDEX(#REF!, MATCH(1, (Table14[[#This Row],[year t]]=Table32[[#All],[year t]])*(Table14[[#This Row],[stratum i]]=Table32[[#All],[stratum i]]), 0))</f>
        <v>#REF!</v>
      </c>
      <c r="BF140" s="30"/>
      <c r="BM140" s="18">
        <v>2043</v>
      </c>
      <c r="BN140">
        <v>4</v>
      </c>
      <c r="BO140" t="e" cm="1">
        <f t="array" ref="BO140">INDEX(#REF!, MATCH(1, (Table132926[[#This Row],[year t]]=Table32[year t])*(Table132926[[#This Row],[stratum i]]=Table32[[#All],[stratum i]]), 0))</f>
        <v>#REF!</v>
      </c>
      <c r="BP140" t="e">
        <f>-44/12*Table132926[[#This Row],[∆CBSL-soil,i,t (tC/ha)]]</f>
        <v>#REF!</v>
      </c>
    </row>
    <row r="141" spans="10:68" x14ac:dyDescent="0.2">
      <c r="J141" s="18">
        <v>2044</v>
      </c>
      <c r="K141">
        <v>4</v>
      </c>
      <c r="L141" cm="1">
        <f t="array" ref="L141">INDEX(Table32[[#All],[ΔCTREE_BSL,i,t (AR Tool 14) t C/yr]], MATCH(1, (Table12[[#This Row],[year t]]=Table32[[#All],[year t]])*(Table12[[#This Row],[stratum i]]=Table32[[#All],[stratum i]]), 0))</f>
        <v>0</v>
      </c>
      <c r="M141" cm="1">
        <f t="array" ref="M141">IF(baseline_abground_nontree = "Included", INDEX(#REF!, MATCH(1, (Table12[[#This Row],[year t]]=Table32[[#All],[year t]])*(Table12[[#This Row],[stratum i]]=Table32[[#All],[stratum i]]), 0)), 0)</f>
        <v>0</v>
      </c>
      <c r="N141">
        <f>12/44*(Table12[[#This Row],[ΔCTREE_BSL,i,t (AR Tool 14) t CO2e/yr]]+Table12[[#This Row],[ΔCSHRUB_BSL,i,t (AR Tool 14) t CO2e/yr]])</f>
        <v>0</v>
      </c>
      <c r="O141" cm="1">
        <f t="array" ref="O141">IF(baseline_abground_nontree = "Included", IFERROR(INDEX(Table13[[#All],[ΔCBSL-herb,i,t (Eq 25)]], MATCH(1, (Table12[[#This Row],[stratum i]]=Table13[[#All],[stratum i]])*(Table12[[#This Row],[year t]]&gt;=#REF!)*(Table12[[#This Row],[year t]]&lt;=Table13[[#All],[year t]]), 0)), 0), 0)</f>
        <v>0</v>
      </c>
      <c r="P141">
        <f>Table12[[#This Row],[ΔCBSL-tree/shrub,i,t (t C/yr) (Eq 24)]]+Table12[[#This Row],[ΔCBSL-herb,i,t (t C/yr)]]-Table12[[#This Row],[ΔCBSL-agbiomass,i,t; t C yr-1 (submergence)]]</f>
        <v>0</v>
      </c>
      <c r="Q141" cm="1">
        <f t="array" ref="Q141">IFERROR(INDEX(Table14[[#All],[GHGBSL-soil,i,t (Eq 26)]], MATCH(1, (Table12[[#This Row],[year t]]=Table14[[#All],[year t]])*(Table12[[#This Row],[stratum i]]=Table14[[#All],[stratum i]]), 0)), 0)</f>
        <v>0</v>
      </c>
      <c r="R141">
        <f>IF(baseline_ff_CO2 = "Included", Table12[[#This Row],[ET(FC,I,t) AR-Tool 5]], 0)</f>
        <v>0</v>
      </c>
      <c r="S141" t="e" cm="1">
        <f t="array" ref="S141">INDEX(#REF!, MATCH(1, (Table12[[#This Row],[year t]]=Table32[[#All],[year t]])*(Table12[[#This Row],[stratum i]]=Table32[[#All],[stratum i]]), 0))</f>
        <v>#REF!</v>
      </c>
      <c r="T141" cm="1">
        <f t="array" ref="T141">IFERROR(INDEX(Table30[[#All],[ΔCBSL-agbiomass,i,t (equation 22) t C yr-1]], MATCH(1, (Table12[[#This Row],[stratum i]]=Table30[[#All],[Stratum i]])*(Table12[[#This Row],[year t]]&lt;Table30[[#All],[Year of reporting]]), 0)), 0)</f>
        <v>0</v>
      </c>
      <c r="AG141" s="18">
        <v>2044</v>
      </c>
      <c r="AH141">
        <v>4</v>
      </c>
      <c r="AI141" s="49" t="e" cm="1">
        <f t="array" ref="AI141">INDEX(#REF!, MATCH(1, (Table13[[#This Row],[year t]]=Table32[[#All],[year t]])*(Table13[[#This Row],[stratum i]]=Table32[[#All],[stratum i]]), 0))</f>
        <v>#REF!</v>
      </c>
      <c r="AJ141" s="49" t="e">
        <f>Table13[[#This Row],[ΔCBSL-herb,i,t (tC/ha)]]</f>
        <v>#REF!</v>
      </c>
      <c r="AO141" s="18">
        <v>2044</v>
      </c>
      <c r="AP141">
        <v>4</v>
      </c>
      <c r="AQ141" s="18" cm="1">
        <f t="array" ref="AQ141">INDEX(Table32[[#All],[Ai,t]], MATCH(1, (Table14[[#This Row],[year t]]=Table32[[#All],[year t]])*(Table14[[#This Row],[stratum i]]=Table32[[#All],[stratum i]]), 0))</f>
        <v>1227.7635314285715</v>
      </c>
      <c r="AR141" t="str">
        <f>IF(AND(INDEX(Table31[[#All],[Soil type (t=0)]], MATCH(Table14[[#This Row],[stratum i]], Table31[[#All],[Stratum i]]))="Peat soil", Table14[[#This Row],[year t]]&lt;=Table14[[#This Row],[End_PDT]]), "Peat soil", "Non-peat soil")</f>
        <v>Non-peat soil</v>
      </c>
      <c r="AS141">
        <f>IF(Emission_reduction_from_stock_loss?, INDEX(Table2[[#All],[End_PDT]], MATCH(Table14[[#This Row],[stratum i]], Table2[[#All],[stratum i]])), crediting_period)</f>
        <v>40</v>
      </c>
      <c r="AT141">
        <f>IF(Emission_reduction_from_stock_loss?, INDEX(Table2[[#All],[End_SDT]], MATCH(Table14[[#This Row],[stratum i]], Table2[[#All],[stratum i]])), crediting_period)</f>
        <v>40</v>
      </c>
      <c r="AU141" cm="1">
        <f t="array" ref="AU14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1" t="e" cm="1">
        <f t="array" ref="AV141">INDEX(#REF!, MATCH(1, (Table14[[#This Row],[year t]]=Table32[[#All],[year t]])*(Table14[[#This Row],[stratum i]]=Table32[[#All],[stratum i]]), 0))</f>
        <v>#REF!</v>
      </c>
      <c r="AW14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1" s="57">
        <f>(Table14[[#This Row],[GHGBSL-soil-CO2,i,t (Eq 27)]]-Table14[[#This Row],[Deductionalloch (Eq 38)]])*Table14[[#This Row],[Ai,t]]</f>
        <v>0</v>
      </c>
      <c r="AY141" cm="1">
        <f t="array" ref="AY141">IF(baseline_soil_CH4 = "Included", INDEX(Table18[[#All],[GHGBSL-soil-CH4,i,t (Eq 59)]], MATCH(1, (Table14[[#This Row],[year t]]=Table18[[#All],[year t]])*(Table14[[#This Row],[stratum i]]=Table18[[#All],[stratum i]]), 0)), 0)</f>
        <v>0</v>
      </c>
      <c r="AZ141" cm="1">
        <f t="array" ref="AZ141">IF(baseline_soil_N2O = "Included", INDEX(Table18[[#All],[GHGBSL-soil-N2O,i,t (Eq 62)]], MATCH(1, (Table14[[#This Row],[year t]]=Table18[[#All],[year t]])*(Table14[[#This Row],[stratum i]]=Table18[[#All],[stratum i]]), 0)), 0)</f>
        <v>0</v>
      </c>
      <c r="BA141">
        <f>IF(AND(Table14[[#This Row],[year t]]&gt;Table14[[#This Row],[End_PDT]],Table14[[#This Row],[year t]]&gt;Table14[[#This Row],[End_SDT]]), 0, Table14[[#This Row],[Ai,t]]*(Table14[[#This Row],[GHGBSL-soil-CO2,i,t (Eq 27)]]-Table14[[#This Row],[Deductionalloch (Eq 38)]]+Table14[[#This Row],[GHGBSL-soil-CH4,i,t]]+Table14[[#This Row],[GHGBSL-soil-N2O,i,t]]))</f>
        <v>0</v>
      </c>
      <c r="BB141" t="e" cm="1">
        <f t="array" ref="BB141">INDEX(#REF!, MATCH(1, (Table14[[#This Row],[year t]]=Table32[[#All],[year t]])*(Table14[[#This Row],[stratum i]]=Table32[[#All],[stratum i]]), 0))</f>
        <v>#REF!</v>
      </c>
      <c r="BC141" t="e" cm="1">
        <f t="array" ref="BC141">INDEX(#REF!, MATCH(1, (Table14[[#This Row],[year t]]=Table32[[#All],[year t]])*(Table14[[#This Row],[stratum i]]=Table32[[#All],[stratum i]]), 0))</f>
        <v>#REF!</v>
      </c>
      <c r="BD141" t="e" cm="1">
        <f t="array" ref="BD141">INDEX(#REF!, MATCH(1, (Table14[[#This Row],[year t]]=Table32[[#All],[year t]])*(Table14[[#This Row],[stratum i]]=Table32[[#All],[stratum i]]), 0))</f>
        <v>#REF!</v>
      </c>
      <c r="BE141" t="e" cm="1">
        <f t="array" ref="BE141">INDEX(#REF!, MATCH(1, (Table14[[#This Row],[year t]]=Table32[[#All],[year t]])*(Table14[[#This Row],[stratum i]]=Table32[[#All],[stratum i]]), 0))</f>
        <v>#REF!</v>
      </c>
      <c r="BF141" s="30"/>
      <c r="BM141" s="18">
        <v>2044</v>
      </c>
      <c r="BN141">
        <v>4</v>
      </c>
      <c r="BO141" t="e" cm="1">
        <f t="array" ref="BO141">INDEX(#REF!, MATCH(1, (Table132926[[#This Row],[year t]]=Table32[year t])*(Table132926[[#This Row],[stratum i]]=Table32[[#All],[stratum i]]), 0))</f>
        <v>#REF!</v>
      </c>
      <c r="BP141" t="e">
        <f>-44/12*Table132926[[#This Row],[∆CBSL-soil,i,t (tC/ha)]]</f>
        <v>#REF!</v>
      </c>
    </row>
    <row r="142" spans="10:68" x14ac:dyDescent="0.2">
      <c r="J142" s="18">
        <v>2045</v>
      </c>
      <c r="K142">
        <v>4</v>
      </c>
      <c r="L142" cm="1">
        <f t="array" ref="L142">INDEX(Table32[[#All],[ΔCTREE_BSL,i,t (AR Tool 14) t C/yr]], MATCH(1, (Table12[[#This Row],[year t]]=Table32[[#All],[year t]])*(Table12[[#This Row],[stratum i]]=Table32[[#All],[stratum i]]), 0))</f>
        <v>0</v>
      </c>
      <c r="M142" cm="1">
        <f t="array" ref="M142">IF(baseline_abground_nontree = "Included", INDEX(#REF!, MATCH(1, (Table12[[#This Row],[year t]]=Table32[[#All],[year t]])*(Table12[[#This Row],[stratum i]]=Table32[[#All],[stratum i]]), 0)), 0)</f>
        <v>0</v>
      </c>
      <c r="N142">
        <f>12/44*(Table12[[#This Row],[ΔCTREE_BSL,i,t (AR Tool 14) t CO2e/yr]]+Table12[[#This Row],[ΔCSHRUB_BSL,i,t (AR Tool 14) t CO2e/yr]])</f>
        <v>0</v>
      </c>
      <c r="O142" cm="1">
        <f t="array" ref="O142">IF(baseline_abground_nontree = "Included", IFERROR(INDEX(Table13[[#All],[ΔCBSL-herb,i,t (Eq 25)]], MATCH(1, (Table12[[#This Row],[stratum i]]=Table13[[#All],[stratum i]])*(Table12[[#This Row],[year t]]&gt;=#REF!)*(Table12[[#This Row],[year t]]&lt;=Table13[[#All],[year t]]), 0)), 0), 0)</f>
        <v>0</v>
      </c>
      <c r="P142">
        <f>Table12[[#This Row],[ΔCBSL-tree/shrub,i,t (t C/yr) (Eq 24)]]+Table12[[#This Row],[ΔCBSL-herb,i,t (t C/yr)]]-Table12[[#This Row],[ΔCBSL-agbiomass,i,t; t C yr-1 (submergence)]]</f>
        <v>0</v>
      </c>
      <c r="Q142" cm="1">
        <f t="array" ref="Q142">IFERROR(INDEX(Table14[[#All],[GHGBSL-soil,i,t (Eq 26)]], MATCH(1, (Table12[[#This Row],[year t]]=Table14[[#All],[year t]])*(Table12[[#This Row],[stratum i]]=Table14[[#All],[stratum i]]), 0)), 0)</f>
        <v>0</v>
      </c>
      <c r="R142">
        <f>IF(baseline_ff_CO2 = "Included", Table12[[#This Row],[ET(FC,I,t) AR-Tool 5]], 0)</f>
        <v>0</v>
      </c>
      <c r="S142" t="e" cm="1">
        <f t="array" ref="S142">INDEX(#REF!, MATCH(1, (Table12[[#This Row],[year t]]=Table32[[#All],[year t]])*(Table12[[#This Row],[stratum i]]=Table32[[#All],[stratum i]]), 0))</f>
        <v>#REF!</v>
      </c>
      <c r="T142" cm="1">
        <f t="array" ref="T142">IFERROR(INDEX(Table30[[#All],[ΔCBSL-agbiomass,i,t (equation 22) t C yr-1]], MATCH(1, (Table12[[#This Row],[stratum i]]=Table30[[#All],[Stratum i]])*(Table12[[#This Row],[year t]]&lt;Table30[[#All],[Year of reporting]]), 0)), 0)</f>
        <v>0</v>
      </c>
      <c r="AG142" s="18">
        <v>2045</v>
      </c>
      <c r="AH142">
        <v>4</v>
      </c>
      <c r="AI142" s="49" t="e" cm="1">
        <f t="array" ref="AI142">INDEX(#REF!, MATCH(1, (Table13[[#This Row],[year t]]=Table32[[#All],[year t]])*(Table13[[#This Row],[stratum i]]=Table32[[#All],[stratum i]]), 0))</f>
        <v>#REF!</v>
      </c>
      <c r="AJ142" s="49" t="e">
        <f>Table13[[#This Row],[ΔCBSL-herb,i,t (tC/ha)]]</f>
        <v>#REF!</v>
      </c>
      <c r="AO142" s="18">
        <v>2045</v>
      </c>
      <c r="AP142">
        <v>4</v>
      </c>
      <c r="AQ142" s="18" cm="1">
        <f t="array" ref="AQ142">INDEX(Table32[[#All],[Ai,t]], MATCH(1, (Table14[[#This Row],[year t]]=Table32[[#All],[year t]])*(Table14[[#This Row],[stratum i]]=Table32[[#All],[stratum i]]), 0))</f>
        <v>1227.7635314285715</v>
      </c>
      <c r="AR142" t="str">
        <f>IF(AND(INDEX(Table31[[#All],[Soil type (t=0)]], MATCH(Table14[[#This Row],[stratum i]], Table31[[#All],[Stratum i]]))="Peat soil", Table14[[#This Row],[year t]]&lt;=Table14[[#This Row],[End_PDT]]), "Peat soil", "Non-peat soil")</f>
        <v>Non-peat soil</v>
      </c>
      <c r="AS142">
        <f>IF(Emission_reduction_from_stock_loss?, INDEX(Table2[[#All],[End_PDT]], MATCH(Table14[[#This Row],[stratum i]], Table2[[#All],[stratum i]])), crediting_period)</f>
        <v>40</v>
      </c>
      <c r="AT142">
        <f>IF(Emission_reduction_from_stock_loss?, INDEX(Table2[[#All],[End_SDT]], MATCH(Table14[[#This Row],[stratum i]], Table2[[#All],[stratum i]])), crediting_period)</f>
        <v>40</v>
      </c>
      <c r="AU142" cm="1">
        <f t="array" ref="AU14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2" t="e" cm="1">
        <f t="array" ref="AV142">INDEX(#REF!, MATCH(1, (Table14[[#This Row],[year t]]=Table32[[#All],[year t]])*(Table14[[#This Row],[stratum i]]=Table32[[#All],[stratum i]]), 0))</f>
        <v>#REF!</v>
      </c>
      <c r="AW14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2" s="57">
        <f>(Table14[[#This Row],[GHGBSL-soil-CO2,i,t (Eq 27)]]-Table14[[#This Row],[Deductionalloch (Eq 38)]])*Table14[[#This Row],[Ai,t]]</f>
        <v>0</v>
      </c>
      <c r="AY142" cm="1">
        <f t="array" ref="AY142">IF(baseline_soil_CH4 = "Included", INDEX(Table18[[#All],[GHGBSL-soil-CH4,i,t (Eq 59)]], MATCH(1, (Table14[[#This Row],[year t]]=Table18[[#All],[year t]])*(Table14[[#This Row],[stratum i]]=Table18[[#All],[stratum i]]), 0)), 0)</f>
        <v>0</v>
      </c>
      <c r="AZ142" cm="1">
        <f t="array" ref="AZ142">IF(baseline_soil_N2O = "Included", INDEX(Table18[[#All],[GHGBSL-soil-N2O,i,t (Eq 62)]], MATCH(1, (Table14[[#This Row],[year t]]=Table18[[#All],[year t]])*(Table14[[#This Row],[stratum i]]=Table18[[#All],[stratum i]]), 0)), 0)</f>
        <v>0</v>
      </c>
      <c r="BA142">
        <f>IF(AND(Table14[[#This Row],[year t]]&gt;Table14[[#This Row],[End_PDT]],Table14[[#This Row],[year t]]&gt;Table14[[#This Row],[End_SDT]]), 0, Table14[[#This Row],[Ai,t]]*(Table14[[#This Row],[GHGBSL-soil-CO2,i,t (Eq 27)]]-Table14[[#This Row],[Deductionalloch (Eq 38)]]+Table14[[#This Row],[GHGBSL-soil-CH4,i,t]]+Table14[[#This Row],[GHGBSL-soil-N2O,i,t]]))</f>
        <v>0</v>
      </c>
      <c r="BB142" t="e" cm="1">
        <f t="array" ref="BB142">INDEX(#REF!, MATCH(1, (Table14[[#This Row],[year t]]=Table32[[#All],[year t]])*(Table14[[#This Row],[stratum i]]=Table32[[#All],[stratum i]]), 0))</f>
        <v>#REF!</v>
      </c>
      <c r="BC142" t="e" cm="1">
        <f t="array" ref="BC142">INDEX(#REF!, MATCH(1, (Table14[[#This Row],[year t]]=Table32[[#All],[year t]])*(Table14[[#This Row],[stratum i]]=Table32[[#All],[stratum i]]), 0))</f>
        <v>#REF!</v>
      </c>
      <c r="BD142" t="e" cm="1">
        <f t="array" ref="BD142">INDEX(#REF!, MATCH(1, (Table14[[#This Row],[year t]]=Table32[[#All],[year t]])*(Table14[[#This Row],[stratum i]]=Table32[[#All],[stratum i]]), 0))</f>
        <v>#REF!</v>
      </c>
      <c r="BE142" t="e" cm="1">
        <f t="array" ref="BE142">INDEX(#REF!, MATCH(1, (Table14[[#This Row],[year t]]=Table32[[#All],[year t]])*(Table14[[#This Row],[stratum i]]=Table32[[#All],[stratum i]]), 0))</f>
        <v>#REF!</v>
      </c>
      <c r="BF142" s="30"/>
      <c r="BM142" s="18">
        <v>2045</v>
      </c>
      <c r="BN142">
        <v>4</v>
      </c>
      <c r="BO142" t="e" cm="1">
        <f t="array" ref="BO142">INDEX(#REF!, MATCH(1, (Table132926[[#This Row],[year t]]=Table32[year t])*(Table132926[[#This Row],[stratum i]]=Table32[[#All],[stratum i]]), 0))</f>
        <v>#REF!</v>
      </c>
      <c r="BP142" t="e">
        <f>-44/12*Table132926[[#This Row],[∆CBSL-soil,i,t (tC/ha)]]</f>
        <v>#REF!</v>
      </c>
    </row>
    <row r="143" spans="10:68" x14ac:dyDescent="0.2">
      <c r="J143" s="18">
        <v>2046</v>
      </c>
      <c r="K143">
        <v>4</v>
      </c>
      <c r="L143" cm="1">
        <f t="array" ref="L143">INDEX(Table32[[#All],[ΔCTREE_BSL,i,t (AR Tool 14) t C/yr]], MATCH(1, (Table12[[#This Row],[year t]]=Table32[[#All],[year t]])*(Table12[[#This Row],[stratum i]]=Table32[[#All],[stratum i]]), 0))</f>
        <v>0</v>
      </c>
      <c r="M143" cm="1">
        <f t="array" ref="M143">IF(baseline_abground_nontree = "Included", INDEX(#REF!, MATCH(1, (Table12[[#This Row],[year t]]=Table32[[#All],[year t]])*(Table12[[#This Row],[stratum i]]=Table32[[#All],[stratum i]]), 0)), 0)</f>
        <v>0</v>
      </c>
      <c r="N143">
        <f>12/44*(Table12[[#This Row],[ΔCTREE_BSL,i,t (AR Tool 14) t CO2e/yr]]+Table12[[#This Row],[ΔCSHRUB_BSL,i,t (AR Tool 14) t CO2e/yr]])</f>
        <v>0</v>
      </c>
      <c r="O143" cm="1">
        <f t="array" ref="O143">IF(baseline_abground_nontree = "Included", IFERROR(INDEX(Table13[[#All],[ΔCBSL-herb,i,t (Eq 25)]], MATCH(1, (Table12[[#This Row],[stratum i]]=Table13[[#All],[stratum i]])*(Table12[[#This Row],[year t]]&gt;=#REF!)*(Table12[[#This Row],[year t]]&lt;=Table13[[#All],[year t]]), 0)), 0), 0)</f>
        <v>0</v>
      </c>
      <c r="P143">
        <f>Table12[[#This Row],[ΔCBSL-tree/shrub,i,t (t C/yr) (Eq 24)]]+Table12[[#This Row],[ΔCBSL-herb,i,t (t C/yr)]]-Table12[[#This Row],[ΔCBSL-agbiomass,i,t; t C yr-1 (submergence)]]</f>
        <v>0</v>
      </c>
      <c r="Q143" cm="1">
        <f t="array" ref="Q143">IFERROR(INDEX(Table14[[#All],[GHGBSL-soil,i,t (Eq 26)]], MATCH(1, (Table12[[#This Row],[year t]]=Table14[[#All],[year t]])*(Table12[[#This Row],[stratum i]]=Table14[[#All],[stratum i]]), 0)), 0)</f>
        <v>0</v>
      </c>
      <c r="R143">
        <f>IF(baseline_ff_CO2 = "Included", Table12[[#This Row],[ET(FC,I,t) AR-Tool 5]], 0)</f>
        <v>0</v>
      </c>
      <c r="S143" t="e" cm="1">
        <f t="array" ref="S143">INDEX(#REF!, MATCH(1, (Table12[[#This Row],[year t]]=Table32[[#All],[year t]])*(Table12[[#This Row],[stratum i]]=Table32[[#All],[stratum i]]), 0))</f>
        <v>#REF!</v>
      </c>
      <c r="T143" cm="1">
        <f t="array" ref="T143">IFERROR(INDEX(Table30[[#All],[ΔCBSL-agbiomass,i,t (equation 22) t C yr-1]], MATCH(1, (Table12[[#This Row],[stratum i]]=Table30[[#All],[Stratum i]])*(Table12[[#This Row],[year t]]&lt;Table30[[#All],[Year of reporting]]), 0)), 0)</f>
        <v>0</v>
      </c>
      <c r="AG143" s="18">
        <v>2046</v>
      </c>
      <c r="AH143">
        <v>4</v>
      </c>
      <c r="AI143" s="49" t="e" cm="1">
        <f t="array" ref="AI143">INDEX(#REF!, MATCH(1, (Table13[[#This Row],[year t]]=Table32[[#All],[year t]])*(Table13[[#This Row],[stratum i]]=Table32[[#All],[stratum i]]), 0))</f>
        <v>#REF!</v>
      </c>
      <c r="AJ143" s="49" t="e">
        <f>Table13[[#This Row],[ΔCBSL-herb,i,t (tC/ha)]]</f>
        <v>#REF!</v>
      </c>
      <c r="AO143" s="18">
        <v>2046</v>
      </c>
      <c r="AP143">
        <v>4</v>
      </c>
      <c r="AQ143" s="18" cm="1">
        <f t="array" ref="AQ143">INDEX(Table32[[#All],[Ai,t]], MATCH(1, (Table14[[#This Row],[year t]]=Table32[[#All],[year t]])*(Table14[[#This Row],[stratum i]]=Table32[[#All],[stratum i]]), 0))</f>
        <v>1227.7635314285715</v>
      </c>
      <c r="AR143" t="str">
        <f>IF(AND(INDEX(Table31[[#All],[Soil type (t=0)]], MATCH(Table14[[#This Row],[stratum i]], Table31[[#All],[Stratum i]]))="Peat soil", Table14[[#This Row],[year t]]&lt;=Table14[[#This Row],[End_PDT]]), "Peat soil", "Non-peat soil")</f>
        <v>Non-peat soil</v>
      </c>
      <c r="AS143">
        <f>IF(Emission_reduction_from_stock_loss?, INDEX(Table2[[#All],[End_PDT]], MATCH(Table14[[#This Row],[stratum i]], Table2[[#All],[stratum i]])), crediting_period)</f>
        <v>40</v>
      </c>
      <c r="AT143">
        <f>IF(Emission_reduction_from_stock_loss?, INDEX(Table2[[#All],[End_SDT]], MATCH(Table14[[#This Row],[stratum i]], Table2[[#All],[stratum i]])), crediting_period)</f>
        <v>40</v>
      </c>
      <c r="AU143" cm="1">
        <f t="array" ref="AU14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3" t="e" cm="1">
        <f t="array" ref="AV143">INDEX(#REF!, MATCH(1, (Table14[[#This Row],[year t]]=Table32[[#All],[year t]])*(Table14[[#This Row],[stratum i]]=Table32[[#All],[stratum i]]), 0))</f>
        <v>#REF!</v>
      </c>
      <c r="AW14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3" s="57">
        <f>(Table14[[#This Row],[GHGBSL-soil-CO2,i,t (Eq 27)]]-Table14[[#This Row],[Deductionalloch (Eq 38)]])*Table14[[#This Row],[Ai,t]]</f>
        <v>0</v>
      </c>
      <c r="AY143" cm="1">
        <f t="array" ref="AY143">IF(baseline_soil_CH4 = "Included", INDEX(Table18[[#All],[GHGBSL-soil-CH4,i,t (Eq 59)]], MATCH(1, (Table14[[#This Row],[year t]]=Table18[[#All],[year t]])*(Table14[[#This Row],[stratum i]]=Table18[[#All],[stratum i]]), 0)), 0)</f>
        <v>0</v>
      </c>
      <c r="AZ143" cm="1">
        <f t="array" ref="AZ143">IF(baseline_soil_N2O = "Included", INDEX(Table18[[#All],[GHGBSL-soil-N2O,i,t (Eq 62)]], MATCH(1, (Table14[[#This Row],[year t]]=Table18[[#All],[year t]])*(Table14[[#This Row],[stratum i]]=Table18[[#All],[stratum i]]), 0)), 0)</f>
        <v>0</v>
      </c>
      <c r="BA143">
        <f>IF(AND(Table14[[#This Row],[year t]]&gt;Table14[[#This Row],[End_PDT]],Table14[[#This Row],[year t]]&gt;Table14[[#This Row],[End_SDT]]), 0, Table14[[#This Row],[Ai,t]]*(Table14[[#This Row],[GHGBSL-soil-CO2,i,t (Eq 27)]]-Table14[[#This Row],[Deductionalloch (Eq 38)]]+Table14[[#This Row],[GHGBSL-soil-CH4,i,t]]+Table14[[#This Row],[GHGBSL-soil-N2O,i,t]]))</f>
        <v>0</v>
      </c>
      <c r="BB143" t="e" cm="1">
        <f t="array" ref="BB143">INDEX(#REF!, MATCH(1, (Table14[[#This Row],[year t]]=Table32[[#All],[year t]])*(Table14[[#This Row],[stratum i]]=Table32[[#All],[stratum i]]), 0))</f>
        <v>#REF!</v>
      </c>
      <c r="BC143" t="e" cm="1">
        <f t="array" ref="BC143">INDEX(#REF!, MATCH(1, (Table14[[#This Row],[year t]]=Table32[[#All],[year t]])*(Table14[[#This Row],[stratum i]]=Table32[[#All],[stratum i]]), 0))</f>
        <v>#REF!</v>
      </c>
      <c r="BD143" t="e" cm="1">
        <f t="array" ref="BD143">INDEX(#REF!, MATCH(1, (Table14[[#This Row],[year t]]=Table32[[#All],[year t]])*(Table14[[#This Row],[stratum i]]=Table32[[#All],[stratum i]]), 0))</f>
        <v>#REF!</v>
      </c>
      <c r="BE143" t="e" cm="1">
        <f t="array" ref="BE143">INDEX(#REF!, MATCH(1, (Table14[[#This Row],[year t]]=Table32[[#All],[year t]])*(Table14[[#This Row],[stratum i]]=Table32[[#All],[stratum i]]), 0))</f>
        <v>#REF!</v>
      </c>
      <c r="BF143" s="30"/>
      <c r="BM143" s="18">
        <v>2046</v>
      </c>
      <c r="BN143">
        <v>4</v>
      </c>
      <c r="BO143" t="e" cm="1">
        <f t="array" ref="BO143">INDEX(#REF!, MATCH(1, (Table132926[[#This Row],[year t]]=Table32[year t])*(Table132926[[#This Row],[stratum i]]=Table32[[#All],[stratum i]]), 0))</f>
        <v>#REF!</v>
      </c>
      <c r="BP143" t="e">
        <f>-44/12*Table132926[[#This Row],[∆CBSL-soil,i,t (tC/ha)]]</f>
        <v>#REF!</v>
      </c>
    </row>
    <row r="144" spans="10:68" x14ac:dyDescent="0.2">
      <c r="J144" s="18">
        <v>2047</v>
      </c>
      <c r="K144">
        <v>4</v>
      </c>
      <c r="L144" cm="1">
        <f t="array" ref="L144">INDEX(Table32[[#All],[ΔCTREE_BSL,i,t (AR Tool 14) t C/yr]], MATCH(1, (Table12[[#This Row],[year t]]=Table32[[#All],[year t]])*(Table12[[#This Row],[stratum i]]=Table32[[#All],[stratum i]]), 0))</f>
        <v>0</v>
      </c>
      <c r="M144" cm="1">
        <f t="array" ref="M144">IF(baseline_abground_nontree = "Included", INDEX(#REF!, MATCH(1, (Table12[[#This Row],[year t]]=Table32[[#All],[year t]])*(Table12[[#This Row],[stratum i]]=Table32[[#All],[stratum i]]), 0)), 0)</f>
        <v>0</v>
      </c>
      <c r="N144">
        <f>12/44*(Table12[[#This Row],[ΔCTREE_BSL,i,t (AR Tool 14) t CO2e/yr]]+Table12[[#This Row],[ΔCSHRUB_BSL,i,t (AR Tool 14) t CO2e/yr]])</f>
        <v>0</v>
      </c>
      <c r="O144" cm="1">
        <f t="array" ref="O144">IF(baseline_abground_nontree = "Included", IFERROR(INDEX(Table13[[#All],[ΔCBSL-herb,i,t (Eq 25)]], MATCH(1, (Table12[[#This Row],[stratum i]]=Table13[[#All],[stratum i]])*(Table12[[#This Row],[year t]]&gt;=#REF!)*(Table12[[#This Row],[year t]]&lt;=Table13[[#All],[year t]]), 0)), 0), 0)</f>
        <v>0</v>
      </c>
      <c r="P144">
        <f>Table12[[#This Row],[ΔCBSL-tree/shrub,i,t (t C/yr) (Eq 24)]]+Table12[[#This Row],[ΔCBSL-herb,i,t (t C/yr)]]-Table12[[#This Row],[ΔCBSL-agbiomass,i,t; t C yr-1 (submergence)]]</f>
        <v>0</v>
      </c>
      <c r="Q144" cm="1">
        <f t="array" ref="Q144">IFERROR(INDEX(Table14[[#All],[GHGBSL-soil,i,t (Eq 26)]], MATCH(1, (Table12[[#This Row],[year t]]=Table14[[#All],[year t]])*(Table12[[#This Row],[stratum i]]=Table14[[#All],[stratum i]]), 0)), 0)</f>
        <v>0</v>
      </c>
      <c r="R144">
        <f>IF(baseline_ff_CO2 = "Included", Table12[[#This Row],[ET(FC,I,t) AR-Tool 5]], 0)</f>
        <v>0</v>
      </c>
      <c r="S144" t="e" cm="1">
        <f t="array" ref="S144">INDEX(#REF!, MATCH(1, (Table12[[#This Row],[year t]]=Table32[[#All],[year t]])*(Table12[[#This Row],[stratum i]]=Table32[[#All],[stratum i]]), 0))</f>
        <v>#REF!</v>
      </c>
      <c r="T144" cm="1">
        <f t="array" ref="T144">IFERROR(INDEX(Table30[[#All],[ΔCBSL-agbiomass,i,t (equation 22) t C yr-1]], MATCH(1, (Table12[[#This Row],[stratum i]]=Table30[[#All],[Stratum i]])*(Table12[[#This Row],[year t]]&lt;Table30[[#All],[Year of reporting]]), 0)), 0)</f>
        <v>0</v>
      </c>
      <c r="AG144" s="18">
        <v>2047</v>
      </c>
      <c r="AH144">
        <v>4</v>
      </c>
      <c r="AI144" s="49" t="e" cm="1">
        <f t="array" ref="AI144">INDEX(#REF!, MATCH(1, (Table13[[#This Row],[year t]]=Table32[[#All],[year t]])*(Table13[[#This Row],[stratum i]]=Table32[[#All],[stratum i]]), 0))</f>
        <v>#REF!</v>
      </c>
      <c r="AJ144" s="49" t="e">
        <f>Table13[[#This Row],[ΔCBSL-herb,i,t (tC/ha)]]</f>
        <v>#REF!</v>
      </c>
      <c r="AO144" s="18">
        <v>2047</v>
      </c>
      <c r="AP144">
        <v>4</v>
      </c>
      <c r="AQ144" s="18" cm="1">
        <f t="array" ref="AQ144">INDEX(Table32[[#All],[Ai,t]], MATCH(1, (Table14[[#This Row],[year t]]=Table32[[#All],[year t]])*(Table14[[#This Row],[stratum i]]=Table32[[#All],[stratum i]]), 0))</f>
        <v>1227.7635314285715</v>
      </c>
      <c r="AR144" t="str">
        <f>IF(AND(INDEX(Table31[[#All],[Soil type (t=0)]], MATCH(Table14[[#This Row],[stratum i]], Table31[[#All],[Stratum i]]))="Peat soil", Table14[[#This Row],[year t]]&lt;=Table14[[#This Row],[End_PDT]]), "Peat soil", "Non-peat soil")</f>
        <v>Non-peat soil</v>
      </c>
      <c r="AS144">
        <f>IF(Emission_reduction_from_stock_loss?, INDEX(Table2[[#All],[End_PDT]], MATCH(Table14[[#This Row],[stratum i]], Table2[[#All],[stratum i]])), crediting_period)</f>
        <v>40</v>
      </c>
      <c r="AT144">
        <f>IF(Emission_reduction_from_stock_loss?, INDEX(Table2[[#All],[End_SDT]], MATCH(Table14[[#This Row],[stratum i]], Table2[[#All],[stratum i]])), crediting_period)</f>
        <v>40</v>
      </c>
      <c r="AU144" cm="1">
        <f t="array" ref="AU14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4" t="e" cm="1">
        <f t="array" ref="AV144">INDEX(#REF!, MATCH(1, (Table14[[#This Row],[year t]]=Table32[[#All],[year t]])*(Table14[[#This Row],[stratum i]]=Table32[[#All],[stratum i]]), 0))</f>
        <v>#REF!</v>
      </c>
      <c r="AW14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4" s="57">
        <f>(Table14[[#This Row],[GHGBSL-soil-CO2,i,t (Eq 27)]]-Table14[[#This Row],[Deductionalloch (Eq 38)]])*Table14[[#This Row],[Ai,t]]</f>
        <v>0</v>
      </c>
      <c r="AY144" cm="1">
        <f t="array" ref="AY144">IF(baseline_soil_CH4 = "Included", INDEX(Table18[[#All],[GHGBSL-soil-CH4,i,t (Eq 59)]], MATCH(1, (Table14[[#This Row],[year t]]=Table18[[#All],[year t]])*(Table14[[#This Row],[stratum i]]=Table18[[#All],[stratum i]]), 0)), 0)</f>
        <v>0</v>
      </c>
      <c r="AZ144" cm="1">
        <f t="array" ref="AZ144">IF(baseline_soil_N2O = "Included", INDEX(Table18[[#All],[GHGBSL-soil-N2O,i,t (Eq 62)]], MATCH(1, (Table14[[#This Row],[year t]]=Table18[[#All],[year t]])*(Table14[[#This Row],[stratum i]]=Table18[[#All],[stratum i]]), 0)), 0)</f>
        <v>0</v>
      </c>
      <c r="BA144">
        <f>IF(AND(Table14[[#This Row],[year t]]&gt;Table14[[#This Row],[End_PDT]],Table14[[#This Row],[year t]]&gt;Table14[[#This Row],[End_SDT]]), 0, Table14[[#This Row],[Ai,t]]*(Table14[[#This Row],[GHGBSL-soil-CO2,i,t (Eq 27)]]-Table14[[#This Row],[Deductionalloch (Eq 38)]]+Table14[[#This Row],[GHGBSL-soil-CH4,i,t]]+Table14[[#This Row],[GHGBSL-soil-N2O,i,t]]))</f>
        <v>0</v>
      </c>
      <c r="BB144" t="e" cm="1">
        <f t="array" ref="BB144">INDEX(#REF!, MATCH(1, (Table14[[#This Row],[year t]]=Table32[[#All],[year t]])*(Table14[[#This Row],[stratum i]]=Table32[[#All],[stratum i]]), 0))</f>
        <v>#REF!</v>
      </c>
      <c r="BC144" t="e" cm="1">
        <f t="array" ref="BC144">INDEX(#REF!, MATCH(1, (Table14[[#This Row],[year t]]=Table32[[#All],[year t]])*(Table14[[#This Row],[stratum i]]=Table32[[#All],[stratum i]]), 0))</f>
        <v>#REF!</v>
      </c>
      <c r="BD144" t="e" cm="1">
        <f t="array" ref="BD144">INDEX(#REF!, MATCH(1, (Table14[[#This Row],[year t]]=Table32[[#All],[year t]])*(Table14[[#This Row],[stratum i]]=Table32[[#All],[stratum i]]), 0))</f>
        <v>#REF!</v>
      </c>
      <c r="BE144" t="e" cm="1">
        <f t="array" ref="BE144">INDEX(#REF!, MATCH(1, (Table14[[#This Row],[year t]]=Table32[[#All],[year t]])*(Table14[[#This Row],[stratum i]]=Table32[[#All],[stratum i]]), 0))</f>
        <v>#REF!</v>
      </c>
      <c r="BF144" s="30"/>
      <c r="BM144" s="18">
        <v>2047</v>
      </c>
      <c r="BN144">
        <v>4</v>
      </c>
      <c r="BO144" t="e" cm="1">
        <f t="array" ref="BO144">INDEX(#REF!, MATCH(1, (Table132926[[#This Row],[year t]]=Table32[year t])*(Table132926[[#This Row],[stratum i]]=Table32[[#All],[stratum i]]), 0))</f>
        <v>#REF!</v>
      </c>
      <c r="BP144" t="e">
        <f>-44/12*Table132926[[#This Row],[∆CBSL-soil,i,t (tC/ha)]]</f>
        <v>#REF!</v>
      </c>
    </row>
    <row r="145" spans="10:68" x14ac:dyDescent="0.2">
      <c r="J145" s="18">
        <v>2048</v>
      </c>
      <c r="K145">
        <v>4</v>
      </c>
      <c r="L145" cm="1">
        <f t="array" ref="L145">INDEX(Table32[[#All],[ΔCTREE_BSL,i,t (AR Tool 14) t C/yr]], MATCH(1, (Table12[[#This Row],[year t]]=Table32[[#All],[year t]])*(Table12[[#This Row],[stratum i]]=Table32[[#All],[stratum i]]), 0))</f>
        <v>0</v>
      </c>
      <c r="M145" cm="1">
        <f t="array" ref="M145">IF(baseline_abground_nontree = "Included", INDEX(#REF!, MATCH(1, (Table12[[#This Row],[year t]]=Table32[[#All],[year t]])*(Table12[[#This Row],[stratum i]]=Table32[[#All],[stratum i]]), 0)), 0)</f>
        <v>0</v>
      </c>
      <c r="N145">
        <f>12/44*(Table12[[#This Row],[ΔCTREE_BSL,i,t (AR Tool 14) t CO2e/yr]]+Table12[[#This Row],[ΔCSHRUB_BSL,i,t (AR Tool 14) t CO2e/yr]])</f>
        <v>0</v>
      </c>
      <c r="O145" cm="1">
        <f t="array" ref="O145">IF(baseline_abground_nontree = "Included", IFERROR(INDEX(Table13[[#All],[ΔCBSL-herb,i,t (Eq 25)]], MATCH(1, (Table12[[#This Row],[stratum i]]=Table13[[#All],[stratum i]])*(Table12[[#This Row],[year t]]&gt;=#REF!)*(Table12[[#This Row],[year t]]&lt;=Table13[[#All],[year t]]), 0)), 0), 0)</f>
        <v>0</v>
      </c>
      <c r="P145">
        <f>Table12[[#This Row],[ΔCBSL-tree/shrub,i,t (t C/yr) (Eq 24)]]+Table12[[#This Row],[ΔCBSL-herb,i,t (t C/yr)]]-Table12[[#This Row],[ΔCBSL-agbiomass,i,t; t C yr-1 (submergence)]]</f>
        <v>0</v>
      </c>
      <c r="Q145" cm="1">
        <f t="array" ref="Q145">IFERROR(INDEX(Table14[[#All],[GHGBSL-soil,i,t (Eq 26)]], MATCH(1, (Table12[[#This Row],[year t]]=Table14[[#All],[year t]])*(Table12[[#This Row],[stratum i]]=Table14[[#All],[stratum i]]), 0)), 0)</f>
        <v>0</v>
      </c>
      <c r="R145">
        <f>IF(baseline_ff_CO2 = "Included", Table12[[#This Row],[ET(FC,I,t) AR-Tool 5]], 0)</f>
        <v>0</v>
      </c>
      <c r="S145" t="e" cm="1">
        <f t="array" ref="S145">INDEX(#REF!, MATCH(1, (Table12[[#This Row],[year t]]=Table32[[#All],[year t]])*(Table12[[#This Row],[stratum i]]=Table32[[#All],[stratum i]]), 0))</f>
        <v>#REF!</v>
      </c>
      <c r="T145" cm="1">
        <f t="array" ref="T145">IFERROR(INDEX(Table30[[#All],[ΔCBSL-agbiomass,i,t (equation 22) t C yr-1]], MATCH(1, (Table12[[#This Row],[stratum i]]=Table30[[#All],[Stratum i]])*(Table12[[#This Row],[year t]]&lt;Table30[[#All],[Year of reporting]]), 0)), 0)</f>
        <v>0</v>
      </c>
      <c r="AG145" s="18">
        <v>2048</v>
      </c>
      <c r="AH145">
        <v>4</v>
      </c>
      <c r="AI145" s="49" t="e" cm="1">
        <f t="array" ref="AI145">INDEX(#REF!, MATCH(1, (Table13[[#This Row],[year t]]=Table32[[#All],[year t]])*(Table13[[#This Row],[stratum i]]=Table32[[#All],[stratum i]]), 0))</f>
        <v>#REF!</v>
      </c>
      <c r="AJ145" s="49" t="e">
        <f>Table13[[#This Row],[ΔCBSL-herb,i,t (tC/ha)]]</f>
        <v>#REF!</v>
      </c>
      <c r="AO145" s="18">
        <v>2048</v>
      </c>
      <c r="AP145">
        <v>4</v>
      </c>
      <c r="AQ145" s="18" cm="1">
        <f t="array" ref="AQ145">INDEX(Table32[[#All],[Ai,t]], MATCH(1, (Table14[[#This Row],[year t]]=Table32[[#All],[year t]])*(Table14[[#This Row],[stratum i]]=Table32[[#All],[stratum i]]), 0))</f>
        <v>1227.7635314285715</v>
      </c>
      <c r="AR145" t="str">
        <f>IF(AND(INDEX(Table31[[#All],[Soil type (t=0)]], MATCH(Table14[[#This Row],[stratum i]], Table31[[#All],[Stratum i]]))="Peat soil", Table14[[#This Row],[year t]]&lt;=Table14[[#This Row],[End_PDT]]), "Peat soil", "Non-peat soil")</f>
        <v>Non-peat soil</v>
      </c>
      <c r="AS145">
        <f>IF(Emission_reduction_from_stock_loss?, INDEX(Table2[[#All],[End_PDT]], MATCH(Table14[[#This Row],[stratum i]], Table2[[#All],[stratum i]])), crediting_period)</f>
        <v>40</v>
      </c>
      <c r="AT145">
        <f>IF(Emission_reduction_from_stock_loss?, INDEX(Table2[[#All],[End_SDT]], MATCH(Table14[[#This Row],[stratum i]], Table2[[#All],[stratum i]])), crediting_period)</f>
        <v>40</v>
      </c>
      <c r="AU145" cm="1">
        <f t="array" ref="AU14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5" t="e" cm="1">
        <f t="array" ref="AV145">INDEX(#REF!, MATCH(1, (Table14[[#This Row],[year t]]=Table32[[#All],[year t]])*(Table14[[#This Row],[stratum i]]=Table32[[#All],[stratum i]]), 0))</f>
        <v>#REF!</v>
      </c>
      <c r="AW14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5" s="57">
        <f>(Table14[[#This Row],[GHGBSL-soil-CO2,i,t (Eq 27)]]-Table14[[#This Row],[Deductionalloch (Eq 38)]])*Table14[[#This Row],[Ai,t]]</f>
        <v>0</v>
      </c>
      <c r="AY145" cm="1">
        <f t="array" ref="AY145">IF(baseline_soil_CH4 = "Included", INDEX(Table18[[#All],[GHGBSL-soil-CH4,i,t (Eq 59)]], MATCH(1, (Table14[[#This Row],[year t]]=Table18[[#All],[year t]])*(Table14[[#This Row],[stratum i]]=Table18[[#All],[stratum i]]), 0)), 0)</f>
        <v>0</v>
      </c>
      <c r="AZ145" cm="1">
        <f t="array" ref="AZ145">IF(baseline_soil_N2O = "Included", INDEX(Table18[[#All],[GHGBSL-soil-N2O,i,t (Eq 62)]], MATCH(1, (Table14[[#This Row],[year t]]=Table18[[#All],[year t]])*(Table14[[#This Row],[stratum i]]=Table18[[#All],[stratum i]]), 0)), 0)</f>
        <v>0</v>
      </c>
      <c r="BA145">
        <f>IF(AND(Table14[[#This Row],[year t]]&gt;Table14[[#This Row],[End_PDT]],Table14[[#This Row],[year t]]&gt;Table14[[#This Row],[End_SDT]]), 0, Table14[[#This Row],[Ai,t]]*(Table14[[#This Row],[GHGBSL-soil-CO2,i,t (Eq 27)]]-Table14[[#This Row],[Deductionalloch (Eq 38)]]+Table14[[#This Row],[GHGBSL-soil-CH4,i,t]]+Table14[[#This Row],[GHGBSL-soil-N2O,i,t]]))</f>
        <v>0</v>
      </c>
      <c r="BB145" t="e" cm="1">
        <f t="array" ref="BB145">INDEX(#REF!, MATCH(1, (Table14[[#This Row],[year t]]=Table32[[#All],[year t]])*(Table14[[#This Row],[stratum i]]=Table32[[#All],[stratum i]]), 0))</f>
        <v>#REF!</v>
      </c>
      <c r="BC145" t="e" cm="1">
        <f t="array" ref="BC145">INDEX(#REF!, MATCH(1, (Table14[[#This Row],[year t]]=Table32[[#All],[year t]])*(Table14[[#This Row],[stratum i]]=Table32[[#All],[stratum i]]), 0))</f>
        <v>#REF!</v>
      </c>
      <c r="BD145" t="e" cm="1">
        <f t="array" ref="BD145">INDEX(#REF!, MATCH(1, (Table14[[#This Row],[year t]]=Table32[[#All],[year t]])*(Table14[[#This Row],[stratum i]]=Table32[[#All],[stratum i]]), 0))</f>
        <v>#REF!</v>
      </c>
      <c r="BE145" t="e" cm="1">
        <f t="array" ref="BE145">INDEX(#REF!, MATCH(1, (Table14[[#This Row],[year t]]=Table32[[#All],[year t]])*(Table14[[#This Row],[stratum i]]=Table32[[#All],[stratum i]]), 0))</f>
        <v>#REF!</v>
      </c>
      <c r="BF145" s="30"/>
      <c r="BM145" s="18">
        <v>2048</v>
      </c>
      <c r="BN145">
        <v>4</v>
      </c>
      <c r="BO145" t="e" cm="1">
        <f t="array" ref="BO145">INDEX(#REF!, MATCH(1, (Table132926[[#This Row],[year t]]=Table32[year t])*(Table132926[[#This Row],[stratum i]]=Table32[[#All],[stratum i]]), 0))</f>
        <v>#REF!</v>
      </c>
      <c r="BP145" t="e">
        <f>-44/12*Table132926[[#This Row],[∆CBSL-soil,i,t (tC/ha)]]</f>
        <v>#REF!</v>
      </c>
    </row>
    <row r="146" spans="10:68" x14ac:dyDescent="0.2">
      <c r="J146" s="18">
        <v>2049</v>
      </c>
      <c r="K146">
        <v>4</v>
      </c>
      <c r="L146" cm="1">
        <f t="array" ref="L146">INDEX(Table32[[#All],[ΔCTREE_BSL,i,t (AR Tool 14) t C/yr]], MATCH(1, (Table12[[#This Row],[year t]]=Table32[[#All],[year t]])*(Table12[[#This Row],[stratum i]]=Table32[[#All],[stratum i]]), 0))</f>
        <v>0</v>
      </c>
      <c r="M146" cm="1">
        <f t="array" ref="M146">IF(baseline_abground_nontree = "Included", INDEX(#REF!, MATCH(1, (Table12[[#This Row],[year t]]=Table32[[#All],[year t]])*(Table12[[#This Row],[stratum i]]=Table32[[#All],[stratum i]]), 0)), 0)</f>
        <v>0</v>
      </c>
      <c r="N146">
        <f>12/44*(Table12[[#This Row],[ΔCTREE_BSL,i,t (AR Tool 14) t CO2e/yr]]+Table12[[#This Row],[ΔCSHRUB_BSL,i,t (AR Tool 14) t CO2e/yr]])</f>
        <v>0</v>
      </c>
      <c r="O146" cm="1">
        <f t="array" ref="O146">IF(baseline_abground_nontree = "Included", IFERROR(INDEX(Table13[[#All],[ΔCBSL-herb,i,t (Eq 25)]], MATCH(1, (Table12[[#This Row],[stratum i]]=Table13[[#All],[stratum i]])*(Table12[[#This Row],[year t]]&gt;=#REF!)*(Table12[[#This Row],[year t]]&lt;=Table13[[#All],[year t]]), 0)), 0), 0)</f>
        <v>0</v>
      </c>
      <c r="P146">
        <f>Table12[[#This Row],[ΔCBSL-tree/shrub,i,t (t C/yr) (Eq 24)]]+Table12[[#This Row],[ΔCBSL-herb,i,t (t C/yr)]]-Table12[[#This Row],[ΔCBSL-agbiomass,i,t; t C yr-1 (submergence)]]</f>
        <v>0</v>
      </c>
      <c r="Q146" cm="1">
        <f t="array" ref="Q146">IFERROR(INDEX(Table14[[#All],[GHGBSL-soil,i,t (Eq 26)]], MATCH(1, (Table12[[#This Row],[year t]]=Table14[[#All],[year t]])*(Table12[[#This Row],[stratum i]]=Table14[[#All],[stratum i]]), 0)), 0)</f>
        <v>0</v>
      </c>
      <c r="R146">
        <f>IF(baseline_ff_CO2 = "Included", Table12[[#This Row],[ET(FC,I,t) AR-Tool 5]], 0)</f>
        <v>0</v>
      </c>
      <c r="S146" t="e" cm="1">
        <f t="array" ref="S146">INDEX(#REF!, MATCH(1, (Table12[[#This Row],[year t]]=Table32[[#All],[year t]])*(Table12[[#This Row],[stratum i]]=Table32[[#All],[stratum i]]), 0))</f>
        <v>#REF!</v>
      </c>
      <c r="T146" cm="1">
        <f t="array" ref="T146">IFERROR(INDEX(Table30[[#All],[ΔCBSL-agbiomass,i,t (equation 22) t C yr-1]], MATCH(1, (Table12[[#This Row],[stratum i]]=Table30[[#All],[Stratum i]])*(Table12[[#This Row],[year t]]&lt;Table30[[#All],[Year of reporting]]), 0)), 0)</f>
        <v>0</v>
      </c>
      <c r="AG146" s="18">
        <v>2049</v>
      </c>
      <c r="AH146">
        <v>4</v>
      </c>
      <c r="AI146" s="49" t="e" cm="1">
        <f t="array" ref="AI146">INDEX(#REF!, MATCH(1, (Table13[[#This Row],[year t]]=Table32[[#All],[year t]])*(Table13[[#This Row],[stratum i]]=Table32[[#All],[stratum i]]), 0))</f>
        <v>#REF!</v>
      </c>
      <c r="AJ146" s="49" t="e">
        <f>Table13[[#This Row],[ΔCBSL-herb,i,t (tC/ha)]]</f>
        <v>#REF!</v>
      </c>
      <c r="AO146" s="18">
        <v>2049</v>
      </c>
      <c r="AP146">
        <v>4</v>
      </c>
      <c r="AQ146" s="18" cm="1">
        <f t="array" ref="AQ146">INDEX(Table32[[#All],[Ai,t]], MATCH(1, (Table14[[#This Row],[year t]]=Table32[[#All],[year t]])*(Table14[[#This Row],[stratum i]]=Table32[[#All],[stratum i]]), 0))</f>
        <v>1227.7635314285715</v>
      </c>
      <c r="AR146" t="str">
        <f>IF(AND(INDEX(Table31[[#All],[Soil type (t=0)]], MATCH(Table14[[#This Row],[stratum i]], Table31[[#All],[Stratum i]]))="Peat soil", Table14[[#This Row],[year t]]&lt;=Table14[[#This Row],[End_PDT]]), "Peat soil", "Non-peat soil")</f>
        <v>Non-peat soil</v>
      </c>
      <c r="AS146">
        <f>IF(Emission_reduction_from_stock_loss?, INDEX(Table2[[#All],[End_PDT]], MATCH(Table14[[#This Row],[stratum i]], Table2[[#All],[stratum i]])), crediting_period)</f>
        <v>40</v>
      </c>
      <c r="AT146">
        <f>IF(Emission_reduction_from_stock_loss?, INDEX(Table2[[#All],[End_SDT]], MATCH(Table14[[#This Row],[stratum i]], Table2[[#All],[stratum i]])), crediting_period)</f>
        <v>40</v>
      </c>
      <c r="AU146" cm="1">
        <f t="array" ref="AU14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6" t="e" cm="1">
        <f t="array" ref="AV146">INDEX(#REF!, MATCH(1, (Table14[[#This Row],[year t]]=Table32[[#All],[year t]])*(Table14[[#This Row],[stratum i]]=Table32[[#All],[stratum i]]), 0))</f>
        <v>#REF!</v>
      </c>
      <c r="AW14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6" s="57">
        <f>(Table14[[#This Row],[GHGBSL-soil-CO2,i,t (Eq 27)]]-Table14[[#This Row],[Deductionalloch (Eq 38)]])*Table14[[#This Row],[Ai,t]]</f>
        <v>0</v>
      </c>
      <c r="AY146" cm="1">
        <f t="array" ref="AY146">IF(baseline_soil_CH4 = "Included", INDEX(Table18[[#All],[GHGBSL-soil-CH4,i,t (Eq 59)]], MATCH(1, (Table14[[#This Row],[year t]]=Table18[[#All],[year t]])*(Table14[[#This Row],[stratum i]]=Table18[[#All],[stratum i]]), 0)), 0)</f>
        <v>0</v>
      </c>
      <c r="AZ146" cm="1">
        <f t="array" ref="AZ146">IF(baseline_soil_N2O = "Included", INDEX(Table18[[#All],[GHGBSL-soil-N2O,i,t (Eq 62)]], MATCH(1, (Table14[[#This Row],[year t]]=Table18[[#All],[year t]])*(Table14[[#This Row],[stratum i]]=Table18[[#All],[stratum i]]), 0)), 0)</f>
        <v>0</v>
      </c>
      <c r="BA146">
        <f>IF(AND(Table14[[#This Row],[year t]]&gt;Table14[[#This Row],[End_PDT]],Table14[[#This Row],[year t]]&gt;Table14[[#This Row],[End_SDT]]), 0, Table14[[#This Row],[Ai,t]]*(Table14[[#This Row],[GHGBSL-soil-CO2,i,t (Eq 27)]]-Table14[[#This Row],[Deductionalloch (Eq 38)]]+Table14[[#This Row],[GHGBSL-soil-CH4,i,t]]+Table14[[#This Row],[GHGBSL-soil-N2O,i,t]]))</f>
        <v>0</v>
      </c>
      <c r="BB146" t="e" cm="1">
        <f t="array" ref="BB146">INDEX(#REF!, MATCH(1, (Table14[[#This Row],[year t]]=Table32[[#All],[year t]])*(Table14[[#This Row],[stratum i]]=Table32[[#All],[stratum i]]), 0))</f>
        <v>#REF!</v>
      </c>
      <c r="BC146" t="e" cm="1">
        <f t="array" ref="BC146">INDEX(#REF!, MATCH(1, (Table14[[#This Row],[year t]]=Table32[[#All],[year t]])*(Table14[[#This Row],[stratum i]]=Table32[[#All],[stratum i]]), 0))</f>
        <v>#REF!</v>
      </c>
      <c r="BD146" t="e" cm="1">
        <f t="array" ref="BD146">INDEX(#REF!, MATCH(1, (Table14[[#This Row],[year t]]=Table32[[#All],[year t]])*(Table14[[#This Row],[stratum i]]=Table32[[#All],[stratum i]]), 0))</f>
        <v>#REF!</v>
      </c>
      <c r="BE146" t="e" cm="1">
        <f t="array" ref="BE146">INDEX(#REF!, MATCH(1, (Table14[[#This Row],[year t]]=Table32[[#All],[year t]])*(Table14[[#This Row],[stratum i]]=Table32[[#All],[stratum i]]), 0))</f>
        <v>#REF!</v>
      </c>
      <c r="BF146" s="30"/>
      <c r="BM146" s="18">
        <v>2049</v>
      </c>
      <c r="BN146">
        <v>4</v>
      </c>
      <c r="BO146" t="e" cm="1">
        <f t="array" ref="BO146">INDEX(#REF!, MATCH(1, (Table132926[[#This Row],[year t]]=Table32[year t])*(Table132926[[#This Row],[stratum i]]=Table32[[#All],[stratum i]]), 0))</f>
        <v>#REF!</v>
      </c>
      <c r="BP146" t="e">
        <f>-44/12*Table132926[[#This Row],[∆CBSL-soil,i,t (tC/ha)]]</f>
        <v>#REF!</v>
      </c>
    </row>
    <row r="147" spans="10:68" x14ac:dyDescent="0.2">
      <c r="J147" s="18">
        <v>2050</v>
      </c>
      <c r="K147">
        <v>4</v>
      </c>
      <c r="L147" cm="1">
        <f t="array" ref="L147">INDEX(Table32[[#All],[ΔCTREE_BSL,i,t (AR Tool 14) t C/yr]], MATCH(1, (Table12[[#This Row],[year t]]=Table32[[#All],[year t]])*(Table12[[#This Row],[stratum i]]=Table32[[#All],[stratum i]]), 0))</f>
        <v>0</v>
      </c>
      <c r="M147" cm="1">
        <f t="array" ref="M147">IF(baseline_abground_nontree = "Included", INDEX(#REF!, MATCH(1, (Table12[[#This Row],[year t]]=Table32[[#All],[year t]])*(Table12[[#This Row],[stratum i]]=Table32[[#All],[stratum i]]), 0)), 0)</f>
        <v>0</v>
      </c>
      <c r="N147">
        <f>12/44*(Table12[[#This Row],[ΔCTREE_BSL,i,t (AR Tool 14) t CO2e/yr]]+Table12[[#This Row],[ΔCSHRUB_BSL,i,t (AR Tool 14) t CO2e/yr]])</f>
        <v>0</v>
      </c>
      <c r="O147" cm="1">
        <f t="array" ref="O147">IF(baseline_abground_nontree = "Included", IFERROR(INDEX(Table13[[#All],[ΔCBSL-herb,i,t (Eq 25)]], MATCH(1, (Table12[[#This Row],[stratum i]]=Table13[[#All],[stratum i]])*(Table12[[#This Row],[year t]]&gt;=#REF!)*(Table12[[#This Row],[year t]]&lt;=Table13[[#All],[year t]]), 0)), 0), 0)</f>
        <v>0</v>
      </c>
      <c r="P147">
        <f>Table12[[#This Row],[ΔCBSL-tree/shrub,i,t (t C/yr) (Eq 24)]]+Table12[[#This Row],[ΔCBSL-herb,i,t (t C/yr)]]-Table12[[#This Row],[ΔCBSL-agbiomass,i,t; t C yr-1 (submergence)]]</f>
        <v>0</v>
      </c>
      <c r="Q147" cm="1">
        <f t="array" ref="Q147">IFERROR(INDEX(Table14[[#All],[GHGBSL-soil,i,t (Eq 26)]], MATCH(1, (Table12[[#This Row],[year t]]=Table14[[#All],[year t]])*(Table12[[#This Row],[stratum i]]=Table14[[#All],[stratum i]]), 0)), 0)</f>
        <v>0</v>
      </c>
      <c r="R147">
        <f>IF(baseline_ff_CO2 = "Included", Table12[[#This Row],[ET(FC,I,t) AR-Tool 5]], 0)</f>
        <v>0</v>
      </c>
      <c r="S147" t="e" cm="1">
        <f t="array" ref="S147">INDEX(#REF!, MATCH(1, (Table12[[#This Row],[year t]]=Table32[[#All],[year t]])*(Table12[[#This Row],[stratum i]]=Table32[[#All],[stratum i]]), 0))</f>
        <v>#REF!</v>
      </c>
      <c r="T147" cm="1">
        <f t="array" ref="T147">IFERROR(INDEX(Table30[[#All],[ΔCBSL-agbiomass,i,t (equation 22) t C yr-1]], MATCH(1, (Table12[[#This Row],[stratum i]]=Table30[[#All],[Stratum i]])*(Table12[[#This Row],[year t]]&lt;Table30[[#All],[Year of reporting]]), 0)), 0)</f>
        <v>0</v>
      </c>
      <c r="AG147" s="18">
        <v>2050</v>
      </c>
      <c r="AH147">
        <v>4</v>
      </c>
      <c r="AI147" s="49" t="e" cm="1">
        <f t="array" ref="AI147">INDEX(#REF!, MATCH(1, (Table13[[#This Row],[year t]]=Table32[[#All],[year t]])*(Table13[[#This Row],[stratum i]]=Table32[[#All],[stratum i]]), 0))</f>
        <v>#REF!</v>
      </c>
      <c r="AJ147" s="49" t="e">
        <f>Table13[[#This Row],[ΔCBSL-herb,i,t (tC/ha)]]</f>
        <v>#REF!</v>
      </c>
      <c r="AO147" s="18">
        <v>2050</v>
      </c>
      <c r="AP147">
        <v>4</v>
      </c>
      <c r="AQ147" s="18" cm="1">
        <f t="array" ref="AQ147">INDEX(Table32[[#All],[Ai,t]], MATCH(1, (Table14[[#This Row],[year t]]=Table32[[#All],[year t]])*(Table14[[#This Row],[stratum i]]=Table32[[#All],[stratum i]]), 0))</f>
        <v>1227.7635314285715</v>
      </c>
      <c r="AR147" t="str">
        <f>IF(AND(INDEX(Table31[[#All],[Soil type (t=0)]], MATCH(Table14[[#This Row],[stratum i]], Table31[[#All],[Stratum i]]))="Peat soil", Table14[[#This Row],[year t]]&lt;=Table14[[#This Row],[End_PDT]]), "Peat soil", "Non-peat soil")</f>
        <v>Non-peat soil</v>
      </c>
      <c r="AS147">
        <f>IF(Emission_reduction_from_stock_loss?, INDEX(Table2[[#All],[End_PDT]], MATCH(Table14[[#This Row],[stratum i]], Table2[[#All],[stratum i]])), crediting_period)</f>
        <v>40</v>
      </c>
      <c r="AT147">
        <f>IF(Emission_reduction_from_stock_loss?, INDEX(Table2[[#All],[End_SDT]], MATCH(Table14[[#This Row],[stratum i]], Table2[[#All],[stratum i]])), crediting_period)</f>
        <v>40</v>
      </c>
      <c r="AU147" cm="1">
        <f t="array" ref="AU14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7" t="e" cm="1">
        <f t="array" ref="AV147">INDEX(#REF!, MATCH(1, (Table14[[#This Row],[year t]]=Table32[[#All],[year t]])*(Table14[[#This Row],[stratum i]]=Table32[[#All],[stratum i]]), 0))</f>
        <v>#REF!</v>
      </c>
      <c r="AW14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7" s="57">
        <f>(Table14[[#This Row],[GHGBSL-soil-CO2,i,t (Eq 27)]]-Table14[[#This Row],[Deductionalloch (Eq 38)]])*Table14[[#This Row],[Ai,t]]</f>
        <v>0</v>
      </c>
      <c r="AY147" cm="1">
        <f t="array" ref="AY147">IF(baseline_soil_CH4 = "Included", INDEX(Table18[[#All],[GHGBSL-soil-CH4,i,t (Eq 59)]], MATCH(1, (Table14[[#This Row],[year t]]=Table18[[#All],[year t]])*(Table14[[#This Row],[stratum i]]=Table18[[#All],[stratum i]]), 0)), 0)</f>
        <v>0</v>
      </c>
      <c r="AZ147" cm="1">
        <f t="array" ref="AZ147">IF(baseline_soil_N2O = "Included", INDEX(Table18[[#All],[GHGBSL-soil-N2O,i,t (Eq 62)]], MATCH(1, (Table14[[#This Row],[year t]]=Table18[[#All],[year t]])*(Table14[[#This Row],[stratum i]]=Table18[[#All],[stratum i]]), 0)), 0)</f>
        <v>0</v>
      </c>
      <c r="BA147">
        <f>IF(AND(Table14[[#This Row],[year t]]&gt;Table14[[#This Row],[End_PDT]],Table14[[#This Row],[year t]]&gt;Table14[[#This Row],[End_SDT]]), 0, Table14[[#This Row],[Ai,t]]*(Table14[[#This Row],[GHGBSL-soil-CO2,i,t (Eq 27)]]-Table14[[#This Row],[Deductionalloch (Eq 38)]]+Table14[[#This Row],[GHGBSL-soil-CH4,i,t]]+Table14[[#This Row],[GHGBSL-soil-N2O,i,t]]))</f>
        <v>0</v>
      </c>
      <c r="BB147" t="e" cm="1">
        <f t="array" ref="BB147">INDEX(#REF!, MATCH(1, (Table14[[#This Row],[year t]]=Table32[[#All],[year t]])*(Table14[[#This Row],[stratum i]]=Table32[[#All],[stratum i]]), 0))</f>
        <v>#REF!</v>
      </c>
      <c r="BC147" t="e" cm="1">
        <f t="array" ref="BC147">INDEX(#REF!, MATCH(1, (Table14[[#This Row],[year t]]=Table32[[#All],[year t]])*(Table14[[#This Row],[stratum i]]=Table32[[#All],[stratum i]]), 0))</f>
        <v>#REF!</v>
      </c>
      <c r="BD147" t="e" cm="1">
        <f t="array" ref="BD147">INDEX(#REF!, MATCH(1, (Table14[[#This Row],[year t]]=Table32[[#All],[year t]])*(Table14[[#This Row],[stratum i]]=Table32[[#All],[stratum i]]), 0))</f>
        <v>#REF!</v>
      </c>
      <c r="BE147" t="e" cm="1">
        <f t="array" ref="BE147">INDEX(#REF!, MATCH(1, (Table14[[#This Row],[year t]]=Table32[[#All],[year t]])*(Table14[[#This Row],[stratum i]]=Table32[[#All],[stratum i]]), 0))</f>
        <v>#REF!</v>
      </c>
      <c r="BF147" s="30"/>
      <c r="BM147" s="18">
        <v>2050</v>
      </c>
      <c r="BN147">
        <v>4</v>
      </c>
      <c r="BO147" t="e" cm="1">
        <f t="array" ref="BO147">INDEX(#REF!, MATCH(1, (Table132926[[#This Row],[year t]]=Table32[year t])*(Table132926[[#This Row],[stratum i]]=Table32[[#All],[stratum i]]), 0))</f>
        <v>#REF!</v>
      </c>
      <c r="BP147" t="e">
        <f>-44/12*Table132926[[#This Row],[∆CBSL-soil,i,t (tC/ha)]]</f>
        <v>#REF!</v>
      </c>
    </row>
    <row r="148" spans="10:68" x14ac:dyDescent="0.2">
      <c r="J148" s="18">
        <v>2051</v>
      </c>
      <c r="K148">
        <v>4</v>
      </c>
      <c r="L148" cm="1">
        <f t="array" ref="L148">INDEX(Table32[[#All],[ΔCTREE_BSL,i,t (AR Tool 14) t C/yr]], MATCH(1, (Table12[[#This Row],[year t]]=Table32[[#All],[year t]])*(Table12[[#This Row],[stratum i]]=Table32[[#All],[stratum i]]), 0))</f>
        <v>0</v>
      </c>
      <c r="M148" cm="1">
        <f t="array" ref="M148">IF(baseline_abground_nontree = "Included", INDEX(#REF!, MATCH(1, (Table12[[#This Row],[year t]]=Table32[[#All],[year t]])*(Table12[[#This Row],[stratum i]]=Table32[[#All],[stratum i]]), 0)), 0)</f>
        <v>0</v>
      </c>
      <c r="N148">
        <f>12/44*(Table12[[#This Row],[ΔCTREE_BSL,i,t (AR Tool 14) t CO2e/yr]]+Table12[[#This Row],[ΔCSHRUB_BSL,i,t (AR Tool 14) t CO2e/yr]])</f>
        <v>0</v>
      </c>
      <c r="O148" cm="1">
        <f t="array" ref="O148">IF(baseline_abground_nontree = "Included", IFERROR(INDEX(Table13[[#All],[ΔCBSL-herb,i,t (Eq 25)]], MATCH(1, (Table12[[#This Row],[stratum i]]=Table13[[#All],[stratum i]])*(Table12[[#This Row],[year t]]&gt;=#REF!)*(Table12[[#This Row],[year t]]&lt;=Table13[[#All],[year t]]), 0)), 0), 0)</f>
        <v>0</v>
      </c>
      <c r="P148">
        <f>Table12[[#This Row],[ΔCBSL-tree/shrub,i,t (t C/yr) (Eq 24)]]+Table12[[#This Row],[ΔCBSL-herb,i,t (t C/yr)]]-Table12[[#This Row],[ΔCBSL-agbiomass,i,t; t C yr-1 (submergence)]]</f>
        <v>0</v>
      </c>
      <c r="Q148" cm="1">
        <f t="array" ref="Q148">IFERROR(INDEX(Table14[[#All],[GHGBSL-soil,i,t (Eq 26)]], MATCH(1, (Table12[[#This Row],[year t]]=Table14[[#All],[year t]])*(Table12[[#This Row],[stratum i]]=Table14[[#All],[stratum i]]), 0)), 0)</f>
        <v>0</v>
      </c>
      <c r="R148">
        <f>IF(baseline_ff_CO2 = "Included", Table12[[#This Row],[ET(FC,I,t) AR-Tool 5]], 0)</f>
        <v>0</v>
      </c>
      <c r="S148" t="e" cm="1">
        <f t="array" ref="S148">INDEX(#REF!, MATCH(1, (Table12[[#This Row],[year t]]=Table32[[#All],[year t]])*(Table12[[#This Row],[stratum i]]=Table32[[#All],[stratum i]]), 0))</f>
        <v>#REF!</v>
      </c>
      <c r="T148" cm="1">
        <f t="array" ref="T148">IFERROR(INDEX(Table30[[#All],[ΔCBSL-agbiomass,i,t (equation 22) t C yr-1]], MATCH(1, (Table12[[#This Row],[stratum i]]=Table30[[#All],[Stratum i]])*(Table12[[#This Row],[year t]]&lt;Table30[[#All],[Year of reporting]]), 0)), 0)</f>
        <v>0</v>
      </c>
      <c r="AG148" s="18">
        <v>2051</v>
      </c>
      <c r="AH148">
        <v>4</v>
      </c>
      <c r="AI148" s="49" t="e" cm="1">
        <f t="array" ref="AI148">INDEX(#REF!, MATCH(1, (Table13[[#This Row],[year t]]=Table32[[#All],[year t]])*(Table13[[#This Row],[stratum i]]=Table32[[#All],[stratum i]]), 0))</f>
        <v>#REF!</v>
      </c>
      <c r="AJ148" s="49" t="e">
        <f>Table13[[#This Row],[ΔCBSL-herb,i,t (tC/ha)]]</f>
        <v>#REF!</v>
      </c>
      <c r="AO148" s="18">
        <v>2051</v>
      </c>
      <c r="AP148">
        <v>4</v>
      </c>
      <c r="AQ148" s="18" cm="1">
        <f t="array" ref="AQ148">INDEX(Table32[[#All],[Ai,t]], MATCH(1, (Table14[[#This Row],[year t]]=Table32[[#All],[year t]])*(Table14[[#This Row],[stratum i]]=Table32[[#All],[stratum i]]), 0))</f>
        <v>1227.7635314285715</v>
      </c>
      <c r="AR148" t="str">
        <f>IF(AND(INDEX(Table31[[#All],[Soil type (t=0)]], MATCH(Table14[[#This Row],[stratum i]], Table31[[#All],[Stratum i]]))="Peat soil", Table14[[#This Row],[year t]]&lt;=Table14[[#This Row],[End_PDT]]), "Peat soil", "Non-peat soil")</f>
        <v>Non-peat soil</v>
      </c>
      <c r="AS148">
        <f>IF(Emission_reduction_from_stock_loss?, INDEX(Table2[[#All],[End_PDT]], MATCH(Table14[[#This Row],[stratum i]], Table2[[#All],[stratum i]])), crediting_period)</f>
        <v>40</v>
      </c>
      <c r="AT148">
        <f>IF(Emission_reduction_from_stock_loss?, INDEX(Table2[[#All],[End_SDT]], MATCH(Table14[[#This Row],[stratum i]], Table2[[#All],[stratum i]])), crediting_period)</f>
        <v>40</v>
      </c>
      <c r="AU148" cm="1">
        <f t="array" ref="AU14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8" t="e" cm="1">
        <f t="array" ref="AV148">INDEX(#REF!, MATCH(1, (Table14[[#This Row],[year t]]=Table32[[#All],[year t]])*(Table14[[#This Row],[stratum i]]=Table32[[#All],[stratum i]]), 0))</f>
        <v>#REF!</v>
      </c>
      <c r="AW14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8" s="57">
        <f>(Table14[[#This Row],[GHGBSL-soil-CO2,i,t (Eq 27)]]-Table14[[#This Row],[Deductionalloch (Eq 38)]])*Table14[[#This Row],[Ai,t]]</f>
        <v>0</v>
      </c>
      <c r="AY148" cm="1">
        <f t="array" ref="AY148">IF(baseline_soil_CH4 = "Included", INDEX(Table18[[#All],[GHGBSL-soil-CH4,i,t (Eq 59)]], MATCH(1, (Table14[[#This Row],[year t]]=Table18[[#All],[year t]])*(Table14[[#This Row],[stratum i]]=Table18[[#All],[stratum i]]), 0)), 0)</f>
        <v>0</v>
      </c>
      <c r="AZ148" cm="1">
        <f t="array" ref="AZ148">IF(baseline_soil_N2O = "Included", INDEX(Table18[[#All],[GHGBSL-soil-N2O,i,t (Eq 62)]], MATCH(1, (Table14[[#This Row],[year t]]=Table18[[#All],[year t]])*(Table14[[#This Row],[stratum i]]=Table18[[#All],[stratum i]]), 0)), 0)</f>
        <v>0</v>
      </c>
      <c r="BA148">
        <f>IF(AND(Table14[[#This Row],[year t]]&gt;Table14[[#This Row],[End_PDT]],Table14[[#This Row],[year t]]&gt;Table14[[#This Row],[End_SDT]]), 0, Table14[[#This Row],[Ai,t]]*(Table14[[#This Row],[GHGBSL-soil-CO2,i,t (Eq 27)]]-Table14[[#This Row],[Deductionalloch (Eq 38)]]+Table14[[#This Row],[GHGBSL-soil-CH4,i,t]]+Table14[[#This Row],[GHGBSL-soil-N2O,i,t]]))</f>
        <v>0</v>
      </c>
      <c r="BB148" t="e" cm="1">
        <f t="array" ref="BB148">INDEX(#REF!, MATCH(1, (Table14[[#This Row],[year t]]=Table32[[#All],[year t]])*(Table14[[#This Row],[stratum i]]=Table32[[#All],[stratum i]]), 0))</f>
        <v>#REF!</v>
      </c>
      <c r="BC148" t="e" cm="1">
        <f t="array" ref="BC148">INDEX(#REF!, MATCH(1, (Table14[[#This Row],[year t]]=Table32[[#All],[year t]])*(Table14[[#This Row],[stratum i]]=Table32[[#All],[stratum i]]), 0))</f>
        <v>#REF!</v>
      </c>
      <c r="BD148" t="e" cm="1">
        <f t="array" ref="BD148">INDEX(#REF!, MATCH(1, (Table14[[#This Row],[year t]]=Table32[[#All],[year t]])*(Table14[[#This Row],[stratum i]]=Table32[[#All],[stratum i]]), 0))</f>
        <v>#REF!</v>
      </c>
      <c r="BE148" t="e" cm="1">
        <f t="array" ref="BE148">INDEX(#REF!, MATCH(1, (Table14[[#This Row],[year t]]=Table32[[#All],[year t]])*(Table14[[#This Row],[stratum i]]=Table32[[#All],[stratum i]]), 0))</f>
        <v>#REF!</v>
      </c>
      <c r="BF148" s="30"/>
      <c r="BM148" s="18">
        <v>2051</v>
      </c>
      <c r="BN148">
        <v>4</v>
      </c>
      <c r="BO148" t="e" cm="1">
        <f t="array" ref="BO148">INDEX(#REF!, MATCH(1, (Table132926[[#This Row],[year t]]=Table32[year t])*(Table132926[[#This Row],[stratum i]]=Table32[[#All],[stratum i]]), 0))</f>
        <v>#REF!</v>
      </c>
      <c r="BP148" t="e">
        <f>-44/12*Table132926[[#This Row],[∆CBSL-soil,i,t (tC/ha)]]</f>
        <v>#REF!</v>
      </c>
    </row>
    <row r="149" spans="10:68" x14ac:dyDescent="0.2">
      <c r="J149" s="18">
        <v>2052</v>
      </c>
      <c r="K149">
        <v>4</v>
      </c>
      <c r="L149" cm="1">
        <f t="array" ref="L149">INDEX(Table32[[#All],[ΔCTREE_BSL,i,t (AR Tool 14) t C/yr]], MATCH(1, (Table12[[#This Row],[year t]]=Table32[[#All],[year t]])*(Table12[[#This Row],[stratum i]]=Table32[[#All],[stratum i]]), 0))</f>
        <v>0</v>
      </c>
      <c r="M149" cm="1">
        <f t="array" ref="M149">IF(baseline_abground_nontree = "Included", INDEX(#REF!, MATCH(1, (Table12[[#This Row],[year t]]=Table32[[#All],[year t]])*(Table12[[#This Row],[stratum i]]=Table32[[#All],[stratum i]]), 0)), 0)</f>
        <v>0</v>
      </c>
      <c r="N149">
        <f>12/44*(Table12[[#This Row],[ΔCTREE_BSL,i,t (AR Tool 14) t CO2e/yr]]+Table12[[#This Row],[ΔCSHRUB_BSL,i,t (AR Tool 14) t CO2e/yr]])</f>
        <v>0</v>
      </c>
      <c r="O149" cm="1">
        <f t="array" ref="O149">IF(baseline_abground_nontree = "Included", IFERROR(INDEX(Table13[[#All],[ΔCBSL-herb,i,t (Eq 25)]], MATCH(1, (Table12[[#This Row],[stratum i]]=Table13[[#All],[stratum i]])*(Table12[[#This Row],[year t]]&gt;=#REF!)*(Table12[[#This Row],[year t]]&lt;=Table13[[#All],[year t]]), 0)), 0), 0)</f>
        <v>0</v>
      </c>
      <c r="P149">
        <f>Table12[[#This Row],[ΔCBSL-tree/shrub,i,t (t C/yr) (Eq 24)]]+Table12[[#This Row],[ΔCBSL-herb,i,t (t C/yr)]]-Table12[[#This Row],[ΔCBSL-agbiomass,i,t; t C yr-1 (submergence)]]</f>
        <v>0</v>
      </c>
      <c r="Q149" cm="1">
        <f t="array" ref="Q149">IFERROR(INDEX(Table14[[#All],[GHGBSL-soil,i,t (Eq 26)]], MATCH(1, (Table12[[#This Row],[year t]]=Table14[[#All],[year t]])*(Table12[[#This Row],[stratum i]]=Table14[[#All],[stratum i]]), 0)), 0)</f>
        <v>0</v>
      </c>
      <c r="R149">
        <f>IF(baseline_ff_CO2 = "Included", Table12[[#This Row],[ET(FC,I,t) AR-Tool 5]], 0)</f>
        <v>0</v>
      </c>
      <c r="S149" t="e" cm="1">
        <f t="array" ref="S149">INDEX(#REF!, MATCH(1, (Table12[[#This Row],[year t]]=Table32[[#All],[year t]])*(Table12[[#This Row],[stratum i]]=Table32[[#All],[stratum i]]), 0))</f>
        <v>#REF!</v>
      </c>
      <c r="T149" cm="1">
        <f t="array" ref="T149">IFERROR(INDEX(Table30[[#All],[ΔCBSL-agbiomass,i,t (equation 22) t C yr-1]], MATCH(1, (Table12[[#This Row],[stratum i]]=Table30[[#All],[Stratum i]])*(Table12[[#This Row],[year t]]&lt;Table30[[#All],[Year of reporting]]), 0)), 0)</f>
        <v>0</v>
      </c>
      <c r="AG149" s="18">
        <v>2052</v>
      </c>
      <c r="AH149">
        <v>4</v>
      </c>
      <c r="AI149" s="49" t="e" cm="1">
        <f t="array" ref="AI149">INDEX(#REF!, MATCH(1, (Table13[[#This Row],[year t]]=Table32[[#All],[year t]])*(Table13[[#This Row],[stratum i]]=Table32[[#All],[stratum i]]), 0))</f>
        <v>#REF!</v>
      </c>
      <c r="AJ149" s="49" t="e">
        <f>Table13[[#This Row],[ΔCBSL-herb,i,t (tC/ha)]]</f>
        <v>#REF!</v>
      </c>
      <c r="AO149" s="18">
        <v>2052</v>
      </c>
      <c r="AP149">
        <v>4</v>
      </c>
      <c r="AQ149" s="18" cm="1">
        <f t="array" ref="AQ149">INDEX(Table32[[#All],[Ai,t]], MATCH(1, (Table14[[#This Row],[year t]]=Table32[[#All],[year t]])*(Table14[[#This Row],[stratum i]]=Table32[[#All],[stratum i]]), 0))</f>
        <v>1227.7635314285715</v>
      </c>
      <c r="AR149" t="str">
        <f>IF(AND(INDEX(Table31[[#All],[Soil type (t=0)]], MATCH(Table14[[#This Row],[stratum i]], Table31[[#All],[Stratum i]]))="Peat soil", Table14[[#This Row],[year t]]&lt;=Table14[[#This Row],[End_PDT]]), "Peat soil", "Non-peat soil")</f>
        <v>Non-peat soil</v>
      </c>
      <c r="AS149">
        <f>IF(Emission_reduction_from_stock_loss?, INDEX(Table2[[#All],[End_PDT]], MATCH(Table14[[#This Row],[stratum i]], Table2[[#All],[stratum i]])), crediting_period)</f>
        <v>40</v>
      </c>
      <c r="AT149">
        <f>IF(Emission_reduction_from_stock_loss?, INDEX(Table2[[#All],[End_SDT]], MATCH(Table14[[#This Row],[stratum i]], Table2[[#All],[stratum i]])), crediting_period)</f>
        <v>40</v>
      </c>
      <c r="AU149" cm="1">
        <f t="array" ref="AU149">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49" t="e" cm="1">
        <f t="array" ref="AV149">INDEX(#REF!, MATCH(1, (Table14[[#This Row],[year t]]=Table32[[#All],[year t]])*(Table14[[#This Row],[stratum i]]=Table32[[#All],[stratum i]]), 0))</f>
        <v>#REF!</v>
      </c>
      <c r="AW149">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49" s="57">
        <f>(Table14[[#This Row],[GHGBSL-soil-CO2,i,t (Eq 27)]]-Table14[[#This Row],[Deductionalloch (Eq 38)]])*Table14[[#This Row],[Ai,t]]</f>
        <v>0</v>
      </c>
      <c r="AY149" cm="1">
        <f t="array" ref="AY149">IF(baseline_soil_CH4 = "Included", INDEX(Table18[[#All],[GHGBSL-soil-CH4,i,t (Eq 59)]], MATCH(1, (Table14[[#This Row],[year t]]=Table18[[#All],[year t]])*(Table14[[#This Row],[stratum i]]=Table18[[#All],[stratum i]]), 0)), 0)</f>
        <v>0</v>
      </c>
      <c r="AZ149" cm="1">
        <f t="array" ref="AZ149">IF(baseline_soil_N2O = "Included", INDEX(Table18[[#All],[GHGBSL-soil-N2O,i,t (Eq 62)]], MATCH(1, (Table14[[#This Row],[year t]]=Table18[[#All],[year t]])*(Table14[[#This Row],[stratum i]]=Table18[[#All],[stratum i]]), 0)), 0)</f>
        <v>0</v>
      </c>
      <c r="BA149">
        <f>IF(AND(Table14[[#This Row],[year t]]&gt;Table14[[#This Row],[End_PDT]],Table14[[#This Row],[year t]]&gt;Table14[[#This Row],[End_SDT]]), 0, Table14[[#This Row],[Ai,t]]*(Table14[[#This Row],[GHGBSL-soil-CO2,i,t (Eq 27)]]-Table14[[#This Row],[Deductionalloch (Eq 38)]]+Table14[[#This Row],[GHGBSL-soil-CH4,i,t]]+Table14[[#This Row],[GHGBSL-soil-N2O,i,t]]))</f>
        <v>0</v>
      </c>
      <c r="BB149" t="e" cm="1">
        <f t="array" ref="BB149">INDEX(#REF!, MATCH(1, (Table14[[#This Row],[year t]]=Table32[[#All],[year t]])*(Table14[[#This Row],[stratum i]]=Table32[[#All],[stratum i]]), 0))</f>
        <v>#REF!</v>
      </c>
      <c r="BC149" t="e" cm="1">
        <f t="array" ref="BC149">INDEX(#REF!, MATCH(1, (Table14[[#This Row],[year t]]=Table32[[#All],[year t]])*(Table14[[#This Row],[stratum i]]=Table32[[#All],[stratum i]]), 0))</f>
        <v>#REF!</v>
      </c>
      <c r="BD149" t="e" cm="1">
        <f t="array" ref="BD149">INDEX(#REF!, MATCH(1, (Table14[[#This Row],[year t]]=Table32[[#All],[year t]])*(Table14[[#This Row],[stratum i]]=Table32[[#All],[stratum i]]), 0))</f>
        <v>#REF!</v>
      </c>
      <c r="BE149" t="e" cm="1">
        <f t="array" ref="BE149">INDEX(#REF!, MATCH(1, (Table14[[#This Row],[year t]]=Table32[[#All],[year t]])*(Table14[[#This Row],[stratum i]]=Table32[[#All],[stratum i]]), 0))</f>
        <v>#REF!</v>
      </c>
      <c r="BF149" s="30"/>
      <c r="BM149" s="18">
        <v>2052</v>
      </c>
      <c r="BN149">
        <v>4</v>
      </c>
      <c r="BO149" t="e" cm="1">
        <f t="array" ref="BO149">INDEX(#REF!, MATCH(1, (Table132926[[#This Row],[year t]]=Table32[year t])*(Table132926[[#This Row],[stratum i]]=Table32[[#All],[stratum i]]), 0))</f>
        <v>#REF!</v>
      </c>
      <c r="BP149" t="e">
        <f>-44/12*Table132926[[#This Row],[∆CBSL-soil,i,t (tC/ha)]]</f>
        <v>#REF!</v>
      </c>
    </row>
    <row r="150" spans="10:68" x14ac:dyDescent="0.2">
      <c r="J150" s="18">
        <v>2053</v>
      </c>
      <c r="K150">
        <v>4</v>
      </c>
      <c r="L150" cm="1">
        <f t="array" ref="L150">INDEX(Table32[[#All],[ΔCTREE_BSL,i,t (AR Tool 14) t C/yr]], MATCH(1, (Table12[[#This Row],[year t]]=Table32[[#All],[year t]])*(Table12[[#This Row],[stratum i]]=Table32[[#All],[stratum i]]), 0))</f>
        <v>0</v>
      </c>
      <c r="M150" cm="1">
        <f t="array" ref="M150">IF(baseline_abground_nontree = "Included", INDEX(#REF!, MATCH(1, (Table12[[#This Row],[year t]]=Table32[[#All],[year t]])*(Table12[[#This Row],[stratum i]]=Table32[[#All],[stratum i]]), 0)), 0)</f>
        <v>0</v>
      </c>
      <c r="N150">
        <f>12/44*(Table12[[#This Row],[ΔCTREE_BSL,i,t (AR Tool 14) t CO2e/yr]]+Table12[[#This Row],[ΔCSHRUB_BSL,i,t (AR Tool 14) t CO2e/yr]])</f>
        <v>0</v>
      </c>
      <c r="O150" cm="1">
        <f t="array" ref="O150">IF(baseline_abground_nontree = "Included", IFERROR(INDEX(Table13[[#All],[ΔCBSL-herb,i,t (Eq 25)]], MATCH(1, (Table12[[#This Row],[stratum i]]=Table13[[#All],[stratum i]])*(Table12[[#This Row],[year t]]&gt;=#REF!)*(Table12[[#This Row],[year t]]&lt;=Table13[[#All],[year t]]), 0)), 0), 0)</f>
        <v>0</v>
      </c>
      <c r="P150">
        <f>Table12[[#This Row],[ΔCBSL-tree/shrub,i,t (t C/yr) (Eq 24)]]+Table12[[#This Row],[ΔCBSL-herb,i,t (t C/yr)]]-Table12[[#This Row],[ΔCBSL-agbiomass,i,t; t C yr-1 (submergence)]]</f>
        <v>0</v>
      </c>
      <c r="Q150" cm="1">
        <f t="array" ref="Q150">IFERROR(INDEX(Table14[[#All],[GHGBSL-soil,i,t (Eq 26)]], MATCH(1, (Table12[[#This Row],[year t]]=Table14[[#All],[year t]])*(Table12[[#This Row],[stratum i]]=Table14[[#All],[stratum i]]), 0)), 0)</f>
        <v>0</v>
      </c>
      <c r="R150">
        <f>IF(baseline_ff_CO2 = "Included", Table12[[#This Row],[ET(FC,I,t) AR-Tool 5]], 0)</f>
        <v>0</v>
      </c>
      <c r="S150" t="e" cm="1">
        <f t="array" ref="S150">INDEX(#REF!, MATCH(1, (Table12[[#This Row],[year t]]=Table32[[#All],[year t]])*(Table12[[#This Row],[stratum i]]=Table32[[#All],[stratum i]]), 0))</f>
        <v>#REF!</v>
      </c>
      <c r="T150" cm="1">
        <f t="array" ref="T150">IFERROR(INDEX(Table30[[#All],[ΔCBSL-agbiomass,i,t (equation 22) t C yr-1]], MATCH(1, (Table12[[#This Row],[stratum i]]=Table30[[#All],[Stratum i]])*(Table12[[#This Row],[year t]]&lt;Table30[[#All],[Year of reporting]]), 0)), 0)</f>
        <v>0</v>
      </c>
      <c r="AG150" s="18">
        <v>2053</v>
      </c>
      <c r="AH150">
        <v>4</v>
      </c>
      <c r="AI150" s="49" t="e" cm="1">
        <f t="array" ref="AI150">INDEX(#REF!, MATCH(1, (Table13[[#This Row],[year t]]=Table32[[#All],[year t]])*(Table13[[#This Row],[stratum i]]=Table32[[#All],[stratum i]]), 0))</f>
        <v>#REF!</v>
      </c>
      <c r="AJ150" s="49" t="e">
        <f>Table13[[#This Row],[ΔCBSL-herb,i,t (tC/ha)]]</f>
        <v>#REF!</v>
      </c>
      <c r="AO150" s="18">
        <v>2053</v>
      </c>
      <c r="AP150">
        <v>4</v>
      </c>
      <c r="AQ150" s="18" cm="1">
        <f t="array" ref="AQ150">INDEX(Table32[[#All],[Ai,t]], MATCH(1, (Table14[[#This Row],[year t]]=Table32[[#All],[year t]])*(Table14[[#This Row],[stratum i]]=Table32[[#All],[stratum i]]), 0))</f>
        <v>1227.7635314285715</v>
      </c>
      <c r="AR150" t="str">
        <f>IF(AND(INDEX(Table31[[#All],[Soil type (t=0)]], MATCH(Table14[[#This Row],[stratum i]], Table31[[#All],[Stratum i]]))="Peat soil", Table14[[#This Row],[year t]]&lt;=Table14[[#This Row],[End_PDT]]), "Peat soil", "Non-peat soil")</f>
        <v>Non-peat soil</v>
      </c>
      <c r="AS150">
        <f>IF(Emission_reduction_from_stock_loss?, INDEX(Table2[[#All],[End_PDT]], MATCH(Table14[[#This Row],[stratum i]], Table2[[#All],[stratum i]])), crediting_period)</f>
        <v>40</v>
      </c>
      <c r="AT150">
        <f>IF(Emission_reduction_from_stock_loss?, INDEX(Table2[[#All],[End_SDT]], MATCH(Table14[[#This Row],[stratum i]], Table2[[#All],[stratum i]])), crediting_period)</f>
        <v>40</v>
      </c>
      <c r="AU150" cm="1">
        <f t="array" ref="AU150">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0" t="e" cm="1">
        <f t="array" ref="AV150">INDEX(#REF!, MATCH(1, (Table14[[#This Row],[year t]]=Table32[[#All],[year t]])*(Table14[[#This Row],[stratum i]]=Table32[[#All],[stratum i]]), 0))</f>
        <v>#REF!</v>
      </c>
      <c r="AW150">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0" s="57">
        <f>(Table14[[#This Row],[GHGBSL-soil-CO2,i,t (Eq 27)]]-Table14[[#This Row],[Deductionalloch (Eq 38)]])*Table14[[#This Row],[Ai,t]]</f>
        <v>0</v>
      </c>
      <c r="AY150" cm="1">
        <f t="array" ref="AY150">IF(baseline_soil_CH4 = "Included", INDEX(Table18[[#All],[GHGBSL-soil-CH4,i,t (Eq 59)]], MATCH(1, (Table14[[#This Row],[year t]]=Table18[[#All],[year t]])*(Table14[[#This Row],[stratum i]]=Table18[[#All],[stratum i]]), 0)), 0)</f>
        <v>0</v>
      </c>
      <c r="AZ150" cm="1">
        <f t="array" ref="AZ150">IF(baseline_soil_N2O = "Included", INDEX(Table18[[#All],[GHGBSL-soil-N2O,i,t (Eq 62)]], MATCH(1, (Table14[[#This Row],[year t]]=Table18[[#All],[year t]])*(Table14[[#This Row],[stratum i]]=Table18[[#All],[stratum i]]), 0)), 0)</f>
        <v>0</v>
      </c>
      <c r="BA150">
        <f>IF(AND(Table14[[#This Row],[year t]]&gt;Table14[[#This Row],[End_PDT]],Table14[[#This Row],[year t]]&gt;Table14[[#This Row],[End_SDT]]), 0, Table14[[#This Row],[Ai,t]]*(Table14[[#This Row],[GHGBSL-soil-CO2,i,t (Eq 27)]]-Table14[[#This Row],[Deductionalloch (Eq 38)]]+Table14[[#This Row],[GHGBSL-soil-CH4,i,t]]+Table14[[#This Row],[GHGBSL-soil-N2O,i,t]]))</f>
        <v>0</v>
      </c>
      <c r="BB150" t="e" cm="1">
        <f t="array" ref="BB150">INDEX(#REF!, MATCH(1, (Table14[[#This Row],[year t]]=Table32[[#All],[year t]])*(Table14[[#This Row],[stratum i]]=Table32[[#All],[stratum i]]), 0))</f>
        <v>#REF!</v>
      </c>
      <c r="BC150" t="e" cm="1">
        <f t="array" ref="BC150">INDEX(#REF!, MATCH(1, (Table14[[#This Row],[year t]]=Table32[[#All],[year t]])*(Table14[[#This Row],[stratum i]]=Table32[[#All],[stratum i]]), 0))</f>
        <v>#REF!</v>
      </c>
      <c r="BD150" t="e" cm="1">
        <f t="array" ref="BD150">INDEX(#REF!, MATCH(1, (Table14[[#This Row],[year t]]=Table32[[#All],[year t]])*(Table14[[#This Row],[stratum i]]=Table32[[#All],[stratum i]]), 0))</f>
        <v>#REF!</v>
      </c>
      <c r="BE150" t="e" cm="1">
        <f t="array" ref="BE150">INDEX(#REF!, MATCH(1, (Table14[[#This Row],[year t]]=Table32[[#All],[year t]])*(Table14[[#This Row],[stratum i]]=Table32[[#All],[stratum i]]), 0))</f>
        <v>#REF!</v>
      </c>
      <c r="BF150" s="30"/>
      <c r="BM150" s="18">
        <v>2053</v>
      </c>
      <c r="BN150">
        <v>4</v>
      </c>
      <c r="BO150" t="e" cm="1">
        <f t="array" ref="BO150">INDEX(#REF!, MATCH(1, (Table132926[[#This Row],[year t]]=Table32[year t])*(Table132926[[#This Row],[stratum i]]=Table32[[#All],[stratum i]]), 0))</f>
        <v>#REF!</v>
      </c>
      <c r="BP150" t="e">
        <f>-44/12*Table132926[[#This Row],[∆CBSL-soil,i,t (tC/ha)]]</f>
        <v>#REF!</v>
      </c>
    </row>
    <row r="151" spans="10:68" x14ac:dyDescent="0.2">
      <c r="J151" s="18">
        <v>2054</v>
      </c>
      <c r="K151">
        <v>4</v>
      </c>
      <c r="L151" cm="1">
        <f t="array" ref="L151">INDEX(Table32[[#All],[ΔCTREE_BSL,i,t (AR Tool 14) t C/yr]], MATCH(1, (Table12[[#This Row],[year t]]=Table32[[#All],[year t]])*(Table12[[#This Row],[stratum i]]=Table32[[#All],[stratum i]]), 0))</f>
        <v>0</v>
      </c>
      <c r="M151" cm="1">
        <f t="array" ref="M151">IF(baseline_abground_nontree = "Included", INDEX(#REF!, MATCH(1, (Table12[[#This Row],[year t]]=Table32[[#All],[year t]])*(Table12[[#This Row],[stratum i]]=Table32[[#All],[stratum i]]), 0)), 0)</f>
        <v>0</v>
      </c>
      <c r="N151">
        <f>12/44*(Table12[[#This Row],[ΔCTREE_BSL,i,t (AR Tool 14) t CO2e/yr]]+Table12[[#This Row],[ΔCSHRUB_BSL,i,t (AR Tool 14) t CO2e/yr]])</f>
        <v>0</v>
      </c>
      <c r="O151" cm="1">
        <f t="array" ref="O151">IF(baseline_abground_nontree = "Included", IFERROR(INDEX(Table13[[#All],[ΔCBSL-herb,i,t (Eq 25)]], MATCH(1, (Table12[[#This Row],[stratum i]]=Table13[[#All],[stratum i]])*(Table12[[#This Row],[year t]]&gt;=#REF!)*(Table12[[#This Row],[year t]]&lt;=Table13[[#All],[year t]]), 0)), 0), 0)</f>
        <v>0</v>
      </c>
      <c r="P151">
        <f>Table12[[#This Row],[ΔCBSL-tree/shrub,i,t (t C/yr) (Eq 24)]]+Table12[[#This Row],[ΔCBSL-herb,i,t (t C/yr)]]-Table12[[#This Row],[ΔCBSL-agbiomass,i,t; t C yr-1 (submergence)]]</f>
        <v>0</v>
      </c>
      <c r="Q151" cm="1">
        <f t="array" ref="Q151">IFERROR(INDEX(Table14[[#All],[GHGBSL-soil,i,t (Eq 26)]], MATCH(1, (Table12[[#This Row],[year t]]=Table14[[#All],[year t]])*(Table12[[#This Row],[stratum i]]=Table14[[#All],[stratum i]]), 0)), 0)</f>
        <v>0</v>
      </c>
      <c r="R151">
        <f>IF(baseline_ff_CO2 = "Included", Table12[[#This Row],[ET(FC,I,t) AR-Tool 5]], 0)</f>
        <v>0</v>
      </c>
      <c r="S151" t="e" cm="1">
        <f t="array" ref="S151">INDEX(#REF!, MATCH(1, (Table12[[#This Row],[year t]]=Table32[[#All],[year t]])*(Table12[[#This Row],[stratum i]]=Table32[[#All],[stratum i]]), 0))</f>
        <v>#REF!</v>
      </c>
      <c r="T151" cm="1">
        <f t="array" ref="T151">IFERROR(INDEX(Table30[[#All],[ΔCBSL-agbiomass,i,t (equation 22) t C yr-1]], MATCH(1, (Table12[[#This Row],[stratum i]]=Table30[[#All],[Stratum i]])*(Table12[[#This Row],[year t]]&lt;Table30[[#All],[Year of reporting]]), 0)), 0)</f>
        <v>0</v>
      </c>
      <c r="AG151" s="18">
        <v>2054</v>
      </c>
      <c r="AH151">
        <v>4</v>
      </c>
      <c r="AI151" s="49" t="e" cm="1">
        <f t="array" ref="AI151">INDEX(#REF!, MATCH(1, (Table13[[#This Row],[year t]]=Table32[[#All],[year t]])*(Table13[[#This Row],[stratum i]]=Table32[[#All],[stratum i]]), 0))</f>
        <v>#REF!</v>
      </c>
      <c r="AJ151" s="49" t="e">
        <f>Table13[[#This Row],[ΔCBSL-herb,i,t (tC/ha)]]</f>
        <v>#REF!</v>
      </c>
      <c r="AO151" s="18">
        <v>2054</v>
      </c>
      <c r="AP151">
        <v>4</v>
      </c>
      <c r="AQ151" s="18" cm="1">
        <f t="array" ref="AQ151">INDEX(Table32[[#All],[Ai,t]], MATCH(1, (Table14[[#This Row],[year t]]=Table32[[#All],[year t]])*(Table14[[#This Row],[stratum i]]=Table32[[#All],[stratum i]]), 0))</f>
        <v>1227.7635314285715</v>
      </c>
      <c r="AR151" t="str">
        <f>IF(AND(INDEX(Table31[[#All],[Soil type (t=0)]], MATCH(Table14[[#This Row],[stratum i]], Table31[[#All],[Stratum i]]))="Peat soil", Table14[[#This Row],[year t]]&lt;=Table14[[#This Row],[End_PDT]]), "Peat soil", "Non-peat soil")</f>
        <v>Non-peat soil</v>
      </c>
      <c r="AS151">
        <f>IF(Emission_reduction_from_stock_loss?, INDEX(Table2[[#All],[End_PDT]], MATCH(Table14[[#This Row],[stratum i]], Table2[[#All],[stratum i]])), crediting_period)</f>
        <v>40</v>
      </c>
      <c r="AT151">
        <f>IF(Emission_reduction_from_stock_loss?, INDEX(Table2[[#All],[End_SDT]], MATCH(Table14[[#This Row],[stratum i]], Table2[[#All],[stratum i]])), crediting_period)</f>
        <v>40</v>
      </c>
      <c r="AU151" cm="1">
        <f t="array" ref="AU151">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1" t="e" cm="1">
        <f t="array" ref="AV151">INDEX(#REF!, MATCH(1, (Table14[[#This Row],[year t]]=Table32[[#All],[year t]])*(Table14[[#This Row],[stratum i]]=Table32[[#All],[stratum i]]), 0))</f>
        <v>#REF!</v>
      </c>
      <c r="AW151">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1" s="57">
        <f>(Table14[[#This Row],[GHGBSL-soil-CO2,i,t (Eq 27)]]-Table14[[#This Row],[Deductionalloch (Eq 38)]])*Table14[[#This Row],[Ai,t]]</f>
        <v>0</v>
      </c>
      <c r="AY151" cm="1">
        <f t="array" ref="AY151">IF(baseline_soil_CH4 = "Included", INDEX(Table18[[#All],[GHGBSL-soil-CH4,i,t (Eq 59)]], MATCH(1, (Table14[[#This Row],[year t]]=Table18[[#All],[year t]])*(Table14[[#This Row],[stratum i]]=Table18[[#All],[stratum i]]), 0)), 0)</f>
        <v>0</v>
      </c>
      <c r="AZ151" cm="1">
        <f t="array" ref="AZ151">IF(baseline_soil_N2O = "Included", INDEX(Table18[[#All],[GHGBSL-soil-N2O,i,t (Eq 62)]], MATCH(1, (Table14[[#This Row],[year t]]=Table18[[#All],[year t]])*(Table14[[#This Row],[stratum i]]=Table18[[#All],[stratum i]]), 0)), 0)</f>
        <v>0</v>
      </c>
      <c r="BA151">
        <f>IF(AND(Table14[[#This Row],[year t]]&gt;Table14[[#This Row],[End_PDT]],Table14[[#This Row],[year t]]&gt;Table14[[#This Row],[End_SDT]]), 0, Table14[[#This Row],[Ai,t]]*(Table14[[#This Row],[GHGBSL-soil-CO2,i,t (Eq 27)]]-Table14[[#This Row],[Deductionalloch (Eq 38)]]+Table14[[#This Row],[GHGBSL-soil-CH4,i,t]]+Table14[[#This Row],[GHGBSL-soil-N2O,i,t]]))</f>
        <v>0</v>
      </c>
      <c r="BB151" t="e" cm="1">
        <f t="array" ref="BB151">INDEX(#REF!, MATCH(1, (Table14[[#This Row],[year t]]=Table32[[#All],[year t]])*(Table14[[#This Row],[stratum i]]=Table32[[#All],[stratum i]]), 0))</f>
        <v>#REF!</v>
      </c>
      <c r="BC151" t="e" cm="1">
        <f t="array" ref="BC151">INDEX(#REF!, MATCH(1, (Table14[[#This Row],[year t]]=Table32[[#All],[year t]])*(Table14[[#This Row],[stratum i]]=Table32[[#All],[stratum i]]), 0))</f>
        <v>#REF!</v>
      </c>
      <c r="BD151" t="e" cm="1">
        <f t="array" ref="BD151">INDEX(#REF!, MATCH(1, (Table14[[#This Row],[year t]]=Table32[[#All],[year t]])*(Table14[[#This Row],[stratum i]]=Table32[[#All],[stratum i]]), 0))</f>
        <v>#REF!</v>
      </c>
      <c r="BE151" t="e" cm="1">
        <f t="array" ref="BE151">INDEX(#REF!, MATCH(1, (Table14[[#This Row],[year t]]=Table32[[#All],[year t]])*(Table14[[#This Row],[stratum i]]=Table32[[#All],[stratum i]]), 0))</f>
        <v>#REF!</v>
      </c>
      <c r="BF151" s="30"/>
      <c r="BM151" s="18">
        <v>2054</v>
      </c>
      <c r="BN151">
        <v>4</v>
      </c>
      <c r="BO151" t="e" cm="1">
        <f t="array" ref="BO151">INDEX(#REF!, MATCH(1, (Table132926[[#This Row],[year t]]=Table32[year t])*(Table132926[[#This Row],[stratum i]]=Table32[[#All],[stratum i]]), 0))</f>
        <v>#REF!</v>
      </c>
      <c r="BP151" t="e">
        <f>-44/12*Table132926[[#This Row],[∆CBSL-soil,i,t (tC/ha)]]</f>
        <v>#REF!</v>
      </c>
    </row>
    <row r="152" spans="10:68" x14ac:dyDescent="0.2">
      <c r="J152" s="18">
        <v>2055</v>
      </c>
      <c r="K152">
        <v>4</v>
      </c>
      <c r="L152" cm="1">
        <f t="array" ref="L152">INDEX(Table32[[#All],[ΔCTREE_BSL,i,t (AR Tool 14) t C/yr]], MATCH(1, (Table12[[#This Row],[year t]]=Table32[[#All],[year t]])*(Table12[[#This Row],[stratum i]]=Table32[[#All],[stratum i]]), 0))</f>
        <v>0</v>
      </c>
      <c r="M152" cm="1">
        <f t="array" ref="M152">IF(baseline_abground_nontree = "Included", INDEX(#REF!, MATCH(1, (Table12[[#This Row],[year t]]=Table32[[#All],[year t]])*(Table12[[#This Row],[stratum i]]=Table32[[#All],[stratum i]]), 0)), 0)</f>
        <v>0</v>
      </c>
      <c r="N152">
        <f>12/44*(Table12[[#This Row],[ΔCTREE_BSL,i,t (AR Tool 14) t CO2e/yr]]+Table12[[#This Row],[ΔCSHRUB_BSL,i,t (AR Tool 14) t CO2e/yr]])</f>
        <v>0</v>
      </c>
      <c r="O152" cm="1">
        <f t="array" ref="O152">IF(baseline_abground_nontree = "Included", IFERROR(INDEX(Table13[[#All],[ΔCBSL-herb,i,t (Eq 25)]], MATCH(1, (Table12[[#This Row],[stratum i]]=Table13[[#All],[stratum i]])*(Table12[[#This Row],[year t]]&gt;=#REF!)*(Table12[[#This Row],[year t]]&lt;=Table13[[#All],[year t]]), 0)), 0), 0)</f>
        <v>0</v>
      </c>
      <c r="P152">
        <f>Table12[[#This Row],[ΔCBSL-tree/shrub,i,t (t C/yr) (Eq 24)]]+Table12[[#This Row],[ΔCBSL-herb,i,t (t C/yr)]]-Table12[[#This Row],[ΔCBSL-agbiomass,i,t; t C yr-1 (submergence)]]</f>
        <v>0</v>
      </c>
      <c r="Q152" cm="1">
        <f t="array" ref="Q152">IFERROR(INDEX(Table14[[#All],[GHGBSL-soil,i,t (Eq 26)]], MATCH(1, (Table12[[#This Row],[year t]]=Table14[[#All],[year t]])*(Table12[[#This Row],[stratum i]]=Table14[[#All],[stratum i]]), 0)), 0)</f>
        <v>0</v>
      </c>
      <c r="R152">
        <f>IF(baseline_ff_CO2 = "Included", Table12[[#This Row],[ET(FC,I,t) AR-Tool 5]], 0)</f>
        <v>0</v>
      </c>
      <c r="S152" t="e" cm="1">
        <f t="array" ref="S152">INDEX(#REF!, MATCH(1, (Table12[[#This Row],[year t]]=Table32[[#All],[year t]])*(Table12[[#This Row],[stratum i]]=Table32[[#All],[stratum i]]), 0))</f>
        <v>#REF!</v>
      </c>
      <c r="T152" cm="1">
        <f t="array" ref="T152">IFERROR(INDEX(Table30[[#All],[ΔCBSL-agbiomass,i,t (equation 22) t C yr-1]], MATCH(1, (Table12[[#This Row],[stratum i]]=Table30[[#All],[Stratum i]])*(Table12[[#This Row],[year t]]&lt;Table30[[#All],[Year of reporting]]), 0)), 0)</f>
        <v>0</v>
      </c>
      <c r="AG152" s="18">
        <v>2055</v>
      </c>
      <c r="AH152">
        <v>4</v>
      </c>
      <c r="AI152" s="49" t="e" cm="1">
        <f t="array" ref="AI152">INDEX(#REF!, MATCH(1, (Table13[[#This Row],[year t]]=Table32[[#All],[year t]])*(Table13[[#This Row],[stratum i]]=Table32[[#All],[stratum i]]), 0))</f>
        <v>#REF!</v>
      </c>
      <c r="AJ152" s="49" t="e">
        <f>Table13[[#This Row],[ΔCBSL-herb,i,t (tC/ha)]]</f>
        <v>#REF!</v>
      </c>
      <c r="AO152" s="18">
        <v>2055</v>
      </c>
      <c r="AP152">
        <v>4</v>
      </c>
      <c r="AQ152" s="18" cm="1">
        <f t="array" ref="AQ152">INDEX(Table32[[#All],[Ai,t]], MATCH(1, (Table14[[#This Row],[year t]]=Table32[[#All],[year t]])*(Table14[[#This Row],[stratum i]]=Table32[[#All],[stratum i]]), 0))</f>
        <v>1227.7635314285715</v>
      </c>
      <c r="AR152" t="str">
        <f>IF(AND(INDEX(Table31[[#All],[Soil type (t=0)]], MATCH(Table14[[#This Row],[stratum i]], Table31[[#All],[Stratum i]]))="Peat soil", Table14[[#This Row],[year t]]&lt;=Table14[[#This Row],[End_PDT]]), "Peat soil", "Non-peat soil")</f>
        <v>Non-peat soil</v>
      </c>
      <c r="AS152">
        <f>IF(Emission_reduction_from_stock_loss?, INDEX(Table2[[#All],[End_PDT]], MATCH(Table14[[#This Row],[stratum i]], Table2[[#All],[stratum i]])), crediting_period)</f>
        <v>40</v>
      </c>
      <c r="AT152">
        <f>IF(Emission_reduction_from_stock_loss?, INDEX(Table2[[#All],[End_SDT]], MATCH(Table14[[#This Row],[stratum i]], Table2[[#All],[stratum i]])), crediting_period)</f>
        <v>40</v>
      </c>
      <c r="AU152" cm="1">
        <f t="array" ref="AU152">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2" t="e" cm="1">
        <f t="array" ref="AV152">INDEX(#REF!, MATCH(1, (Table14[[#This Row],[year t]]=Table32[[#All],[year t]])*(Table14[[#This Row],[stratum i]]=Table32[[#All],[stratum i]]), 0))</f>
        <v>#REF!</v>
      </c>
      <c r="AW152">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2" s="57">
        <f>(Table14[[#This Row],[GHGBSL-soil-CO2,i,t (Eq 27)]]-Table14[[#This Row],[Deductionalloch (Eq 38)]])*Table14[[#This Row],[Ai,t]]</f>
        <v>0</v>
      </c>
      <c r="AY152" cm="1">
        <f t="array" ref="AY152">IF(baseline_soil_CH4 = "Included", INDEX(Table18[[#All],[GHGBSL-soil-CH4,i,t (Eq 59)]], MATCH(1, (Table14[[#This Row],[year t]]=Table18[[#All],[year t]])*(Table14[[#This Row],[stratum i]]=Table18[[#All],[stratum i]]), 0)), 0)</f>
        <v>0</v>
      </c>
      <c r="AZ152" cm="1">
        <f t="array" ref="AZ152">IF(baseline_soil_N2O = "Included", INDEX(Table18[[#All],[GHGBSL-soil-N2O,i,t (Eq 62)]], MATCH(1, (Table14[[#This Row],[year t]]=Table18[[#All],[year t]])*(Table14[[#This Row],[stratum i]]=Table18[[#All],[stratum i]]), 0)), 0)</f>
        <v>0</v>
      </c>
      <c r="BA152">
        <f>IF(AND(Table14[[#This Row],[year t]]&gt;Table14[[#This Row],[End_PDT]],Table14[[#This Row],[year t]]&gt;Table14[[#This Row],[End_SDT]]), 0, Table14[[#This Row],[Ai,t]]*(Table14[[#This Row],[GHGBSL-soil-CO2,i,t (Eq 27)]]-Table14[[#This Row],[Deductionalloch (Eq 38)]]+Table14[[#This Row],[GHGBSL-soil-CH4,i,t]]+Table14[[#This Row],[GHGBSL-soil-N2O,i,t]]))</f>
        <v>0</v>
      </c>
      <c r="BB152" t="e" cm="1">
        <f t="array" ref="BB152">INDEX(#REF!, MATCH(1, (Table14[[#This Row],[year t]]=Table32[[#All],[year t]])*(Table14[[#This Row],[stratum i]]=Table32[[#All],[stratum i]]), 0))</f>
        <v>#REF!</v>
      </c>
      <c r="BC152" t="e" cm="1">
        <f t="array" ref="BC152">INDEX(#REF!, MATCH(1, (Table14[[#This Row],[year t]]=Table32[[#All],[year t]])*(Table14[[#This Row],[stratum i]]=Table32[[#All],[stratum i]]), 0))</f>
        <v>#REF!</v>
      </c>
      <c r="BD152" t="e" cm="1">
        <f t="array" ref="BD152">INDEX(#REF!, MATCH(1, (Table14[[#This Row],[year t]]=Table32[[#All],[year t]])*(Table14[[#This Row],[stratum i]]=Table32[[#All],[stratum i]]), 0))</f>
        <v>#REF!</v>
      </c>
      <c r="BE152" t="e" cm="1">
        <f t="array" ref="BE152">INDEX(#REF!, MATCH(1, (Table14[[#This Row],[year t]]=Table32[[#All],[year t]])*(Table14[[#This Row],[stratum i]]=Table32[[#All],[stratum i]]), 0))</f>
        <v>#REF!</v>
      </c>
      <c r="BF152" s="30"/>
      <c r="BM152" s="18">
        <v>2055</v>
      </c>
      <c r="BN152">
        <v>4</v>
      </c>
      <c r="BO152" t="e" cm="1">
        <f t="array" ref="BO152">INDEX(#REF!, MATCH(1, (Table132926[[#This Row],[year t]]=Table32[year t])*(Table132926[[#This Row],[stratum i]]=Table32[[#All],[stratum i]]), 0))</f>
        <v>#REF!</v>
      </c>
      <c r="BP152" t="e">
        <f>-44/12*Table132926[[#This Row],[∆CBSL-soil,i,t (tC/ha)]]</f>
        <v>#REF!</v>
      </c>
    </row>
    <row r="153" spans="10:68" x14ac:dyDescent="0.2">
      <c r="J153" s="18">
        <v>2056</v>
      </c>
      <c r="K153">
        <v>4</v>
      </c>
      <c r="L153" cm="1">
        <f t="array" ref="L153">INDEX(Table32[[#All],[ΔCTREE_BSL,i,t (AR Tool 14) t C/yr]], MATCH(1, (Table12[[#This Row],[year t]]=Table32[[#All],[year t]])*(Table12[[#This Row],[stratum i]]=Table32[[#All],[stratum i]]), 0))</f>
        <v>0</v>
      </c>
      <c r="M153" cm="1">
        <f t="array" ref="M153">IF(baseline_abground_nontree = "Included", INDEX(#REF!, MATCH(1, (Table12[[#This Row],[year t]]=Table32[[#All],[year t]])*(Table12[[#This Row],[stratum i]]=Table32[[#All],[stratum i]]), 0)), 0)</f>
        <v>0</v>
      </c>
      <c r="N153">
        <f>12/44*(Table12[[#This Row],[ΔCTREE_BSL,i,t (AR Tool 14) t CO2e/yr]]+Table12[[#This Row],[ΔCSHRUB_BSL,i,t (AR Tool 14) t CO2e/yr]])</f>
        <v>0</v>
      </c>
      <c r="O153" cm="1">
        <f t="array" ref="O153">IF(baseline_abground_nontree = "Included", IFERROR(INDEX(Table13[[#All],[ΔCBSL-herb,i,t (Eq 25)]], MATCH(1, (Table12[[#This Row],[stratum i]]=Table13[[#All],[stratum i]])*(Table12[[#This Row],[year t]]&gt;=#REF!)*(Table12[[#This Row],[year t]]&lt;=Table13[[#All],[year t]]), 0)), 0), 0)</f>
        <v>0</v>
      </c>
      <c r="P153">
        <f>Table12[[#This Row],[ΔCBSL-tree/shrub,i,t (t C/yr) (Eq 24)]]+Table12[[#This Row],[ΔCBSL-herb,i,t (t C/yr)]]-Table12[[#This Row],[ΔCBSL-agbiomass,i,t; t C yr-1 (submergence)]]</f>
        <v>0</v>
      </c>
      <c r="Q153" cm="1">
        <f t="array" ref="Q153">IFERROR(INDEX(Table14[[#All],[GHGBSL-soil,i,t (Eq 26)]], MATCH(1, (Table12[[#This Row],[year t]]=Table14[[#All],[year t]])*(Table12[[#This Row],[stratum i]]=Table14[[#All],[stratum i]]), 0)), 0)</f>
        <v>0</v>
      </c>
      <c r="R153">
        <f>IF(baseline_ff_CO2 = "Included", Table12[[#This Row],[ET(FC,I,t) AR-Tool 5]], 0)</f>
        <v>0</v>
      </c>
      <c r="S153" t="e" cm="1">
        <f t="array" ref="S153">INDEX(#REF!, MATCH(1, (Table12[[#This Row],[year t]]=Table32[[#All],[year t]])*(Table12[[#This Row],[stratum i]]=Table32[[#All],[stratum i]]), 0))</f>
        <v>#REF!</v>
      </c>
      <c r="T153" cm="1">
        <f t="array" ref="T153">IFERROR(INDEX(Table30[[#All],[ΔCBSL-agbiomass,i,t (equation 22) t C yr-1]], MATCH(1, (Table12[[#This Row],[stratum i]]=Table30[[#All],[Stratum i]])*(Table12[[#This Row],[year t]]&lt;Table30[[#All],[Year of reporting]]), 0)), 0)</f>
        <v>0</v>
      </c>
      <c r="AG153" s="18">
        <v>2056</v>
      </c>
      <c r="AH153">
        <v>4</v>
      </c>
      <c r="AI153" s="49" t="e" cm="1">
        <f t="array" ref="AI153">INDEX(#REF!, MATCH(1, (Table13[[#This Row],[year t]]=Table32[[#All],[year t]])*(Table13[[#This Row],[stratum i]]=Table32[[#All],[stratum i]]), 0))</f>
        <v>#REF!</v>
      </c>
      <c r="AJ153" s="49" t="e">
        <f>Table13[[#This Row],[ΔCBSL-herb,i,t (tC/ha)]]</f>
        <v>#REF!</v>
      </c>
      <c r="AO153" s="18">
        <v>2056</v>
      </c>
      <c r="AP153">
        <v>4</v>
      </c>
      <c r="AQ153" s="18" cm="1">
        <f t="array" ref="AQ153">INDEX(Table32[[#All],[Ai,t]], MATCH(1, (Table14[[#This Row],[year t]]=Table32[[#All],[year t]])*(Table14[[#This Row],[stratum i]]=Table32[[#All],[stratum i]]), 0))</f>
        <v>1227.7635314285715</v>
      </c>
      <c r="AR153" t="str">
        <f>IF(AND(INDEX(Table31[[#All],[Soil type (t=0)]], MATCH(Table14[[#This Row],[stratum i]], Table31[[#All],[Stratum i]]))="Peat soil", Table14[[#This Row],[year t]]&lt;=Table14[[#This Row],[End_PDT]]), "Peat soil", "Non-peat soil")</f>
        <v>Non-peat soil</v>
      </c>
      <c r="AS153">
        <f>IF(Emission_reduction_from_stock_loss?, INDEX(Table2[[#All],[End_PDT]], MATCH(Table14[[#This Row],[stratum i]], Table2[[#All],[stratum i]])), crediting_period)</f>
        <v>40</v>
      </c>
      <c r="AT153">
        <f>IF(Emission_reduction_from_stock_loss?, INDEX(Table2[[#All],[End_SDT]], MATCH(Table14[[#This Row],[stratum i]], Table2[[#All],[stratum i]])), crediting_period)</f>
        <v>40</v>
      </c>
      <c r="AU153" cm="1">
        <f t="array" ref="AU153">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3" t="e" cm="1">
        <f t="array" ref="AV153">INDEX(#REF!, MATCH(1, (Table14[[#This Row],[year t]]=Table32[[#All],[year t]])*(Table14[[#This Row],[stratum i]]=Table32[[#All],[stratum i]]), 0))</f>
        <v>#REF!</v>
      </c>
      <c r="AW153">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3" s="57">
        <f>(Table14[[#This Row],[GHGBSL-soil-CO2,i,t (Eq 27)]]-Table14[[#This Row],[Deductionalloch (Eq 38)]])*Table14[[#This Row],[Ai,t]]</f>
        <v>0</v>
      </c>
      <c r="AY153" cm="1">
        <f t="array" ref="AY153">IF(baseline_soil_CH4 = "Included", INDEX(Table18[[#All],[GHGBSL-soil-CH4,i,t (Eq 59)]], MATCH(1, (Table14[[#This Row],[year t]]=Table18[[#All],[year t]])*(Table14[[#This Row],[stratum i]]=Table18[[#All],[stratum i]]), 0)), 0)</f>
        <v>0</v>
      </c>
      <c r="AZ153" cm="1">
        <f t="array" ref="AZ153">IF(baseline_soil_N2O = "Included", INDEX(Table18[[#All],[GHGBSL-soil-N2O,i,t (Eq 62)]], MATCH(1, (Table14[[#This Row],[year t]]=Table18[[#All],[year t]])*(Table14[[#This Row],[stratum i]]=Table18[[#All],[stratum i]]), 0)), 0)</f>
        <v>0</v>
      </c>
      <c r="BA153">
        <f>IF(AND(Table14[[#This Row],[year t]]&gt;Table14[[#This Row],[End_PDT]],Table14[[#This Row],[year t]]&gt;Table14[[#This Row],[End_SDT]]), 0, Table14[[#This Row],[Ai,t]]*(Table14[[#This Row],[GHGBSL-soil-CO2,i,t (Eq 27)]]-Table14[[#This Row],[Deductionalloch (Eq 38)]]+Table14[[#This Row],[GHGBSL-soil-CH4,i,t]]+Table14[[#This Row],[GHGBSL-soil-N2O,i,t]]))</f>
        <v>0</v>
      </c>
      <c r="BB153" t="e" cm="1">
        <f t="array" ref="BB153">INDEX(#REF!, MATCH(1, (Table14[[#This Row],[year t]]=Table32[[#All],[year t]])*(Table14[[#This Row],[stratum i]]=Table32[[#All],[stratum i]]), 0))</f>
        <v>#REF!</v>
      </c>
      <c r="BC153" t="e" cm="1">
        <f t="array" ref="BC153">INDEX(#REF!, MATCH(1, (Table14[[#This Row],[year t]]=Table32[[#All],[year t]])*(Table14[[#This Row],[stratum i]]=Table32[[#All],[stratum i]]), 0))</f>
        <v>#REF!</v>
      </c>
      <c r="BD153" t="e" cm="1">
        <f t="array" ref="BD153">INDEX(#REF!, MATCH(1, (Table14[[#This Row],[year t]]=Table32[[#All],[year t]])*(Table14[[#This Row],[stratum i]]=Table32[[#All],[stratum i]]), 0))</f>
        <v>#REF!</v>
      </c>
      <c r="BE153" t="e" cm="1">
        <f t="array" ref="BE153">INDEX(#REF!, MATCH(1, (Table14[[#This Row],[year t]]=Table32[[#All],[year t]])*(Table14[[#This Row],[stratum i]]=Table32[[#All],[stratum i]]), 0))</f>
        <v>#REF!</v>
      </c>
      <c r="BF153" s="30"/>
      <c r="BM153" s="18">
        <v>2056</v>
      </c>
      <c r="BN153">
        <v>4</v>
      </c>
      <c r="BO153" t="e" cm="1">
        <f t="array" ref="BO153">INDEX(#REF!, MATCH(1, (Table132926[[#This Row],[year t]]=Table32[year t])*(Table132926[[#This Row],[stratum i]]=Table32[[#All],[stratum i]]), 0))</f>
        <v>#REF!</v>
      </c>
      <c r="BP153" t="e">
        <f>-44/12*Table132926[[#This Row],[∆CBSL-soil,i,t (tC/ha)]]</f>
        <v>#REF!</v>
      </c>
    </row>
    <row r="154" spans="10:68" x14ac:dyDescent="0.2">
      <c r="J154" s="18">
        <v>2057</v>
      </c>
      <c r="K154">
        <v>4</v>
      </c>
      <c r="L154" cm="1">
        <f t="array" ref="L154">INDEX(Table32[[#All],[ΔCTREE_BSL,i,t (AR Tool 14) t C/yr]], MATCH(1, (Table12[[#This Row],[year t]]=Table32[[#All],[year t]])*(Table12[[#This Row],[stratum i]]=Table32[[#All],[stratum i]]), 0))</f>
        <v>0</v>
      </c>
      <c r="M154" cm="1">
        <f t="array" ref="M154">IF(baseline_abground_nontree = "Included", INDEX(#REF!, MATCH(1, (Table12[[#This Row],[year t]]=Table32[[#All],[year t]])*(Table12[[#This Row],[stratum i]]=Table32[[#All],[stratum i]]), 0)), 0)</f>
        <v>0</v>
      </c>
      <c r="N154">
        <f>12/44*(Table12[[#This Row],[ΔCTREE_BSL,i,t (AR Tool 14) t CO2e/yr]]+Table12[[#This Row],[ΔCSHRUB_BSL,i,t (AR Tool 14) t CO2e/yr]])</f>
        <v>0</v>
      </c>
      <c r="O154" cm="1">
        <f t="array" ref="O154">IF(baseline_abground_nontree = "Included", IFERROR(INDEX(Table13[[#All],[ΔCBSL-herb,i,t (Eq 25)]], MATCH(1, (Table12[[#This Row],[stratum i]]=Table13[[#All],[stratum i]])*(Table12[[#This Row],[year t]]&gt;=#REF!)*(Table12[[#This Row],[year t]]&lt;=Table13[[#All],[year t]]), 0)), 0), 0)</f>
        <v>0</v>
      </c>
      <c r="P154">
        <f>Table12[[#This Row],[ΔCBSL-tree/shrub,i,t (t C/yr) (Eq 24)]]+Table12[[#This Row],[ΔCBSL-herb,i,t (t C/yr)]]-Table12[[#This Row],[ΔCBSL-agbiomass,i,t; t C yr-1 (submergence)]]</f>
        <v>0</v>
      </c>
      <c r="Q154" cm="1">
        <f t="array" ref="Q154">IFERROR(INDEX(Table14[[#All],[GHGBSL-soil,i,t (Eq 26)]], MATCH(1, (Table12[[#This Row],[year t]]=Table14[[#All],[year t]])*(Table12[[#This Row],[stratum i]]=Table14[[#All],[stratum i]]), 0)), 0)</f>
        <v>0</v>
      </c>
      <c r="R154">
        <f>IF(baseline_ff_CO2 = "Included", Table12[[#This Row],[ET(FC,I,t) AR-Tool 5]], 0)</f>
        <v>0</v>
      </c>
      <c r="S154" t="e" cm="1">
        <f t="array" ref="S154">INDEX(#REF!, MATCH(1, (Table12[[#This Row],[year t]]=Table32[[#All],[year t]])*(Table12[[#This Row],[stratum i]]=Table32[[#All],[stratum i]]), 0))</f>
        <v>#REF!</v>
      </c>
      <c r="T154" cm="1">
        <f t="array" ref="T154">IFERROR(INDEX(Table30[[#All],[ΔCBSL-agbiomass,i,t (equation 22) t C yr-1]], MATCH(1, (Table12[[#This Row],[stratum i]]=Table30[[#All],[Stratum i]])*(Table12[[#This Row],[year t]]&lt;Table30[[#All],[Year of reporting]]), 0)), 0)</f>
        <v>0</v>
      </c>
      <c r="AG154" s="18">
        <v>2057</v>
      </c>
      <c r="AH154">
        <v>4</v>
      </c>
      <c r="AI154" s="49" t="e" cm="1">
        <f t="array" ref="AI154">INDEX(#REF!, MATCH(1, (Table13[[#This Row],[year t]]=Table32[[#All],[year t]])*(Table13[[#This Row],[stratum i]]=Table32[[#All],[stratum i]]), 0))</f>
        <v>#REF!</v>
      </c>
      <c r="AJ154" s="49" t="e">
        <f>Table13[[#This Row],[ΔCBSL-herb,i,t (tC/ha)]]</f>
        <v>#REF!</v>
      </c>
      <c r="AO154" s="18">
        <v>2057</v>
      </c>
      <c r="AP154">
        <v>4</v>
      </c>
      <c r="AQ154" s="18" cm="1">
        <f t="array" ref="AQ154">INDEX(Table32[[#All],[Ai,t]], MATCH(1, (Table14[[#This Row],[year t]]=Table32[[#All],[year t]])*(Table14[[#This Row],[stratum i]]=Table32[[#All],[stratum i]]), 0))</f>
        <v>1227.7635314285715</v>
      </c>
      <c r="AR154" t="str">
        <f>IF(AND(INDEX(Table31[[#All],[Soil type (t=0)]], MATCH(Table14[[#This Row],[stratum i]], Table31[[#All],[Stratum i]]))="Peat soil", Table14[[#This Row],[year t]]&lt;=Table14[[#This Row],[End_PDT]]), "Peat soil", "Non-peat soil")</f>
        <v>Non-peat soil</v>
      </c>
      <c r="AS154">
        <f>IF(Emission_reduction_from_stock_loss?, INDEX(Table2[[#All],[End_PDT]], MATCH(Table14[[#This Row],[stratum i]], Table2[[#All],[stratum i]])), crediting_period)</f>
        <v>40</v>
      </c>
      <c r="AT154">
        <f>IF(Emission_reduction_from_stock_loss?, INDEX(Table2[[#All],[End_SDT]], MATCH(Table14[[#This Row],[stratum i]], Table2[[#All],[stratum i]])), crediting_period)</f>
        <v>40</v>
      </c>
      <c r="AU154" cm="1">
        <f t="array" ref="AU154">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4" t="e" cm="1">
        <f t="array" ref="AV154">INDEX(#REF!, MATCH(1, (Table14[[#This Row],[year t]]=Table32[[#All],[year t]])*(Table14[[#This Row],[stratum i]]=Table32[[#All],[stratum i]]), 0))</f>
        <v>#REF!</v>
      </c>
      <c r="AW154">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4" s="57">
        <f>(Table14[[#This Row],[GHGBSL-soil-CO2,i,t (Eq 27)]]-Table14[[#This Row],[Deductionalloch (Eq 38)]])*Table14[[#This Row],[Ai,t]]</f>
        <v>0</v>
      </c>
      <c r="AY154" cm="1">
        <f t="array" ref="AY154">IF(baseline_soil_CH4 = "Included", INDEX(Table18[[#All],[GHGBSL-soil-CH4,i,t (Eq 59)]], MATCH(1, (Table14[[#This Row],[year t]]=Table18[[#All],[year t]])*(Table14[[#This Row],[stratum i]]=Table18[[#All],[stratum i]]), 0)), 0)</f>
        <v>0</v>
      </c>
      <c r="AZ154" cm="1">
        <f t="array" ref="AZ154">IF(baseline_soil_N2O = "Included", INDEX(Table18[[#All],[GHGBSL-soil-N2O,i,t (Eq 62)]], MATCH(1, (Table14[[#This Row],[year t]]=Table18[[#All],[year t]])*(Table14[[#This Row],[stratum i]]=Table18[[#All],[stratum i]]), 0)), 0)</f>
        <v>0</v>
      </c>
      <c r="BA154">
        <f>IF(AND(Table14[[#This Row],[year t]]&gt;Table14[[#This Row],[End_PDT]],Table14[[#This Row],[year t]]&gt;Table14[[#This Row],[End_SDT]]), 0, Table14[[#This Row],[Ai,t]]*(Table14[[#This Row],[GHGBSL-soil-CO2,i,t (Eq 27)]]-Table14[[#This Row],[Deductionalloch (Eq 38)]]+Table14[[#This Row],[GHGBSL-soil-CH4,i,t]]+Table14[[#This Row],[GHGBSL-soil-N2O,i,t]]))</f>
        <v>0</v>
      </c>
      <c r="BB154" t="e" cm="1">
        <f t="array" ref="BB154">INDEX(#REF!, MATCH(1, (Table14[[#This Row],[year t]]=Table32[[#All],[year t]])*(Table14[[#This Row],[stratum i]]=Table32[[#All],[stratum i]]), 0))</f>
        <v>#REF!</v>
      </c>
      <c r="BC154" t="e" cm="1">
        <f t="array" ref="BC154">INDEX(#REF!, MATCH(1, (Table14[[#This Row],[year t]]=Table32[[#All],[year t]])*(Table14[[#This Row],[stratum i]]=Table32[[#All],[stratum i]]), 0))</f>
        <v>#REF!</v>
      </c>
      <c r="BD154" t="e" cm="1">
        <f t="array" ref="BD154">INDEX(#REF!, MATCH(1, (Table14[[#This Row],[year t]]=Table32[[#All],[year t]])*(Table14[[#This Row],[stratum i]]=Table32[[#All],[stratum i]]), 0))</f>
        <v>#REF!</v>
      </c>
      <c r="BE154" t="e" cm="1">
        <f t="array" ref="BE154">INDEX(#REF!, MATCH(1, (Table14[[#This Row],[year t]]=Table32[[#All],[year t]])*(Table14[[#This Row],[stratum i]]=Table32[[#All],[stratum i]]), 0))</f>
        <v>#REF!</v>
      </c>
      <c r="BF154" s="30"/>
      <c r="BM154" s="18">
        <v>2057</v>
      </c>
      <c r="BN154">
        <v>4</v>
      </c>
      <c r="BO154" t="e" cm="1">
        <f t="array" ref="BO154">INDEX(#REF!, MATCH(1, (Table132926[[#This Row],[year t]]=Table32[year t])*(Table132926[[#This Row],[stratum i]]=Table32[[#All],[stratum i]]), 0))</f>
        <v>#REF!</v>
      </c>
      <c r="BP154" t="e">
        <f>-44/12*Table132926[[#This Row],[∆CBSL-soil,i,t (tC/ha)]]</f>
        <v>#REF!</v>
      </c>
    </row>
    <row r="155" spans="10:68" x14ac:dyDescent="0.2">
      <c r="J155" s="18">
        <v>2058</v>
      </c>
      <c r="K155">
        <v>4</v>
      </c>
      <c r="L155" cm="1">
        <f t="array" ref="L155">INDEX(Table32[[#All],[ΔCTREE_BSL,i,t (AR Tool 14) t C/yr]], MATCH(1, (Table12[[#This Row],[year t]]=Table32[[#All],[year t]])*(Table12[[#This Row],[stratum i]]=Table32[[#All],[stratum i]]), 0))</f>
        <v>0</v>
      </c>
      <c r="M155" cm="1">
        <f t="array" ref="M155">IF(baseline_abground_nontree = "Included", INDEX(#REF!, MATCH(1, (Table12[[#This Row],[year t]]=Table32[[#All],[year t]])*(Table12[[#This Row],[stratum i]]=Table32[[#All],[stratum i]]), 0)), 0)</f>
        <v>0</v>
      </c>
      <c r="N155">
        <f>12/44*(Table12[[#This Row],[ΔCTREE_BSL,i,t (AR Tool 14) t CO2e/yr]]+Table12[[#This Row],[ΔCSHRUB_BSL,i,t (AR Tool 14) t CO2e/yr]])</f>
        <v>0</v>
      </c>
      <c r="O155" cm="1">
        <f t="array" ref="O155">IF(baseline_abground_nontree = "Included", IFERROR(INDEX(Table13[[#All],[ΔCBSL-herb,i,t (Eq 25)]], MATCH(1, (Table12[[#This Row],[stratum i]]=Table13[[#All],[stratum i]])*(Table12[[#This Row],[year t]]&gt;=#REF!)*(Table12[[#This Row],[year t]]&lt;=Table13[[#All],[year t]]), 0)), 0), 0)</f>
        <v>0</v>
      </c>
      <c r="P155">
        <f>Table12[[#This Row],[ΔCBSL-tree/shrub,i,t (t C/yr) (Eq 24)]]+Table12[[#This Row],[ΔCBSL-herb,i,t (t C/yr)]]-Table12[[#This Row],[ΔCBSL-agbiomass,i,t; t C yr-1 (submergence)]]</f>
        <v>0</v>
      </c>
      <c r="Q155" cm="1">
        <f t="array" ref="Q155">IFERROR(INDEX(Table14[[#All],[GHGBSL-soil,i,t (Eq 26)]], MATCH(1, (Table12[[#This Row],[year t]]=Table14[[#All],[year t]])*(Table12[[#This Row],[stratum i]]=Table14[[#All],[stratum i]]), 0)), 0)</f>
        <v>0</v>
      </c>
      <c r="R155">
        <f>IF(baseline_ff_CO2 = "Included", Table12[[#This Row],[ET(FC,I,t) AR-Tool 5]], 0)</f>
        <v>0</v>
      </c>
      <c r="S155" t="e" cm="1">
        <f t="array" ref="S155">INDEX(#REF!, MATCH(1, (Table12[[#This Row],[year t]]=Table32[[#All],[year t]])*(Table12[[#This Row],[stratum i]]=Table32[[#All],[stratum i]]), 0))</f>
        <v>#REF!</v>
      </c>
      <c r="T155" cm="1">
        <f t="array" ref="T155">IFERROR(INDEX(Table30[[#All],[ΔCBSL-agbiomass,i,t (equation 22) t C yr-1]], MATCH(1, (Table12[[#This Row],[stratum i]]=Table30[[#All],[Stratum i]])*(Table12[[#This Row],[year t]]&lt;Table30[[#All],[Year of reporting]]), 0)), 0)</f>
        <v>0</v>
      </c>
      <c r="AG155" s="18">
        <v>2058</v>
      </c>
      <c r="AH155">
        <v>4</v>
      </c>
      <c r="AI155" s="49" t="e" cm="1">
        <f t="array" ref="AI155">INDEX(#REF!, MATCH(1, (Table13[[#This Row],[year t]]=Table32[[#All],[year t]])*(Table13[[#This Row],[stratum i]]=Table32[[#All],[stratum i]]), 0))</f>
        <v>#REF!</v>
      </c>
      <c r="AJ155" s="49" t="e">
        <f>Table13[[#This Row],[ΔCBSL-herb,i,t (tC/ha)]]</f>
        <v>#REF!</v>
      </c>
      <c r="AO155" s="18">
        <v>2058</v>
      </c>
      <c r="AP155">
        <v>4</v>
      </c>
      <c r="AQ155" s="18" cm="1">
        <f t="array" ref="AQ155">INDEX(Table32[[#All],[Ai,t]], MATCH(1, (Table14[[#This Row],[year t]]=Table32[[#All],[year t]])*(Table14[[#This Row],[stratum i]]=Table32[[#All],[stratum i]]), 0))</f>
        <v>1227.7635314285715</v>
      </c>
      <c r="AR155" t="str">
        <f>IF(AND(INDEX(Table31[[#All],[Soil type (t=0)]], MATCH(Table14[[#This Row],[stratum i]], Table31[[#All],[Stratum i]]))="Peat soil", Table14[[#This Row],[year t]]&lt;=Table14[[#This Row],[End_PDT]]), "Peat soil", "Non-peat soil")</f>
        <v>Non-peat soil</v>
      </c>
      <c r="AS155">
        <f>IF(Emission_reduction_from_stock_loss?, INDEX(Table2[[#All],[End_PDT]], MATCH(Table14[[#This Row],[stratum i]], Table2[[#All],[stratum i]])), crediting_period)</f>
        <v>40</v>
      </c>
      <c r="AT155">
        <f>IF(Emission_reduction_from_stock_loss?, INDEX(Table2[[#All],[End_SDT]], MATCH(Table14[[#This Row],[stratum i]], Table2[[#All],[stratum i]])), crediting_period)</f>
        <v>40</v>
      </c>
      <c r="AU155" cm="1">
        <f t="array" ref="AU155">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5" t="e" cm="1">
        <f t="array" ref="AV155">INDEX(#REF!, MATCH(1, (Table14[[#This Row],[year t]]=Table32[[#All],[year t]])*(Table14[[#This Row],[stratum i]]=Table32[[#All],[stratum i]]), 0))</f>
        <v>#REF!</v>
      </c>
      <c r="AW155">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5" s="57">
        <f>(Table14[[#This Row],[GHGBSL-soil-CO2,i,t (Eq 27)]]-Table14[[#This Row],[Deductionalloch (Eq 38)]])*Table14[[#This Row],[Ai,t]]</f>
        <v>0</v>
      </c>
      <c r="AY155" cm="1">
        <f t="array" ref="AY155">IF(baseline_soil_CH4 = "Included", INDEX(Table18[[#All],[GHGBSL-soil-CH4,i,t (Eq 59)]], MATCH(1, (Table14[[#This Row],[year t]]=Table18[[#All],[year t]])*(Table14[[#This Row],[stratum i]]=Table18[[#All],[stratum i]]), 0)), 0)</f>
        <v>0</v>
      </c>
      <c r="AZ155" cm="1">
        <f t="array" ref="AZ155">IF(baseline_soil_N2O = "Included", INDEX(Table18[[#All],[GHGBSL-soil-N2O,i,t (Eq 62)]], MATCH(1, (Table14[[#This Row],[year t]]=Table18[[#All],[year t]])*(Table14[[#This Row],[stratum i]]=Table18[[#All],[stratum i]]), 0)), 0)</f>
        <v>0</v>
      </c>
      <c r="BA155">
        <f>IF(AND(Table14[[#This Row],[year t]]&gt;Table14[[#This Row],[End_PDT]],Table14[[#This Row],[year t]]&gt;Table14[[#This Row],[End_SDT]]), 0, Table14[[#This Row],[Ai,t]]*(Table14[[#This Row],[GHGBSL-soil-CO2,i,t (Eq 27)]]-Table14[[#This Row],[Deductionalloch (Eq 38)]]+Table14[[#This Row],[GHGBSL-soil-CH4,i,t]]+Table14[[#This Row],[GHGBSL-soil-N2O,i,t]]))</f>
        <v>0</v>
      </c>
      <c r="BB155" t="e" cm="1">
        <f t="array" ref="BB155">INDEX(#REF!, MATCH(1, (Table14[[#This Row],[year t]]=Table32[[#All],[year t]])*(Table14[[#This Row],[stratum i]]=Table32[[#All],[stratum i]]), 0))</f>
        <v>#REF!</v>
      </c>
      <c r="BC155" t="e" cm="1">
        <f t="array" ref="BC155">INDEX(#REF!, MATCH(1, (Table14[[#This Row],[year t]]=Table32[[#All],[year t]])*(Table14[[#This Row],[stratum i]]=Table32[[#All],[stratum i]]), 0))</f>
        <v>#REF!</v>
      </c>
      <c r="BD155" t="e" cm="1">
        <f t="array" ref="BD155">INDEX(#REF!, MATCH(1, (Table14[[#This Row],[year t]]=Table32[[#All],[year t]])*(Table14[[#This Row],[stratum i]]=Table32[[#All],[stratum i]]), 0))</f>
        <v>#REF!</v>
      </c>
      <c r="BE155" t="e" cm="1">
        <f t="array" ref="BE155">INDEX(#REF!, MATCH(1, (Table14[[#This Row],[year t]]=Table32[[#All],[year t]])*(Table14[[#This Row],[stratum i]]=Table32[[#All],[stratum i]]), 0))</f>
        <v>#REF!</v>
      </c>
      <c r="BF155" s="30"/>
      <c r="BM155" s="18">
        <v>2058</v>
      </c>
      <c r="BN155">
        <v>4</v>
      </c>
      <c r="BO155" t="e" cm="1">
        <f t="array" ref="BO155">INDEX(#REF!, MATCH(1, (Table132926[[#This Row],[year t]]=Table32[year t])*(Table132926[[#This Row],[stratum i]]=Table32[[#All],[stratum i]]), 0))</f>
        <v>#REF!</v>
      </c>
      <c r="BP155" t="e">
        <f>-44/12*Table132926[[#This Row],[∆CBSL-soil,i,t (tC/ha)]]</f>
        <v>#REF!</v>
      </c>
    </row>
    <row r="156" spans="10:68" x14ac:dyDescent="0.2">
      <c r="J156" s="18">
        <v>2059</v>
      </c>
      <c r="K156">
        <v>4</v>
      </c>
      <c r="L156" cm="1">
        <f t="array" ref="L156">INDEX(Table32[[#All],[ΔCTREE_BSL,i,t (AR Tool 14) t C/yr]], MATCH(1, (Table12[[#This Row],[year t]]=Table32[[#All],[year t]])*(Table12[[#This Row],[stratum i]]=Table32[[#All],[stratum i]]), 0))</f>
        <v>0</v>
      </c>
      <c r="M156" cm="1">
        <f t="array" ref="M156">IF(baseline_abground_nontree = "Included", INDEX(#REF!, MATCH(1, (Table12[[#This Row],[year t]]=Table32[[#All],[year t]])*(Table12[[#This Row],[stratum i]]=Table32[[#All],[stratum i]]), 0)), 0)</f>
        <v>0</v>
      </c>
      <c r="N156">
        <f>12/44*(Table12[[#This Row],[ΔCTREE_BSL,i,t (AR Tool 14) t CO2e/yr]]+Table12[[#This Row],[ΔCSHRUB_BSL,i,t (AR Tool 14) t CO2e/yr]])</f>
        <v>0</v>
      </c>
      <c r="O156" cm="1">
        <f t="array" ref="O156">IF(baseline_abground_nontree = "Included", IFERROR(INDEX(Table13[[#All],[ΔCBSL-herb,i,t (Eq 25)]], MATCH(1, (Table12[[#This Row],[stratum i]]=Table13[[#All],[stratum i]])*(Table12[[#This Row],[year t]]&gt;=#REF!)*(Table12[[#This Row],[year t]]&lt;=Table13[[#All],[year t]]), 0)), 0), 0)</f>
        <v>0</v>
      </c>
      <c r="P156">
        <f>Table12[[#This Row],[ΔCBSL-tree/shrub,i,t (t C/yr) (Eq 24)]]+Table12[[#This Row],[ΔCBSL-herb,i,t (t C/yr)]]-Table12[[#This Row],[ΔCBSL-agbiomass,i,t; t C yr-1 (submergence)]]</f>
        <v>0</v>
      </c>
      <c r="Q156" cm="1">
        <f t="array" ref="Q156">IFERROR(INDEX(Table14[[#All],[GHGBSL-soil,i,t (Eq 26)]], MATCH(1, (Table12[[#This Row],[year t]]=Table14[[#All],[year t]])*(Table12[[#This Row],[stratum i]]=Table14[[#All],[stratum i]]), 0)), 0)</f>
        <v>0</v>
      </c>
      <c r="R156">
        <f>IF(baseline_ff_CO2 = "Included", Table12[[#This Row],[ET(FC,I,t) AR-Tool 5]], 0)</f>
        <v>0</v>
      </c>
      <c r="S156" t="e" cm="1">
        <f t="array" ref="S156">INDEX(#REF!, MATCH(1, (Table12[[#This Row],[year t]]=Table32[[#All],[year t]])*(Table12[[#This Row],[stratum i]]=Table32[[#All],[stratum i]]), 0))</f>
        <v>#REF!</v>
      </c>
      <c r="T156" cm="1">
        <f t="array" ref="T156">IFERROR(INDEX(Table30[[#All],[ΔCBSL-agbiomass,i,t (equation 22) t C yr-1]], MATCH(1, (Table12[[#This Row],[stratum i]]=Table30[[#All],[Stratum i]])*(Table12[[#This Row],[year t]]&lt;Table30[[#All],[Year of reporting]]), 0)), 0)</f>
        <v>0</v>
      </c>
      <c r="AG156" s="18">
        <v>2059</v>
      </c>
      <c r="AH156">
        <v>4</v>
      </c>
      <c r="AI156" s="49" t="e" cm="1">
        <f t="array" ref="AI156">INDEX(#REF!, MATCH(1, (Table13[[#This Row],[year t]]=Table32[[#All],[year t]])*(Table13[[#This Row],[stratum i]]=Table32[[#All],[stratum i]]), 0))</f>
        <v>#REF!</v>
      </c>
      <c r="AJ156" s="49" t="e">
        <f>Table13[[#This Row],[ΔCBSL-herb,i,t (tC/ha)]]</f>
        <v>#REF!</v>
      </c>
      <c r="AO156" s="18">
        <v>2059</v>
      </c>
      <c r="AP156">
        <v>4</v>
      </c>
      <c r="AQ156" s="18" cm="1">
        <f t="array" ref="AQ156">INDEX(Table32[[#All],[Ai,t]], MATCH(1, (Table14[[#This Row],[year t]]=Table32[[#All],[year t]])*(Table14[[#This Row],[stratum i]]=Table32[[#All],[stratum i]]), 0))</f>
        <v>1227.7635314285715</v>
      </c>
      <c r="AR156" t="str">
        <f>IF(AND(INDEX(Table31[[#All],[Soil type (t=0)]], MATCH(Table14[[#This Row],[stratum i]], Table31[[#All],[Stratum i]]))="Peat soil", Table14[[#This Row],[year t]]&lt;=Table14[[#This Row],[End_PDT]]), "Peat soil", "Non-peat soil")</f>
        <v>Non-peat soil</v>
      </c>
      <c r="AS156">
        <f>IF(Emission_reduction_from_stock_loss?, INDEX(Table2[[#All],[End_PDT]], MATCH(Table14[[#This Row],[stratum i]], Table2[[#All],[stratum i]])), crediting_period)</f>
        <v>40</v>
      </c>
      <c r="AT156">
        <f>IF(Emission_reduction_from_stock_loss?, INDEX(Table2[[#All],[End_SDT]], MATCH(Table14[[#This Row],[stratum i]], Table2[[#All],[stratum i]])), crediting_period)</f>
        <v>40</v>
      </c>
      <c r="AU156" cm="1">
        <f t="array" ref="AU156">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6" t="e" cm="1">
        <f t="array" ref="AV156">INDEX(#REF!, MATCH(1, (Table14[[#This Row],[year t]]=Table32[[#All],[year t]])*(Table14[[#This Row],[stratum i]]=Table32[[#All],[stratum i]]), 0))</f>
        <v>#REF!</v>
      </c>
      <c r="AW156">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6" s="57">
        <f>(Table14[[#This Row],[GHGBSL-soil-CO2,i,t (Eq 27)]]-Table14[[#This Row],[Deductionalloch (Eq 38)]])*Table14[[#This Row],[Ai,t]]</f>
        <v>0</v>
      </c>
      <c r="AY156" cm="1">
        <f t="array" ref="AY156">IF(baseline_soil_CH4 = "Included", INDEX(Table18[[#All],[GHGBSL-soil-CH4,i,t (Eq 59)]], MATCH(1, (Table14[[#This Row],[year t]]=Table18[[#All],[year t]])*(Table14[[#This Row],[stratum i]]=Table18[[#All],[stratum i]]), 0)), 0)</f>
        <v>0</v>
      </c>
      <c r="AZ156" cm="1">
        <f t="array" ref="AZ156">IF(baseline_soil_N2O = "Included", INDEX(Table18[[#All],[GHGBSL-soil-N2O,i,t (Eq 62)]], MATCH(1, (Table14[[#This Row],[year t]]=Table18[[#All],[year t]])*(Table14[[#This Row],[stratum i]]=Table18[[#All],[stratum i]]), 0)), 0)</f>
        <v>0</v>
      </c>
      <c r="BA156">
        <f>IF(AND(Table14[[#This Row],[year t]]&gt;Table14[[#This Row],[End_PDT]],Table14[[#This Row],[year t]]&gt;Table14[[#This Row],[End_SDT]]), 0, Table14[[#This Row],[Ai,t]]*(Table14[[#This Row],[GHGBSL-soil-CO2,i,t (Eq 27)]]-Table14[[#This Row],[Deductionalloch (Eq 38)]]+Table14[[#This Row],[GHGBSL-soil-CH4,i,t]]+Table14[[#This Row],[GHGBSL-soil-N2O,i,t]]))</f>
        <v>0</v>
      </c>
      <c r="BB156" t="e" cm="1">
        <f t="array" ref="BB156">INDEX(#REF!, MATCH(1, (Table14[[#This Row],[year t]]=Table32[[#All],[year t]])*(Table14[[#This Row],[stratum i]]=Table32[[#All],[stratum i]]), 0))</f>
        <v>#REF!</v>
      </c>
      <c r="BC156" t="e" cm="1">
        <f t="array" ref="BC156">INDEX(#REF!, MATCH(1, (Table14[[#This Row],[year t]]=Table32[[#All],[year t]])*(Table14[[#This Row],[stratum i]]=Table32[[#All],[stratum i]]), 0))</f>
        <v>#REF!</v>
      </c>
      <c r="BD156" t="e" cm="1">
        <f t="array" ref="BD156">INDEX(#REF!, MATCH(1, (Table14[[#This Row],[year t]]=Table32[[#All],[year t]])*(Table14[[#This Row],[stratum i]]=Table32[[#All],[stratum i]]), 0))</f>
        <v>#REF!</v>
      </c>
      <c r="BE156" t="e" cm="1">
        <f t="array" ref="BE156">INDEX(#REF!, MATCH(1, (Table14[[#This Row],[year t]]=Table32[[#All],[year t]])*(Table14[[#This Row],[stratum i]]=Table32[[#All],[stratum i]]), 0))</f>
        <v>#REF!</v>
      </c>
      <c r="BF156" s="30"/>
      <c r="BM156" s="18">
        <v>2059</v>
      </c>
      <c r="BN156">
        <v>4</v>
      </c>
      <c r="BO156" t="e" cm="1">
        <f t="array" ref="BO156">INDEX(#REF!, MATCH(1, (Table132926[[#This Row],[year t]]=Table32[year t])*(Table132926[[#This Row],[stratum i]]=Table32[[#All],[stratum i]]), 0))</f>
        <v>#REF!</v>
      </c>
      <c r="BP156" t="e">
        <f>-44/12*Table132926[[#This Row],[∆CBSL-soil,i,t (tC/ha)]]</f>
        <v>#REF!</v>
      </c>
    </row>
    <row r="157" spans="10:68" x14ac:dyDescent="0.2">
      <c r="J157" s="18">
        <v>2060</v>
      </c>
      <c r="K157">
        <v>4</v>
      </c>
      <c r="L157" cm="1">
        <f t="array" ref="L157">INDEX(Table32[[#All],[ΔCTREE_BSL,i,t (AR Tool 14) t C/yr]], MATCH(1, (Table12[[#This Row],[year t]]=Table32[[#All],[year t]])*(Table12[[#This Row],[stratum i]]=Table32[[#All],[stratum i]]), 0))</f>
        <v>0</v>
      </c>
      <c r="M157" cm="1">
        <f t="array" ref="M157">IF(baseline_abground_nontree = "Included", INDEX(#REF!, MATCH(1, (Table12[[#This Row],[year t]]=Table32[[#All],[year t]])*(Table12[[#This Row],[stratum i]]=Table32[[#All],[stratum i]]), 0)), 0)</f>
        <v>0</v>
      </c>
      <c r="N157">
        <f>12/44*(Table12[[#This Row],[ΔCTREE_BSL,i,t (AR Tool 14) t CO2e/yr]]+Table12[[#This Row],[ΔCSHRUB_BSL,i,t (AR Tool 14) t CO2e/yr]])</f>
        <v>0</v>
      </c>
      <c r="O157" cm="1">
        <f t="array" ref="O157">IF(baseline_abground_nontree = "Included", IFERROR(INDEX(Table13[[#All],[ΔCBSL-herb,i,t (Eq 25)]], MATCH(1, (Table12[[#This Row],[stratum i]]=Table13[[#All],[stratum i]])*(Table12[[#This Row],[year t]]&gt;=#REF!)*(Table12[[#This Row],[year t]]&lt;=Table13[[#All],[year t]]), 0)), 0), 0)</f>
        <v>0</v>
      </c>
      <c r="P157">
        <f>Table12[[#This Row],[ΔCBSL-tree/shrub,i,t (t C/yr) (Eq 24)]]+Table12[[#This Row],[ΔCBSL-herb,i,t (t C/yr)]]-Table12[[#This Row],[ΔCBSL-agbiomass,i,t; t C yr-1 (submergence)]]</f>
        <v>0</v>
      </c>
      <c r="Q157" cm="1">
        <f t="array" ref="Q157">IFERROR(INDEX(Table14[[#All],[GHGBSL-soil,i,t (Eq 26)]], MATCH(1, (Table12[[#This Row],[year t]]=Table14[[#All],[year t]])*(Table12[[#This Row],[stratum i]]=Table14[[#All],[stratum i]]), 0)), 0)</f>
        <v>0</v>
      </c>
      <c r="R157">
        <f>IF(baseline_ff_CO2 = "Included", Table12[[#This Row],[ET(FC,I,t) AR-Tool 5]], 0)</f>
        <v>0</v>
      </c>
      <c r="S157" t="e" cm="1">
        <f t="array" ref="S157">INDEX(#REF!, MATCH(1, (Table12[[#This Row],[year t]]=Table32[[#All],[year t]])*(Table12[[#This Row],[stratum i]]=Table32[[#All],[stratum i]]), 0))</f>
        <v>#REF!</v>
      </c>
      <c r="T157" cm="1">
        <f t="array" ref="T157">IFERROR(INDEX(Table30[[#All],[ΔCBSL-agbiomass,i,t (equation 22) t C yr-1]], MATCH(1, (Table12[[#This Row],[stratum i]]=Table30[[#All],[Stratum i]])*(Table12[[#This Row],[year t]]&lt;Table30[[#All],[Year of reporting]]), 0)), 0)</f>
        <v>0</v>
      </c>
      <c r="AG157" s="18">
        <v>2060</v>
      </c>
      <c r="AH157">
        <v>4</v>
      </c>
      <c r="AI157" s="49" t="e" cm="1">
        <f t="array" ref="AI157">INDEX(#REF!, MATCH(1, (Table13[[#This Row],[year t]]=Table32[[#All],[year t]])*(Table13[[#This Row],[stratum i]]=Table32[[#All],[stratum i]]), 0))</f>
        <v>#REF!</v>
      </c>
      <c r="AJ157" s="49" t="e">
        <f>Table13[[#This Row],[ΔCBSL-herb,i,t (tC/ha)]]</f>
        <v>#REF!</v>
      </c>
      <c r="AO157" s="18">
        <v>2060</v>
      </c>
      <c r="AP157">
        <v>4</v>
      </c>
      <c r="AQ157" s="18" cm="1">
        <f t="array" ref="AQ157">INDEX(Table32[[#All],[Ai,t]], MATCH(1, (Table14[[#This Row],[year t]]=Table32[[#All],[year t]])*(Table14[[#This Row],[stratum i]]=Table32[[#All],[stratum i]]), 0))</f>
        <v>1227.7635314285715</v>
      </c>
      <c r="AR157" t="str">
        <f>IF(AND(INDEX(Table31[[#All],[Soil type (t=0)]], MATCH(Table14[[#This Row],[stratum i]], Table31[[#All],[Stratum i]]))="Peat soil", Table14[[#This Row],[year t]]&lt;=Table14[[#This Row],[End_PDT]]), "Peat soil", "Non-peat soil")</f>
        <v>Non-peat soil</v>
      </c>
      <c r="AS157">
        <f>IF(Emission_reduction_from_stock_loss?, INDEX(Table2[[#All],[End_PDT]], MATCH(Table14[[#This Row],[stratum i]], Table2[[#All],[stratum i]])), crediting_period)</f>
        <v>40</v>
      </c>
      <c r="AT157">
        <f>IF(Emission_reduction_from_stock_loss?, INDEX(Table2[[#All],[End_SDT]], MATCH(Table14[[#This Row],[stratum i]], Table2[[#All],[stratum i]])), crediting_period)</f>
        <v>40</v>
      </c>
      <c r="AU157" cm="1">
        <f t="array" ref="AU157">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7" t="e" cm="1">
        <f t="array" ref="AV157">INDEX(#REF!, MATCH(1, (Table14[[#This Row],[year t]]=Table32[[#All],[year t]])*(Table14[[#This Row],[stratum i]]=Table32[[#All],[stratum i]]), 0))</f>
        <v>#REF!</v>
      </c>
      <c r="AW157">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7" s="57">
        <f>(Table14[[#This Row],[GHGBSL-soil-CO2,i,t (Eq 27)]]-Table14[[#This Row],[Deductionalloch (Eq 38)]])*Table14[[#This Row],[Ai,t]]</f>
        <v>0</v>
      </c>
      <c r="AY157" cm="1">
        <f t="array" ref="AY157">IF(baseline_soil_CH4 = "Included", INDEX(Table18[[#All],[GHGBSL-soil-CH4,i,t (Eq 59)]], MATCH(1, (Table14[[#This Row],[year t]]=Table18[[#All],[year t]])*(Table14[[#This Row],[stratum i]]=Table18[[#All],[stratum i]]), 0)), 0)</f>
        <v>0</v>
      </c>
      <c r="AZ157" cm="1">
        <f t="array" ref="AZ157">IF(baseline_soil_N2O = "Included", INDEX(Table18[[#All],[GHGBSL-soil-N2O,i,t (Eq 62)]], MATCH(1, (Table14[[#This Row],[year t]]=Table18[[#All],[year t]])*(Table14[[#This Row],[stratum i]]=Table18[[#All],[stratum i]]), 0)), 0)</f>
        <v>0</v>
      </c>
      <c r="BA157">
        <f>IF(AND(Table14[[#This Row],[year t]]&gt;Table14[[#This Row],[End_PDT]],Table14[[#This Row],[year t]]&gt;Table14[[#This Row],[End_SDT]]), 0, Table14[[#This Row],[Ai,t]]*(Table14[[#This Row],[GHGBSL-soil-CO2,i,t (Eq 27)]]-Table14[[#This Row],[Deductionalloch (Eq 38)]]+Table14[[#This Row],[GHGBSL-soil-CH4,i,t]]+Table14[[#This Row],[GHGBSL-soil-N2O,i,t]]))</f>
        <v>0</v>
      </c>
      <c r="BB157" t="e" cm="1">
        <f t="array" ref="BB157">INDEX(#REF!, MATCH(1, (Table14[[#This Row],[year t]]=Table32[[#All],[year t]])*(Table14[[#This Row],[stratum i]]=Table32[[#All],[stratum i]]), 0))</f>
        <v>#REF!</v>
      </c>
      <c r="BC157" t="e" cm="1">
        <f t="array" ref="BC157">INDEX(#REF!, MATCH(1, (Table14[[#This Row],[year t]]=Table32[[#All],[year t]])*(Table14[[#This Row],[stratum i]]=Table32[[#All],[stratum i]]), 0))</f>
        <v>#REF!</v>
      </c>
      <c r="BD157" t="e" cm="1">
        <f t="array" ref="BD157">INDEX(#REF!, MATCH(1, (Table14[[#This Row],[year t]]=Table32[[#All],[year t]])*(Table14[[#This Row],[stratum i]]=Table32[[#All],[stratum i]]), 0))</f>
        <v>#REF!</v>
      </c>
      <c r="BE157" t="e" cm="1">
        <f t="array" ref="BE157">INDEX(#REF!, MATCH(1, (Table14[[#This Row],[year t]]=Table32[[#All],[year t]])*(Table14[[#This Row],[stratum i]]=Table32[[#All],[stratum i]]), 0))</f>
        <v>#REF!</v>
      </c>
      <c r="BF157" s="30"/>
      <c r="BM157" s="18">
        <v>2060</v>
      </c>
      <c r="BN157">
        <v>4</v>
      </c>
      <c r="BO157" t="e" cm="1">
        <f t="array" ref="BO157">INDEX(#REF!, MATCH(1, (Table132926[[#This Row],[year t]]=Table32[year t])*(Table132926[[#This Row],[stratum i]]=Table32[[#All],[stratum i]]), 0))</f>
        <v>#REF!</v>
      </c>
      <c r="BP157" t="e">
        <f>-44/12*Table132926[[#This Row],[∆CBSL-soil,i,t (tC/ha)]]</f>
        <v>#REF!</v>
      </c>
    </row>
    <row r="158" spans="10:68" x14ac:dyDescent="0.2">
      <c r="J158" s="18">
        <v>2061</v>
      </c>
      <c r="K158">
        <v>4</v>
      </c>
      <c r="L158" cm="1">
        <f t="array" ref="L158">INDEX(Table32[[#All],[ΔCTREE_BSL,i,t (AR Tool 14) t C/yr]], MATCH(1, (Table12[[#This Row],[year t]]=Table32[[#All],[year t]])*(Table12[[#This Row],[stratum i]]=Table32[[#All],[stratum i]]), 0))</f>
        <v>0</v>
      </c>
      <c r="M158" cm="1">
        <f t="array" ref="M158">IF(baseline_abground_nontree = "Included", INDEX(#REF!, MATCH(1, (Table12[[#This Row],[year t]]=Table32[[#All],[year t]])*(Table12[[#This Row],[stratum i]]=Table32[[#All],[stratum i]]), 0)), 0)</f>
        <v>0</v>
      </c>
      <c r="N158">
        <f>12/44*(Table12[[#This Row],[ΔCTREE_BSL,i,t (AR Tool 14) t CO2e/yr]]+Table12[[#This Row],[ΔCSHRUB_BSL,i,t (AR Tool 14) t CO2e/yr]])</f>
        <v>0</v>
      </c>
      <c r="O158" cm="1">
        <f t="array" ref="O158">IF(baseline_abground_nontree = "Included", IFERROR(INDEX(Table13[[#All],[ΔCBSL-herb,i,t (Eq 25)]], MATCH(1, (Table12[[#This Row],[stratum i]]=Table13[[#All],[stratum i]])*(Table12[[#This Row],[year t]]&gt;=#REF!)*(Table12[[#This Row],[year t]]&lt;=Table13[[#All],[year t]]), 0)), 0), 0)</f>
        <v>0</v>
      </c>
      <c r="P158">
        <f>Table12[[#This Row],[ΔCBSL-tree/shrub,i,t (t C/yr) (Eq 24)]]+Table12[[#This Row],[ΔCBSL-herb,i,t (t C/yr)]]-Table12[[#This Row],[ΔCBSL-agbiomass,i,t; t C yr-1 (submergence)]]</f>
        <v>0</v>
      </c>
      <c r="Q158" cm="1">
        <f t="array" ref="Q158">IFERROR(INDEX(Table14[[#All],[GHGBSL-soil,i,t (Eq 26)]], MATCH(1, (Table12[[#This Row],[year t]]=Table14[[#All],[year t]])*(Table12[[#This Row],[stratum i]]=Table14[[#All],[stratum i]]), 0)), 0)</f>
        <v>0</v>
      </c>
      <c r="R158">
        <f>IF(baseline_ff_CO2 = "Included", Table12[[#This Row],[ET(FC,I,t) AR-Tool 5]], 0)</f>
        <v>0</v>
      </c>
      <c r="S158" t="e" cm="1">
        <f t="array" ref="S158">INDEX(#REF!, MATCH(1, (Table12[[#This Row],[year t]]=Table32[[#All],[year t]])*(Table12[[#This Row],[stratum i]]=Table32[[#All],[stratum i]]), 0))</f>
        <v>#REF!</v>
      </c>
      <c r="T158" cm="1">
        <f t="array" ref="T158">IFERROR(INDEX(Table30[[#All],[ΔCBSL-agbiomass,i,t (equation 22) t C yr-1]], MATCH(1, (Table12[[#This Row],[stratum i]]=Table30[[#All],[Stratum i]])*(Table12[[#This Row],[year t]]&lt;Table30[[#All],[Year of reporting]]), 0)), 0)</f>
        <v>0</v>
      </c>
      <c r="AG158" s="18">
        <v>2061</v>
      </c>
      <c r="AH158">
        <v>4</v>
      </c>
      <c r="AI158" s="49" t="e" cm="1">
        <f t="array" ref="AI158">INDEX(#REF!, MATCH(1, (Table13[[#This Row],[year t]]=Table32[[#All],[year t]])*(Table13[[#This Row],[stratum i]]=Table32[[#All],[stratum i]]), 0))</f>
        <v>#REF!</v>
      </c>
      <c r="AJ158" s="49" t="e">
        <f>Table13[[#This Row],[ΔCBSL-herb,i,t (tC/ha)]]</f>
        <v>#REF!</v>
      </c>
      <c r="AO158" s="18">
        <v>2061</v>
      </c>
      <c r="AP158">
        <v>4</v>
      </c>
      <c r="AQ158" s="18" cm="1">
        <f t="array" ref="AQ158">INDEX(Table32[[#All],[Ai,t]], MATCH(1, (Table14[[#This Row],[year t]]=Table32[[#All],[year t]])*(Table14[[#This Row],[stratum i]]=Table32[[#All],[stratum i]]), 0))</f>
        <v>1227.7635314285715</v>
      </c>
      <c r="AR158" t="str">
        <f>IF(AND(INDEX(Table31[[#All],[Soil type (t=0)]], MATCH(Table14[[#This Row],[stratum i]], Table31[[#All],[Stratum i]]))="Peat soil", Table14[[#This Row],[year t]]&lt;=Table14[[#This Row],[End_PDT]]), "Peat soil", "Non-peat soil")</f>
        <v>Non-peat soil</v>
      </c>
      <c r="AS158">
        <f>IF(Emission_reduction_from_stock_loss?, INDEX(Table2[[#All],[End_PDT]], MATCH(Table14[[#This Row],[stratum i]], Table2[[#All],[stratum i]])), crediting_period)</f>
        <v>40</v>
      </c>
      <c r="AT158">
        <f>IF(Emission_reduction_from_stock_loss?, INDEX(Table2[[#All],[End_SDT]], MATCH(Table14[[#This Row],[stratum i]], Table2[[#All],[stratum i]])), crediting_period)</f>
        <v>40</v>
      </c>
      <c r="AU158" cm="1">
        <f t="array" ref="AU158">IF(baseline_soil_SOC= "Included", IF(soil_insitu_approach = "Field-collected data", IFERROR(INDEX(Table132926[[#All],[GHGBSL-soil-CO2,i,t (Eq 36)]], MATCH(1, (Table14[[#This Row],[year t]]&gt;=#REF!)*(Table14[[#This Row],[year t]]&lt;=#REF!)*(Table14[[#This Row],[stratum i]]=Table132926[[#All],[stratum i]]), 0)), 0), IF(soil_insitu_approach = "Proxies",  Table14[[#This Row],[ƒ (GHG emission proxy) ]], Table14[[#This Row],[GHGBSL-insitu-CO2,i,t]]+Table14[[#This Row],[GHGBSL-eroded-CO2,i,t]]+Table14[[#This Row],[GHGBSL-excav-CO2,i,t]])), 0)</f>
        <v>0</v>
      </c>
      <c r="AV158" t="e" cm="1">
        <f t="array" ref="AV158">INDEX(#REF!, MATCH(1, (Table14[[#This Row],[year t]]=Table32[[#All],[year t]])*(Table14[[#This Row],[stratum i]]=Table32[[#All],[stratum i]]), 0))</f>
        <v>#REF!</v>
      </c>
      <c r="AW158">
        <f>IF(baseline_soil_SOC = "Included", IF(Table14[[#This Row],[Soil]]="Peat soil", 0, IF(OR(soil_insitu_approach = "Proxies", soil_insitu_approach = "Field-collected data"), Table14[[#This Row],[GHGBSL-soil-CO2,i,t (Eq 27)]]*(Table14[[#This Row],[%Calloch BSL]]/100),  Table14[[#This Row],[GHGBSL-insitu-CO2,i,t]]*(Table14[[#This Row],[%Calloch BSL]]/100))), 0)</f>
        <v>0</v>
      </c>
      <c r="AX158" s="57">
        <f>(Table14[[#This Row],[GHGBSL-soil-CO2,i,t (Eq 27)]]-Table14[[#This Row],[Deductionalloch (Eq 38)]])*Table14[[#This Row],[Ai,t]]</f>
        <v>0</v>
      </c>
      <c r="AY158" cm="1">
        <f t="array" ref="AY158">IF(baseline_soil_CH4 = "Included", INDEX(Table18[[#All],[GHGBSL-soil-CH4,i,t (Eq 59)]], MATCH(1, (Table14[[#This Row],[year t]]=Table18[[#All],[year t]])*(Table14[[#This Row],[stratum i]]=Table18[[#All],[stratum i]]), 0)), 0)</f>
        <v>0</v>
      </c>
      <c r="AZ158" cm="1">
        <f t="array" ref="AZ158">IF(baseline_soil_N2O = "Included", INDEX(Table18[[#All],[GHGBSL-soil-N2O,i,t (Eq 62)]], MATCH(1, (Table14[[#This Row],[year t]]=Table18[[#All],[year t]])*(Table14[[#This Row],[stratum i]]=Table18[[#All],[stratum i]]), 0)), 0)</f>
        <v>0</v>
      </c>
      <c r="BA158">
        <f>IF(AND(Table14[[#This Row],[year t]]&gt;Table14[[#This Row],[End_PDT]],Table14[[#This Row],[year t]]&gt;Table14[[#This Row],[End_SDT]]), 0, Table14[[#This Row],[Ai,t]]*(Table14[[#This Row],[GHGBSL-soil-CO2,i,t (Eq 27)]]-Table14[[#This Row],[Deductionalloch (Eq 38)]]+Table14[[#This Row],[GHGBSL-soil-CH4,i,t]]+Table14[[#This Row],[GHGBSL-soil-N2O,i,t]]))</f>
        <v>0</v>
      </c>
      <c r="BB158" t="e" cm="1">
        <f t="array" ref="BB158">INDEX(#REF!, MATCH(1, (Table14[[#This Row],[year t]]=Table32[[#All],[year t]])*(Table14[[#This Row],[stratum i]]=Table32[[#All],[stratum i]]), 0))</f>
        <v>#REF!</v>
      </c>
      <c r="BC158" t="e" cm="1">
        <f t="array" ref="BC158">INDEX(#REF!, MATCH(1, (Table14[[#This Row],[year t]]=Table32[[#All],[year t]])*(Table14[[#This Row],[stratum i]]=Table32[[#All],[stratum i]]), 0))</f>
        <v>#REF!</v>
      </c>
      <c r="BD158" t="e" cm="1">
        <f t="array" ref="BD158">INDEX(#REF!, MATCH(1, (Table14[[#This Row],[year t]]=Table32[[#All],[year t]])*(Table14[[#This Row],[stratum i]]=Table32[[#All],[stratum i]]), 0))</f>
        <v>#REF!</v>
      </c>
      <c r="BE158" t="e" cm="1">
        <f t="array" ref="BE158">INDEX(#REF!, MATCH(1, (Table14[[#This Row],[year t]]=Table32[[#All],[year t]])*(Table14[[#This Row],[stratum i]]=Table32[[#All],[stratum i]]), 0))</f>
        <v>#REF!</v>
      </c>
      <c r="BF158" s="30"/>
      <c r="BM158" s="18">
        <v>2061</v>
      </c>
      <c r="BN158">
        <v>4</v>
      </c>
      <c r="BO158" t="e" cm="1">
        <f t="array" ref="BO158">INDEX(#REF!, MATCH(1, (Table132926[[#This Row],[year t]]=Table32[year t])*(Table132926[[#This Row],[stratum i]]=Table32[[#All],[stratum i]]), 0))</f>
        <v>#REF!</v>
      </c>
      <c r="BP158" t="e">
        <f>-44/12*Table132926[[#This Row],[∆CBSL-soil,i,t (tC/ha)]]</f>
        <v>#REF!</v>
      </c>
    </row>
  </sheetData>
  <phoneticPr fontId="6" type="noConversion"/>
  <pageMargins left="0.7" right="0.7" top="0.75" bottom="0.75" header="0.3" footer="0.3"/>
  <drawing r:id="rId1"/>
  <legacyDrawing r:id="rId2"/>
  <tableParts count="7">
    <tablePart r:id="rId3"/>
    <tablePart r:id="rId4"/>
    <tablePart r:id="rId5"/>
    <tablePart r:id="rId6"/>
    <tablePart r:id="rId7"/>
    <tablePart r:id="rId8"/>
    <tablePart r:id="rId9"/>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5E2B-328D-46DA-9450-92EBD79E4990}">
  <sheetPr>
    <tabColor theme="8" tint="0.59999389629810485"/>
  </sheetPr>
  <dimension ref="B1:W53"/>
  <sheetViews>
    <sheetView topLeftCell="N1" workbookViewId="0">
      <selection activeCell="R4" sqref="R4"/>
    </sheetView>
  </sheetViews>
  <sheetFormatPr baseColWidth="10" defaultColWidth="8.83203125" defaultRowHeight="15" x14ac:dyDescent="0.2"/>
  <cols>
    <col min="3" max="3" width="35.33203125" customWidth="1"/>
    <col min="4" max="4" width="13.33203125" customWidth="1"/>
    <col min="5" max="5" width="28.6640625" customWidth="1"/>
    <col min="6" max="6" width="30" customWidth="1"/>
    <col min="7" max="7" width="15.6640625" customWidth="1"/>
    <col min="8" max="8" width="11.6640625" customWidth="1"/>
    <col min="9" max="9" width="11.1640625" customWidth="1"/>
    <col min="10" max="10" width="24.6640625" customWidth="1"/>
    <col min="11" max="11" width="22.1640625" customWidth="1"/>
    <col min="12" max="12" width="15.33203125" customWidth="1"/>
    <col min="13" max="13" width="18.83203125" customWidth="1"/>
    <col min="14" max="14" width="22.6640625" customWidth="1"/>
    <col min="15" max="15" width="21.33203125" customWidth="1"/>
    <col min="16" max="16" width="31.1640625" customWidth="1"/>
    <col min="17" max="17" width="20.33203125" customWidth="1"/>
    <col min="18" max="18" width="29" customWidth="1"/>
    <col min="19" max="19" width="19.6640625" customWidth="1"/>
    <col min="20" max="20" width="30.33203125" customWidth="1"/>
    <col min="22" max="22" width="25.6640625" customWidth="1"/>
    <col min="23" max="23" width="29.83203125" customWidth="1"/>
  </cols>
  <sheetData>
    <row r="1" spans="2:23" x14ac:dyDescent="0.2">
      <c r="B1" t="s">
        <v>485</v>
      </c>
    </row>
    <row r="2" spans="2:23" x14ac:dyDescent="0.2">
      <c r="J2" s="19" t="s">
        <v>486</v>
      </c>
    </row>
    <row r="3" spans="2:23" ht="76.5" customHeight="1" x14ac:dyDescent="0.2">
      <c r="C3" t="s">
        <v>487</v>
      </c>
      <c r="E3" t="s">
        <v>488</v>
      </c>
      <c r="H3" t="s">
        <v>489</v>
      </c>
      <c r="I3" s="1" t="s">
        <v>490</v>
      </c>
      <c r="J3" s="1" t="s">
        <v>491</v>
      </c>
      <c r="M3" t="s">
        <v>398</v>
      </c>
      <c r="N3" t="s">
        <v>398</v>
      </c>
      <c r="O3" s="19" t="s">
        <v>492</v>
      </c>
      <c r="T3" s="1" t="s">
        <v>493</v>
      </c>
      <c r="V3" s="19" t="s">
        <v>494</v>
      </c>
      <c r="W3" s="19" t="s">
        <v>495</v>
      </c>
    </row>
    <row r="4" spans="2:23" ht="32" x14ac:dyDescent="0.2">
      <c r="B4" t="s">
        <v>90</v>
      </c>
      <c r="C4" t="s">
        <v>496</v>
      </c>
      <c r="D4" t="s">
        <v>497</v>
      </c>
      <c r="E4" t="s">
        <v>498</v>
      </c>
      <c r="F4" s="47" t="s">
        <v>499</v>
      </c>
      <c r="G4" t="s">
        <v>500</v>
      </c>
      <c r="H4" s="47" t="s">
        <v>91</v>
      </c>
      <c r="I4" t="s">
        <v>501</v>
      </c>
      <c r="J4" t="s">
        <v>502</v>
      </c>
      <c r="K4" s="47" t="s">
        <v>503</v>
      </c>
      <c r="L4" t="s">
        <v>504</v>
      </c>
      <c r="M4" t="s">
        <v>505</v>
      </c>
      <c r="N4" t="s">
        <v>79</v>
      </c>
      <c r="O4" t="s">
        <v>276</v>
      </c>
      <c r="P4" s="1" t="s">
        <v>506</v>
      </c>
      <c r="Q4" t="s">
        <v>507</v>
      </c>
      <c r="R4" s="48" t="s">
        <v>508</v>
      </c>
      <c r="S4" s="145" t="s">
        <v>458</v>
      </c>
      <c r="T4" t="s">
        <v>509</v>
      </c>
      <c r="U4" t="s">
        <v>81</v>
      </c>
      <c r="V4" t="s">
        <v>275</v>
      </c>
      <c r="W4" t="s">
        <v>278</v>
      </c>
    </row>
    <row r="5" spans="2:23" x14ac:dyDescent="0.2">
      <c r="B5" s="18">
        <v>2022</v>
      </c>
      <c r="C5" cm="1">
        <f t="array" ref="C5">SUMPRODUCT(IF(Table14[[#All],[year t]]&lt;=Table27[[#This Row],[Year t]], Table14[[#All],[Ai,t]]*Table14[[#All],[GHGBSL-soil-CO2,i,t (Eq 27)]]))</f>
        <v>0</v>
      </c>
      <c r="D5">
        <f>INDEX(Table11[[#All],[GHG(BSL)]], MATCH(Table27[[#This Row],[Year t]], Table11[[#All],[year t]]))</f>
        <v>0</v>
      </c>
      <c r="E5" cm="1">
        <f t="array" ref="E5">SUMPRODUCT(IF(Table1423[[#All],[year t]]&lt;=Table27[[#This Row],[Year t]], Table1423[[#All],[Ai,t]]*Table1423[[#All],[GHGWPS-soil-CO2,i,t]]))</f>
        <v>0</v>
      </c>
      <c r="F5">
        <f>IF(Emission_reduction_from_stock_loss?, IF(Table27[[#This Row],[GHGBSL-soil-CO2,t ]]-Table27[[#This Row],[GHGWPS-soil-CO2,t]] - SOC_Max&gt;0, Table27[[#This Row],[GHGBSL-soil-CO2,t ]]-Table27[[#This Row],[GHGWPS-soil-CO2,t]] - SOC_Max, 0), 0)</f>
        <v>0</v>
      </c>
      <c r="G5">
        <f>INDEX(Table1120[[#All],[GHG(WPS) (Eq 69)]], MATCH(Table27[[#This Row],[Year t]], Table1120[[#All],[year t]]))</f>
        <v>0</v>
      </c>
      <c r="H5">
        <f>IF(Fire_reduction_premium, INDEX(Table24[[#All],[FRP]], MATCH(Table27[[#This Row],[Year t]],Table24[[#All],[Year t]])), 0)</f>
        <v>0</v>
      </c>
      <c r="I5">
        <v>0</v>
      </c>
      <c r="J5">
        <f>Table27[[#This Row],[GHGBSL]]-Table27[[#This Row],[GHGWPS]]+Table27[[#This Row],[FRP]]-Table27[[#This Row],[GHGLK]]-Table27[[#This Row],[GHG(WPS-soil)_Deduction]]</f>
        <v>0</v>
      </c>
      <c r="K5">
        <f>IF(NERRWE_Cap, IF(Table27[[#This Row],[NERRWE (Eq 85)]]&lt;=NERRWE_Max, Table27[[#This Row],[NERRWE (Eq 85)]], NERRWE_Max), Table27[[#This Row],[NERRWE (Eq 85)]])</f>
        <v>0</v>
      </c>
      <c r="L5">
        <f>Table27[[#This Row],[NERRWE Capped]]</f>
        <v>0</v>
      </c>
      <c r="M5" s="40">
        <f>'IndividualParameters + UI Req'!$B$9</f>
        <v>0</v>
      </c>
      <c r="N5" s="40">
        <f>'IndividualParameters + UI Req'!$B$6</f>
        <v>0</v>
      </c>
      <c r="O5">
        <f>Table27[[#This Row],[NERt]]*(100% - Table27[[#This Row],[NER(ERROR)]]+Table27[[#This Row],[allowable_uncert]])</f>
        <v>0</v>
      </c>
      <c r="P5">
        <f>SUMIF(Table14[[#All],[year t]], "&lt;="&amp;Table27[[#This Row],[Year t]], Table14[[#All],[('[@'[GHGBSL-soil-CO2,i,t (Eq 27)']']-'[@'[Deductionalloch (Eq 38)']'])*Ai,t]])</f>
        <v>0</v>
      </c>
      <c r="Q5">
        <f>INDEX(Table11[[#All],[GHG(BSL-biomass)]], MATCH(Table27[[#This Row],[Year t]], Table11[[#All],[year t]]))</f>
        <v>0</v>
      </c>
      <c r="R5">
        <f xml:space="preserve"> SUMIF(Table1423[[#All],[year t]], "&lt;="&amp;Table27[[#This Row],[Year t]], Table1423[[#All],[('[@'[GHGWPS-soil-CO2,i,t (Eq 27)']']-'[@'[Deductionalloch WPS (Eq 38)']'])*Ai,t]] )</f>
        <v>0</v>
      </c>
      <c r="S5">
        <f>INDEX(Table1120[[#All],[GHG(WPS-biomass)]], MATCH(Table27[[#This Row],[Year t]], Table1120[[#All],[year t]]))</f>
        <v>0</v>
      </c>
      <c r="T5">
        <f>((Table27[[#This Row],[Sum(GHGBSL-soil-CO2,i,t (Eq 27)-Deductionalloch (Eq 38)),t]]+Table27[[#This Row],[GHG(BSL-biomass),t]])-(Table27[[#This Row],[Sum('[@'[GHGWPS-soil-CO2,i,t (Eq 80)']']-'[@Deductionalloch'])]]+Table27[[#This Row],[GHG(WPS-biomass)]]))</f>
        <v>0</v>
      </c>
      <c r="U5">
        <f>'IndividualParameters + UI Req'!$B$7</f>
        <v>0.13</v>
      </c>
      <c r="V5" s="37">
        <f>(Table27[[#This Row],[𝑁𝐸𝑅𝑠𝑡𝑜𝑐𝑘,t]]-0)*Table27[[#This Row],[Buffer%]]</f>
        <v>0</v>
      </c>
      <c r="W5" s="37">
        <f>(Table27[[#This Row],[adjusted_NERt (Eq 92)]]-0)-Table27[[#This Row],[Buffer_deduction (Eq 94)]]</f>
        <v>0</v>
      </c>
    </row>
    <row r="6" spans="2:23" x14ac:dyDescent="0.2">
      <c r="B6" s="18">
        <v>2023</v>
      </c>
      <c r="C6" cm="1">
        <f t="array" ref="C6">SUMPRODUCT(IF(Table14[[#All],[year t]]&lt;=Table27[[#This Row],[Year t]], Table14[[#All],[Ai,t]]*Table14[[#All],[GHGBSL-soil-CO2,i,t (Eq 27)]]))</f>
        <v>0</v>
      </c>
      <c r="D6">
        <f>INDEX(Table11[[#All],[GHG(BSL)]], MATCH(Table27[[#This Row],[Year t]], Table11[[#All],[year t]]))</f>
        <v>0</v>
      </c>
      <c r="E6" cm="1">
        <f t="array" ref="E6">SUMPRODUCT(IF(Table1423[[#All],[year t]]&lt;=Table27[[#This Row],[Year t]], Table1423[[#All],[Ai,t]]*Table1423[[#All],[GHGWPS-soil-CO2,i,t]]))</f>
        <v>0</v>
      </c>
      <c r="F6">
        <f>IF(Emission_reduction_from_stock_loss?, IF(Table27[[#This Row],[GHGBSL-soil-CO2,t ]]-Table27[[#This Row],[GHGWPS-soil-CO2,t]] - SOC_Max&gt;0, Table27[[#This Row],[GHGBSL-soil-CO2,t ]]-Table27[[#This Row],[GHGWPS-soil-CO2,t]] - SOC_Max, 0), 0)</f>
        <v>0</v>
      </c>
      <c r="G6">
        <f>INDEX(Table1120[[#All],[GHG(WPS) (Eq 69)]], MATCH(Table27[[#This Row],[Year t]], Table1120[[#All],[year t]]))</f>
        <v>-6.3122772395956227E-3</v>
      </c>
      <c r="H6">
        <f>IF(Fire_reduction_premium, INDEX(Table24[[#All],[FRP]], MATCH(Table27[[#This Row],[Year t]],Table24[[#All],[Year t]])), 0)</f>
        <v>0</v>
      </c>
      <c r="I6">
        <v>0</v>
      </c>
      <c r="J6">
        <f>Table27[[#This Row],[GHGBSL]]-Table27[[#This Row],[GHGWPS]]+Table27[[#This Row],[FRP]]-Table27[[#This Row],[GHGLK]]-Table27[[#This Row],[GHG(WPS-soil)_Deduction]]</f>
        <v>6.3122772395956227E-3</v>
      </c>
      <c r="K6">
        <f>IF(NERRWE_Cap, IF(Table27[[#This Row],[NERRWE (Eq 85)]]&lt;=NERRWE_Max, Table27[[#This Row],[NERRWE (Eq 85)]], NERRWE_Max), Table27[[#This Row],[NERRWE (Eq 85)]])</f>
        <v>6.3122772395956227E-3</v>
      </c>
      <c r="L6">
        <f>Table27[[#This Row],[NERRWE Capped]]</f>
        <v>6.3122772395956227E-3</v>
      </c>
      <c r="M6" s="40">
        <f>'IndividualParameters + UI Req'!$B$9</f>
        <v>0</v>
      </c>
      <c r="N6" s="40">
        <f>'IndividualParameters + UI Req'!$B$6</f>
        <v>0</v>
      </c>
      <c r="O6">
        <f>Table27[[#This Row],[NERt]]*(100% - Table27[[#This Row],[NER(ERROR)]]+Table27[[#This Row],[allowable_uncert]])</f>
        <v>6.3122772395956227E-3</v>
      </c>
      <c r="P6">
        <f>SUMIF(Table14[[#All],[year t]], "&lt;="&amp;Table27[[#This Row],[Year t]], Table14[[#All],[('[@'[GHGBSL-soil-CO2,i,t (Eq 27)']']-'[@'[Deductionalloch (Eq 38)']'])*Ai,t]])</f>
        <v>0</v>
      </c>
      <c r="Q6">
        <f>INDEX(Table11[[#All],[GHG(BSL-biomass)]], MATCH(Table27[[#This Row],[Year t]], Table11[[#All],[year t]]))</f>
        <v>0</v>
      </c>
      <c r="R6">
        <f xml:space="preserve"> SUMIF(Table1423[[#All],[year t]], "&lt;="&amp;Table27[[#This Row],[Year t]], Table1423[[#All],[('[@'[GHGWPS-soil-CO2,i,t (Eq 27)']']-'[@'[Deductionalloch WPS (Eq 38)']'])*Ai,t]] )</f>
        <v>0</v>
      </c>
      <c r="S6">
        <f>INDEX(Table1120[[#All],[GHG(WPS-biomass)]], MATCH(Table27[[#This Row],[Year t]], Table1120[[#All],[year t]]))</f>
        <v>-6.3122772395956227E-3</v>
      </c>
      <c r="T6">
        <f>((Table27[[#This Row],[Sum(GHGBSL-soil-CO2,i,t (Eq 27)-Deductionalloch (Eq 38)),t]]+Table27[[#This Row],[GHG(BSL-biomass),t]])-(Table27[[#This Row],[Sum('[@'[GHGWPS-soil-CO2,i,t (Eq 80)']']-'[@Deductionalloch'])]]+Table27[[#This Row],[GHG(WPS-biomass)]]))</f>
        <v>6.3122772395956227E-3</v>
      </c>
      <c r="U6">
        <f>'IndividualParameters + UI Req'!$B$7</f>
        <v>0.13</v>
      </c>
      <c r="V6">
        <f>(Table27[[#This Row],[𝑁𝐸𝑅𝑠𝑡𝑜𝑐𝑘,t]]-T5)*Table27[[#This Row],[Buffer%]]</f>
        <v>8.2059604114743099E-4</v>
      </c>
      <c r="W6">
        <f>(Table27[[#This Row],[adjusted_NERt (Eq 92)]]-O5)-Table27[[#This Row],[Buffer_deduction (Eq 94)]]</f>
        <v>5.4916811984481919E-3</v>
      </c>
    </row>
    <row r="7" spans="2:23" x14ac:dyDescent="0.2">
      <c r="B7" s="18">
        <v>2024</v>
      </c>
      <c r="C7" cm="1">
        <f t="array" ref="C7">SUMPRODUCT(IF(Table14[[#All],[year t]]&lt;=Table27[[#This Row],[Year t]], Table14[[#All],[Ai,t]]*Table14[[#All],[GHGBSL-soil-CO2,i,t (Eq 27)]]))</f>
        <v>0</v>
      </c>
      <c r="D7">
        <f>INDEX(Table11[[#All],[GHG(BSL)]], MATCH(Table27[[#This Row],[Year t]], Table11[[#All],[year t]]))</f>
        <v>0</v>
      </c>
      <c r="E7" cm="1">
        <f t="array" ref="E7">SUMPRODUCT(IF(Table1423[[#All],[year t]]&lt;=Table27[[#This Row],[Year t]], Table1423[[#All],[Ai,t]]*Table1423[[#All],[GHGWPS-soil-CO2,i,t]]))</f>
        <v>0</v>
      </c>
      <c r="F7">
        <f>IF(Emission_reduction_from_stock_loss?, IF(Table27[[#This Row],[GHGBSL-soil-CO2,t ]]-Table27[[#This Row],[GHGWPS-soil-CO2,t]] - SOC_Max&gt;0, Table27[[#This Row],[GHGBSL-soil-CO2,t ]]-Table27[[#This Row],[GHGWPS-soil-CO2,t]] - SOC_Max, 0), 0)</f>
        <v>0</v>
      </c>
      <c r="G7">
        <f>INDEX(Table1120[[#All],[GHG(WPS) (Eq 69)]], MATCH(Table27[[#This Row],[Year t]], Table1120[[#All],[year t]]))</f>
        <v>-0.34370794892315398</v>
      </c>
      <c r="H7">
        <f>IF(Fire_reduction_premium, INDEX(Table24[[#All],[FRP]], MATCH(Table27[[#This Row],[Year t]],Table24[[#All],[Year t]])), 0)</f>
        <v>0</v>
      </c>
      <c r="I7">
        <v>0</v>
      </c>
      <c r="J7">
        <f>Table27[[#This Row],[GHGBSL]]-Table27[[#This Row],[GHGWPS]]+Table27[[#This Row],[FRP]]-Table27[[#This Row],[GHGLK]]-Table27[[#This Row],[GHG(WPS-soil)_Deduction]]</f>
        <v>0.34370794892315398</v>
      </c>
      <c r="K7">
        <f>IF(NERRWE_Cap, IF(Table27[[#This Row],[NERRWE (Eq 85)]]&lt;=NERRWE_Max, Table27[[#This Row],[NERRWE (Eq 85)]], NERRWE_Max), Table27[[#This Row],[NERRWE (Eq 85)]])</f>
        <v>0.34370794892315398</v>
      </c>
      <c r="L7">
        <f>Table27[[#This Row],[NERRWE Capped]]</f>
        <v>0.34370794892315398</v>
      </c>
      <c r="M7" s="40">
        <f>'IndividualParameters + UI Req'!$B$9</f>
        <v>0</v>
      </c>
      <c r="N7" s="40">
        <f>'IndividualParameters + UI Req'!$B$6</f>
        <v>0</v>
      </c>
      <c r="O7">
        <f>Table27[[#This Row],[NERt]]*(100% - Table27[[#This Row],[NER(ERROR)]]+Table27[[#This Row],[allowable_uncert]])</f>
        <v>0.34370794892315398</v>
      </c>
      <c r="P7">
        <f>SUMIF(Table14[[#All],[year t]], "&lt;="&amp;Table27[[#This Row],[Year t]], Table14[[#All],[('[@'[GHGBSL-soil-CO2,i,t (Eq 27)']']-'[@'[Deductionalloch (Eq 38)']'])*Ai,t]])</f>
        <v>0</v>
      </c>
      <c r="Q7">
        <f>INDEX(Table11[[#All],[GHG(BSL-biomass)]], MATCH(Table27[[#This Row],[Year t]], Table11[[#All],[year t]]))</f>
        <v>0</v>
      </c>
      <c r="R7">
        <f xml:space="preserve"> SUMIF(Table1423[[#All],[year t]], "&lt;="&amp;Table27[[#This Row],[Year t]], Table1423[[#All],[('[@'[GHGWPS-soil-CO2,i,t (Eq 27)']']-'[@'[Deductionalloch WPS (Eq 38)']'])*Ai,t]] )</f>
        <v>0</v>
      </c>
      <c r="S7">
        <f>INDEX(Table1120[[#All],[GHG(WPS-biomass)]], MATCH(Table27[[#This Row],[Year t]], Table1120[[#All],[year t]]))</f>
        <v>-0.34370794892315398</v>
      </c>
      <c r="T7">
        <f>((Table27[[#This Row],[Sum(GHGBSL-soil-CO2,i,t (Eq 27)-Deductionalloch (Eq 38)),t]]+Table27[[#This Row],[GHG(BSL-biomass),t]])-(Table27[[#This Row],[Sum('[@'[GHGWPS-soil-CO2,i,t (Eq 80)']']-'[@Deductionalloch'])]]+Table27[[#This Row],[GHG(WPS-biomass)]]))</f>
        <v>0.34370794892315398</v>
      </c>
      <c r="U7">
        <f>'IndividualParameters + UI Req'!$B$7</f>
        <v>0.13</v>
      </c>
      <c r="V7">
        <f>(Table27[[#This Row],[𝑁𝐸𝑅𝑠𝑡𝑜𝑐𝑘,t]]-T6)*Table27[[#This Row],[Buffer%]]</f>
        <v>4.3861437318862592E-2</v>
      </c>
      <c r="W7">
        <f>(Table27[[#This Row],[adjusted_NERt (Eq 92)]]-O6)-Table27[[#This Row],[Buffer_deduction (Eq 94)]]</f>
        <v>0.29353423436469578</v>
      </c>
    </row>
    <row r="8" spans="2:23" x14ac:dyDescent="0.2">
      <c r="B8" s="18">
        <v>2025</v>
      </c>
      <c r="C8" cm="1">
        <f t="array" ref="C8">SUMPRODUCT(IF(Table14[[#All],[year t]]&lt;=Table27[[#This Row],[Year t]], Table14[[#All],[Ai,t]]*Table14[[#All],[GHGBSL-soil-CO2,i,t (Eq 27)]]))</f>
        <v>0</v>
      </c>
      <c r="D8">
        <f>INDEX(Table11[[#All],[GHG(BSL)]], MATCH(Table27[[#This Row],[Year t]], Table11[[#All],[year t]]))</f>
        <v>0</v>
      </c>
      <c r="E8" cm="1">
        <f t="array" ref="E8">SUMPRODUCT(IF(Table1423[[#All],[year t]]&lt;=Table27[[#This Row],[Year t]], Table1423[[#All],[Ai,t]]*Table1423[[#All],[GHGWPS-soil-CO2,i,t]]))</f>
        <v>0</v>
      </c>
      <c r="F8">
        <f>IF(Emission_reduction_from_stock_loss?, IF(Table27[[#This Row],[GHGBSL-soil-CO2,t ]]-Table27[[#This Row],[GHGWPS-soil-CO2,t]] - SOC_Max&gt;0, Table27[[#This Row],[GHGBSL-soil-CO2,t ]]-Table27[[#This Row],[GHGWPS-soil-CO2,t]] - SOC_Max, 0), 0)</f>
        <v>0</v>
      </c>
      <c r="G8">
        <f>INDEX(Table1120[[#All],[GHG(WPS) (Eq 69)]], MATCH(Table27[[#This Row],[Year t]], Table1120[[#All],[year t]]))</f>
        <v>-5.2964116743586516</v>
      </c>
      <c r="H8">
        <f>IF(Fire_reduction_premium, INDEX(Table24[[#All],[FRP]], MATCH(Table27[[#This Row],[Year t]],Table24[[#All],[Year t]])), 0)</f>
        <v>0</v>
      </c>
      <c r="I8">
        <v>0</v>
      </c>
      <c r="J8">
        <f>Table27[[#This Row],[GHGBSL]]-Table27[[#This Row],[GHGWPS]]+Table27[[#This Row],[FRP]]-Table27[[#This Row],[GHGLK]]-Table27[[#This Row],[GHG(WPS-soil)_Deduction]]</f>
        <v>5.2964116743586516</v>
      </c>
      <c r="K8">
        <f>IF(NERRWE_Cap, IF(Table27[[#This Row],[NERRWE (Eq 85)]]&lt;=NERRWE_Max, Table27[[#This Row],[NERRWE (Eq 85)]], NERRWE_Max), Table27[[#This Row],[NERRWE (Eq 85)]])</f>
        <v>5.2964116743586516</v>
      </c>
      <c r="L8">
        <f>Table27[[#This Row],[NERRWE Capped]]</f>
        <v>5.2964116743586516</v>
      </c>
      <c r="M8" s="40">
        <f>'IndividualParameters + UI Req'!$B$9</f>
        <v>0</v>
      </c>
      <c r="N8" s="40">
        <f>'IndividualParameters + UI Req'!$B$6</f>
        <v>0</v>
      </c>
      <c r="O8">
        <f>Table27[[#This Row],[NERt]]*(100% - Table27[[#This Row],[NER(ERROR)]]+Table27[[#This Row],[allowable_uncert]])</f>
        <v>5.2964116743586516</v>
      </c>
      <c r="P8">
        <f>SUMIF(Table14[[#All],[year t]], "&lt;="&amp;Table27[[#This Row],[Year t]], Table14[[#All],[('[@'[GHGBSL-soil-CO2,i,t (Eq 27)']']-'[@'[Deductionalloch (Eq 38)']'])*Ai,t]])</f>
        <v>0</v>
      </c>
      <c r="Q8">
        <f>INDEX(Table11[[#All],[GHG(BSL-biomass)]], MATCH(Table27[[#This Row],[Year t]], Table11[[#All],[year t]]))</f>
        <v>0</v>
      </c>
      <c r="R8">
        <f xml:space="preserve"> SUMIF(Table1423[[#All],[year t]], "&lt;="&amp;Table27[[#This Row],[Year t]], Table1423[[#All],[('[@'[GHGWPS-soil-CO2,i,t (Eq 27)']']-'[@'[Deductionalloch WPS (Eq 38)']'])*Ai,t]] )</f>
        <v>0</v>
      </c>
      <c r="S8">
        <f>INDEX(Table1120[[#All],[GHG(WPS-biomass)]], MATCH(Table27[[#This Row],[Year t]], Table1120[[#All],[year t]]))</f>
        <v>-5.2964116743586516</v>
      </c>
      <c r="T8">
        <f>((Table27[[#This Row],[Sum(GHGBSL-soil-CO2,i,t (Eq 27)-Deductionalloch (Eq 38)),t]]+Table27[[#This Row],[GHG(BSL-biomass),t]])-(Table27[[#This Row],[Sum('[@'[GHGWPS-soil-CO2,i,t (Eq 80)']']-'[@Deductionalloch'])]]+Table27[[#This Row],[GHG(WPS-biomass)]]))</f>
        <v>5.2964116743586516</v>
      </c>
      <c r="U8">
        <f>'IndividualParameters + UI Req'!$B$7</f>
        <v>0.13</v>
      </c>
      <c r="V8">
        <f>(Table27[[#This Row],[𝑁𝐸𝑅𝑠𝑡𝑜𝑐𝑘,t]]-T7)*Table27[[#This Row],[Buffer%]]</f>
        <v>0.64385148430661476</v>
      </c>
      <c r="W8">
        <f>(Table27[[#This Row],[adjusted_NERt (Eq 92)]]-O7)-Table27[[#This Row],[Buffer_deduction (Eq 94)]]</f>
        <v>4.308852241128883</v>
      </c>
    </row>
    <row r="9" spans="2:23" x14ac:dyDescent="0.2">
      <c r="B9" s="18">
        <v>2026</v>
      </c>
      <c r="C9" cm="1">
        <f t="array" ref="C9">SUMPRODUCT(IF(Table14[[#All],[year t]]&lt;=Table27[[#This Row],[Year t]], Table14[[#All],[Ai,t]]*Table14[[#All],[GHGBSL-soil-CO2,i,t (Eq 27)]]))</f>
        <v>0</v>
      </c>
      <c r="D9">
        <f>INDEX(Table11[[#All],[GHG(BSL)]], MATCH(Table27[[#This Row],[Year t]], Table11[[#All],[year t]]))</f>
        <v>0</v>
      </c>
      <c r="E9" cm="1">
        <f t="array" ref="E9">SUMPRODUCT(IF(Table1423[[#All],[year t]]&lt;=Table27[[#This Row],[Year t]], Table1423[[#All],[Ai,t]]*Table1423[[#All],[GHGWPS-soil-CO2,i,t]]))</f>
        <v>-1919.1779828571428</v>
      </c>
      <c r="F9">
        <f>IF(Emission_reduction_from_stock_loss?, IF(Table27[[#This Row],[GHGBSL-soil-CO2,t ]]-Table27[[#This Row],[GHGWPS-soil-CO2,t]] - SOC_Max&gt;0, Table27[[#This Row],[GHGBSL-soil-CO2,t ]]-Table27[[#This Row],[GHGWPS-soil-CO2,t]] - SOC_Max, 0), 0)</f>
        <v>0</v>
      </c>
      <c r="G9">
        <f>INDEX(Table1120[[#All],[GHG(WPS) (Eq 69)]], MATCH(Table27[[#This Row],[Year t]], Table1120[[#All],[year t]]))</f>
        <v>-1508.3567291784814</v>
      </c>
      <c r="H9">
        <f>IF(Fire_reduction_premium, INDEX(Table24[[#All],[FRP]], MATCH(Table27[[#This Row],[Year t]],Table24[[#All],[Year t]])), 0)</f>
        <v>0</v>
      </c>
      <c r="I9">
        <v>0</v>
      </c>
      <c r="J9">
        <f>Table27[[#This Row],[GHGBSL]]-Table27[[#This Row],[GHGWPS]]+Table27[[#This Row],[FRP]]-Table27[[#This Row],[GHGLK]]-Table27[[#This Row],[GHG(WPS-soil)_Deduction]]</f>
        <v>1508.3567291784814</v>
      </c>
      <c r="K9">
        <f>IF(NERRWE_Cap, IF(Table27[[#This Row],[NERRWE (Eq 85)]]&lt;=NERRWE_Max, Table27[[#This Row],[NERRWE (Eq 85)]], NERRWE_Max), Table27[[#This Row],[NERRWE (Eq 85)]])</f>
        <v>1508.3567291784814</v>
      </c>
      <c r="L9">
        <f>Table27[[#This Row],[NERRWE Capped]]</f>
        <v>1508.3567291784814</v>
      </c>
      <c r="M9" s="40">
        <f>'IndividualParameters + UI Req'!$B$9</f>
        <v>0</v>
      </c>
      <c r="N9" s="40">
        <f>'IndividualParameters + UI Req'!$B$6</f>
        <v>0</v>
      </c>
      <c r="O9">
        <f>Table27[[#This Row],[NERt]]*(100% - Table27[[#This Row],[NER(ERROR)]]+Table27[[#This Row],[allowable_uncert]])</f>
        <v>1508.3567291784814</v>
      </c>
      <c r="P9">
        <f>SUMIF(Table14[[#All],[year t]], "&lt;="&amp;Table27[[#This Row],[Year t]], Table14[[#All],[('[@'[GHGBSL-soil-CO2,i,t (Eq 27)']']-'[@'[Deductionalloch (Eq 38)']'])*Ai,t]])</f>
        <v>0</v>
      </c>
      <c r="Q9">
        <f>INDEX(Table11[[#All],[GHG(BSL-biomass)]], MATCH(Table27[[#This Row],[Year t]], Table11[[#All],[year t]]))</f>
        <v>0</v>
      </c>
      <c r="R9">
        <f xml:space="preserve"> SUMIF(Table1423[[#All],[year t]], "&lt;="&amp;Table27[[#This Row],[Year t]], Table1423[[#All],[('[@'[GHGWPS-soil-CO2,i,t (Eq 27)']']-'[@'[Deductionalloch WPS (Eq 38)']'])*Ai,t]] )</f>
        <v>-1466.9894449934256</v>
      </c>
      <c r="S9">
        <f>INDEX(Table1120[[#All],[GHG(WPS-biomass)]], MATCH(Table27[[#This Row],[Year t]], Table1120[[#All],[year t]]))</f>
        <v>-41.367284185055659</v>
      </c>
      <c r="T9">
        <f>((Table27[[#This Row],[Sum(GHGBSL-soil-CO2,i,t (Eq 27)-Deductionalloch (Eq 38)),t]]+Table27[[#This Row],[GHG(BSL-biomass),t]])-(Table27[[#This Row],[Sum('[@'[GHGWPS-soil-CO2,i,t (Eq 80)']']-'[@Deductionalloch'])]]+Table27[[#This Row],[GHG(WPS-biomass)]]))</f>
        <v>1508.3567291784814</v>
      </c>
      <c r="U9">
        <f>'IndividualParameters + UI Req'!$B$7</f>
        <v>0.13</v>
      </c>
      <c r="V9">
        <f>(Table27[[#This Row],[𝑁𝐸𝑅𝑠𝑡𝑜𝑐𝑘,t]]-T8)*Table27[[#This Row],[Buffer%]]</f>
        <v>195.39784127553594</v>
      </c>
      <c r="W9">
        <f>(Table27[[#This Row],[adjusted_NERt (Eq 92)]]-O8)-Table27[[#This Row],[Buffer_deduction (Eq 94)]]</f>
        <v>1307.6624762285867</v>
      </c>
    </row>
    <row r="10" spans="2:23" x14ac:dyDescent="0.2">
      <c r="B10" s="18">
        <v>2027</v>
      </c>
      <c r="C10" cm="1">
        <f t="array" ref="C10">SUMPRODUCT(IF(Table14[[#All],[year t]]&lt;=Table27[[#This Row],[Year t]], Table14[[#All],[Ai,t]]*Table14[[#All],[GHGBSL-soil-CO2,i,t (Eq 27)]]))</f>
        <v>0</v>
      </c>
      <c r="D10">
        <f>INDEX(Table11[[#All],[GHG(BSL)]], MATCH(Table27[[#This Row],[Year t]], Table11[[#All],[year t]]))</f>
        <v>0</v>
      </c>
      <c r="E10" cm="1">
        <f t="array" ref="E10">SUMPRODUCT(IF(Table1423[[#All],[year t]]&lt;=Table27[[#This Row],[Year t]], Table1423[[#All],[Ai,t]]*Table1423[[#All],[GHGWPS-soil-CO2,i,t]]))</f>
        <v>-7904.1518348571426</v>
      </c>
      <c r="F10">
        <f>IF(Emission_reduction_from_stock_loss?, IF(Table27[[#This Row],[GHGBSL-soil-CO2,t ]]-Table27[[#This Row],[GHGWPS-soil-CO2,t]] - SOC_Max&gt;0, Table27[[#This Row],[GHGBSL-soil-CO2,t ]]-Table27[[#This Row],[GHGWPS-soil-CO2,t]] - SOC_Max, 0), 0)</f>
        <v>0</v>
      </c>
      <c r="G10">
        <f>INDEX(Table1120[[#All],[GHG(WPS) (Eq 69)]], MATCH(Table27[[#This Row],[Year t]], Table1120[[#All],[year t]]))</f>
        <v>-6251.4019260697869</v>
      </c>
      <c r="H10">
        <f>IF(Fire_reduction_premium, INDEX(Table24[[#All],[FRP]], MATCH(Table27[[#This Row],[Year t]],Table24[[#All],[Year t]])), 0)</f>
        <v>0</v>
      </c>
      <c r="I10">
        <v>0</v>
      </c>
      <c r="J10">
        <f>Table27[[#This Row],[GHGBSL]]-Table27[[#This Row],[GHGWPS]]+Table27[[#This Row],[FRP]]-Table27[[#This Row],[GHGLK]]-Table27[[#This Row],[GHG(WPS-soil)_Deduction]]</f>
        <v>6251.4019260697869</v>
      </c>
      <c r="K10">
        <f>IF(NERRWE_Cap, IF(Table27[[#This Row],[NERRWE (Eq 85)]]&lt;=NERRWE_Max, Table27[[#This Row],[NERRWE (Eq 85)]], NERRWE_Max), Table27[[#This Row],[NERRWE (Eq 85)]])</f>
        <v>6251.4019260697869</v>
      </c>
      <c r="L10">
        <f>Table27[[#This Row],[NERRWE Capped]]</f>
        <v>6251.4019260697869</v>
      </c>
      <c r="M10" s="40">
        <f>'IndividualParameters + UI Req'!$B$9</f>
        <v>0</v>
      </c>
      <c r="N10" s="40">
        <f>'IndividualParameters + UI Req'!$B$6</f>
        <v>0</v>
      </c>
      <c r="O10">
        <f>Table27[[#This Row],[NERt]]*(100% - Table27[[#This Row],[NER(ERROR)]]+Table27[[#This Row],[allowable_uncert]])</f>
        <v>6251.4019260697869</v>
      </c>
      <c r="P10">
        <f>SUMIF(Table14[[#All],[year t]], "&lt;="&amp;Table27[[#This Row],[Year t]], Table14[[#All],[('[@'[GHGBSL-soil-CO2,i,t (Eq 27)']']-'[@'[Deductionalloch (Eq 38)']'])*Ai,t]])</f>
        <v>0</v>
      </c>
      <c r="Q10">
        <f>INDEX(Table11[[#All],[GHG(BSL-biomass)]], MATCH(Table27[[#This Row],[Year t]], Table11[[#All],[year t]]))</f>
        <v>0</v>
      </c>
      <c r="R10">
        <f xml:space="preserve"> SUMIF(Table1423[[#All],[year t]], "&lt;="&amp;Table27[[#This Row],[Year t]], Table1423[[#All],[('[@'[GHGWPS-soil-CO2,i,t (Eq 27)']']-'[@'[Deductionalloch WPS (Eq 38)']'])*Ai,t]] )</f>
        <v>-6041.8092625773743</v>
      </c>
      <c r="S10">
        <f>INDEX(Table1120[[#All],[GHG(WPS-biomass)]], MATCH(Table27[[#This Row],[Year t]], Table1120[[#All],[year t]]))</f>
        <v>-209.59266349241224</v>
      </c>
      <c r="T10">
        <f>((Table27[[#This Row],[Sum(GHGBSL-soil-CO2,i,t (Eq 27)-Deductionalloch (Eq 38)),t]]+Table27[[#This Row],[GHG(BSL-biomass),t]])-(Table27[[#This Row],[Sum('[@'[GHGWPS-soil-CO2,i,t (Eq 80)']']-'[@Deductionalloch'])]]+Table27[[#This Row],[GHG(WPS-biomass)]]))</f>
        <v>6251.4019260697869</v>
      </c>
      <c r="U10">
        <f>'IndividualParameters + UI Req'!$B$7</f>
        <v>0.13</v>
      </c>
      <c r="V10">
        <f>(Table27[[#This Row],[𝑁𝐸𝑅𝑠𝑡𝑜𝑐𝑘,t]]-T9)*Table27[[#This Row],[Buffer%]]</f>
        <v>616.59587559586976</v>
      </c>
      <c r="W10">
        <f>(Table27[[#This Row],[adjusted_NERt (Eq 92)]]-O9)-Table27[[#This Row],[Buffer_deduction (Eq 94)]]</f>
        <v>4126.4493212954358</v>
      </c>
    </row>
    <row r="11" spans="2:23" x14ac:dyDescent="0.2">
      <c r="B11" s="18">
        <v>2028</v>
      </c>
      <c r="C11" cm="1">
        <f t="array" ref="C11">SUMPRODUCT(IF(Table14[[#All],[year t]]&lt;=Table27[[#This Row],[Year t]], Table14[[#All],[Ai,t]]*Table14[[#All],[GHGBSL-soil-CO2,i,t (Eq 27)]]))</f>
        <v>0</v>
      </c>
      <c r="D11">
        <f>INDEX(Table11[[#All],[GHG(BSL)]], MATCH(Table27[[#This Row],[Year t]], Table11[[#All],[year t]]))</f>
        <v>0</v>
      </c>
      <c r="E11" cm="1">
        <f t="array" ref="E11">SUMPRODUCT(IF(Table1423[[#All],[year t]]&lt;=Table27[[#This Row],[Year t]], Table1423[[#All],[Ai,t]]*Table1423[[#All],[GHGWPS-soil-CO2,i,t]]))</f>
        <v>-19424.097709028571</v>
      </c>
      <c r="F11">
        <f>IF(Emission_reduction_from_stock_loss?, IF(Table27[[#This Row],[GHGBSL-soil-CO2,t ]]-Table27[[#This Row],[GHGWPS-soil-CO2,t]] - SOC_Max&gt;0, Table27[[#This Row],[GHGBSL-soil-CO2,t ]]-Table27[[#This Row],[GHGWPS-soil-CO2,t]] - SOC_Max, 0), 0)</f>
        <v>0</v>
      </c>
      <c r="G11">
        <f>INDEX(Table1120[[#All],[GHG(WPS) (Eq 69)]], MATCH(Table27[[#This Row],[Year t]], Table1120[[#All],[year t]]))</f>
        <v>-15631.092011240797</v>
      </c>
      <c r="H11">
        <f>IF(Fire_reduction_premium, INDEX(Table24[[#All],[FRP]], MATCH(Table27[[#This Row],[Year t]],Table24[[#All],[Year t]])), 0)</f>
        <v>0</v>
      </c>
      <c r="I11">
        <v>0</v>
      </c>
      <c r="J11">
        <f>Table27[[#This Row],[GHGBSL]]-Table27[[#This Row],[GHGWPS]]+Table27[[#This Row],[FRP]]-Table27[[#This Row],[GHGLK]]-Table27[[#This Row],[GHG(WPS-soil)_Deduction]]</f>
        <v>15631.092011240797</v>
      </c>
      <c r="K11">
        <f>IF(NERRWE_Cap, IF(Table27[[#This Row],[NERRWE (Eq 85)]]&lt;=NERRWE_Max, Table27[[#This Row],[NERRWE (Eq 85)]], NERRWE_Max), Table27[[#This Row],[NERRWE (Eq 85)]])</f>
        <v>15631.092011240797</v>
      </c>
      <c r="L11">
        <f>Table27[[#This Row],[NERRWE Capped]]</f>
        <v>15631.092011240797</v>
      </c>
      <c r="M11" s="40">
        <f>'IndividualParameters + UI Req'!$B$9</f>
        <v>0</v>
      </c>
      <c r="N11" s="40">
        <f>'IndividualParameters + UI Req'!$B$6</f>
        <v>0</v>
      </c>
      <c r="O11">
        <f>Table27[[#This Row],[NERt]]*(100% - Table27[[#This Row],[NER(ERROR)]]+Table27[[#This Row],[allowable_uncert]])</f>
        <v>15631.092011240797</v>
      </c>
      <c r="P11">
        <f>SUMIF(Table14[[#All],[year t]], "&lt;="&amp;Table27[[#This Row],[Year t]], Table14[[#All],[('[@'[GHGBSL-soil-CO2,i,t (Eq 27)']']-'[@'[Deductionalloch (Eq 38)']'])*Ai,t]])</f>
        <v>0</v>
      </c>
      <c r="Q11">
        <f>INDEX(Table11[[#All],[GHG(BSL-biomass)]], MATCH(Table27[[#This Row],[Year t]], Table11[[#All],[year t]]))</f>
        <v>0</v>
      </c>
      <c r="R11">
        <f xml:space="preserve"> SUMIF(Table1423[[#All],[year t]], "&lt;="&amp;Table27[[#This Row],[Year t]], Table1423[[#All],[('[@'[GHGWPS-soil-CO2,i,t (Eq 27)']']-'[@'[Deductionalloch WPS (Eq 38)']'])*Ai,t]] )</f>
        <v>-14847.474581406221</v>
      </c>
      <c r="S11">
        <f>INDEX(Table1120[[#All],[GHG(WPS-biomass)]], MATCH(Table27[[#This Row],[Year t]], Table1120[[#All],[year t]]))</f>
        <v>-783.61742983457532</v>
      </c>
      <c r="T11">
        <f>((Table27[[#This Row],[Sum(GHGBSL-soil-CO2,i,t (Eq 27)-Deductionalloch (Eq 38)),t]]+Table27[[#This Row],[GHG(BSL-biomass),t]])-(Table27[[#This Row],[Sum('[@'[GHGWPS-soil-CO2,i,t (Eq 80)']']-'[@Deductionalloch'])]]+Table27[[#This Row],[GHG(WPS-biomass)]]))</f>
        <v>15631.092011240797</v>
      </c>
      <c r="U11">
        <f>'IndividualParameters + UI Req'!$B$7</f>
        <v>0.13</v>
      </c>
      <c r="V11">
        <f>(Table27[[#This Row],[𝑁𝐸𝑅𝑠𝑡𝑜𝑐𝑘,t]]-T10)*Table27[[#This Row],[Buffer%]]</f>
        <v>1219.3597110722312</v>
      </c>
      <c r="W11">
        <f>(Table27[[#This Row],[adjusted_NERt (Eq 92)]]-O10)-Table27[[#This Row],[Buffer_deduction (Eq 94)]]</f>
        <v>8160.3303740987776</v>
      </c>
    </row>
    <row r="12" spans="2:23" x14ac:dyDescent="0.2">
      <c r="B12" s="18">
        <v>2029</v>
      </c>
      <c r="C12" cm="1">
        <f t="array" ref="C12">SUMPRODUCT(IF(Table14[[#All],[year t]]&lt;=Table27[[#This Row],[Year t]], Table14[[#All],[Ai,t]]*Table14[[#All],[GHGBSL-soil-CO2,i,t (Eq 27)]]))</f>
        <v>0</v>
      </c>
      <c r="D12">
        <f>INDEX(Table11[[#All],[GHG(BSL)]], MATCH(Table27[[#This Row],[Year t]], Table11[[#All],[year t]]))</f>
        <v>0</v>
      </c>
      <c r="E12" cm="1">
        <f t="array" ref="E12">SUMPRODUCT(IF(Table1423[[#All],[year t]]&lt;=Table27[[#This Row],[Year t]], Table1423[[#All],[Ai,t]]*Table1423[[#All],[GHGWPS-soil-CO2,i,t]]))</f>
        <v>-35901.335301165716</v>
      </c>
      <c r="F12">
        <f>IF(Emission_reduction_from_stock_loss?, IF(Table27[[#This Row],[GHGBSL-soil-CO2,t ]]-Table27[[#This Row],[GHGWPS-soil-CO2,t]] - SOC_Max&gt;0, Table27[[#This Row],[GHGBSL-soil-CO2,t ]]-Table27[[#This Row],[GHGWPS-soil-CO2,t]] - SOC_Max, 0), 0)</f>
        <v>0</v>
      </c>
      <c r="G12">
        <f>INDEX(Table1120[[#All],[GHG(WPS) (Eq 69)]], MATCH(Table27[[#This Row],[Year t]], Table1120[[#All],[year t]]))</f>
        <v>-29776.830752805785</v>
      </c>
      <c r="H12">
        <f>IF(Fire_reduction_premium, INDEX(Table24[[#All],[FRP]], MATCH(Table27[[#This Row],[Year t]],Table24[[#All],[Year t]])), 0)</f>
        <v>0</v>
      </c>
      <c r="I12">
        <v>0</v>
      </c>
      <c r="J12">
        <f>Table27[[#This Row],[GHGBSL]]-Table27[[#This Row],[GHGWPS]]+Table27[[#This Row],[FRP]]-Table27[[#This Row],[GHGLK]]-Table27[[#This Row],[GHG(WPS-soil)_Deduction]]</f>
        <v>29776.830752805785</v>
      </c>
      <c r="K12">
        <f>IF(NERRWE_Cap, IF(Table27[[#This Row],[NERRWE (Eq 85)]]&lt;=NERRWE_Max, Table27[[#This Row],[NERRWE (Eq 85)]], NERRWE_Max), Table27[[#This Row],[NERRWE (Eq 85)]])</f>
        <v>29776.830752805785</v>
      </c>
      <c r="L12">
        <f>Table27[[#This Row],[NERRWE Capped]]</f>
        <v>29776.830752805785</v>
      </c>
      <c r="M12" s="40">
        <f>'IndividualParameters + UI Req'!$B$9</f>
        <v>0</v>
      </c>
      <c r="N12" s="40">
        <f>'IndividualParameters + UI Req'!$B$6</f>
        <v>0</v>
      </c>
      <c r="O12">
        <f>Table27[[#This Row],[NERt]]*(100% - Table27[[#This Row],[NER(ERROR)]]+Table27[[#This Row],[allowable_uncert]])</f>
        <v>29776.830752805785</v>
      </c>
      <c r="P12">
        <f>SUMIF(Table14[[#All],[year t]], "&lt;="&amp;Table27[[#This Row],[Year t]], Table14[[#All],[('[@'[GHGBSL-soil-CO2,i,t (Eq 27)']']-'[@'[Deductionalloch (Eq 38)']'])*Ai,t]])</f>
        <v>0</v>
      </c>
      <c r="Q12">
        <f>INDEX(Table11[[#All],[GHG(BSL-biomass)]], MATCH(Table27[[#This Row],[Year t]], Table11[[#All],[year t]]))</f>
        <v>0</v>
      </c>
      <c r="R12">
        <f xml:space="preserve"> SUMIF(Table1423[[#All],[year t]], "&lt;="&amp;Table27[[#This Row],[Year t]], Table1423[[#All],[('[@'[GHGWPS-soil-CO2,i,t (Eq 27)']']-'[@'[Deductionalloch WPS (Eq 38)']'])*Ai,t]] )</f>
        <v>-27442.415668802674</v>
      </c>
      <c r="S12">
        <f>INDEX(Table1120[[#All],[GHG(WPS-biomass)]], MATCH(Table27[[#This Row],[Year t]], Table1120[[#All],[year t]]))</f>
        <v>-2334.4150840031102</v>
      </c>
      <c r="T12">
        <f>((Table27[[#This Row],[Sum(GHGBSL-soil-CO2,i,t (Eq 27)-Deductionalloch (Eq 38)),t]]+Table27[[#This Row],[GHG(BSL-biomass),t]])-(Table27[[#This Row],[Sum('[@'[GHGWPS-soil-CO2,i,t (Eq 80)']']-'[@Deductionalloch'])]]+Table27[[#This Row],[GHG(WPS-biomass)]]))</f>
        <v>29776.830752805785</v>
      </c>
      <c r="U12">
        <f>'IndividualParameters + UI Req'!$B$7</f>
        <v>0.13</v>
      </c>
      <c r="V12">
        <f>(Table27[[#This Row],[𝑁𝐸𝑅𝑠𝑡𝑜𝑐𝑘,t]]-T11)*Table27[[#This Row],[Buffer%]]</f>
        <v>1838.9460364034485</v>
      </c>
      <c r="W12">
        <f>(Table27[[#This Row],[adjusted_NERt (Eq 92)]]-O11)-Table27[[#This Row],[Buffer_deduction (Eq 94)]]</f>
        <v>12306.792705161541</v>
      </c>
    </row>
    <row r="13" spans="2:23" x14ac:dyDescent="0.2">
      <c r="B13" s="18">
        <v>2030</v>
      </c>
      <c r="C13" cm="1">
        <f t="array" ref="C13">SUMPRODUCT(IF(Table14[[#All],[year t]]&lt;=Table27[[#This Row],[Year t]], Table14[[#All],[Ai,t]]*Table14[[#All],[GHGBSL-soil-CO2,i,t (Eq 27)]]))</f>
        <v>0</v>
      </c>
      <c r="D13">
        <f>INDEX(Table11[[#All],[GHG(BSL)]], MATCH(Table27[[#This Row],[Year t]], Table11[[#All],[year t]]))</f>
        <v>0</v>
      </c>
      <c r="E13" cm="1">
        <f t="array" ref="E13">SUMPRODUCT(IF(Table1423[[#All],[year t]]&lt;=Table27[[#This Row],[Year t]], Table1423[[#All],[Ai,t]]*Table1423[[#All],[GHGWPS-soil-CO2,i,t]]))</f>
        <v>-55823.25994054856</v>
      </c>
      <c r="F13">
        <f>IF(Emission_reduction_from_stock_loss?, IF(Table27[[#This Row],[GHGBSL-soil-CO2,t ]]-Table27[[#This Row],[GHGWPS-soil-CO2,t]] - SOC_Max&gt;0, Table27[[#This Row],[GHGBSL-soil-CO2,t ]]-Table27[[#This Row],[GHGWPS-soil-CO2,t]] - SOC_Max, 0), 0)</f>
        <v>0</v>
      </c>
      <c r="G13">
        <f>INDEX(Table1120[[#All],[GHG(WPS) (Eq 69)]], MATCH(Table27[[#This Row],[Year t]], Table1120[[#All],[year t]]))</f>
        <v>-48497.760130147399</v>
      </c>
      <c r="H13">
        <f>IF(Fire_reduction_premium, INDEX(Table24[[#All],[FRP]], MATCH(Table27[[#This Row],[Year t]],Table24[[#All],[Year t]])), 0)</f>
        <v>0</v>
      </c>
      <c r="I13">
        <v>0</v>
      </c>
      <c r="J13">
        <f>Table27[[#This Row],[GHGBSL]]-Table27[[#This Row],[GHGWPS]]+Table27[[#This Row],[FRP]]-Table27[[#This Row],[GHGLK]]-Table27[[#This Row],[GHG(WPS-soil)_Deduction]]</f>
        <v>48497.760130147399</v>
      </c>
      <c r="K13">
        <f>IF(NERRWE_Cap, IF(Table27[[#This Row],[NERRWE (Eq 85)]]&lt;=NERRWE_Max, Table27[[#This Row],[NERRWE (Eq 85)]], NERRWE_Max), Table27[[#This Row],[NERRWE (Eq 85)]])</f>
        <v>48497.760130147399</v>
      </c>
      <c r="L13">
        <f>Table27[[#This Row],[NERRWE Capped]]</f>
        <v>48497.760130147399</v>
      </c>
      <c r="M13" s="40">
        <f>'IndividualParameters + UI Req'!$B$9</f>
        <v>0</v>
      </c>
      <c r="N13" s="40">
        <f>'IndividualParameters + UI Req'!$B$6</f>
        <v>0</v>
      </c>
      <c r="O13">
        <f>Table27[[#This Row],[NERt]]*(100% - Table27[[#This Row],[NER(ERROR)]]+Table27[[#This Row],[allowable_uncert]])</f>
        <v>48497.760130147399</v>
      </c>
      <c r="P13">
        <f>SUMIF(Table14[[#All],[year t]], "&lt;="&amp;Table27[[#This Row],[Year t]], Table14[[#All],[('[@'[GHGBSL-soil-CO2,i,t (Eq 27)']']-'[@'[Deductionalloch (Eq 38)']'])*Ai,t]])</f>
        <v>0</v>
      </c>
      <c r="Q13">
        <f>INDEX(Table11[[#All],[GHG(BSL-biomass)]], MATCH(Table27[[#This Row],[Year t]], Table11[[#All],[year t]]))</f>
        <v>0</v>
      </c>
      <c r="R13">
        <f xml:space="preserve"> SUMIF(Table1423[[#All],[year t]], "&lt;="&amp;Table27[[#This Row],[Year t]], Table1423[[#All],[('[@'[GHGWPS-soil-CO2,i,t (Eq 27)']']-'[@'[Deductionalloch WPS (Eq 38)']'])*Ai,t]] )</f>
        <v>-42670.421320691472</v>
      </c>
      <c r="S13">
        <f>INDEX(Table1120[[#All],[GHG(WPS-biomass)]], MATCH(Table27[[#This Row],[Year t]], Table1120[[#All],[year t]]))</f>
        <v>-5827.3388094559277</v>
      </c>
      <c r="T13">
        <f>((Table27[[#This Row],[Sum(GHGBSL-soil-CO2,i,t (Eq 27)-Deductionalloch (Eq 38)),t]]+Table27[[#This Row],[GHG(BSL-biomass),t]])-(Table27[[#This Row],[Sum('[@'[GHGWPS-soil-CO2,i,t (Eq 80)']']-'[@Deductionalloch'])]]+Table27[[#This Row],[GHG(WPS-biomass)]]))</f>
        <v>48497.760130147399</v>
      </c>
      <c r="U13">
        <f>'IndividualParameters + UI Req'!$B$7</f>
        <v>0.13</v>
      </c>
      <c r="V13">
        <f>(Table27[[#This Row],[𝑁𝐸𝑅𝑠𝑡𝑜𝑐𝑘,t]]-T12)*Table27[[#This Row],[Buffer%]]</f>
        <v>2433.7208190544097</v>
      </c>
      <c r="W13">
        <f>(Table27[[#This Row],[adjusted_NERt (Eq 92)]]-O12)-Table27[[#This Row],[Buffer_deduction (Eq 94)]]</f>
        <v>16287.208558287204</v>
      </c>
    </row>
    <row r="14" spans="2:23" x14ac:dyDescent="0.2">
      <c r="B14" s="18">
        <v>2031</v>
      </c>
      <c r="C14" cm="1">
        <f t="array" ref="C14">SUMPRODUCT(IF(Table14[[#All],[year t]]&lt;=Table27[[#This Row],[Year t]], Table14[[#All],[Ai,t]]*Table14[[#All],[GHGBSL-soil-CO2,i,t (Eq 27)]]))</f>
        <v>0</v>
      </c>
      <c r="D14">
        <f>INDEX(Table11[[#All],[GHG(BSL)]], MATCH(Table27[[#This Row],[Year t]], Table11[[#All],[year t]]))</f>
        <v>0</v>
      </c>
      <c r="E14" cm="1">
        <f t="array" ref="E14">SUMPRODUCT(IF(Table1423[[#All],[year t]]&lt;=Table27[[#This Row],[Year t]], Table1423[[#All],[Ai,t]]*Table1423[[#All],[GHGWPS-soil-CO2,i,t]]))</f>
        <v>-83987.816584319997</v>
      </c>
      <c r="F14">
        <f>IF(Emission_reduction_from_stock_loss?, IF(Table27[[#This Row],[GHGBSL-soil-CO2,t ]]-Table27[[#This Row],[GHGWPS-soil-CO2,t]] - SOC_Max&gt;0, Table27[[#This Row],[GHGBSL-soil-CO2,t ]]-Table27[[#This Row],[GHGWPS-soil-CO2,t]] - SOC_Max, 0), 0)</f>
        <v>0</v>
      </c>
      <c r="G14">
        <f>INDEX(Table1120[[#All],[GHG(WPS) (Eq 69)]], MATCH(Table27[[#This Row],[Year t]], Table1120[[#All],[year t]]))</f>
        <v>-76829.460870517927</v>
      </c>
      <c r="H14">
        <f>IF(Fire_reduction_premium, INDEX(Table24[[#All],[FRP]], MATCH(Table27[[#This Row],[Year t]],Table24[[#All],[Year t]])), 0)</f>
        <v>0</v>
      </c>
      <c r="I14">
        <v>0</v>
      </c>
      <c r="J14">
        <f>Table27[[#This Row],[GHGBSL]]-Table27[[#This Row],[GHGWPS]]+Table27[[#This Row],[FRP]]-Table27[[#This Row],[GHGLK]]-Table27[[#This Row],[GHG(WPS-soil)_Deduction]]</f>
        <v>76829.460870517927</v>
      </c>
      <c r="K14">
        <f>IF(NERRWE_Cap, IF(Table27[[#This Row],[NERRWE (Eq 85)]]&lt;=NERRWE_Max, Table27[[#This Row],[NERRWE (Eq 85)]], NERRWE_Max), Table27[[#This Row],[NERRWE (Eq 85)]])</f>
        <v>76829.460870517927</v>
      </c>
      <c r="L14">
        <f>Table27[[#This Row],[NERRWE Capped]]</f>
        <v>76829.460870517927</v>
      </c>
      <c r="M14" s="40">
        <f>'IndividualParameters + UI Req'!$B$9</f>
        <v>0</v>
      </c>
      <c r="N14" s="40">
        <f>'IndividualParameters + UI Req'!$B$6</f>
        <v>0</v>
      </c>
      <c r="O14">
        <f>Table27[[#This Row],[NERt]]*(100% - Table27[[#This Row],[NER(ERROR)]]+Table27[[#This Row],[allowable_uncert]])</f>
        <v>76829.460870517927</v>
      </c>
      <c r="P14">
        <f>SUMIF(Table14[[#All],[year t]], "&lt;="&amp;Table27[[#This Row],[Year t]], Table14[[#All],[('[@'[GHGBSL-soil-CO2,i,t (Eq 27)']']-'[@'[Deductionalloch (Eq 38)']'])*Ai,t]])</f>
        <v>0</v>
      </c>
      <c r="Q14">
        <f>INDEX(Table11[[#All],[GHG(BSL-biomass)]], MATCH(Table27[[#This Row],[Year t]], Table11[[#All],[year t]]))</f>
        <v>0</v>
      </c>
      <c r="R14">
        <f xml:space="preserve"> SUMIF(Table1423[[#All],[year t]], "&lt;="&amp;Table27[[#This Row],[Year t]], Table1423[[#All],[('[@'[GHGWPS-soil-CO2,i,t (Eq 27)']']-'[@'[Deductionalloch WPS (Eq 38)']'])*Ai,t]] )</f>
        <v>-64198.96514955617</v>
      </c>
      <c r="S14">
        <f>INDEX(Table1120[[#All],[GHG(WPS-biomass)]], MATCH(Table27[[#This Row],[Year t]], Table1120[[#All],[year t]]))</f>
        <v>-12630.495720961755</v>
      </c>
      <c r="T14">
        <f>((Table27[[#This Row],[Sum(GHGBSL-soil-CO2,i,t (Eq 27)-Deductionalloch (Eq 38)),t]]+Table27[[#This Row],[GHG(BSL-biomass),t]])-(Table27[[#This Row],[Sum('[@'[GHGWPS-soil-CO2,i,t (Eq 80)']']-'[@Deductionalloch'])]]+Table27[[#This Row],[GHG(WPS-biomass)]]))</f>
        <v>76829.460870517927</v>
      </c>
      <c r="U14">
        <f>'IndividualParameters + UI Req'!$B$7</f>
        <v>0.13</v>
      </c>
      <c r="V14">
        <f>(Table27[[#This Row],[𝑁𝐸𝑅𝑠𝑡𝑜𝑐𝑘,t]]-T13)*Table27[[#This Row],[Buffer%]]</f>
        <v>3683.1210962481687</v>
      </c>
      <c r="W14">
        <f>(Table27[[#This Row],[adjusted_NERt (Eq 92)]]-O13)-Table27[[#This Row],[Buffer_deduction (Eq 94)]]</f>
        <v>24648.579644122361</v>
      </c>
    </row>
    <row r="15" spans="2:23" x14ac:dyDescent="0.2">
      <c r="B15" s="18">
        <v>2032</v>
      </c>
      <c r="C15" cm="1">
        <f t="array" ref="C15">SUMPRODUCT(IF(Table14[[#All],[year t]]&lt;=Table27[[#This Row],[Year t]], Table14[[#All],[Ai,t]]*Table14[[#All],[GHGBSL-soil-CO2,i,t (Eq 27)]]))</f>
        <v>0</v>
      </c>
      <c r="D15">
        <f>INDEX(Table11[[#All],[GHG(BSL)]], MATCH(Table27[[#This Row],[Year t]], Table11[[#All],[year t]]))</f>
        <v>0</v>
      </c>
      <c r="E15" cm="1">
        <f t="array" ref="E15">SUMPRODUCT(IF(Table1423[[#All],[year t]]&lt;=Table27[[#This Row],[Year t]], Table1423[[#All],[Ai,t]]*Table1423[[#All],[GHGWPS-soil-CO2,i,t]]))</f>
        <v>-123746.41306619428</v>
      </c>
      <c r="F15">
        <f>IF(Emission_reduction_from_stock_loss?, IF(Table27[[#This Row],[GHGBSL-soil-CO2,t ]]-Table27[[#This Row],[GHGWPS-soil-CO2,t]] - SOC_Max&gt;0, Table27[[#This Row],[GHGBSL-soil-CO2,t ]]-Table27[[#This Row],[GHGWPS-soil-CO2,t]] - SOC_Max, 0), 0)</f>
        <v>0</v>
      </c>
      <c r="G15">
        <f>INDEX(Table1120[[#All],[GHG(WPS) (Eq 69)]], MATCH(Table27[[#This Row],[Year t]], Table1120[[#All],[year t]]))</f>
        <v>-118995.99661579715</v>
      </c>
      <c r="H15">
        <f>IF(Fire_reduction_premium, INDEX(Table24[[#All],[FRP]], MATCH(Table27[[#This Row],[Year t]],Table24[[#All],[Year t]])), 0)</f>
        <v>0</v>
      </c>
      <c r="I15">
        <v>0</v>
      </c>
      <c r="J15">
        <f>Table27[[#This Row],[GHGBSL]]-Table27[[#This Row],[GHGWPS]]+Table27[[#This Row],[FRP]]-Table27[[#This Row],[GHGLK]]-Table27[[#This Row],[GHG(WPS-soil)_Deduction]]</f>
        <v>118995.99661579715</v>
      </c>
      <c r="K15">
        <f>IF(NERRWE_Cap, IF(Table27[[#This Row],[NERRWE (Eq 85)]]&lt;=NERRWE_Max, Table27[[#This Row],[NERRWE (Eq 85)]], NERRWE_Max), Table27[[#This Row],[NERRWE (Eq 85)]])</f>
        <v>118995.99661579715</v>
      </c>
      <c r="L15">
        <f>Table27[[#This Row],[NERRWE Capped]]</f>
        <v>118995.99661579715</v>
      </c>
      <c r="M15" s="40">
        <f>'IndividualParameters + UI Req'!$B$9</f>
        <v>0</v>
      </c>
      <c r="N15" s="40">
        <f>'IndividualParameters + UI Req'!$B$6</f>
        <v>0</v>
      </c>
      <c r="O15">
        <f>Table27[[#This Row],[NERt]]*(100% - Table27[[#This Row],[NER(ERROR)]]+Table27[[#This Row],[allowable_uncert]])</f>
        <v>118995.99661579715</v>
      </c>
      <c r="P15">
        <f>SUMIF(Table14[[#All],[year t]], "&lt;="&amp;Table27[[#This Row],[Year t]], Table14[[#All],[('[@'[GHGBSL-soil-CO2,i,t (Eq 27)']']-'[@'[Deductionalloch (Eq 38)']'])*Ai,t]])</f>
        <v>0</v>
      </c>
      <c r="Q15">
        <f>INDEX(Table11[[#All],[GHG(BSL-biomass)]], MATCH(Table27[[#This Row],[Year t]], Table11[[#All],[year t]]))</f>
        <v>0</v>
      </c>
      <c r="R15">
        <f xml:space="preserve"> SUMIF(Table1423[[#All],[year t]], "&lt;="&amp;Table27[[#This Row],[Year t]], Table1423[[#All],[('[@'[GHGWPS-soil-CO2,i,t (Eq 27)']']-'[@'[Deductionalloch WPS (Eq 38)']'])*Ai,t]] )</f>
        <v>-94589.810557146411</v>
      </c>
      <c r="S15">
        <f>INDEX(Table1120[[#All],[GHG(WPS-biomass)]], MATCH(Table27[[#This Row],[Year t]], Table1120[[#All],[year t]]))</f>
        <v>-24406.186058650739</v>
      </c>
      <c r="T15">
        <f>((Table27[[#This Row],[Sum(GHGBSL-soil-CO2,i,t (Eq 27)-Deductionalloch (Eq 38)),t]]+Table27[[#This Row],[GHG(BSL-biomass),t]])-(Table27[[#This Row],[Sum('[@'[GHGWPS-soil-CO2,i,t (Eq 80)']']-'[@Deductionalloch'])]]+Table27[[#This Row],[GHG(WPS-biomass)]]))</f>
        <v>118995.99661579715</v>
      </c>
      <c r="U15">
        <f>'IndividualParameters + UI Req'!$B$7</f>
        <v>0.13</v>
      </c>
      <c r="V15">
        <f>(Table27[[#This Row],[𝑁𝐸𝑅𝑠𝑡𝑜𝑐𝑘,t]]-T14)*Table27[[#This Row],[Buffer%]]</f>
        <v>5481.6496468862988</v>
      </c>
      <c r="W15">
        <f>(Table27[[#This Row],[adjusted_NERt (Eq 92)]]-O14)-Table27[[#This Row],[Buffer_deduction (Eq 94)]]</f>
        <v>36684.886098392926</v>
      </c>
    </row>
    <row r="16" spans="2:23" x14ac:dyDescent="0.2">
      <c r="B16" s="18">
        <v>2033</v>
      </c>
      <c r="C16" cm="1">
        <f t="array" ref="C16">SUMPRODUCT(IF(Table14[[#All],[year t]]&lt;=Table27[[#This Row],[Year t]], Table14[[#All],[Ai,t]]*Table14[[#All],[GHGBSL-soil-CO2,i,t (Eq 27)]]))</f>
        <v>0</v>
      </c>
      <c r="D16">
        <f>INDEX(Table11[[#All],[GHG(BSL)]], MATCH(Table27[[#This Row],[Year t]], Table11[[#All],[year t]]))</f>
        <v>0</v>
      </c>
      <c r="E16" cm="1">
        <f t="array" ref="E16">SUMPRODUCT(IF(Table1423[[#All],[year t]]&lt;=Table27[[#This Row],[Year t]], Table1423[[#All],[Ai,t]]*Table1423[[#All],[GHGWPS-soil-CO2,i,t]]))</f>
        <v>-175107.44517074284</v>
      </c>
      <c r="F16">
        <f>IF(Emission_reduction_from_stock_loss?, IF(Table27[[#This Row],[GHGBSL-soil-CO2,t ]]-Table27[[#This Row],[GHGWPS-soil-CO2,t]] - SOC_Max&gt;0, Table27[[#This Row],[GHGBSL-soil-CO2,t ]]-Table27[[#This Row],[GHGWPS-soil-CO2,t]] - SOC_Max, 0), 0)</f>
        <v>0</v>
      </c>
      <c r="G16">
        <f>INDEX(Table1120[[#All],[GHG(WPS) (Eq 69)]], MATCH(Table27[[#This Row],[Year t]], Table1120[[#All],[year t]]))</f>
        <v>-176755.81113178996</v>
      </c>
      <c r="H16">
        <f>IF(Fire_reduction_premium, INDEX(Table24[[#All],[FRP]], MATCH(Table27[[#This Row],[Year t]],Table24[[#All],[Year t]])), 0)</f>
        <v>0</v>
      </c>
      <c r="I16">
        <v>0</v>
      </c>
      <c r="J16">
        <f>Table27[[#This Row],[GHGBSL]]-Table27[[#This Row],[GHGWPS]]+Table27[[#This Row],[FRP]]-Table27[[#This Row],[GHGLK]]-Table27[[#This Row],[GHG(WPS-soil)_Deduction]]</f>
        <v>176755.81113178996</v>
      </c>
      <c r="K16">
        <f>IF(NERRWE_Cap, IF(Table27[[#This Row],[NERRWE (Eq 85)]]&lt;=NERRWE_Max, Table27[[#This Row],[NERRWE (Eq 85)]], NERRWE_Max), Table27[[#This Row],[NERRWE (Eq 85)]])</f>
        <v>176755.81113178996</v>
      </c>
      <c r="L16">
        <f>Table27[[#This Row],[NERRWE Capped]]</f>
        <v>176755.81113178996</v>
      </c>
      <c r="M16" s="40">
        <f>'IndividualParameters + UI Req'!$B$9</f>
        <v>0</v>
      </c>
      <c r="N16" s="40">
        <f>'IndividualParameters + UI Req'!$B$6</f>
        <v>0</v>
      </c>
      <c r="O16">
        <f>Table27[[#This Row],[NERt]]*(100% - Table27[[#This Row],[NER(ERROR)]]+Table27[[#This Row],[allowable_uncert]])</f>
        <v>176755.81113178996</v>
      </c>
      <c r="P16">
        <f>SUMIF(Table14[[#All],[year t]], "&lt;="&amp;Table27[[#This Row],[Year t]], Table14[[#All],[('[@'[GHGBSL-soil-CO2,i,t (Eq 27)']']-'[@'[Deductionalloch (Eq 38)']'])*Ai,t]])</f>
        <v>0</v>
      </c>
      <c r="Q16">
        <f>INDEX(Table11[[#All],[GHG(BSL-biomass)]], MATCH(Table27[[#This Row],[Year t]], Table11[[#All],[year t]]))</f>
        <v>0</v>
      </c>
      <c r="R16">
        <f xml:space="preserve"> SUMIF(Table1423[[#All],[year t]], "&lt;="&amp;Table27[[#This Row],[Year t]], Table1423[[#All],[('[@'[GHGWPS-soil-CO2,i,t (Eq 27)']']-'[@'[Deductionalloch WPS (Eq 38)']'])*Ai,t]] )</f>
        <v>-133849.37514905105</v>
      </c>
      <c r="S16">
        <f>INDEX(Table1120[[#All],[GHG(WPS-biomass)]], MATCH(Table27[[#This Row],[Year t]], Table1120[[#All],[year t]]))</f>
        <v>-42906.435982738905</v>
      </c>
      <c r="T16">
        <f>((Table27[[#This Row],[Sum(GHGBSL-soil-CO2,i,t (Eq 27)-Deductionalloch (Eq 38)),t]]+Table27[[#This Row],[GHG(BSL-biomass),t]])-(Table27[[#This Row],[Sum('[@'[GHGWPS-soil-CO2,i,t (Eq 80)']']-'[@Deductionalloch'])]]+Table27[[#This Row],[GHG(WPS-biomass)]]))</f>
        <v>176755.81113178996</v>
      </c>
      <c r="U16">
        <f>'IndividualParameters + UI Req'!$B$7</f>
        <v>0.13</v>
      </c>
      <c r="V16">
        <f>(Table27[[#This Row],[𝑁𝐸𝑅𝑠𝑡𝑜𝑐𝑘,t]]-T15)*Table27[[#This Row],[Buffer%]]</f>
        <v>7508.7758870790658</v>
      </c>
      <c r="W16">
        <f>(Table27[[#This Row],[adjusted_NERt (Eq 92)]]-O15)-Table27[[#This Row],[Buffer_deduction (Eq 94)]]</f>
        <v>50251.038628913746</v>
      </c>
    </row>
    <row r="17" spans="2:23" x14ac:dyDescent="0.2">
      <c r="B17" s="18">
        <v>2034</v>
      </c>
      <c r="C17" cm="1">
        <f t="array" ref="C17">SUMPRODUCT(IF(Table14[[#All],[year t]]&lt;=Table27[[#This Row],[Year t]], Table14[[#All],[Ai,t]]*Table14[[#All],[GHGBSL-soil-CO2,i,t (Eq 27)]]))</f>
        <v>0</v>
      </c>
      <c r="D17">
        <f>INDEX(Table11[[#All],[GHG(BSL)]], MATCH(Table27[[#This Row],[Year t]], Table11[[#All],[year t]]))</f>
        <v>0</v>
      </c>
      <c r="E17" cm="1">
        <f t="array" ref="E17">SUMPRODUCT(IF(Table1423[[#All],[year t]]&lt;=Table27[[#This Row],[Year t]], Table1423[[#All],[Ai,t]]*Table1423[[#All],[GHGWPS-soil-CO2,i,t]]))</f>
        <v>-232518.89595817143</v>
      </c>
      <c r="F17">
        <f>IF(Emission_reduction_from_stock_loss?, IF(Table27[[#This Row],[GHGBSL-soil-CO2,t ]]-Table27[[#This Row],[GHGWPS-soil-CO2,t]] - SOC_Max&gt;0, Table27[[#This Row],[GHGBSL-soil-CO2,t ]]-Table27[[#This Row],[GHGWPS-soil-CO2,t]] - SOC_Max, 0), 0)</f>
        <v>0</v>
      </c>
      <c r="G17">
        <f>INDEX(Table1120[[#All],[GHG(WPS) (Eq 69)]], MATCH(Table27[[#This Row],[Year t]], Table1120[[#All],[year t]]))</f>
        <v>-247462.39925029609</v>
      </c>
      <c r="H17">
        <f>IF(Fire_reduction_premium, INDEX(Table24[[#All],[FRP]], MATCH(Table27[[#This Row],[Year t]],Table24[[#All],[Year t]])), 0)</f>
        <v>0</v>
      </c>
      <c r="I17">
        <v>0</v>
      </c>
      <c r="J17">
        <f>Table27[[#This Row],[GHGBSL]]-Table27[[#This Row],[GHGWPS]]+Table27[[#This Row],[FRP]]-Table27[[#This Row],[GHGLK]]-Table27[[#This Row],[GHG(WPS-soil)_Deduction]]</f>
        <v>247462.39925029609</v>
      </c>
      <c r="K17">
        <f>IF(NERRWE_Cap, IF(Table27[[#This Row],[NERRWE (Eq 85)]]&lt;=NERRWE_Max, Table27[[#This Row],[NERRWE (Eq 85)]], NERRWE_Max), Table27[[#This Row],[NERRWE (Eq 85)]])</f>
        <v>247462.39925029609</v>
      </c>
      <c r="L17">
        <f>Table27[[#This Row],[NERRWE Capped]]</f>
        <v>247462.39925029609</v>
      </c>
      <c r="M17" s="40">
        <f>'IndividualParameters + UI Req'!$B$9</f>
        <v>0</v>
      </c>
      <c r="N17" s="40">
        <f>'IndividualParameters + UI Req'!$B$6</f>
        <v>0</v>
      </c>
      <c r="O17">
        <f>Table27[[#This Row],[NERt]]*(100% - Table27[[#This Row],[NER(ERROR)]]+Table27[[#This Row],[allowable_uncert]])</f>
        <v>247462.39925029609</v>
      </c>
      <c r="P17">
        <f>SUMIF(Table14[[#All],[year t]], "&lt;="&amp;Table27[[#This Row],[Year t]], Table14[[#All],[('[@'[GHGBSL-soil-CO2,i,t (Eq 27)']']-'[@'[Deductionalloch (Eq 38)']'])*Ai,t]])</f>
        <v>0</v>
      </c>
      <c r="Q17">
        <f>INDEX(Table11[[#All],[GHG(BSL-biomass)]], MATCH(Table27[[#This Row],[Year t]], Table11[[#All],[year t]]))</f>
        <v>0</v>
      </c>
      <c r="R17">
        <f xml:space="preserve"> SUMIF(Table1423[[#All],[year t]], "&lt;="&amp;Table27[[#This Row],[Year t]], Table1423[[#All],[('[@'[GHGWPS-soil-CO2,i,t (Eq 27)']']-'[@'[Deductionalloch WPS (Eq 38)']'])*Ai,t]] )</f>
        <v>-177733.78455725673</v>
      </c>
      <c r="S17">
        <f>INDEX(Table1120[[#All],[GHG(WPS-biomass)]], MATCH(Table27[[#This Row],[Year t]], Table1120[[#All],[year t]]))</f>
        <v>-69728.614693039359</v>
      </c>
      <c r="T17">
        <f>((Table27[[#This Row],[Sum(GHGBSL-soil-CO2,i,t (Eq 27)-Deductionalloch (Eq 38)),t]]+Table27[[#This Row],[GHG(BSL-biomass),t]])-(Table27[[#This Row],[Sum('[@'[GHGWPS-soil-CO2,i,t (Eq 80)']']-'[@Deductionalloch'])]]+Table27[[#This Row],[GHG(WPS-biomass)]]))</f>
        <v>247462.39925029609</v>
      </c>
      <c r="U17">
        <f>'IndividualParameters + UI Req'!$B$7</f>
        <v>0.13</v>
      </c>
      <c r="V17">
        <f>(Table27[[#This Row],[𝑁𝐸𝑅𝑠𝑡𝑜𝑐𝑘,t]]-T16)*Table27[[#This Row],[Buffer%]]</f>
        <v>9191.8564554057975</v>
      </c>
      <c r="W17">
        <f>(Table27[[#This Row],[adjusted_NERt (Eq 92)]]-O16)-Table27[[#This Row],[Buffer_deduction (Eq 94)]]</f>
        <v>61514.731663100334</v>
      </c>
    </row>
    <row r="18" spans="2:23" s="57" customFormat="1" x14ac:dyDescent="0.2">
      <c r="B18" s="157">
        <v>2035</v>
      </c>
      <c r="C18" s="57" cm="1">
        <f t="array" ref="C18">SUMPRODUCT(IF(Table14[[#All],[year t]]&lt;=Table27[[#This Row],[Year t]], Table14[[#All],[Ai,t]]*Table14[[#All],[GHGBSL-soil-CO2,i,t (Eq 27)]]))</f>
        <v>0</v>
      </c>
      <c r="D18" s="57">
        <f>INDEX(Table11[[#All],[GHG(BSL)]], MATCH(Table27[[#This Row],[Year t]], Table11[[#All],[year t]]))</f>
        <v>0</v>
      </c>
      <c r="E18" s="57" cm="1">
        <f t="array" ref="E18">SUMPRODUCT(IF(Table1423[[#All],[year t]]&lt;=Table27[[#This Row],[Year t]], Table1423[[#All],[Ai,t]]*Table1423[[#All],[GHGWPS-soil-CO2,i,t]]))</f>
        <v>-289930.34674559999</v>
      </c>
      <c r="F18" s="57">
        <f>IF(Emission_reduction_from_stock_loss?, IF(Table27[[#This Row],[GHGBSL-soil-CO2,t ]]-Table27[[#This Row],[GHGWPS-soil-CO2,t]] - SOC_Max&gt;0, Table27[[#This Row],[GHGBSL-soil-CO2,t ]]-Table27[[#This Row],[GHGWPS-soil-CO2,t]] - SOC_Max, 0), 0)</f>
        <v>0</v>
      </c>
      <c r="G18" s="57">
        <f>INDEX(Table1120[[#All],[GHG(WPS) (Eq 69)]], MATCH(Table27[[#This Row],[Year t]], Table1120[[#All],[year t]]))</f>
        <v>-327711.92426694906</v>
      </c>
      <c r="H18" s="57">
        <f>IF(Fire_reduction_premium, INDEX(Table24[[#All],[FRP]], MATCH(Table27[[#This Row],[Year t]],Table24[[#All],[Year t]])), 0)</f>
        <v>0</v>
      </c>
      <c r="I18" s="57">
        <v>0</v>
      </c>
      <c r="J18" s="57">
        <f>Table27[[#This Row],[GHGBSL]]-Table27[[#This Row],[GHGWPS]]+Table27[[#This Row],[FRP]]-Table27[[#This Row],[GHGLK]]-Table27[[#This Row],[GHG(WPS-soil)_Deduction]]</f>
        <v>327711.92426694906</v>
      </c>
      <c r="K18" s="57">
        <f>IF(NERRWE_Cap, IF(Table27[[#This Row],[NERRWE (Eq 85)]]&lt;=NERRWE_Max, Table27[[#This Row],[NERRWE (Eq 85)]], NERRWE_Max), Table27[[#This Row],[NERRWE (Eq 85)]])</f>
        <v>327711.92426694906</v>
      </c>
      <c r="L18" s="57">
        <f>Table27[[#This Row],[NERRWE Capped]]</f>
        <v>327711.92426694906</v>
      </c>
      <c r="M18" s="158">
        <f>'IndividualParameters + UI Req'!$B$9</f>
        <v>0</v>
      </c>
      <c r="N18" s="158">
        <f>'IndividualParameters + UI Req'!$B$6</f>
        <v>0</v>
      </c>
      <c r="O18" s="57">
        <f>Table27[[#This Row],[NERt]]*(100% - Table27[[#This Row],[NER(ERROR)]]+Table27[[#This Row],[allowable_uncert]])</f>
        <v>327711.92426694906</v>
      </c>
      <c r="P18" s="57">
        <f>SUMIF(Table14[[#All],[year t]], "&lt;="&amp;Table27[[#This Row],[Year t]], Table14[[#All],[('[@'[GHGBSL-soil-CO2,i,t (Eq 27)']']-'[@'[Deductionalloch (Eq 38)']'])*Ai,t]])</f>
        <v>0</v>
      </c>
      <c r="Q18" s="57">
        <f>INDEX(Table11[[#All],[GHG(BSL-biomass)]], MATCH(Table27[[#This Row],[Year t]], Table11[[#All],[year t]]))</f>
        <v>0</v>
      </c>
      <c r="R18" s="57">
        <f xml:space="preserve"> SUMIF(Table1423[[#All],[year t]], "&lt;="&amp;Table27[[#This Row],[Year t]], Table1423[[#All],[('[@'[GHGWPS-soil-CO2,i,t (Eq 27)']']-'[@'[Deductionalloch WPS (Eq 38)']'])*Ai,t]] )</f>
        <v>-221618.19396546244</v>
      </c>
      <c r="S18" s="57">
        <f>INDEX(Table1120[[#All],[GHG(WPS-biomass)]], MATCH(Table27[[#This Row],[Year t]], Table1120[[#All],[year t]]))</f>
        <v>-106093.73030148662</v>
      </c>
      <c r="T18" s="57">
        <f>((Table27[[#This Row],[Sum(GHGBSL-soil-CO2,i,t (Eq 27)-Deductionalloch (Eq 38)),t]]+Table27[[#This Row],[GHG(BSL-biomass),t]])-(Table27[[#This Row],[Sum('[@'[GHGWPS-soil-CO2,i,t (Eq 80)']']-'[@Deductionalloch'])]]+Table27[[#This Row],[GHG(WPS-biomass)]]))</f>
        <v>327711.92426694906</v>
      </c>
      <c r="U18" s="57">
        <f>'IndividualParameters + UI Req'!$B$7</f>
        <v>0.13</v>
      </c>
      <c r="V18" s="57">
        <f>(Table27[[#This Row],[𝑁𝐸𝑅𝑠𝑡𝑜𝑐𝑘,t]]-T17)*Table27[[#This Row],[Buffer%]]</f>
        <v>10432.438252164888</v>
      </c>
      <c r="W18" s="57">
        <f>(Table27[[#This Row],[adjusted_NERt (Eq 92)]]-O17)-Table27[[#This Row],[Buffer_deduction (Eq 94)]]</f>
        <v>69817.086764488078</v>
      </c>
    </row>
    <row r="19" spans="2:23" x14ac:dyDescent="0.2">
      <c r="B19" s="18">
        <v>2036</v>
      </c>
      <c r="C19" cm="1">
        <f t="array" ref="C19">SUMPRODUCT(IF(Table14[[#All],[year t]]&lt;=Table27[[#This Row],[Year t]], Table14[[#All],[Ai,t]]*Table14[[#All],[GHGBSL-soil-CO2,i,t (Eq 27)]]))</f>
        <v>0</v>
      </c>
      <c r="D19">
        <f>INDEX(Table11[[#All],[GHG(BSL)]], MATCH(Table27[[#This Row],[Year t]], Table11[[#All],[year t]]))</f>
        <v>0</v>
      </c>
      <c r="E19" cm="1">
        <f t="array" ref="E19">SUMPRODUCT(IF(Table1423[[#All],[year t]]&lt;=Table27[[#This Row],[Year t]], Table1423[[#All],[Ai,t]]*Table1423[[#All],[GHGWPS-soil-CO2,i,t]]))</f>
        <v>-347341.79753302858</v>
      </c>
      <c r="F19">
        <f>IF(Emission_reduction_from_stock_loss?, IF(Table27[[#This Row],[GHGBSL-soil-CO2,t ]]-Table27[[#This Row],[GHGWPS-soil-CO2,t]] - SOC_Max&gt;0, Table27[[#This Row],[GHGBSL-soil-CO2,t ]]-Table27[[#This Row],[GHGWPS-soil-CO2,t]] - SOC_Max, 0), 0)</f>
        <v>0</v>
      </c>
      <c r="G19">
        <f>INDEX(Table1120[[#All],[GHG(WPS) (Eq 69)]], MATCH(Table27[[#This Row],[Year t]], Table1120[[#All],[year t]]))</f>
        <v>-418195.96296173905</v>
      </c>
      <c r="H19">
        <f>IF(Fire_reduction_premium, INDEX(Table24[[#All],[FRP]], MATCH(Table27[[#This Row],[Year t]],Table24[[#All],[Year t]])), 0)</f>
        <v>0</v>
      </c>
      <c r="I19">
        <v>0</v>
      </c>
      <c r="J19">
        <f>Table27[[#This Row],[GHGBSL]]-Table27[[#This Row],[GHGWPS]]+Table27[[#This Row],[FRP]]-Table27[[#This Row],[GHGLK]]-Table27[[#This Row],[GHG(WPS-soil)_Deduction]]</f>
        <v>418195.96296173905</v>
      </c>
      <c r="K19">
        <f>IF(NERRWE_Cap, IF(Table27[[#This Row],[NERRWE (Eq 85)]]&lt;=NERRWE_Max, Table27[[#This Row],[NERRWE (Eq 85)]], NERRWE_Max), Table27[[#This Row],[NERRWE (Eq 85)]])</f>
        <v>418195.96296173905</v>
      </c>
      <c r="L19">
        <f>Table27[[#This Row],[NERRWE Capped]]</f>
        <v>418195.96296173905</v>
      </c>
      <c r="M19" s="40">
        <f>'IndividualParameters + UI Req'!$B$9</f>
        <v>0</v>
      </c>
      <c r="N19" s="40">
        <f>'IndividualParameters + UI Req'!$B$6</f>
        <v>0</v>
      </c>
      <c r="O19">
        <f>Table27[[#This Row],[NERt]]*(100% - Table27[[#This Row],[NER(ERROR)]]+Table27[[#This Row],[allowable_uncert]])</f>
        <v>418195.96296173905</v>
      </c>
      <c r="P19">
        <f>SUMIF(Table14[[#All],[year t]], "&lt;="&amp;Table27[[#This Row],[Year t]], Table14[[#All],[('[@'[GHGBSL-soil-CO2,i,t (Eq 27)']']-'[@'[Deductionalloch (Eq 38)']'])*Ai,t]])</f>
        <v>0</v>
      </c>
      <c r="Q19">
        <f>INDEX(Table11[[#All],[GHG(BSL-biomass)]], MATCH(Table27[[#This Row],[Year t]], Table11[[#All],[year t]]))</f>
        <v>0</v>
      </c>
      <c r="R19">
        <f xml:space="preserve"> SUMIF(Table1423[[#All],[year t]], "&lt;="&amp;Table27[[#This Row],[Year t]], Table1423[[#All],[('[@'[GHGWPS-soil-CO2,i,t (Eq 27)']']-'[@'[Deductionalloch WPS (Eq 38)']'])*Ai,t]] )</f>
        <v>-265502.6033736681</v>
      </c>
      <c r="S19">
        <f>INDEX(Table1120[[#All],[GHG(WPS-biomass)]], MATCH(Table27[[#This Row],[Year t]], Table1120[[#All],[year t]]))</f>
        <v>-152693.35958807092</v>
      </c>
      <c r="T19">
        <f>((Table27[[#This Row],[Sum(GHGBSL-soil-CO2,i,t (Eq 27)-Deductionalloch (Eq 38)),t]]+Table27[[#This Row],[GHG(BSL-biomass),t]])-(Table27[[#This Row],[Sum('[@'[GHGWPS-soil-CO2,i,t (Eq 80)']']-'[@Deductionalloch'])]]+Table27[[#This Row],[GHG(WPS-biomass)]]))</f>
        <v>418195.96296173905</v>
      </c>
      <c r="U19">
        <f>'IndividualParameters + UI Req'!$B$7</f>
        <v>0.13</v>
      </c>
      <c r="V19">
        <f>(Table27[[#This Row],[𝑁𝐸𝑅𝑠𝑡𝑜𝑐𝑘,t]]-T18)*Table27[[#This Row],[Buffer%]]</f>
        <v>11762.925030322698</v>
      </c>
      <c r="W19">
        <f>(Table27[[#This Row],[adjusted_NERt (Eq 92)]]-O18)-Table27[[#This Row],[Buffer_deduction (Eq 94)]]</f>
        <v>78721.113664467281</v>
      </c>
    </row>
    <row r="20" spans="2:23" x14ac:dyDescent="0.2">
      <c r="B20" s="18">
        <v>2037</v>
      </c>
      <c r="C20" cm="1">
        <f t="array" ref="C20">SUMPRODUCT(IF(Table14[[#All],[year t]]&lt;=Table27[[#This Row],[Year t]], Table14[[#All],[Ai,t]]*Table14[[#All],[GHGBSL-soil-CO2,i,t (Eq 27)]]))</f>
        <v>0</v>
      </c>
      <c r="D20">
        <f>INDEX(Table11[[#All],[GHG(BSL)]], MATCH(Table27[[#This Row],[Year t]], Table11[[#All],[year t]]))</f>
        <v>0</v>
      </c>
      <c r="E20" cm="1">
        <f t="array" ref="E20">SUMPRODUCT(IF(Table1423[[#All],[year t]]&lt;=Table27[[#This Row],[Year t]], Table1423[[#All],[Ai,t]]*Table1423[[#All],[GHGWPS-soil-CO2,i,t]]))</f>
        <v>-404753.24832045712</v>
      </c>
      <c r="F20">
        <f>IF(Emission_reduction_from_stock_loss?, IF(Table27[[#This Row],[GHGBSL-soil-CO2,t ]]-Table27[[#This Row],[GHGWPS-soil-CO2,t]] - SOC_Max&gt;0, Table27[[#This Row],[GHGBSL-soil-CO2,t ]]-Table27[[#This Row],[GHGWPS-soil-CO2,t]] - SOC_Max, 0), 0)</f>
        <v>0</v>
      </c>
      <c r="G20">
        <f>INDEX(Table1120[[#All],[GHG(WPS) (Eq 69)]], MATCH(Table27[[#This Row],[Year t]], Table1120[[#All],[year t]]))</f>
        <v>-519011.86718595494</v>
      </c>
      <c r="H20">
        <f>IF(Fire_reduction_premium, INDEX(Table24[[#All],[FRP]], MATCH(Table27[[#This Row],[Year t]],Table24[[#All],[Year t]])), 0)</f>
        <v>0</v>
      </c>
      <c r="I20">
        <v>0</v>
      </c>
      <c r="J20">
        <f>Table27[[#This Row],[GHGBSL]]-Table27[[#This Row],[GHGWPS]]+Table27[[#This Row],[FRP]]-Table27[[#This Row],[GHGLK]]-Table27[[#This Row],[GHG(WPS-soil)_Deduction]]</f>
        <v>519011.86718595494</v>
      </c>
      <c r="K20">
        <f>IF(NERRWE_Cap, IF(Table27[[#This Row],[NERRWE (Eq 85)]]&lt;=NERRWE_Max, Table27[[#This Row],[NERRWE (Eq 85)]], NERRWE_Max), Table27[[#This Row],[NERRWE (Eq 85)]])</f>
        <v>519011.86718595494</v>
      </c>
      <c r="L20">
        <f>Table27[[#This Row],[NERRWE Capped]]</f>
        <v>519011.86718595494</v>
      </c>
      <c r="M20" s="40">
        <f>'IndividualParameters + UI Req'!$B$9</f>
        <v>0</v>
      </c>
      <c r="N20" s="40">
        <f>'IndividualParameters + UI Req'!$B$6</f>
        <v>0</v>
      </c>
      <c r="O20">
        <f>Table27[[#This Row],[NERt]]*(100% - Table27[[#This Row],[NER(ERROR)]]+Table27[[#This Row],[allowable_uncert]])</f>
        <v>519011.86718595494</v>
      </c>
      <c r="P20">
        <f>SUMIF(Table14[[#All],[year t]], "&lt;="&amp;Table27[[#This Row],[Year t]], Table14[[#All],[('[@'[GHGBSL-soil-CO2,i,t (Eq 27)']']-'[@'[Deductionalloch (Eq 38)']'])*Ai,t]])</f>
        <v>0</v>
      </c>
      <c r="Q20">
        <f>INDEX(Table11[[#All],[GHG(BSL-biomass)]], MATCH(Table27[[#This Row],[Year t]], Table11[[#All],[year t]]))</f>
        <v>0</v>
      </c>
      <c r="R20">
        <f xml:space="preserve"> SUMIF(Table1423[[#All],[year t]], "&lt;="&amp;Table27[[#This Row],[Year t]], Table1423[[#All],[('[@'[GHGWPS-soil-CO2,i,t (Eq 27)']']-'[@'[Deductionalloch WPS (Eq 38)']'])*Ai,t]] )</f>
        <v>-309387.01278187369</v>
      </c>
      <c r="S20">
        <f>INDEX(Table1120[[#All],[GHG(WPS-biomass)]], MATCH(Table27[[#This Row],[Year t]], Table1120[[#All],[year t]]))</f>
        <v>-209624.85440408121</v>
      </c>
      <c r="T20">
        <f>((Table27[[#This Row],[Sum(GHGBSL-soil-CO2,i,t (Eq 27)-Deductionalloch (Eq 38)),t]]+Table27[[#This Row],[GHG(BSL-biomass),t]])-(Table27[[#This Row],[Sum('[@'[GHGWPS-soil-CO2,i,t (Eq 80)']']-'[@Deductionalloch'])]]+Table27[[#This Row],[GHG(WPS-biomass)]]))</f>
        <v>519011.86718595494</v>
      </c>
      <c r="U20">
        <f>'IndividualParameters + UI Req'!$B$7</f>
        <v>0.13</v>
      </c>
      <c r="V20">
        <f>(Table27[[#This Row],[𝑁𝐸𝑅𝑠𝑡𝑜𝑐𝑘,t]]-T19)*Table27[[#This Row],[Buffer%]]</f>
        <v>13106.067549148067</v>
      </c>
      <c r="W20">
        <f>(Table27[[#This Row],[adjusted_NERt (Eq 92)]]-O19)-Table27[[#This Row],[Buffer_deduction (Eq 94)]]</f>
        <v>87709.836675067825</v>
      </c>
    </row>
    <row r="21" spans="2:23" x14ac:dyDescent="0.2">
      <c r="B21" s="18">
        <v>2038</v>
      </c>
      <c r="C21" cm="1">
        <f t="array" ref="C21">SUMPRODUCT(IF(Table14[[#All],[year t]]&lt;=Table27[[#This Row],[Year t]], Table14[[#All],[Ai,t]]*Table14[[#All],[GHGBSL-soil-CO2,i,t (Eq 27)]]))</f>
        <v>0</v>
      </c>
      <c r="D21">
        <f>INDEX(Table11[[#All],[GHG(BSL)]], MATCH(Table27[[#This Row],[Year t]], Table11[[#All],[year t]]))</f>
        <v>0</v>
      </c>
      <c r="E21" cm="1">
        <f t="array" ref="E21">SUMPRODUCT(IF(Table1423[[#All],[year t]]&lt;=Table27[[#This Row],[Year t]], Table1423[[#All],[Ai,t]]*Table1423[[#All],[GHGWPS-soil-CO2,i,t]]))</f>
        <v>-462164.69910788571</v>
      </c>
      <c r="F21">
        <f>IF(Emission_reduction_from_stock_loss?, IF(Table27[[#This Row],[GHGBSL-soil-CO2,t ]]-Table27[[#This Row],[GHGWPS-soil-CO2,t]] - SOC_Max&gt;0, Table27[[#This Row],[GHGBSL-soil-CO2,t ]]-Table27[[#This Row],[GHGWPS-soil-CO2,t]] - SOC_Max, 0), 0)</f>
        <v>0</v>
      </c>
      <c r="G21">
        <f>INDEX(Table1120[[#All],[GHG(WPS) (Eq 69)]], MATCH(Table27[[#This Row],[Year t]], Table1120[[#All],[year t]]))</f>
        <v>-629681.89878842793</v>
      </c>
      <c r="H21">
        <f>IF(Fire_reduction_premium, INDEX(Table24[[#All],[FRP]], MATCH(Table27[[#This Row],[Year t]],Table24[[#All],[Year t]])), 0)</f>
        <v>0</v>
      </c>
      <c r="I21">
        <v>0</v>
      </c>
      <c r="J21">
        <f>Table27[[#This Row],[GHGBSL]]-Table27[[#This Row],[GHGWPS]]+Table27[[#This Row],[FRP]]-Table27[[#This Row],[GHGLK]]-Table27[[#This Row],[GHG(WPS-soil)_Deduction]]</f>
        <v>629681.89878842793</v>
      </c>
      <c r="K21">
        <f>IF(NERRWE_Cap, IF(Table27[[#This Row],[NERRWE (Eq 85)]]&lt;=NERRWE_Max, Table27[[#This Row],[NERRWE (Eq 85)]], NERRWE_Max), Table27[[#This Row],[NERRWE (Eq 85)]])</f>
        <v>629681.89878842793</v>
      </c>
      <c r="L21">
        <f>Table27[[#This Row],[NERRWE Capped]]</f>
        <v>629681.89878842793</v>
      </c>
      <c r="M21" s="40">
        <f>'IndividualParameters + UI Req'!$B$9</f>
        <v>0</v>
      </c>
      <c r="N21" s="40">
        <f>'IndividualParameters + UI Req'!$B$6</f>
        <v>0</v>
      </c>
      <c r="O21">
        <f>Table27[[#This Row],[NERt]]*(100% - Table27[[#This Row],[NER(ERROR)]]+Table27[[#This Row],[allowable_uncert]])</f>
        <v>629681.89878842793</v>
      </c>
      <c r="P21">
        <f>SUMIF(Table14[[#All],[year t]], "&lt;="&amp;Table27[[#This Row],[Year t]], Table14[[#All],[('[@'[GHGBSL-soil-CO2,i,t (Eq 27)']']-'[@'[Deductionalloch (Eq 38)']'])*Ai,t]])</f>
        <v>0</v>
      </c>
      <c r="Q21">
        <f>INDEX(Table11[[#All],[GHG(BSL-biomass)]], MATCH(Table27[[#This Row],[Year t]], Table11[[#All],[year t]]))</f>
        <v>0</v>
      </c>
      <c r="R21">
        <f xml:space="preserve"> SUMIF(Table1423[[#All],[year t]], "&lt;="&amp;Table27[[#This Row],[Year t]], Table1423[[#All],[('[@'[GHGWPS-soil-CO2,i,t (Eq 27)']']-'[@'[Deductionalloch WPS (Eq 38)']'])*Ai,t]] )</f>
        <v>-353271.42219007935</v>
      </c>
      <c r="S21">
        <f>INDEX(Table1120[[#All],[GHG(WPS-biomass)]], MATCH(Table27[[#This Row],[Year t]], Table1120[[#All],[year t]]))</f>
        <v>-276410.47659834864</v>
      </c>
      <c r="T21">
        <f>((Table27[[#This Row],[Sum(GHGBSL-soil-CO2,i,t (Eq 27)-Deductionalloch (Eq 38)),t]]+Table27[[#This Row],[GHG(BSL-biomass),t]])-(Table27[[#This Row],[Sum('[@'[GHGWPS-soil-CO2,i,t (Eq 80)']']-'[@Deductionalloch'])]]+Table27[[#This Row],[GHG(WPS-biomass)]]))</f>
        <v>629681.89878842793</v>
      </c>
      <c r="U21">
        <f>'IndividualParameters + UI Req'!$B$7</f>
        <v>0.13</v>
      </c>
      <c r="V21">
        <f>(Table27[[#This Row],[𝑁𝐸𝑅𝑠𝑡𝑜𝑐𝑘,t]]-T20)*Table27[[#This Row],[Buffer%]]</f>
        <v>14387.10410832149</v>
      </c>
      <c r="W21">
        <f>(Table27[[#This Row],[adjusted_NERt (Eq 92)]]-O20)-Table27[[#This Row],[Buffer_deduction (Eq 94)]]</f>
        <v>96282.927494151503</v>
      </c>
    </row>
    <row r="22" spans="2:23" x14ac:dyDescent="0.2">
      <c r="B22" s="18">
        <v>2039</v>
      </c>
      <c r="C22" cm="1">
        <f t="array" ref="C22">SUMPRODUCT(IF(Table14[[#All],[year t]]&lt;=Table27[[#This Row],[Year t]], Table14[[#All],[Ai,t]]*Table14[[#All],[GHGBSL-soil-CO2,i,t (Eq 27)]]))</f>
        <v>0</v>
      </c>
      <c r="D22">
        <f>INDEX(Table11[[#All],[GHG(BSL)]], MATCH(Table27[[#This Row],[Year t]], Table11[[#All],[year t]]))</f>
        <v>0</v>
      </c>
      <c r="E22" cm="1">
        <f t="array" ref="E22">SUMPRODUCT(IF(Table1423[[#All],[year t]]&lt;=Table27[[#This Row],[Year t]], Table1423[[#All],[Ai,t]]*Table1423[[#All],[GHGWPS-soil-CO2,i,t]]))</f>
        <v>-519576.1498953143</v>
      </c>
      <c r="F22">
        <f>IF(Emission_reduction_from_stock_loss?, IF(Table27[[#This Row],[GHGBSL-soil-CO2,t ]]-Table27[[#This Row],[GHGWPS-soil-CO2,t]] - SOC_Max&gt;0, Table27[[#This Row],[GHGBSL-soil-CO2,t ]]-Table27[[#This Row],[GHGWPS-soil-CO2,t]] - SOC_Max, 0), 0)</f>
        <v>0</v>
      </c>
      <c r="G22">
        <f>INDEX(Table1120[[#All],[GHG(WPS) (Eq 69)]], MATCH(Table27[[#This Row],[Year t]], Table1120[[#All],[year t]]))</f>
        <v>-749236.49833300465</v>
      </c>
      <c r="H22">
        <f>IF(Fire_reduction_premium, INDEX(Table24[[#All],[FRP]], MATCH(Table27[[#This Row],[Year t]],Table24[[#All],[Year t]])), 0)</f>
        <v>0</v>
      </c>
      <c r="I22">
        <v>0</v>
      </c>
      <c r="J22">
        <f>Table27[[#This Row],[GHGBSL]]-Table27[[#This Row],[GHGWPS]]+Table27[[#This Row],[FRP]]-Table27[[#This Row],[GHGLK]]-Table27[[#This Row],[GHG(WPS-soil)_Deduction]]</f>
        <v>749236.49833300465</v>
      </c>
      <c r="K22">
        <f>IF(NERRWE_Cap, IF(Table27[[#This Row],[NERRWE (Eq 85)]]&lt;=NERRWE_Max, Table27[[#This Row],[NERRWE (Eq 85)]], NERRWE_Max), Table27[[#This Row],[NERRWE (Eq 85)]])</f>
        <v>749236.49833300465</v>
      </c>
      <c r="L22">
        <f>Table27[[#This Row],[NERRWE Capped]]</f>
        <v>749236.49833300465</v>
      </c>
      <c r="M22" s="40">
        <f>'IndividualParameters + UI Req'!$B$9</f>
        <v>0</v>
      </c>
      <c r="N22" s="40">
        <f>'IndividualParameters + UI Req'!$B$6</f>
        <v>0</v>
      </c>
      <c r="O22">
        <f>Table27[[#This Row],[NERt]]*(100% - Table27[[#This Row],[NER(ERROR)]]+Table27[[#This Row],[allowable_uncert]])</f>
        <v>749236.49833300465</v>
      </c>
      <c r="P22">
        <f>SUMIF(Table14[[#All],[year t]], "&lt;="&amp;Table27[[#This Row],[Year t]], Table14[[#All],[('[@'[GHGBSL-soil-CO2,i,t (Eq 27)']']-'[@'[Deductionalloch (Eq 38)']'])*Ai,t]])</f>
        <v>0</v>
      </c>
      <c r="Q22">
        <f>INDEX(Table11[[#All],[GHG(BSL-biomass)]], MATCH(Table27[[#This Row],[Year t]], Table11[[#All],[year t]]))</f>
        <v>0</v>
      </c>
      <c r="R22">
        <f xml:space="preserve"> SUMIF(Table1423[[#All],[year t]], "&lt;="&amp;Table27[[#This Row],[Year t]], Table1423[[#All],[('[@'[GHGWPS-soil-CO2,i,t (Eq 27)']']-'[@'[Deductionalloch WPS (Eq 38)']'])*Ai,t]] )</f>
        <v>-397155.831598285</v>
      </c>
      <c r="S22">
        <f>INDEX(Table1120[[#All],[GHG(WPS-biomass)]], MATCH(Table27[[#This Row],[Year t]], Table1120[[#All],[year t]]))</f>
        <v>-352080.66673471965</v>
      </c>
      <c r="T22">
        <f>((Table27[[#This Row],[Sum(GHGBSL-soil-CO2,i,t (Eq 27)-Deductionalloch (Eq 38)),t]]+Table27[[#This Row],[GHG(BSL-biomass),t]])-(Table27[[#This Row],[Sum('[@'[GHGWPS-soil-CO2,i,t (Eq 80)']']-'[@Deductionalloch'])]]+Table27[[#This Row],[GHG(WPS-biomass)]]))</f>
        <v>749236.49833300465</v>
      </c>
      <c r="U22">
        <f>'IndividualParameters + UI Req'!$B$7</f>
        <v>0.13</v>
      </c>
      <c r="V22">
        <f>(Table27[[#This Row],[𝑁𝐸𝑅𝑠𝑡𝑜𝑐𝑘,t]]-T21)*Table27[[#This Row],[Buffer%]]</f>
        <v>15542.097940794974</v>
      </c>
      <c r="W22">
        <f>(Table27[[#This Row],[adjusted_NERt (Eq 92)]]-O21)-Table27[[#This Row],[Buffer_deduction (Eq 94)]]</f>
        <v>104012.50160378174</v>
      </c>
    </row>
    <row r="23" spans="2:23" x14ac:dyDescent="0.2">
      <c r="B23" s="18">
        <v>2040</v>
      </c>
      <c r="C23" cm="1">
        <f t="array" ref="C23">SUMPRODUCT(IF(Table14[[#All],[year t]]&lt;=Table27[[#This Row],[Year t]], Table14[[#All],[Ai,t]]*Table14[[#All],[GHGBSL-soil-CO2,i,t (Eq 27)]]))</f>
        <v>0</v>
      </c>
      <c r="D23">
        <f>INDEX(Table11[[#All],[GHG(BSL)]], MATCH(Table27[[#This Row],[Year t]], Table11[[#All],[year t]]))</f>
        <v>0</v>
      </c>
      <c r="E23" cm="1">
        <f t="array" ref="E23">SUMPRODUCT(IF(Table1423[[#All],[year t]]&lt;=Table27[[#This Row],[Year t]], Table1423[[#All],[Ai,t]]*Table1423[[#All],[GHGWPS-soil-CO2,i,t]]))</f>
        <v>-576987.60068274254</v>
      </c>
      <c r="F23">
        <f>IF(Emission_reduction_from_stock_loss?, IF(Table27[[#This Row],[GHGBSL-soil-CO2,t ]]-Table27[[#This Row],[GHGWPS-soil-CO2,t]] - SOC_Max&gt;0, Table27[[#This Row],[GHGBSL-soil-CO2,t ]]-Table27[[#This Row],[GHGWPS-soil-CO2,t]] - SOC_Max, 0), 0)</f>
        <v>0</v>
      </c>
      <c r="G23">
        <f>INDEX(Table1120[[#All],[GHG(WPS) (Eq 69)]], MATCH(Table27[[#This Row],[Year t]], Table1120[[#All],[year t]]))</f>
        <v>-876335.87252888561</v>
      </c>
      <c r="H23">
        <f>IF(Fire_reduction_premium, INDEX(Table24[[#All],[FRP]], MATCH(Table27[[#This Row],[Year t]],Table24[[#All],[Year t]])), 0)</f>
        <v>0</v>
      </c>
      <c r="I23">
        <v>0</v>
      </c>
      <c r="J23">
        <f>Table27[[#This Row],[GHGBSL]]-Table27[[#This Row],[GHGWPS]]+Table27[[#This Row],[FRP]]-Table27[[#This Row],[GHGLK]]-Table27[[#This Row],[GHG(WPS-soil)_Deduction]]</f>
        <v>876335.87252888561</v>
      </c>
      <c r="K23">
        <f>IF(NERRWE_Cap, IF(Table27[[#This Row],[NERRWE (Eq 85)]]&lt;=NERRWE_Max, Table27[[#This Row],[NERRWE (Eq 85)]], NERRWE_Max), Table27[[#This Row],[NERRWE (Eq 85)]])</f>
        <v>876335.87252888561</v>
      </c>
      <c r="L23">
        <f>Table27[[#This Row],[NERRWE Capped]]</f>
        <v>876335.87252888561</v>
      </c>
      <c r="M23" s="40">
        <f>'IndividualParameters + UI Req'!$B$9</f>
        <v>0</v>
      </c>
      <c r="N23" s="40">
        <f>'IndividualParameters + UI Req'!$B$6</f>
        <v>0</v>
      </c>
      <c r="O23">
        <f>Table27[[#This Row],[NERt]]*(100% - Table27[[#This Row],[NER(ERROR)]]+Table27[[#This Row],[allowable_uncert]])</f>
        <v>876335.87252888561</v>
      </c>
      <c r="P23">
        <f>SUMIF(Table14[[#All],[year t]], "&lt;="&amp;Table27[[#This Row],[Year t]], Table14[[#All],[('[@'[GHGBSL-soil-CO2,i,t (Eq 27)']']-'[@'[Deductionalloch (Eq 38)']'])*Ai,t]])</f>
        <v>0</v>
      </c>
      <c r="Q23">
        <f>INDEX(Table11[[#All],[GHG(BSL-biomass)]], MATCH(Table27[[#This Row],[Year t]], Table11[[#All],[year t]]))</f>
        <v>0</v>
      </c>
      <c r="R23">
        <f xml:space="preserve"> SUMIF(Table1423[[#All],[year t]], "&lt;="&amp;Table27[[#This Row],[Year t]], Table1423[[#All],[('[@'[GHGWPS-soil-CO2,i,t (Eq 27)']']-'[@'[Deductionalloch WPS (Eq 38)']'])*Ai,t]] )</f>
        <v>-441040.24100649066</v>
      </c>
      <c r="S23">
        <f>INDEX(Table1120[[#All],[GHG(WPS-biomass)]], MATCH(Table27[[#This Row],[Year t]], Table1120[[#All],[year t]]))</f>
        <v>-435295.63152239495</v>
      </c>
      <c r="T23">
        <f>((Table27[[#This Row],[Sum(GHGBSL-soil-CO2,i,t (Eq 27)-Deductionalloch (Eq 38)),t]]+Table27[[#This Row],[GHG(BSL-biomass),t]])-(Table27[[#This Row],[Sum('[@'[GHGWPS-soil-CO2,i,t (Eq 80)']']-'[@Deductionalloch'])]]+Table27[[#This Row],[GHG(WPS-biomass)]]))</f>
        <v>876335.87252888561</v>
      </c>
      <c r="U23">
        <f>'IndividualParameters + UI Req'!$B$7</f>
        <v>0.13</v>
      </c>
      <c r="V23">
        <f>(Table27[[#This Row],[𝑁𝐸𝑅𝑠𝑡𝑜𝑐𝑘,t]]-T22)*Table27[[#This Row],[Buffer%]]</f>
        <v>16522.918645464524</v>
      </c>
      <c r="W23">
        <f>(Table27[[#This Row],[adjusted_NERt (Eq 92)]]-O22)-Table27[[#This Row],[Buffer_deduction (Eq 94)]]</f>
        <v>110576.45555041643</v>
      </c>
    </row>
    <row r="24" spans="2:23" x14ac:dyDescent="0.2">
      <c r="B24" s="18">
        <v>2041</v>
      </c>
      <c r="C24" cm="1">
        <f t="array" ref="C24">SUMPRODUCT(IF(Table14[[#All],[year t]]&lt;=Table27[[#This Row],[Year t]], Table14[[#All],[Ai,t]]*Table14[[#All],[GHGBSL-soil-CO2,i,t (Eq 27)]]))</f>
        <v>0</v>
      </c>
      <c r="D24">
        <f>INDEX(Table11[[#All],[GHG(BSL)]], MATCH(Table27[[#This Row],[Year t]], Table11[[#All],[year t]]))</f>
        <v>0</v>
      </c>
      <c r="E24" cm="1">
        <f t="array" ref="E24">SUMPRODUCT(IF(Table1423[[#All],[year t]]&lt;=Table27[[#This Row],[Year t]], Table1423[[#All],[Ai,t]]*Table1423[[#All],[GHGWPS-soil-CO2,i,t]]))</f>
        <v>-634399.05147017085</v>
      </c>
      <c r="F24">
        <f>IF(Emission_reduction_from_stock_loss?, IF(Table27[[#This Row],[GHGBSL-soil-CO2,t ]]-Table27[[#This Row],[GHGWPS-soil-CO2,t]] - SOC_Max&gt;0, Table27[[#This Row],[GHGBSL-soil-CO2,t ]]-Table27[[#This Row],[GHGWPS-soil-CO2,t]] - SOC_Max, 0), 0)</f>
        <v>0</v>
      </c>
      <c r="G24">
        <f>INDEX(Table1120[[#All],[GHG(WPS) (Eq 69)]], MATCH(Table27[[#This Row],[Year t]], Table1120[[#All],[year t]]))</f>
        <v>-1009405.2940463264</v>
      </c>
      <c r="H24">
        <f>IF(Fire_reduction_premium, INDEX(Table24[[#All],[FRP]], MATCH(Table27[[#This Row],[Year t]],Table24[[#All],[Year t]])), 0)</f>
        <v>0</v>
      </c>
      <c r="I24">
        <v>0</v>
      </c>
      <c r="J24">
        <f>Table27[[#This Row],[GHGBSL]]-Table27[[#This Row],[GHGWPS]]+Table27[[#This Row],[FRP]]-Table27[[#This Row],[GHGLK]]-Table27[[#This Row],[GHG(WPS-soil)_Deduction]]</f>
        <v>1009405.2940463264</v>
      </c>
      <c r="K24">
        <f>IF(NERRWE_Cap, IF(Table27[[#This Row],[NERRWE (Eq 85)]]&lt;=NERRWE_Max, Table27[[#This Row],[NERRWE (Eq 85)]], NERRWE_Max), Table27[[#This Row],[NERRWE (Eq 85)]])</f>
        <v>1009405.2940463264</v>
      </c>
      <c r="L24">
        <f>Table27[[#This Row],[NERRWE Capped]]</f>
        <v>1009405.2940463264</v>
      </c>
      <c r="M24" s="40">
        <f>'IndividualParameters + UI Req'!$B$9</f>
        <v>0</v>
      </c>
      <c r="N24" s="40">
        <f>'IndividualParameters + UI Req'!$B$6</f>
        <v>0</v>
      </c>
      <c r="O24">
        <f>Table27[[#This Row],[NERt]]*(100% - Table27[[#This Row],[NER(ERROR)]]+Table27[[#This Row],[allowable_uncert]])</f>
        <v>1009405.2940463264</v>
      </c>
      <c r="P24">
        <f>SUMIF(Table14[[#All],[year t]], "&lt;="&amp;Table27[[#This Row],[Year t]], Table14[[#All],[('[@'[GHGBSL-soil-CO2,i,t (Eq 27)']']-'[@'[Deductionalloch (Eq 38)']'])*Ai,t]])</f>
        <v>0</v>
      </c>
      <c r="Q24">
        <f>INDEX(Table11[[#All],[GHG(BSL-biomass)]], MATCH(Table27[[#This Row],[Year t]], Table11[[#All],[year t]]))</f>
        <v>0</v>
      </c>
      <c r="R24">
        <f xml:space="preserve"> SUMIF(Table1423[[#All],[year t]], "&lt;="&amp;Table27[[#This Row],[Year t]], Table1423[[#All],[('[@'[GHGWPS-soil-CO2,i,t (Eq 27)']']-'[@'[Deductionalloch WPS (Eq 38)']'])*Ai,t]] )</f>
        <v>-484924.65041469631</v>
      </c>
      <c r="S24">
        <f>INDEX(Table1120[[#All],[GHG(WPS-biomass)]], MATCH(Table27[[#This Row],[Year t]], Table1120[[#All],[year t]]))</f>
        <v>-524480.64363163011</v>
      </c>
      <c r="T24">
        <f>((Table27[[#This Row],[Sum(GHGBSL-soil-CO2,i,t (Eq 27)-Deductionalloch (Eq 38)),t]]+Table27[[#This Row],[GHG(BSL-biomass),t]])-(Table27[[#This Row],[Sum('[@'[GHGWPS-soil-CO2,i,t (Eq 80)']']-'[@Deductionalloch'])]]+Table27[[#This Row],[GHG(WPS-biomass)]]))</f>
        <v>1009405.2940463264</v>
      </c>
      <c r="U24">
        <f>'IndividualParameters + UI Req'!$B$7</f>
        <v>0.13</v>
      </c>
      <c r="V24">
        <f>(Table27[[#This Row],[𝑁𝐸𝑅𝑠𝑡𝑜𝑐𝑘,t]]-T23)*Table27[[#This Row],[Buffer%]]</f>
        <v>17299.024797267306</v>
      </c>
      <c r="W24">
        <f>(Table27[[#This Row],[adjusted_NERt (Eq 92)]]-O23)-Table27[[#This Row],[Buffer_deduction (Eq 94)]]</f>
        <v>115770.39672017351</v>
      </c>
    </row>
    <row r="25" spans="2:23" x14ac:dyDescent="0.2">
      <c r="B25" s="18">
        <v>2042</v>
      </c>
      <c r="C25" cm="1">
        <f t="array" ref="C25">SUMPRODUCT(IF(Table14[[#All],[year t]]&lt;=Table27[[#This Row],[Year t]], Table14[[#All],[Ai,t]]*Table14[[#All],[GHGBSL-soil-CO2,i,t (Eq 27)]]))</f>
        <v>0</v>
      </c>
      <c r="D25">
        <f>INDEX(Table11[[#All],[GHG(BSL)]], MATCH(Table27[[#This Row],[Year t]], Table11[[#All],[year t]]))</f>
        <v>0</v>
      </c>
      <c r="E25" cm="1">
        <f t="array" ref="E25">SUMPRODUCT(IF(Table1423[[#All],[year t]]&lt;=Table27[[#This Row],[Year t]], Table1423[[#All],[Ai,t]]*Table1423[[#All],[GHGWPS-soil-CO2,i,t]]))</f>
        <v>-691810.50225759926</v>
      </c>
      <c r="F25">
        <f>IF(Emission_reduction_from_stock_loss?, IF(Table27[[#This Row],[GHGBSL-soil-CO2,t ]]-Table27[[#This Row],[GHGWPS-soil-CO2,t]] - SOC_Max&gt;0, Table27[[#This Row],[GHGBSL-soil-CO2,t ]]-Table27[[#This Row],[GHGWPS-soil-CO2,t]] - SOC_Max, 0), 0)</f>
        <v>0</v>
      </c>
      <c r="G25">
        <f>INDEX(Table1120[[#All],[GHG(WPS) (Eq 69)]], MATCH(Table27[[#This Row],[Year t]], Table1120[[#All],[year t]]))</f>
        <v>-1146764.8237938373</v>
      </c>
      <c r="H25">
        <f>IF(Fire_reduction_premium, INDEX(Table24[[#All],[FRP]], MATCH(Table27[[#This Row],[Year t]],Table24[[#All],[Year t]])), 0)</f>
        <v>0</v>
      </c>
      <c r="I25">
        <v>0</v>
      </c>
      <c r="J25">
        <f>Table27[[#This Row],[GHGBSL]]-Table27[[#This Row],[GHGWPS]]+Table27[[#This Row],[FRP]]-Table27[[#This Row],[GHGLK]]-Table27[[#This Row],[GHG(WPS-soil)_Deduction]]</f>
        <v>1146764.8237938373</v>
      </c>
      <c r="K25">
        <f>IF(NERRWE_Cap, IF(Table27[[#This Row],[NERRWE (Eq 85)]]&lt;=NERRWE_Max, Table27[[#This Row],[NERRWE (Eq 85)]], NERRWE_Max), Table27[[#This Row],[NERRWE (Eq 85)]])</f>
        <v>1146764.8237938373</v>
      </c>
      <c r="L25">
        <f>Table27[[#This Row],[NERRWE Capped]]</f>
        <v>1146764.8237938373</v>
      </c>
      <c r="M25" s="40">
        <f>'IndividualParameters + UI Req'!$B$9</f>
        <v>0</v>
      </c>
      <c r="N25" s="40">
        <f>'IndividualParameters + UI Req'!$B$6</f>
        <v>0</v>
      </c>
      <c r="O25">
        <f>Table27[[#This Row],[NERt]]*(100% - Table27[[#This Row],[NER(ERROR)]]+Table27[[#This Row],[allowable_uncert]])</f>
        <v>1146764.8237938373</v>
      </c>
      <c r="P25">
        <f>SUMIF(Table14[[#All],[year t]], "&lt;="&amp;Table27[[#This Row],[Year t]], Table14[[#All],[('[@'[GHGBSL-soil-CO2,i,t (Eq 27)']']-'[@'[Deductionalloch (Eq 38)']'])*Ai,t]])</f>
        <v>0</v>
      </c>
      <c r="Q25">
        <f>INDEX(Table11[[#All],[GHG(BSL-biomass)]], MATCH(Table27[[#This Row],[Year t]], Table11[[#All],[year t]]))</f>
        <v>0</v>
      </c>
      <c r="R25">
        <f xml:space="preserve"> SUMIF(Table1423[[#All],[year t]], "&lt;="&amp;Table27[[#This Row],[Year t]], Table1423[[#All],[('[@'[GHGWPS-soil-CO2,i,t (Eq 27)']']-'[@'[Deductionalloch WPS (Eq 38)']'])*Ai,t]] )</f>
        <v>-528809.05982290197</v>
      </c>
      <c r="S25">
        <f>INDEX(Table1120[[#All],[GHG(WPS-biomass)]], MATCH(Table27[[#This Row],[Year t]], Table1120[[#All],[year t]]))</f>
        <v>-617955.76397093525</v>
      </c>
      <c r="T25">
        <f>((Table27[[#This Row],[Sum(GHGBSL-soil-CO2,i,t (Eq 27)-Deductionalloch (Eq 38)),t]]+Table27[[#This Row],[GHG(BSL-biomass),t]])-(Table27[[#This Row],[Sum('[@'[GHGWPS-soil-CO2,i,t (Eq 80)']']-'[@Deductionalloch'])]]+Table27[[#This Row],[GHG(WPS-biomass)]]))</f>
        <v>1146764.8237938373</v>
      </c>
      <c r="U25">
        <f>'IndividualParameters + UI Req'!$B$7</f>
        <v>0.13</v>
      </c>
      <c r="V25">
        <f>(Table27[[#This Row],[𝑁𝐸𝑅𝑠𝑡𝑜𝑐𝑘,t]]-T24)*Table27[[#This Row],[Buffer%]]</f>
        <v>17856.73886717642</v>
      </c>
      <c r="W25">
        <f>(Table27[[#This Row],[adjusted_NERt (Eq 92)]]-O24)-Table27[[#This Row],[Buffer_deduction (Eq 94)]]</f>
        <v>119502.79088033449</v>
      </c>
    </row>
    <row r="26" spans="2:23" x14ac:dyDescent="0.2">
      <c r="B26" s="18">
        <v>2043</v>
      </c>
      <c r="C26" cm="1">
        <f t="array" ref="C26">SUMPRODUCT(IF(Table14[[#All],[year t]]&lt;=Table27[[#This Row],[Year t]], Table14[[#All],[Ai,t]]*Table14[[#All],[GHGBSL-soil-CO2,i,t (Eq 27)]]))</f>
        <v>0</v>
      </c>
      <c r="D26">
        <f>INDEX(Table11[[#All],[GHG(BSL)]], MATCH(Table27[[#This Row],[Year t]], Table11[[#All],[year t]]))</f>
        <v>0</v>
      </c>
      <c r="E26" cm="1">
        <f t="array" ref="E26">SUMPRODUCT(IF(Table1423[[#All],[year t]]&lt;=Table27[[#This Row],[Year t]], Table1423[[#All],[Ai,t]]*Table1423[[#All],[GHGWPS-soil-CO2,i,t]]))</f>
        <v>-749221.95304502756</v>
      </c>
      <c r="F26">
        <f>IF(Emission_reduction_from_stock_loss?, IF(Table27[[#This Row],[GHGBSL-soil-CO2,t ]]-Table27[[#This Row],[GHGWPS-soil-CO2,t]] - SOC_Max&gt;0, Table27[[#This Row],[GHGBSL-soil-CO2,t ]]-Table27[[#This Row],[GHGWPS-soil-CO2,t]] - SOC_Max, 0), 0)</f>
        <v>0</v>
      </c>
      <c r="G26">
        <f>INDEX(Table1120[[#All],[GHG(WPS) (Eq 69)]], MATCH(Table27[[#This Row],[Year t]], Table1120[[#All],[year t]]))</f>
        <v>-1286740.8644671943</v>
      </c>
      <c r="H26">
        <f>IF(Fire_reduction_premium, INDEX(Table24[[#All],[FRP]], MATCH(Table27[[#This Row],[Year t]],Table24[[#All],[Year t]])), 0)</f>
        <v>0</v>
      </c>
      <c r="I26">
        <v>0</v>
      </c>
      <c r="J26">
        <f>Table27[[#This Row],[GHGBSL]]-Table27[[#This Row],[GHGWPS]]+Table27[[#This Row],[FRP]]-Table27[[#This Row],[GHGLK]]-Table27[[#This Row],[GHG(WPS-soil)_Deduction]]</f>
        <v>1286740.8644671943</v>
      </c>
      <c r="K26">
        <f>IF(NERRWE_Cap, IF(Table27[[#This Row],[NERRWE (Eq 85)]]&lt;=NERRWE_Max, Table27[[#This Row],[NERRWE (Eq 85)]], NERRWE_Max), Table27[[#This Row],[NERRWE (Eq 85)]])</f>
        <v>1286740.8644671943</v>
      </c>
      <c r="L26">
        <f>Table27[[#This Row],[NERRWE Capped]]</f>
        <v>1286740.8644671943</v>
      </c>
      <c r="M26" s="40">
        <f>'IndividualParameters + UI Req'!$B$9</f>
        <v>0</v>
      </c>
      <c r="N26" s="40">
        <f>'IndividualParameters + UI Req'!$B$6</f>
        <v>0</v>
      </c>
      <c r="O26">
        <f>Table27[[#This Row],[NERt]]*(100% - Table27[[#This Row],[NER(ERROR)]]+Table27[[#This Row],[allowable_uncert]])</f>
        <v>1286740.8644671943</v>
      </c>
      <c r="P26">
        <f>SUMIF(Table14[[#All],[year t]], "&lt;="&amp;Table27[[#This Row],[Year t]], Table14[[#All],[('[@'[GHGBSL-soil-CO2,i,t (Eq 27)']']-'[@'[Deductionalloch (Eq 38)']'])*Ai,t]])</f>
        <v>0</v>
      </c>
      <c r="Q26">
        <f>INDEX(Table11[[#All],[GHG(BSL-biomass)]], MATCH(Table27[[#This Row],[Year t]], Table11[[#All],[year t]]))</f>
        <v>0</v>
      </c>
      <c r="R26">
        <f xml:space="preserve"> SUMIF(Table1423[[#All],[year t]], "&lt;="&amp;Table27[[#This Row],[Year t]], Table1423[[#All],[('[@'[GHGWPS-soil-CO2,i,t (Eq 27)']']-'[@'[Deductionalloch WPS (Eq 38)']'])*Ai,t]] )</f>
        <v>-572693.46923110797</v>
      </c>
      <c r="S26">
        <f>INDEX(Table1120[[#All],[GHG(WPS-biomass)]], MATCH(Table27[[#This Row],[Year t]], Table1120[[#All],[year t]]))</f>
        <v>-714047.39523608622</v>
      </c>
      <c r="T26">
        <f>((Table27[[#This Row],[Sum(GHGBSL-soil-CO2,i,t (Eq 27)-Deductionalloch (Eq 38)),t]]+Table27[[#This Row],[GHG(BSL-biomass),t]])-(Table27[[#This Row],[Sum('[@'[GHGWPS-soil-CO2,i,t (Eq 80)']']-'[@Deductionalloch'])]]+Table27[[#This Row],[GHG(WPS-biomass)]]))</f>
        <v>1286740.8644671943</v>
      </c>
      <c r="U26">
        <f>'IndividualParameters + UI Req'!$B$7</f>
        <v>0.13</v>
      </c>
      <c r="V26">
        <f>(Table27[[#This Row],[𝑁𝐸𝑅𝑠𝑡𝑜𝑐𝑘,t]]-T25)*Table27[[#This Row],[Buffer%]]</f>
        <v>18196.885287536406</v>
      </c>
      <c r="W26">
        <f>(Table27[[#This Row],[adjusted_NERt (Eq 92)]]-O25)-Table27[[#This Row],[Buffer_deduction (Eq 94)]]</f>
        <v>121779.15538582056</v>
      </c>
    </row>
    <row r="27" spans="2:23" x14ac:dyDescent="0.2">
      <c r="B27" s="18">
        <v>2044</v>
      </c>
      <c r="C27" cm="1">
        <f t="array" ref="C27">SUMPRODUCT(IF(Table14[[#All],[year t]]&lt;=Table27[[#This Row],[Year t]], Table14[[#All],[Ai,t]]*Table14[[#All],[GHGBSL-soil-CO2,i,t (Eq 27)]]))</f>
        <v>0</v>
      </c>
      <c r="D27">
        <f>INDEX(Table11[[#All],[GHG(BSL)]], MATCH(Table27[[#This Row],[Year t]], Table11[[#All],[year t]]))</f>
        <v>0</v>
      </c>
      <c r="E27" cm="1">
        <f t="array" ref="E27">SUMPRODUCT(IF(Table1423[[#All],[year t]]&lt;=Table27[[#This Row],[Year t]], Table1423[[#All],[Ai,t]]*Table1423[[#All],[GHGWPS-soil-CO2,i,t]]))</f>
        <v>-806633.40383245598</v>
      </c>
      <c r="F27">
        <f>IF(Emission_reduction_from_stock_loss?, IF(Table27[[#This Row],[GHGBSL-soil-CO2,t ]]-Table27[[#This Row],[GHGWPS-soil-CO2,t]] - SOC_Max&gt;0, Table27[[#This Row],[GHGBSL-soil-CO2,t ]]-Table27[[#This Row],[GHGWPS-soil-CO2,t]] - SOC_Max, 0), 0)</f>
        <v>0</v>
      </c>
      <c r="G27">
        <f>INDEX(Table1120[[#All],[GHG(WPS) (Eq 69)]], MATCH(Table27[[#This Row],[Year t]], Table1120[[#All],[year t]]))</f>
        <v>-1427753.2166206804</v>
      </c>
      <c r="H27">
        <f>IF(Fire_reduction_premium, INDEX(Table24[[#All],[FRP]], MATCH(Table27[[#This Row],[Year t]],Table24[[#All],[Year t]])), 0)</f>
        <v>0</v>
      </c>
      <c r="I27">
        <v>0</v>
      </c>
      <c r="J27">
        <f>Table27[[#This Row],[GHGBSL]]-Table27[[#This Row],[GHGWPS]]+Table27[[#This Row],[FRP]]-Table27[[#This Row],[GHGLK]]-Table27[[#This Row],[GHG(WPS-soil)_Deduction]]</f>
        <v>1427753.2166206804</v>
      </c>
      <c r="K27">
        <f>IF(NERRWE_Cap, IF(Table27[[#This Row],[NERRWE (Eq 85)]]&lt;=NERRWE_Max, Table27[[#This Row],[NERRWE (Eq 85)]], NERRWE_Max), Table27[[#This Row],[NERRWE (Eq 85)]])</f>
        <v>1427753.2166206804</v>
      </c>
      <c r="L27">
        <f>Table27[[#This Row],[NERRWE Capped]]</f>
        <v>1427753.2166206804</v>
      </c>
      <c r="M27" s="40">
        <f>'IndividualParameters + UI Req'!$B$9</f>
        <v>0</v>
      </c>
      <c r="N27" s="40">
        <f>'IndividualParameters + UI Req'!$B$6</f>
        <v>0</v>
      </c>
      <c r="O27">
        <f>Table27[[#This Row],[NERt]]*(100% - Table27[[#This Row],[NER(ERROR)]]+Table27[[#This Row],[allowable_uncert]])</f>
        <v>1427753.2166206804</v>
      </c>
      <c r="P27">
        <f>SUMIF(Table14[[#All],[year t]], "&lt;="&amp;Table27[[#This Row],[Year t]], Table14[[#All],[('[@'[GHGBSL-soil-CO2,i,t (Eq 27)']']-'[@'[Deductionalloch (Eq 38)']'])*Ai,t]])</f>
        <v>0</v>
      </c>
      <c r="Q27">
        <f>INDEX(Table11[[#All],[GHG(BSL-biomass)]], MATCH(Table27[[#This Row],[Year t]], Table11[[#All],[year t]]))</f>
        <v>0</v>
      </c>
      <c r="R27">
        <f xml:space="preserve"> SUMIF(Table1423[[#All],[year t]], "&lt;="&amp;Table27[[#This Row],[Year t]], Table1423[[#All],[('[@'[GHGWPS-soil-CO2,i,t (Eq 27)']']-'[@'[Deductionalloch WPS (Eq 38)']'])*Ai,t]] )</f>
        <v>-616577.87863931386</v>
      </c>
      <c r="S27">
        <f>INDEX(Table1120[[#All],[GHG(WPS-biomass)]], MATCH(Table27[[#This Row],[Year t]], Table1120[[#All],[year t]]))</f>
        <v>-811175.33798136655</v>
      </c>
      <c r="T27">
        <f>((Table27[[#This Row],[Sum(GHGBSL-soil-CO2,i,t (Eq 27)-Deductionalloch (Eq 38)),t]]+Table27[[#This Row],[GHG(BSL-biomass),t]])-(Table27[[#This Row],[Sum('[@'[GHGWPS-soil-CO2,i,t (Eq 80)']']-'[@Deductionalloch'])]]+Table27[[#This Row],[GHG(WPS-biomass)]]))</f>
        <v>1427753.2166206804</v>
      </c>
      <c r="U27">
        <f>'IndividualParameters + UI Req'!$B$7</f>
        <v>0.13</v>
      </c>
      <c r="V27">
        <f>(Table27[[#This Row],[𝑁𝐸𝑅𝑠𝑡𝑜𝑐𝑘,t]]-T26)*Table27[[#This Row],[Buffer%]]</f>
        <v>18331.605779953195</v>
      </c>
      <c r="W27">
        <f>(Table27[[#This Row],[adjusted_NERt (Eq 92)]]-O26)-Table27[[#This Row],[Buffer_deduction (Eq 94)]]</f>
        <v>122680.74637353291</v>
      </c>
    </row>
    <row r="28" spans="2:23" x14ac:dyDescent="0.2">
      <c r="B28" s="18">
        <v>2045</v>
      </c>
      <c r="C28" cm="1">
        <f t="array" ref="C28">SUMPRODUCT(IF(Table14[[#All],[year t]]&lt;=Table27[[#This Row],[Year t]], Table14[[#All],[Ai,t]]*Table14[[#All],[GHGBSL-soil-CO2,i,t (Eq 27)]]))</f>
        <v>0</v>
      </c>
      <c r="D28">
        <f>INDEX(Table11[[#All],[GHG(BSL)]], MATCH(Table27[[#This Row],[Year t]], Table11[[#All],[year t]]))</f>
        <v>0</v>
      </c>
      <c r="E28" cm="1">
        <f t="array" ref="E28">SUMPRODUCT(IF(Table1423[[#All],[year t]]&lt;=Table27[[#This Row],[Year t]], Table1423[[#All],[Ai,t]]*Table1423[[#All],[GHGWPS-soil-CO2,i,t]]))</f>
        <v>-864044.8546198844</v>
      </c>
      <c r="F28">
        <f>IF(Emission_reduction_from_stock_loss?, IF(Table27[[#This Row],[GHGBSL-soil-CO2,t ]]-Table27[[#This Row],[GHGWPS-soil-CO2,t]] - SOC_Max&gt;0, Table27[[#This Row],[GHGBSL-soil-CO2,t ]]-Table27[[#This Row],[GHGWPS-soil-CO2,t]] - SOC_Max, 0), 0)</f>
        <v>0</v>
      </c>
      <c r="G28">
        <f>INDEX(Table1120[[#All],[GHG(WPS) (Eq 69)]], MATCH(Table27[[#This Row],[Year t]], Table1120[[#All],[year t]]))</f>
        <v>-1568376.2175271874</v>
      </c>
      <c r="H28">
        <f>IF(Fire_reduction_premium, INDEX(Table24[[#All],[FRP]], MATCH(Table27[[#This Row],[Year t]],Table24[[#All],[Year t]])), 0)</f>
        <v>0</v>
      </c>
      <c r="I28">
        <v>0</v>
      </c>
      <c r="J28">
        <f>Table27[[#This Row],[GHGBSL]]-Table27[[#This Row],[GHGWPS]]+Table27[[#This Row],[FRP]]-Table27[[#This Row],[GHGLK]]-Table27[[#This Row],[GHG(WPS-soil)_Deduction]]</f>
        <v>1568376.2175271874</v>
      </c>
      <c r="K28">
        <f>IF(NERRWE_Cap, IF(Table27[[#This Row],[NERRWE (Eq 85)]]&lt;=NERRWE_Max, Table27[[#This Row],[NERRWE (Eq 85)]], NERRWE_Max), Table27[[#This Row],[NERRWE (Eq 85)]])</f>
        <v>1568376.2175271874</v>
      </c>
      <c r="L28">
        <f>Table27[[#This Row],[NERRWE Capped]]</f>
        <v>1568376.2175271874</v>
      </c>
      <c r="M28" s="40">
        <f>'IndividualParameters + UI Req'!$B$9</f>
        <v>0</v>
      </c>
      <c r="N28" s="40">
        <f>'IndividualParameters + UI Req'!$B$6</f>
        <v>0</v>
      </c>
      <c r="O28">
        <f>Table27[[#This Row],[NERt]]*(100% - Table27[[#This Row],[NER(ERROR)]]+Table27[[#This Row],[allowable_uncert]])</f>
        <v>1568376.2175271874</v>
      </c>
      <c r="P28">
        <f>SUMIF(Table14[[#All],[year t]], "&lt;="&amp;Table27[[#This Row],[Year t]], Table14[[#All],[('[@'[GHGBSL-soil-CO2,i,t (Eq 27)']']-'[@'[Deductionalloch (Eq 38)']'])*Ai,t]])</f>
        <v>0</v>
      </c>
      <c r="Q28">
        <f>INDEX(Table11[[#All],[GHG(BSL-biomass)]], MATCH(Table27[[#This Row],[Year t]], Table11[[#All],[year t]]))</f>
        <v>0</v>
      </c>
      <c r="R28">
        <f xml:space="preserve"> SUMIF(Table1423[[#All],[year t]], "&lt;="&amp;Table27[[#This Row],[Year t]], Table1423[[#All],[('[@'[GHGWPS-soil-CO2,i,t (Eq 27)']']-'[@'[Deductionalloch WPS (Eq 38)']'])*Ai,t]] )</f>
        <v>-660462.28804751951</v>
      </c>
      <c r="S28">
        <f>INDEX(Table1120[[#All],[GHG(WPS-biomass)]], MATCH(Table27[[#This Row],[Year t]], Table1120[[#All],[year t]]))</f>
        <v>-907913.9294796678</v>
      </c>
      <c r="T28">
        <f>((Table27[[#This Row],[Sum(GHGBSL-soil-CO2,i,t (Eq 27)-Deductionalloch (Eq 38)),t]]+Table27[[#This Row],[GHG(BSL-biomass),t]])-(Table27[[#This Row],[Sum('[@'[GHGWPS-soil-CO2,i,t (Eq 80)']']-'[@Deductionalloch'])]]+Table27[[#This Row],[GHG(WPS-biomass)]]))</f>
        <v>1568376.2175271874</v>
      </c>
      <c r="U28">
        <f>'IndividualParameters + UI Req'!$B$7</f>
        <v>0.13</v>
      </c>
      <c r="V28">
        <f>(Table27[[#This Row],[𝑁𝐸𝑅𝑠𝑡𝑜𝑐𝑘,t]]-T27)*Table27[[#This Row],[Buffer%]]</f>
        <v>18280.990117845911</v>
      </c>
      <c r="W28">
        <f>(Table27[[#This Row],[adjusted_NERt (Eq 92)]]-O27)-Table27[[#This Row],[Buffer_deduction (Eq 94)]]</f>
        <v>122342.01078866111</v>
      </c>
    </row>
    <row r="29" spans="2:23" x14ac:dyDescent="0.2">
      <c r="B29" s="18">
        <v>2046</v>
      </c>
      <c r="C29" cm="1">
        <f t="array" ref="C29">SUMPRODUCT(IF(Table14[[#All],[year t]]&lt;=Table27[[#This Row],[Year t]], Table14[[#All],[Ai,t]]*Table14[[#All],[GHGBSL-soil-CO2,i,t (Eq 27)]]))</f>
        <v>0</v>
      </c>
      <c r="D29">
        <f>INDEX(Table11[[#All],[GHG(BSL)]], MATCH(Table27[[#This Row],[Year t]], Table11[[#All],[year t]]))</f>
        <v>0</v>
      </c>
      <c r="E29" cm="1">
        <f t="array" ref="E29">SUMPRODUCT(IF(Table1423[[#All],[year t]]&lt;=Table27[[#This Row],[Year t]], Table1423[[#All],[Ai,t]]*Table1423[[#All],[GHGWPS-soil-CO2,i,t]]))</f>
        <v>-921456.3054073127</v>
      </c>
      <c r="F29">
        <f>IF(Emission_reduction_from_stock_loss?, IF(Table27[[#This Row],[GHGBSL-soil-CO2,t ]]-Table27[[#This Row],[GHGWPS-soil-CO2,t]] - SOC_Max&gt;0, Table27[[#This Row],[GHGBSL-soil-CO2,t ]]-Table27[[#This Row],[GHGWPS-soil-CO2,t]] - SOC_Max, 0), 0)</f>
        <v>0</v>
      </c>
      <c r="G29">
        <f>INDEX(Table1120[[#All],[GHG(WPS) (Eq 69)]], MATCH(Table27[[#This Row],[Year t]], Table1120[[#All],[year t]]))</f>
        <v>-1707375.8505102675</v>
      </c>
      <c r="H29">
        <f>IF(Fire_reduction_premium, INDEX(Table24[[#All],[FRP]], MATCH(Table27[[#This Row],[Year t]],Table24[[#All],[Year t]])), 0)</f>
        <v>0</v>
      </c>
      <c r="I29">
        <v>0</v>
      </c>
      <c r="J29">
        <f>Table27[[#This Row],[GHGBSL]]-Table27[[#This Row],[GHGWPS]]+Table27[[#This Row],[FRP]]-Table27[[#This Row],[GHGLK]]-Table27[[#This Row],[GHG(WPS-soil)_Deduction]]</f>
        <v>1707375.8505102675</v>
      </c>
      <c r="K29">
        <f>IF(NERRWE_Cap, IF(Table27[[#This Row],[NERRWE (Eq 85)]]&lt;=NERRWE_Max, Table27[[#This Row],[NERRWE (Eq 85)]], NERRWE_Max), Table27[[#This Row],[NERRWE (Eq 85)]])</f>
        <v>1707375.8505102675</v>
      </c>
      <c r="L29">
        <f>Table27[[#This Row],[NERRWE Capped]]</f>
        <v>1707375.8505102675</v>
      </c>
      <c r="M29" s="40">
        <f>'IndividualParameters + UI Req'!$B$9</f>
        <v>0</v>
      </c>
      <c r="N29" s="40">
        <f>'IndividualParameters + UI Req'!$B$6</f>
        <v>0</v>
      </c>
      <c r="O29">
        <f>Table27[[#This Row],[NERt]]*(100% - Table27[[#This Row],[NER(ERROR)]]+Table27[[#This Row],[allowable_uncert]])</f>
        <v>1707375.8505102675</v>
      </c>
      <c r="P29">
        <f>SUMIF(Table14[[#All],[year t]], "&lt;="&amp;Table27[[#This Row],[Year t]], Table14[[#All],[('[@'[GHGBSL-soil-CO2,i,t (Eq 27)']']-'[@'[Deductionalloch (Eq 38)']'])*Ai,t]])</f>
        <v>0</v>
      </c>
      <c r="Q29">
        <f>INDEX(Table11[[#All],[GHG(BSL-biomass)]], MATCH(Table27[[#This Row],[Year t]], Table11[[#All],[year t]]))</f>
        <v>0</v>
      </c>
      <c r="R29">
        <f xml:space="preserve"> SUMIF(Table1423[[#All],[year t]], "&lt;="&amp;Table27[[#This Row],[Year t]], Table1423[[#All],[('[@'[GHGWPS-soil-CO2,i,t (Eq 27)']']-'[@'[Deductionalloch WPS (Eq 38)']'])*Ai,t]] )</f>
        <v>-704346.69745572517</v>
      </c>
      <c r="S29">
        <f>INDEX(Table1120[[#All],[GHG(WPS-biomass)]], MATCH(Table27[[#This Row],[Year t]], Table1120[[#All],[year t]]))</f>
        <v>-1003029.1530545425</v>
      </c>
      <c r="T29">
        <f>((Table27[[#This Row],[Sum(GHGBSL-soil-CO2,i,t (Eq 27)-Deductionalloch (Eq 38)),t]]+Table27[[#This Row],[GHG(BSL-biomass),t]])-(Table27[[#This Row],[Sum('[@'[GHGWPS-soil-CO2,i,t (Eq 80)']']-'[@Deductionalloch'])]]+Table27[[#This Row],[GHG(WPS-biomass)]]))</f>
        <v>1707375.8505102675</v>
      </c>
      <c r="U29">
        <f>'IndividualParameters + UI Req'!$B$7</f>
        <v>0.13</v>
      </c>
      <c r="V29">
        <f>(Table27[[#This Row],[𝑁𝐸𝑅𝑠𝑡𝑜𝑐𝑘,t]]-T28)*Table27[[#This Row],[Buffer%]]</f>
        <v>18069.952287800414</v>
      </c>
      <c r="W29">
        <f>(Table27[[#This Row],[adjusted_NERt (Eq 92)]]-O28)-Table27[[#This Row],[Buffer_deduction (Eq 94)]]</f>
        <v>120929.68069527971</v>
      </c>
    </row>
    <row r="30" spans="2:23" x14ac:dyDescent="0.2">
      <c r="B30" s="18">
        <v>2047</v>
      </c>
      <c r="C30" cm="1">
        <f t="array" ref="C30">SUMPRODUCT(IF(Table14[[#All],[year t]]&lt;=Table27[[#This Row],[Year t]], Table14[[#All],[Ai,t]]*Table14[[#All],[GHGBSL-soil-CO2,i,t (Eq 27)]]))</f>
        <v>0</v>
      </c>
      <c r="D30">
        <f>INDEX(Table11[[#All],[GHG(BSL)]], MATCH(Table27[[#This Row],[Year t]], Table11[[#All],[year t]]))</f>
        <v>0</v>
      </c>
      <c r="E30" cm="1">
        <f t="array" ref="E30">SUMPRODUCT(IF(Table1423[[#All],[year t]]&lt;=Table27[[#This Row],[Year t]], Table1423[[#All],[Ai,t]]*Table1423[[#All],[GHGWPS-soil-CO2,i,t]]))</f>
        <v>-978867.75619474112</v>
      </c>
      <c r="F30">
        <f>IF(Emission_reduction_from_stock_loss?, IF(Table27[[#This Row],[GHGBSL-soil-CO2,t ]]-Table27[[#This Row],[GHGWPS-soil-CO2,t]] - SOC_Max&gt;0, Table27[[#This Row],[GHGBSL-soil-CO2,t ]]-Table27[[#This Row],[GHGWPS-soil-CO2,t]] - SOC_Max, 0), 0)</f>
        <v>0</v>
      </c>
      <c r="G30">
        <f>INDEX(Table1120[[#All],[GHG(WPS) (Eq 69)]], MATCH(Table27[[#This Row],[Year t]], Table1120[[#All],[year t]]))</f>
        <v>-1843726.5676468676</v>
      </c>
      <c r="H30">
        <f>IF(Fire_reduction_premium, INDEX(Table24[[#All],[FRP]], MATCH(Table27[[#This Row],[Year t]],Table24[[#All],[Year t]])), 0)</f>
        <v>0</v>
      </c>
      <c r="I30">
        <v>0</v>
      </c>
      <c r="J30">
        <f>Table27[[#This Row],[GHGBSL]]-Table27[[#This Row],[GHGWPS]]+Table27[[#This Row],[FRP]]-Table27[[#This Row],[GHGLK]]-Table27[[#This Row],[GHG(WPS-soil)_Deduction]]</f>
        <v>1843726.5676468676</v>
      </c>
      <c r="K30">
        <f>IF(NERRWE_Cap, IF(Table27[[#This Row],[NERRWE (Eq 85)]]&lt;=NERRWE_Max, Table27[[#This Row],[NERRWE (Eq 85)]], NERRWE_Max), Table27[[#This Row],[NERRWE (Eq 85)]])</f>
        <v>1843726.5676468676</v>
      </c>
      <c r="L30">
        <f>Table27[[#This Row],[NERRWE Capped]]</f>
        <v>1843726.5676468676</v>
      </c>
      <c r="M30" s="40">
        <f>'IndividualParameters + UI Req'!$B$9</f>
        <v>0</v>
      </c>
      <c r="N30" s="40">
        <f>'IndividualParameters + UI Req'!$B$6</f>
        <v>0</v>
      </c>
      <c r="O30">
        <f>Table27[[#This Row],[NERt]]*(100% - Table27[[#This Row],[NER(ERROR)]]+Table27[[#This Row],[allowable_uncert]])</f>
        <v>1843726.5676468676</v>
      </c>
      <c r="P30">
        <f>SUMIF(Table14[[#All],[year t]], "&lt;="&amp;Table27[[#This Row],[Year t]], Table14[[#All],[('[@'[GHGBSL-soil-CO2,i,t (Eq 27)']']-'[@'[Deductionalloch (Eq 38)']'])*Ai,t]])</f>
        <v>0</v>
      </c>
      <c r="Q30">
        <f>INDEX(Table11[[#All],[GHG(BSL-biomass)]], MATCH(Table27[[#This Row],[Year t]], Table11[[#All],[year t]]))</f>
        <v>0</v>
      </c>
      <c r="R30">
        <f xml:space="preserve"> SUMIF(Table1423[[#All],[year t]], "&lt;="&amp;Table27[[#This Row],[Year t]], Table1423[[#All],[('[@'[GHGWPS-soil-CO2,i,t (Eq 27)']']-'[@'[Deductionalloch WPS (Eq 38)']'])*Ai,t]] )</f>
        <v>-748231.10686393094</v>
      </c>
      <c r="S30">
        <f>INDEX(Table1120[[#All],[GHG(WPS-biomass)]], MATCH(Table27[[#This Row],[Year t]], Table1120[[#All],[year t]]))</f>
        <v>-1095495.4607829368</v>
      </c>
      <c r="T30">
        <f>((Table27[[#This Row],[Sum(GHGBSL-soil-CO2,i,t (Eq 27)-Deductionalloch (Eq 38)),t]]+Table27[[#This Row],[GHG(BSL-biomass),t]])-(Table27[[#This Row],[Sum('[@'[GHGWPS-soil-CO2,i,t (Eq 80)']']-'[@Deductionalloch'])]]+Table27[[#This Row],[GHG(WPS-biomass)]]))</f>
        <v>1843726.5676468676</v>
      </c>
      <c r="U30">
        <f>'IndividualParameters + UI Req'!$B$7</f>
        <v>0.13</v>
      </c>
      <c r="V30">
        <f>(Table27[[#This Row],[𝑁𝐸𝑅𝑠𝑡𝑜𝑐𝑘,t]]-T29)*Table27[[#This Row],[Buffer%]]</f>
        <v>17725.593227758007</v>
      </c>
      <c r="W30">
        <f>(Table27[[#This Row],[adjusted_NERt (Eq 92)]]-O29)-Table27[[#This Row],[Buffer_deduction (Eq 94)]]</f>
        <v>118625.12390884204</v>
      </c>
    </row>
    <row r="31" spans="2:23" x14ac:dyDescent="0.2">
      <c r="B31" s="18">
        <v>2048</v>
      </c>
      <c r="C31" cm="1">
        <f t="array" ref="C31">SUMPRODUCT(IF(Table14[[#All],[year t]]&lt;=Table27[[#This Row],[Year t]], Table14[[#All],[Ai,t]]*Table14[[#All],[GHGBSL-soil-CO2,i,t (Eq 27)]]))</f>
        <v>0</v>
      </c>
      <c r="D31">
        <f>INDEX(Table11[[#All],[GHG(BSL)]], MATCH(Table27[[#This Row],[Year t]], Table11[[#All],[year t]]))</f>
        <v>0</v>
      </c>
      <c r="E31" cm="1">
        <f t="array" ref="E31">SUMPRODUCT(IF(Table1423[[#All],[year t]]&lt;=Table27[[#This Row],[Year t]], Table1423[[#All],[Ai,t]]*Table1423[[#All],[GHGWPS-soil-CO2,i,t]]))</f>
        <v>-1036279.2069821695</v>
      </c>
      <c r="F31">
        <f>IF(Emission_reduction_from_stock_loss?, IF(Table27[[#This Row],[GHGBSL-soil-CO2,t ]]-Table27[[#This Row],[GHGWPS-soil-CO2,t]] - SOC_Max&gt;0, Table27[[#This Row],[GHGBSL-soil-CO2,t ]]-Table27[[#This Row],[GHGWPS-soil-CO2,t]] - SOC_Max, 0), 0)</f>
        <v>0</v>
      </c>
      <c r="G31">
        <f>INDEX(Table1120[[#All],[GHG(WPS) (Eq 69)]], MATCH(Table27[[#This Row],[Year t]], Table1120[[#All],[year t]]))</f>
        <v>-1976612.298497675</v>
      </c>
      <c r="H31">
        <f>IF(Fire_reduction_premium, INDEX(Table24[[#All],[FRP]], MATCH(Table27[[#This Row],[Year t]],Table24[[#All],[Year t]])), 0)</f>
        <v>0</v>
      </c>
      <c r="I31">
        <v>0</v>
      </c>
      <c r="J31">
        <f>Table27[[#This Row],[GHGBSL]]-Table27[[#This Row],[GHGWPS]]+Table27[[#This Row],[FRP]]-Table27[[#This Row],[GHGLK]]-Table27[[#This Row],[GHG(WPS-soil)_Deduction]]</f>
        <v>1976612.298497675</v>
      </c>
      <c r="K31">
        <f>IF(NERRWE_Cap, IF(Table27[[#This Row],[NERRWE (Eq 85)]]&lt;=NERRWE_Max, Table27[[#This Row],[NERRWE (Eq 85)]], NERRWE_Max), Table27[[#This Row],[NERRWE (Eq 85)]])</f>
        <v>1976612.298497675</v>
      </c>
      <c r="L31">
        <f>Table27[[#This Row],[NERRWE Capped]]</f>
        <v>1976612.298497675</v>
      </c>
      <c r="M31" s="40">
        <f>'IndividualParameters + UI Req'!$B$9</f>
        <v>0</v>
      </c>
      <c r="N31" s="40">
        <f>'IndividualParameters + UI Req'!$B$6</f>
        <v>0</v>
      </c>
      <c r="O31">
        <f>Table27[[#This Row],[NERt]]*(100% - Table27[[#This Row],[NER(ERROR)]]+Table27[[#This Row],[allowable_uncert]])</f>
        <v>1976612.298497675</v>
      </c>
      <c r="P31">
        <f>SUMIF(Table14[[#All],[year t]], "&lt;="&amp;Table27[[#This Row],[Year t]], Table14[[#All],[('[@'[GHGBSL-soil-CO2,i,t (Eq 27)']']-'[@'[Deductionalloch (Eq 38)']'])*Ai,t]])</f>
        <v>0</v>
      </c>
      <c r="Q31">
        <f>INDEX(Table11[[#All],[GHG(BSL-biomass)]], MATCH(Table27[[#This Row],[Year t]], Table11[[#All],[year t]]))</f>
        <v>0</v>
      </c>
      <c r="R31">
        <f xml:space="preserve"> SUMIF(Table1423[[#All],[year t]], "&lt;="&amp;Table27[[#This Row],[Year t]], Table1423[[#All],[('[@'[GHGWPS-soil-CO2,i,t (Eq 27)']']-'[@'[Deductionalloch WPS (Eq 38)']'])*Ai,t]] )</f>
        <v>-792115.51627213659</v>
      </c>
      <c r="S31">
        <f>INDEX(Table1120[[#All],[GHG(WPS-biomass)]], MATCH(Table27[[#This Row],[Year t]], Table1120[[#All],[year t]]))</f>
        <v>-1184496.7822255385</v>
      </c>
      <c r="T31">
        <f>((Table27[[#This Row],[Sum(GHGBSL-soil-CO2,i,t (Eq 27)-Deductionalloch (Eq 38)),t]]+Table27[[#This Row],[GHG(BSL-biomass),t]])-(Table27[[#This Row],[Sum('[@'[GHGWPS-soil-CO2,i,t (Eq 80)']']-'[@Deductionalloch'])]]+Table27[[#This Row],[GHG(WPS-biomass)]]))</f>
        <v>1976612.298497675</v>
      </c>
      <c r="U31">
        <f>'IndividualParameters + UI Req'!$B$7</f>
        <v>0.13</v>
      </c>
      <c r="V31">
        <f>(Table27[[#This Row],[𝑁𝐸𝑅𝑠𝑡𝑜𝑐𝑘,t]]-T30)*Table27[[#This Row],[Buffer%]]</f>
        <v>17275.14501060496</v>
      </c>
      <c r="W31">
        <f>(Table27[[#This Row],[adjusted_NERt (Eq 92)]]-O30)-Table27[[#This Row],[Buffer_deduction (Eq 94)]]</f>
        <v>115610.58584020243</v>
      </c>
    </row>
    <row r="32" spans="2:23" x14ac:dyDescent="0.2">
      <c r="B32" s="18">
        <v>2049</v>
      </c>
      <c r="C32" cm="1">
        <f t="array" ref="C32">SUMPRODUCT(IF(Table14[[#All],[year t]]&lt;=Table27[[#This Row],[Year t]], Table14[[#All],[Ai,t]]*Table14[[#All],[GHGBSL-soil-CO2,i,t (Eq 27)]]))</f>
        <v>0</v>
      </c>
      <c r="D32">
        <f>INDEX(Table11[[#All],[GHG(BSL)]], MATCH(Table27[[#This Row],[Year t]], Table11[[#All],[year t]]))</f>
        <v>0</v>
      </c>
      <c r="E32" cm="1">
        <f t="array" ref="E32">SUMPRODUCT(IF(Table1423[[#All],[year t]]&lt;=Table27[[#This Row],[Year t]], Table1423[[#All],[Ai,t]]*Table1423[[#All],[GHGWPS-soil-CO2,i,t]]))</f>
        <v>-1093690.6577695981</v>
      </c>
      <c r="F32">
        <f>IF(Emission_reduction_from_stock_loss?, IF(Table27[[#This Row],[GHGBSL-soil-CO2,t ]]-Table27[[#This Row],[GHGWPS-soil-CO2,t]] - SOC_Max&gt;0, Table27[[#This Row],[GHGBSL-soil-CO2,t ]]-Table27[[#This Row],[GHGWPS-soil-CO2,t]] - SOC_Max, 0), 0)</f>
        <v>0</v>
      </c>
      <c r="G32">
        <f>INDEX(Table1120[[#All],[GHG(WPS) (Eq 69)]], MATCH(Table27[[#This Row],[Year t]], Table1120[[#All],[year t]]))</f>
        <v>-2105416.0812987778</v>
      </c>
      <c r="H32">
        <f>IF(Fire_reduction_premium, INDEX(Table24[[#All],[FRP]], MATCH(Table27[[#This Row],[Year t]],Table24[[#All],[Year t]])), 0)</f>
        <v>0</v>
      </c>
      <c r="I32">
        <v>0</v>
      </c>
      <c r="J32">
        <f>Table27[[#This Row],[GHGBSL]]-Table27[[#This Row],[GHGWPS]]+Table27[[#This Row],[FRP]]-Table27[[#This Row],[GHGLK]]-Table27[[#This Row],[GHG(WPS-soil)_Deduction]]</f>
        <v>2105416.0812987778</v>
      </c>
      <c r="K32">
        <f>IF(NERRWE_Cap, IF(Table27[[#This Row],[NERRWE (Eq 85)]]&lt;=NERRWE_Max, Table27[[#This Row],[NERRWE (Eq 85)]], NERRWE_Max), Table27[[#This Row],[NERRWE (Eq 85)]])</f>
        <v>2105416.0812987778</v>
      </c>
      <c r="L32">
        <f>Table27[[#This Row],[NERRWE Capped]]</f>
        <v>2105416.0812987778</v>
      </c>
      <c r="M32" s="40">
        <f>'IndividualParameters + UI Req'!$B$9</f>
        <v>0</v>
      </c>
      <c r="N32" s="40">
        <f>'IndividualParameters + UI Req'!$B$6</f>
        <v>0</v>
      </c>
      <c r="O32">
        <f>Table27[[#This Row],[NERt]]*(100% - Table27[[#This Row],[NER(ERROR)]]+Table27[[#This Row],[allowable_uncert]])</f>
        <v>2105416.0812987778</v>
      </c>
      <c r="P32">
        <f>SUMIF(Table14[[#All],[year t]], "&lt;="&amp;Table27[[#This Row],[Year t]], Table14[[#All],[('[@'[GHGBSL-soil-CO2,i,t (Eq 27)']']-'[@'[Deductionalloch (Eq 38)']'])*Ai,t]])</f>
        <v>0</v>
      </c>
      <c r="Q32">
        <f>INDEX(Table11[[#All],[GHG(BSL-biomass)]], MATCH(Table27[[#This Row],[Year t]], Table11[[#All],[year t]]))</f>
        <v>0</v>
      </c>
      <c r="R32">
        <f xml:space="preserve"> SUMIF(Table1423[[#All],[year t]], "&lt;="&amp;Table27[[#This Row],[Year t]], Table1423[[#All],[('[@'[GHGWPS-soil-CO2,i,t (Eq 27)']']-'[@'[Deductionalloch WPS (Eq 38)']'])*Ai,t]] )</f>
        <v>-835999.92568034236</v>
      </c>
      <c r="S32">
        <f>INDEX(Table1120[[#All],[GHG(WPS-biomass)]], MATCH(Table27[[#This Row],[Year t]], Table1120[[#All],[year t]]))</f>
        <v>-1269416.1556184355</v>
      </c>
      <c r="T32">
        <f>((Table27[[#This Row],[Sum(GHGBSL-soil-CO2,i,t (Eq 27)-Deductionalloch (Eq 38)),t]]+Table27[[#This Row],[GHG(BSL-biomass),t]])-(Table27[[#This Row],[Sum('[@'[GHGWPS-soil-CO2,i,t (Eq 80)']']-'[@Deductionalloch'])]]+Table27[[#This Row],[GHG(WPS-biomass)]]))</f>
        <v>2105416.0812987778</v>
      </c>
      <c r="U32">
        <f>'IndividualParameters + UI Req'!$B$7</f>
        <v>0.13</v>
      </c>
      <c r="V32">
        <f>(Table27[[#This Row],[𝑁𝐸𝑅𝑠𝑡𝑜𝑐𝑘,t]]-T31)*Table27[[#This Row],[Buffer%]]</f>
        <v>16744.491764143371</v>
      </c>
      <c r="W32">
        <f>(Table27[[#This Row],[adjusted_NERt (Eq 92)]]-O31)-Table27[[#This Row],[Buffer_deduction (Eq 94)]]</f>
        <v>112059.29103695948</v>
      </c>
    </row>
    <row r="33" spans="2:23" x14ac:dyDescent="0.2">
      <c r="B33" s="18">
        <v>2050</v>
      </c>
      <c r="C33" cm="1">
        <f t="array" ref="C33">SUMPRODUCT(IF(Table14[[#All],[year t]]&lt;=Table27[[#This Row],[Year t]], Table14[[#All],[Ai,t]]*Table14[[#All],[GHGBSL-soil-CO2,i,t (Eq 27)]]))</f>
        <v>0</v>
      </c>
      <c r="D33">
        <f>INDEX(Table11[[#All],[GHG(BSL)]], MATCH(Table27[[#This Row],[Year t]], Table11[[#All],[year t]]))</f>
        <v>0</v>
      </c>
      <c r="E33" cm="1">
        <f t="array" ref="E33">SUMPRODUCT(IF(Table1423[[#All],[year t]]&lt;=Table27[[#This Row],[Year t]], Table1423[[#All],[Ai,t]]*Table1423[[#All],[GHGWPS-soil-CO2,i,t]]))</f>
        <v>-1151102.1085570266</v>
      </c>
      <c r="F33">
        <f>IF(Emission_reduction_from_stock_loss?, IF(Table27[[#This Row],[GHGBSL-soil-CO2,t ]]-Table27[[#This Row],[GHGWPS-soil-CO2,t]] - SOC_Max&gt;0, Table27[[#This Row],[GHGBSL-soil-CO2,t ]]-Table27[[#This Row],[GHGWPS-soil-CO2,t]] - SOC_Max, 0), 0)</f>
        <v>0</v>
      </c>
      <c r="G33">
        <f>INDEX(Table1120[[#All],[GHG(WPS) (Eq 69)]], MATCH(Table27[[#This Row],[Year t]], Table1120[[#All],[year t]]))</f>
        <v>-2229702.2655400205</v>
      </c>
      <c r="H33">
        <f>IF(Fire_reduction_premium, INDEX(Table24[[#All],[FRP]], MATCH(Table27[[#This Row],[Year t]],Table24[[#All],[Year t]])), 0)</f>
        <v>0</v>
      </c>
      <c r="I33">
        <v>0</v>
      </c>
      <c r="J33">
        <f>Table27[[#This Row],[GHGBSL]]-Table27[[#This Row],[GHGWPS]]+Table27[[#This Row],[FRP]]-Table27[[#This Row],[GHGLK]]-Table27[[#This Row],[GHG(WPS-soil)_Deduction]]</f>
        <v>2229702.2655400205</v>
      </c>
      <c r="K33">
        <f>IF(NERRWE_Cap, IF(Table27[[#This Row],[NERRWE (Eq 85)]]&lt;=NERRWE_Max, Table27[[#This Row],[NERRWE (Eq 85)]], NERRWE_Max), Table27[[#This Row],[NERRWE (Eq 85)]])</f>
        <v>2229702.2655400205</v>
      </c>
      <c r="L33">
        <f>Table27[[#This Row],[NERRWE Capped]]</f>
        <v>2229702.2655400205</v>
      </c>
      <c r="M33" s="40">
        <f>'IndividualParameters + UI Req'!$B$9</f>
        <v>0</v>
      </c>
      <c r="N33" s="40">
        <f>'IndividualParameters + UI Req'!$B$6</f>
        <v>0</v>
      </c>
      <c r="O33">
        <f>Table27[[#This Row],[NERt]]*(100% - Table27[[#This Row],[NER(ERROR)]]+Table27[[#This Row],[allowable_uncert]])</f>
        <v>2229702.2655400205</v>
      </c>
      <c r="P33">
        <f>SUMIF(Table14[[#All],[year t]], "&lt;="&amp;Table27[[#This Row],[Year t]], Table14[[#All],[('[@'[GHGBSL-soil-CO2,i,t (Eq 27)']']-'[@'[Deductionalloch (Eq 38)']'])*Ai,t]])</f>
        <v>0</v>
      </c>
      <c r="Q33">
        <f>INDEX(Table11[[#All],[GHG(BSL-biomass)]], MATCH(Table27[[#This Row],[Year t]], Table11[[#All],[year t]]))</f>
        <v>0</v>
      </c>
      <c r="R33">
        <f xml:space="preserve"> SUMIF(Table1423[[#All],[year t]], "&lt;="&amp;Table27[[#This Row],[Year t]], Table1423[[#All],[('[@'[GHGWPS-soil-CO2,i,t (Eq 27)']']-'[@'[Deductionalloch WPS (Eq 38)']'])*Ai,t]] )</f>
        <v>-879884.33508854802</v>
      </c>
      <c r="S33">
        <f>INDEX(Table1120[[#All],[GHG(WPS-biomass)]], MATCH(Table27[[#This Row],[Year t]], Table1120[[#All],[year t]]))</f>
        <v>-1349817.9304514728</v>
      </c>
      <c r="T33">
        <f>((Table27[[#This Row],[Sum(GHGBSL-soil-CO2,i,t (Eq 27)-Deductionalloch (Eq 38)),t]]+Table27[[#This Row],[GHG(BSL-biomass),t]])-(Table27[[#This Row],[Sum('[@'[GHGWPS-soil-CO2,i,t (Eq 80)']']-'[@Deductionalloch'])]]+Table27[[#This Row],[GHG(WPS-biomass)]]))</f>
        <v>2229702.2655400205</v>
      </c>
      <c r="U33">
        <f>'IndividualParameters + UI Req'!$B$7</f>
        <v>0.13</v>
      </c>
      <c r="V33">
        <f>(Table27[[#This Row],[𝑁𝐸𝑅𝑠𝑡𝑜𝑐𝑘,t]]-T32)*Table27[[#This Row],[Buffer%]]</f>
        <v>16157.203951361553</v>
      </c>
      <c r="W33">
        <f>(Table27[[#This Row],[adjusted_NERt (Eq 92)]]-O32)-Table27[[#This Row],[Buffer_deduction (Eq 94)]]</f>
        <v>108128.98028988115</v>
      </c>
    </row>
    <row r="34" spans="2:23" x14ac:dyDescent="0.2">
      <c r="B34" s="18">
        <v>2051</v>
      </c>
      <c r="C34" cm="1">
        <f t="array" ref="C34">SUMPRODUCT(IF(Table14[[#All],[year t]]&lt;=Table27[[#This Row],[Year t]], Table14[[#All],[Ai,t]]*Table14[[#All],[GHGBSL-soil-CO2,i,t (Eq 27)]]))</f>
        <v>0</v>
      </c>
      <c r="D34">
        <f>INDEX(Table11[[#All],[GHG(BSL)]], MATCH(Table27[[#This Row],[Year t]], Table11[[#All],[year t]]))</f>
        <v>0</v>
      </c>
      <c r="E34" cm="1">
        <f t="array" ref="E34">SUMPRODUCT(IF(Table1423[[#All],[year t]]&lt;=Table27[[#This Row],[Year t]], Table1423[[#All],[Ai,t]]*Table1423[[#All],[GHGWPS-soil-CO2,i,t]]))</f>
        <v>-1208513.5593444551</v>
      </c>
      <c r="F34">
        <f>IF(Emission_reduction_from_stock_loss?, IF(Table27[[#This Row],[GHGBSL-soil-CO2,t ]]-Table27[[#This Row],[GHGWPS-soil-CO2,t]] - SOC_Max&gt;0, Table27[[#This Row],[GHGBSL-soil-CO2,t ]]-Table27[[#This Row],[GHGWPS-soil-CO2,t]] - SOC_Max, 0), 0)</f>
        <v>0</v>
      </c>
      <c r="G34">
        <f>INDEX(Table1120[[#All],[GHG(WPS) (Eq 69)]], MATCH(Table27[[#This Row],[Year t]], Table1120[[#All],[year t]]))</f>
        <v>-2349194.5359551716</v>
      </c>
      <c r="H34">
        <f>IF(Fire_reduction_premium, INDEX(Table24[[#All],[FRP]], MATCH(Table27[[#This Row],[Year t]],Table24[[#All],[Year t]])), 0)</f>
        <v>0</v>
      </c>
      <c r="I34">
        <v>0</v>
      </c>
      <c r="J34">
        <f>Table27[[#This Row],[GHGBSL]]-Table27[[#This Row],[GHGWPS]]+Table27[[#This Row],[FRP]]-Table27[[#This Row],[GHGLK]]-Table27[[#This Row],[GHG(WPS-soil)_Deduction]]</f>
        <v>2349194.5359551716</v>
      </c>
      <c r="K34">
        <f>IF(NERRWE_Cap, IF(Table27[[#This Row],[NERRWE (Eq 85)]]&lt;=NERRWE_Max, Table27[[#This Row],[NERRWE (Eq 85)]], NERRWE_Max), Table27[[#This Row],[NERRWE (Eq 85)]])</f>
        <v>2349194.5359551716</v>
      </c>
      <c r="L34">
        <f>Table27[[#This Row],[NERRWE Capped]]</f>
        <v>2349194.5359551716</v>
      </c>
      <c r="M34" s="40">
        <f>'IndividualParameters + UI Req'!$B$9</f>
        <v>0</v>
      </c>
      <c r="N34" s="40">
        <f>'IndividualParameters + UI Req'!$B$6</f>
        <v>0</v>
      </c>
      <c r="O34">
        <f>Table27[[#This Row],[NERt]]*(100% - Table27[[#This Row],[NER(ERROR)]]+Table27[[#This Row],[allowable_uncert]])</f>
        <v>2349194.5359551716</v>
      </c>
      <c r="P34">
        <f>SUMIF(Table14[[#All],[year t]], "&lt;="&amp;Table27[[#This Row],[Year t]], Table14[[#All],[('[@'[GHGBSL-soil-CO2,i,t (Eq 27)']']-'[@'[Deductionalloch (Eq 38)']'])*Ai,t]])</f>
        <v>0</v>
      </c>
      <c r="Q34">
        <f>INDEX(Table11[[#All],[GHG(BSL-biomass)]], MATCH(Table27[[#This Row],[Year t]], Table11[[#All],[year t]]))</f>
        <v>0</v>
      </c>
      <c r="R34">
        <f xml:space="preserve"> SUMIF(Table1423[[#All],[year t]], "&lt;="&amp;Table27[[#This Row],[Year t]], Table1423[[#All],[('[@'[GHGWPS-soil-CO2,i,t (Eq 27)']']-'[@'[Deductionalloch WPS (Eq 38)']'])*Ai,t]] )</f>
        <v>-923768.74449675379</v>
      </c>
      <c r="S34">
        <f>INDEX(Table1120[[#All],[GHG(WPS-biomass)]], MATCH(Table27[[#This Row],[Year t]], Table1120[[#All],[year t]]))</f>
        <v>-1425425.7914584177</v>
      </c>
      <c r="T34">
        <f>((Table27[[#This Row],[Sum(GHGBSL-soil-CO2,i,t (Eq 27)-Deductionalloch (Eq 38)),t]]+Table27[[#This Row],[GHG(BSL-biomass),t]])-(Table27[[#This Row],[Sum('[@'[GHGWPS-soil-CO2,i,t (Eq 80)']']-'[@Deductionalloch'])]]+Table27[[#This Row],[GHG(WPS-biomass)]]))</f>
        <v>2349194.5359551716</v>
      </c>
      <c r="U34">
        <f>'IndividualParameters + UI Req'!$B$7</f>
        <v>0.13</v>
      </c>
      <c r="V34">
        <f>(Table27[[#This Row],[𝑁𝐸𝑅𝑠𝑡𝑜𝑐𝑘,t]]-T33)*Table27[[#This Row],[Buffer%]]</f>
        <v>15533.995153969634</v>
      </c>
      <c r="W34">
        <f>(Table27[[#This Row],[adjusted_NERt (Eq 92)]]-O33)-Table27[[#This Row],[Buffer_deduction (Eq 94)]]</f>
        <v>103958.27526118139</v>
      </c>
    </row>
    <row r="35" spans="2:23" x14ac:dyDescent="0.2">
      <c r="B35" s="18">
        <v>2052</v>
      </c>
      <c r="C35" cm="1">
        <f t="array" ref="C35">SUMPRODUCT(IF(Table14[[#All],[year t]]&lt;=Table27[[#This Row],[Year t]], Table14[[#All],[Ai,t]]*Table14[[#All],[GHGBSL-soil-CO2,i,t (Eq 27)]]))</f>
        <v>0</v>
      </c>
      <c r="D35">
        <f>INDEX(Table11[[#All],[GHG(BSL)]], MATCH(Table27[[#This Row],[Year t]], Table11[[#All],[year t]]))</f>
        <v>0</v>
      </c>
      <c r="E35" cm="1">
        <f t="array" ref="E35">SUMPRODUCT(IF(Table1423[[#All],[year t]]&lt;=Table27[[#This Row],[Year t]], Table1423[[#All],[Ai,t]]*Table1423[[#All],[GHGWPS-soil-CO2,i,t]]))</f>
        <v>-1265925.0101318837</v>
      </c>
      <c r="F35">
        <f>IF(Emission_reduction_from_stock_loss?, IF(Table27[[#This Row],[GHGBSL-soil-CO2,t ]]-Table27[[#This Row],[GHGWPS-soil-CO2,t]] - SOC_Max&gt;0, Table27[[#This Row],[GHGBSL-soil-CO2,t ]]-Table27[[#This Row],[GHGWPS-soil-CO2,t]] - SOC_Max, 0), 0)</f>
        <v>0</v>
      </c>
      <c r="G35">
        <f>INDEX(Table1120[[#All],[GHG(WPS) (Eq 69)]], MATCH(Table27[[#This Row],[Year t]], Table1120[[#All],[year t]]))</f>
        <v>-2463752.260953832</v>
      </c>
      <c r="H35">
        <f>IF(Fire_reduction_premium, INDEX(Table24[[#All],[FRP]], MATCH(Table27[[#This Row],[Year t]],Table24[[#All],[Year t]])), 0)</f>
        <v>0</v>
      </c>
      <c r="I35">
        <v>0</v>
      </c>
      <c r="J35">
        <f>Table27[[#This Row],[GHGBSL]]-Table27[[#This Row],[GHGWPS]]+Table27[[#This Row],[FRP]]-Table27[[#This Row],[GHGLK]]-Table27[[#This Row],[GHG(WPS-soil)_Deduction]]</f>
        <v>2463752.260953832</v>
      </c>
      <c r="K35">
        <f>IF(NERRWE_Cap, IF(Table27[[#This Row],[NERRWE (Eq 85)]]&lt;=NERRWE_Max, Table27[[#This Row],[NERRWE (Eq 85)]], NERRWE_Max), Table27[[#This Row],[NERRWE (Eq 85)]])</f>
        <v>2463752.260953832</v>
      </c>
      <c r="L35">
        <f>Table27[[#This Row],[NERRWE Capped]]</f>
        <v>2463752.260953832</v>
      </c>
      <c r="M35" s="40">
        <f>'IndividualParameters + UI Req'!$B$9</f>
        <v>0</v>
      </c>
      <c r="N35" s="40">
        <f>'IndividualParameters + UI Req'!$B$6</f>
        <v>0</v>
      </c>
      <c r="O35">
        <f>Table27[[#This Row],[NERt]]*(100% - Table27[[#This Row],[NER(ERROR)]]+Table27[[#This Row],[allowable_uncert]])</f>
        <v>2463752.260953832</v>
      </c>
      <c r="P35">
        <f>SUMIF(Table14[[#All],[year t]], "&lt;="&amp;Table27[[#This Row],[Year t]], Table14[[#All],[('[@'[GHGBSL-soil-CO2,i,t (Eq 27)']']-'[@'[Deductionalloch (Eq 38)']'])*Ai,t]])</f>
        <v>0</v>
      </c>
      <c r="Q35">
        <f>INDEX(Table11[[#All],[GHG(BSL-biomass)]], MATCH(Table27[[#This Row],[Year t]], Table11[[#All],[year t]]))</f>
        <v>0</v>
      </c>
      <c r="R35">
        <f xml:space="preserve"> SUMIF(Table1423[[#All],[year t]], "&lt;="&amp;Table27[[#This Row],[Year t]], Table1423[[#All],[('[@'[GHGWPS-soil-CO2,i,t (Eq 27)']']-'[@'[Deductionalloch WPS (Eq 38)']'])*Ai,t]] )</f>
        <v>-967653.15390495944</v>
      </c>
      <c r="S35">
        <f>INDEX(Table1120[[#All],[GHG(WPS-biomass)]], MATCH(Table27[[#This Row],[Year t]], Table1120[[#All],[year t]]))</f>
        <v>-1496099.1070488726</v>
      </c>
      <c r="T35">
        <f>((Table27[[#This Row],[Sum(GHGBSL-soil-CO2,i,t (Eq 27)-Deductionalloch (Eq 38)),t]]+Table27[[#This Row],[GHG(BSL-biomass),t]])-(Table27[[#This Row],[Sum('[@'[GHGWPS-soil-CO2,i,t (Eq 80)']']-'[@Deductionalloch'])]]+Table27[[#This Row],[GHG(WPS-biomass)]]))</f>
        <v>2463752.260953832</v>
      </c>
      <c r="U35">
        <f>'IndividualParameters + UI Req'!$B$7</f>
        <v>0.13</v>
      </c>
      <c r="V35">
        <f>(Table27[[#This Row],[𝑁𝐸𝑅𝑠𝑡𝑜𝑐𝑘,t]]-T34)*Table27[[#This Row],[Buffer%]]</f>
        <v>14892.50424982585</v>
      </c>
      <c r="W35">
        <f>(Table27[[#This Row],[adjusted_NERt (Eq 92)]]-O34)-Table27[[#This Row],[Buffer_deduction (Eq 94)]]</f>
        <v>99665.22074883453</v>
      </c>
    </row>
    <row r="36" spans="2:23" x14ac:dyDescent="0.2">
      <c r="B36" s="18">
        <v>2053</v>
      </c>
      <c r="C36" cm="1">
        <f t="array" ref="C36">SUMPRODUCT(IF(Table14[[#All],[year t]]&lt;=Table27[[#This Row],[Year t]], Table14[[#All],[Ai,t]]*Table14[[#All],[GHGBSL-soil-CO2,i,t (Eq 27)]]))</f>
        <v>0</v>
      </c>
      <c r="D36">
        <f>INDEX(Table11[[#All],[GHG(BSL)]], MATCH(Table27[[#This Row],[Year t]], Table11[[#All],[year t]]))</f>
        <v>0</v>
      </c>
      <c r="E36" cm="1">
        <f t="array" ref="E36">SUMPRODUCT(IF(Table1423[[#All],[year t]]&lt;=Table27[[#This Row],[Year t]], Table1423[[#All],[Ai,t]]*Table1423[[#All],[GHGWPS-soil-CO2,i,t]]))</f>
        <v>-1323336.4609193122</v>
      </c>
      <c r="F36">
        <f>IF(Emission_reduction_from_stock_loss?, IF(Table27[[#This Row],[GHGBSL-soil-CO2,t ]]-Table27[[#This Row],[GHGWPS-soil-CO2,t]] - SOC_Max&gt;0, Table27[[#This Row],[GHGBSL-soil-CO2,t ]]-Table27[[#This Row],[GHGWPS-soil-CO2,t]] - SOC_Max, 0), 0)</f>
        <v>0</v>
      </c>
      <c r="G36">
        <f>INDEX(Table1120[[#All],[GHG(WPS) (Eq 69)]], MATCH(Table27[[#This Row],[Year t]], Table1120[[#All],[year t]]))</f>
        <v>-2573346.9720267244</v>
      </c>
      <c r="H36">
        <f>IF(Fire_reduction_premium, INDEX(Table24[[#All],[FRP]], MATCH(Table27[[#This Row],[Year t]],Table24[[#All],[Year t]])), 0)</f>
        <v>0</v>
      </c>
      <c r="I36">
        <v>0</v>
      </c>
      <c r="J36">
        <f>Table27[[#This Row],[GHGBSL]]-Table27[[#This Row],[GHGWPS]]+Table27[[#This Row],[FRP]]-Table27[[#This Row],[GHGLK]]-Table27[[#This Row],[GHG(WPS-soil)_Deduction]]</f>
        <v>2573346.9720267244</v>
      </c>
      <c r="K36">
        <f>IF(NERRWE_Cap, IF(Table27[[#This Row],[NERRWE (Eq 85)]]&lt;=NERRWE_Max, Table27[[#This Row],[NERRWE (Eq 85)]], NERRWE_Max), Table27[[#This Row],[NERRWE (Eq 85)]])</f>
        <v>2573346.9720267244</v>
      </c>
      <c r="L36">
        <f>Table27[[#This Row],[NERRWE Capped]]</f>
        <v>2573346.9720267244</v>
      </c>
      <c r="M36" s="40">
        <f>'IndividualParameters + UI Req'!$B$9</f>
        <v>0</v>
      </c>
      <c r="N36" s="40">
        <f>'IndividualParameters + UI Req'!$B$6</f>
        <v>0</v>
      </c>
      <c r="O36">
        <f>Table27[[#This Row],[NERt]]*(100% - Table27[[#This Row],[NER(ERROR)]]+Table27[[#This Row],[allowable_uncert]])</f>
        <v>2573346.9720267244</v>
      </c>
      <c r="P36">
        <f>SUMIF(Table14[[#All],[year t]], "&lt;="&amp;Table27[[#This Row],[Year t]], Table14[[#All],[('[@'[GHGBSL-soil-CO2,i,t (Eq 27)']']-'[@'[Deductionalloch (Eq 38)']'])*Ai,t]])</f>
        <v>0</v>
      </c>
      <c r="Q36">
        <f>INDEX(Table11[[#All],[GHG(BSL-biomass)]], MATCH(Table27[[#This Row],[Year t]], Table11[[#All],[year t]]))</f>
        <v>0</v>
      </c>
      <c r="R36">
        <f xml:space="preserve"> SUMIF(Table1423[[#All],[year t]], "&lt;="&amp;Table27[[#This Row],[Year t]], Table1423[[#All],[('[@'[GHGWPS-soil-CO2,i,t (Eq 27)']']-'[@'[Deductionalloch WPS (Eq 38)']'])*Ai,t]] )</f>
        <v>-1011537.5633131652</v>
      </c>
      <c r="S36">
        <f>INDEX(Table1120[[#All],[GHG(WPS-biomass)]], MATCH(Table27[[#This Row],[Year t]], Table1120[[#All],[year t]]))</f>
        <v>-1561809.4087135594</v>
      </c>
      <c r="T36">
        <f>((Table27[[#This Row],[Sum(GHGBSL-soil-CO2,i,t (Eq 27)-Deductionalloch (Eq 38)),t]]+Table27[[#This Row],[GHG(BSL-biomass),t]])-(Table27[[#This Row],[Sum('[@'[GHGWPS-soil-CO2,i,t (Eq 80)']']-'[@Deductionalloch'])]]+Table27[[#This Row],[GHG(WPS-biomass)]]))</f>
        <v>2573346.9720267244</v>
      </c>
      <c r="U36">
        <f>'IndividualParameters + UI Req'!$B$7</f>
        <v>0.13</v>
      </c>
      <c r="V36">
        <f>(Table27[[#This Row],[𝑁𝐸𝑅𝑠𝑡𝑜𝑐𝑘,t]]-T35)*Table27[[#This Row],[Buffer%]]</f>
        <v>14247.312439476014</v>
      </c>
      <c r="W36">
        <f>(Table27[[#This Row],[adjusted_NERt (Eq 92)]]-O35)-Table27[[#This Row],[Buffer_deduction (Eq 94)]]</f>
        <v>95347.398633416407</v>
      </c>
    </row>
    <row r="37" spans="2:23" x14ac:dyDescent="0.2">
      <c r="B37" s="18">
        <v>2054</v>
      </c>
      <c r="C37" cm="1">
        <f t="array" ref="C37">SUMPRODUCT(IF(Table14[[#All],[year t]]&lt;=Table27[[#This Row],[Year t]], Table14[[#All],[Ai,t]]*Table14[[#All],[GHGBSL-soil-CO2,i,t (Eq 27)]]))</f>
        <v>0</v>
      </c>
      <c r="D37">
        <f>INDEX(Table11[[#All],[GHG(BSL)]], MATCH(Table27[[#This Row],[Year t]], Table11[[#All],[year t]]))</f>
        <v>0</v>
      </c>
      <c r="E37" cm="1">
        <f t="array" ref="E37">SUMPRODUCT(IF(Table1423[[#All],[year t]]&lt;=Table27[[#This Row],[Year t]], Table1423[[#All],[Ai,t]]*Table1423[[#All],[GHGWPS-soil-CO2,i,t]]))</f>
        <v>-1380747.9117067407</v>
      </c>
      <c r="F37">
        <f>IF(Emission_reduction_from_stock_loss?, IF(Table27[[#This Row],[GHGBSL-soil-CO2,t ]]-Table27[[#This Row],[GHGWPS-soil-CO2,t]] - SOC_Max&gt;0, Table27[[#This Row],[GHGBSL-soil-CO2,t ]]-Table27[[#This Row],[GHGWPS-soil-CO2,t]] - SOC_Max, 0), 0)</f>
        <v>0</v>
      </c>
      <c r="G37">
        <f>INDEX(Table1120[[#All],[GHG(WPS) (Eq 69)]], MATCH(Table27[[#This Row],[Year t]], Table1120[[#All],[year t]]))</f>
        <v>-2678040.1848246269</v>
      </c>
      <c r="H37">
        <f>IF(Fire_reduction_premium, INDEX(Table24[[#All],[FRP]], MATCH(Table27[[#This Row],[Year t]],Table24[[#All],[Year t]])), 0)</f>
        <v>0</v>
      </c>
      <c r="I37">
        <v>0</v>
      </c>
      <c r="J37">
        <f>Table27[[#This Row],[GHGBSL]]-Table27[[#This Row],[GHGWPS]]+Table27[[#This Row],[FRP]]-Table27[[#This Row],[GHGLK]]-Table27[[#This Row],[GHG(WPS-soil)_Deduction]]</f>
        <v>2678040.1848246269</v>
      </c>
      <c r="K37">
        <f>IF(NERRWE_Cap, IF(Table27[[#This Row],[NERRWE (Eq 85)]]&lt;=NERRWE_Max, Table27[[#This Row],[NERRWE (Eq 85)]], NERRWE_Max), Table27[[#This Row],[NERRWE (Eq 85)]])</f>
        <v>2678040.1848246269</v>
      </c>
      <c r="L37">
        <f>Table27[[#This Row],[NERRWE Capped]]</f>
        <v>2678040.1848246269</v>
      </c>
      <c r="M37" s="40">
        <f>'IndividualParameters + UI Req'!$B$9</f>
        <v>0</v>
      </c>
      <c r="N37" s="40">
        <f>'IndividualParameters + UI Req'!$B$6</f>
        <v>0</v>
      </c>
      <c r="O37">
        <f>Table27[[#This Row],[NERt]]*(100% - Table27[[#This Row],[NER(ERROR)]]+Table27[[#This Row],[allowable_uncert]])</f>
        <v>2678040.1848246269</v>
      </c>
      <c r="P37">
        <f>SUMIF(Table14[[#All],[year t]], "&lt;="&amp;Table27[[#This Row],[Year t]], Table14[[#All],[('[@'[GHGBSL-soil-CO2,i,t (Eq 27)']']-'[@'[Deductionalloch (Eq 38)']'])*Ai,t]])</f>
        <v>0</v>
      </c>
      <c r="Q37">
        <f>INDEX(Table11[[#All],[GHG(BSL-biomass)]], MATCH(Table27[[#This Row],[Year t]], Table11[[#All],[year t]]))</f>
        <v>0</v>
      </c>
      <c r="R37">
        <f xml:space="preserve"> SUMIF(Table1423[[#All],[year t]], "&lt;="&amp;Table27[[#This Row],[Year t]], Table1423[[#All],[('[@'[GHGWPS-soil-CO2,i,t (Eq 27)']']-'[@'[Deductionalloch WPS (Eq 38)']'])*Ai,t]] )</f>
        <v>-1055421.9727213709</v>
      </c>
      <c r="S37">
        <f>INDEX(Table1120[[#All],[GHG(WPS-biomass)]], MATCH(Table27[[#This Row],[Year t]], Table1120[[#All],[year t]]))</f>
        <v>-1622618.2121032563</v>
      </c>
      <c r="T37">
        <f>((Table27[[#This Row],[Sum(GHGBSL-soil-CO2,i,t (Eq 27)-Deductionalloch (Eq 38)),t]]+Table27[[#This Row],[GHG(BSL-biomass),t]])-(Table27[[#This Row],[Sum('[@'[GHGWPS-soil-CO2,i,t (Eq 80)']']-'[@Deductionalloch'])]]+Table27[[#This Row],[GHG(WPS-biomass)]]))</f>
        <v>2678040.1848246269</v>
      </c>
      <c r="U37">
        <f>'IndividualParameters + UI Req'!$B$7</f>
        <v>0.13</v>
      </c>
      <c r="V37">
        <f>(Table27[[#This Row],[𝑁𝐸𝑅𝑠𝑡𝑜𝑐𝑘,t]]-T36)*Table27[[#This Row],[Buffer%]]</f>
        <v>13610.117663727329</v>
      </c>
      <c r="W37">
        <f>(Table27[[#This Row],[adjusted_NERt (Eq 92)]]-O36)-Table27[[#This Row],[Buffer_deduction (Eq 94)]]</f>
        <v>91083.095134175193</v>
      </c>
    </row>
    <row r="38" spans="2:23" x14ac:dyDescent="0.2">
      <c r="B38" s="18">
        <v>2055</v>
      </c>
      <c r="C38" cm="1">
        <f t="array" ref="C38">SUMPRODUCT(IF(Table14[[#All],[year t]]&lt;=Table27[[#This Row],[Year t]], Table14[[#All],[Ai,t]]*Table14[[#All],[GHGBSL-soil-CO2,i,t (Eq 27)]]))</f>
        <v>0</v>
      </c>
      <c r="D38">
        <f>INDEX(Table11[[#All],[GHG(BSL)]], MATCH(Table27[[#This Row],[Year t]], Table11[[#All],[year t]]))</f>
        <v>0</v>
      </c>
      <c r="E38" cm="1">
        <f t="array" ref="E38">SUMPRODUCT(IF(Table1423[[#All],[year t]]&lt;=Table27[[#This Row],[Year t]], Table1423[[#All],[Ai,t]]*Table1423[[#All],[GHGWPS-soil-CO2,i,t]]))</f>
        <v>-1438159.3624941693</v>
      </c>
      <c r="F38">
        <f>IF(Emission_reduction_from_stock_loss?, IF(Table27[[#This Row],[GHGBSL-soil-CO2,t ]]-Table27[[#This Row],[GHGWPS-soil-CO2,t]] - SOC_Max&gt;0, Table27[[#This Row],[GHGBSL-soil-CO2,t ]]-Table27[[#This Row],[GHGWPS-soil-CO2,t]] - SOC_Max, 0), 0)</f>
        <v>0</v>
      </c>
      <c r="G38">
        <f>INDEX(Table1120[[#All],[GHG(WPS) (Eq 69)]], MATCH(Table27[[#This Row],[Year t]], Table1120[[#All],[year t]]))</f>
        <v>-2777963.2948123734</v>
      </c>
      <c r="H38">
        <f>IF(Fire_reduction_premium, INDEX(Table24[[#All],[FRP]], MATCH(Table27[[#This Row],[Year t]],Table24[[#All],[Year t]])), 0)</f>
        <v>0</v>
      </c>
      <c r="I38">
        <v>0</v>
      </c>
      <c r="J38">
        <f>Table27[[#This Row],[GHGBSL]]-Table27[[#This Row],[GHGWPS]]+Table27[[#This Row],[FRP]]-Table27[[#This Row],[GHGLK]]-Table27[[#This Row],[GHG(WPS-soil)_Deduction]]</f>
        <v>2777963.2948123734</v>
      </c>
      <c r="K38">
        <f>IF(NERRWE_Cap, IF(Table27[[#This Row],[NERRWE (Eq 85)]]&lt;=NERRWE_Max, Table27[[#This Row],[NERRWE (Eq 85)]], NERRWE_Max), Table27[[#This Row],[NERRWE (Eq 85)]])</f>
        <v>2777963.2948123734</v>
      </c>
      <c r="L38">
        <f>Table27[[#This Row],[NERRWE Capped]]</f>
        <v>2777963.2948123734</v>
      </c>
      <c r="M38" s="40">
        <f>'IndividualParameters + UI Req'!$B$9</f>
        <v>0</v>
      </c>
      <c r="N38" s="40">
        <f>'IndividualParameters + UI Req'!$B$6</f>
        <v>0</v>
      </c>
      <c r="O38">
        <f>Table27[[#This Row],[NERt]]*(100% - Table27[[#This Row],[NER(ERROR)]]+Table27[[#This Row],[allowable_uncert]])</f>
        <v>2777963.2948123734</v>
      </c>
      <c r="P38">
        <f>SUMIF(Table14[[#All],[year t]], "&lt;="&amp;Table27[[#This Row],[Year t]], Table14[[#All],[('[@'[GHGBSL-soil-CO2,i,t (Eq 27)']']-'[@'[Deductionalloch (Eq 38)']'])*Ai,t]])</f>
        <v>0</v>
      </c>
      <c r="Q38">
        <f>INDEX(Table11[[#All],[GHG(BSL-biomass)]], MATCH(Table27[[#This Row],[Year t]], Table11[[#All],[year t]]))</f>
        <v>0</v>
      </c>
      <c r="R38">
        <f xml:space="preserve"> SUMIF(Table1423[[#All],[year t]], "&lt;="&amp;Table27[[#This Row],[Year t]], Table1423[[#All],[('[@'[GHGWPS-soil-CO2,i,t (Eq 27)']']-'[@'[Deductionalloch WPS (Eq 38)']'])*Ai,t]] )</f>
        <v>-1099306.3821295758</v>
      </c>
      <c r="S38">
        <f>INDEX(Table1120[[#All],[GHG(WPS-biomass)]], MATCH(Table27[[#This Row],[Year t]], Table1120[[#All],[year t]]))</f>
        <v>-1678656.9126827975</v>
      </c>
      <c r="T38">
        <f>((Table27[[#This Row],[Sum(GHGBSL-soil-CO2,i,t (Eq 27)-Deductionalloch (Eq 38)),t]]+Table27[[#This Row],[GHG(BSL-biomass),t]])-(Table27[[#This Row],[Sum('[@'[GHGWPS-soil-CO2,i,t (Eq 80)']']-'[@Deductionalloch'])]]+Table27[[#This Row],[GHG(WPS-biomass)]]))</f>
        <v>2777963.2948123734</v>
      </c>
      <c r="U38">
        <f>'IndividualParameters + UI Req'!$B$7</f>
        <v>0.13</v>
      </c>
      <c r="V38">
        <f>(Table27[[#This Row],[𝑁𝐸𝑅𝑠𝑡𝑜𝑐𝑘,t]]-T37)*Table27[[#This Row],[Buffer%]]</f>
        <v>12990.004298407041</v>
      </c>
      <c r="W38">
        <f>(Table27[[#This Row],[adjusted_NERt (Eq 92)]]-O37)-Table27[[#This Row],[Buffer_deduction (Eq 94)]]</f>
        <v>86933.105689339412</v>
      </c>
    </row>
    <row r="39" spans="2:23" x14ac:dyDescent="0.2">
      <c r="B39" s="18">
        <v>2056</v>
      </c>
      <c r="C39" cm="1">
        <f t="array" ref="C39">SUMPRODUCT(IF(Table14[[#All],[year t]]&lt;=Table27[[#This Row],[Year t]], Table14[[#All],[Ai,t]]*Table14[[#All],[GHGBSL-soil-CO2,i,t (Eq 27)]]))</f>
        <v>0</v>
      </c>
      <c r="D39">
        <f>INDEX(Table11[[#All],[GHG(BSL)]], MATCH(Table27[[#This Row],[Year t]], Table11[[#All],[year t]]))</f>
        <v>0</v>
      </c>
      <c r="E39" cm="1">
        <f t="array" ref="E39">SUMPRODUCT(IF(Table1423[[#All],[year t]]&lt;=Table27[[#This Row],[Year t]], Table1423[[#All],[Ai,t]]*Table1423[[#All],[GHGWPS-soil-CO2,i,t]]))</f>
        <v>-1495570.8132815978</v>
      </c>
      <c r="F39">
        <f>IF(Emission_reduction_from_stock_loss?, IF(Table27[[#This Row],[GHGBSL-soil-CO2,t ]]-Table27[[#This Row],[GHGWPS-soil-CO2,t]] - SOC_Max&gt;0, Table27[[#This Row],[GHGBSL-soil-CO2,t ]]-Table27[[#This Row],[GHGWPS-soil-CO2,t]] - SOC_Max, 0), 0)</f>
        <v>0</v>
      </c>
      <c r="G39">
        <f>INDEX(Table1120[[#All],[GHG(WPS) (Eq 69)]], MATCH(Table27[[#This Row],[Year t]], Table1120[[#All],[year t]]))</f>
        <v>-2873299.9179457431</v>
      </c>
      <c r="H39">
        <f>IF(Fire_reduction_premium, INDEX(Table24[[#All],[FRP]], MATCH(Table27[[#This Row],[Year t]],Table24[[#All],[Year t]])), 0)</f>
        <v>0</v>
      </c>
      <c r="I39">
        <v>0</v>
      </c>
      <c r="J39">
        <f>Table27[[#This Row],[GHGBSL]]-Table27[[#This Row],[GHGWPS]]+Table27[[#This Row],[FRP]]-Table27[[#This Row],[GHGLK]]-Table27[[#This Row],[GHG(WPS-soil)_Deduction]]</f>
        <v>2873299.9179457431</v>
      </c>
      <c r="K39">
        <f>IF(NERRWE_Cap, IF(Table27[[#This Row],[NERRWE (Eq 85)]]&lt;=NERRWE_Max, Table27[[#This Row],[NERRWE (Eq 85)]], NERRWE_Max), Table27[[#This Row],[NERRWE (Eq 85)]])</f>
        <v>2873299.9179457431</v>
      </c>
      <c r="L39">
        <f>Table27[[#This Row],[NERRWE Capped]]</f>
        <v>2873299.9179457431</v>
      </c>
      <c r="M39" s="40">
        <f>'IndividualParameters + UI Req'!$B$9</f>
        <v>0</v>
      </c>
      <c r="N39" s="40">
        <f>'IndividualParameters + UI Req'!$B$6</f>
        <v>0</v>
      </c>
      <c r="O39">
        <f>Table27[[#This Row],[NERt]]*(100% - Table27[[#This Row],[NER(ERROR)]]+Table27[[#This Row],[allowable_uncert]])</f>
        <v>2873299.9179457431</v>
      </c>
      <c r="P39">
        <f>SUMIF(Table14[[#All],[year t]], "&lt;="&amp;Table27[[#This Row],[Year t]], Table14[[#All],[('[@'[GHGBSL-soil-CO2,i,t (Eq 27)']']-'[@'[Deductionalloch (Eq 38)']'])*Ai,t]])</f>
        <v>0</v>
      </c>
      <c r="Q39">
        <f>INDEX(Table11[[#All],[GHG(BSL-biomass)]], MATCH(Table27[[#This Row],[Year t]], Table11[[#All],[year t]]))</f>
        <v>0</v>
      </c>
      <c r="R39">
        <f xml:space="preserve"> SUMIF(Table1423[[#All],[year t]], "&lt;="&amp;Table27[[#This Row],[Year t]], Table1423[[#All],[('[@'[GHGWPS-soil-CO2,i,t (Eq 27)']']-'[@'[Deductionalloch WPS (Eq 38)']'])*Ai,t]] )</f>
        <v>-1143190.791537781</v>
      </c>
      <c r="S39">
        <f>INDEX(Table1120[[#All],[GHG(WPS-biomass)]], MATCH(Table27[[#This Row],[Year t]], Table1120[[#All],[year t]]))</f>
        <v>-1730109.1264079621</v>
      </c>
      <c r="T39">
        <f>((Table27[[#This Row],[Sum(GHGBSL-soil-CO2,i,t (Eq 27)-Deductionalloch (Eq 38)),t]]+Table27[[#This Row],[GHG(BSL-biomass),t]])-(Table27[[#This Row],[Sum('[@'[GHGWPS-soil-CO2,i,t (Eq 80)']']-'[@Deductionalloch'])]]+Table27[[#This Row],[GHG(WPS-biomass)]]))</f>
        <v>2873299.9179457431</v>
      </c>
      <c r="U39">
        <f>'IndividualParameters + UI Req'!$B$7</f>
        <v>0.13</v>
      </c>
      <c r="V39">
        <f>(Table27[[#This Row],[𝑁𝐸𝑅𝑠𝑡𝑜𝑐𝑘,t]]-T38)*Table27[[#This Row],[Buffer%]]</f>
        <v>12393.761007338064</v>
      </c>
      <c r="W39">
        <f>(Table27[[#This Row],[adjusted_NERt (Eq 92)]]-O38)-Table27[[#This Row],[Buffer_deduction (Eq 94)]]</f>
        <v>82942.862126031658</v>
      </c>
    </row>
    <row r="40" spans="2:23" x14ac:dyDescent="0.2">
      <c r="B40" s="18">
        <v>2057</v>
      </c>
      <c r="C40" cm="1">
        <f t="array" ref="C40">SUMPRODUCT(IF(Table14[[#All],[year t]]&lt;=Table27[[#This Row],[Year t]], Table14[[#All],[Ai,t]]*Table14[[#All],[GHGBSL-soil-CO2,i,t (Eq 27)]]))</f>
        <v>0</v>
      </c>
      <c r="D40">
        <f>INDEX(Table11[[#All],[GHG(BSL)]], MATCH(Table27[[#This Row],[Year t]], Table11[[#All],[year t]]))</f>
        <v>0</v>
      </c>
      <c r="E40" cm="1">
        <f t="array" ref="E40">SUMPRODUCT(IF(Table1423[[#All],[year t]]&lt;=Table27[[#This Row],[Year t]], Table1423[[#All],[Ai,t]]*Table1423[[#All],[GHGWPS-soil-CO2,i,t]]))</f>
        <v>-1552982.2640690263</v>
      </c>
      <c r="F40">
        <f>IF(Emission_reduction_from_stock_loss?, IF(Table27[[#This Row],[GHGBSL-soil-CO2,t ]]-Table27[[#This Row],[GHGWPS-soil-CO2,t]] - SOC_Max&gt;0, Table27[[#This Row],[GHGBSL-soil-CO2,t ]]-Table27[[#This Row],[GHGWPS-soil-CO2,t]] - SOC_Max, 0), 0)</f>
        <v>0</v>
      </c>
      <c r="G40">
        <f>INDEX(Table1120[[#All],[GHG(WPS) (Eq 69)]], MATCH(Table27[[#This Row],[Year t]], Table1120[[#All],[year t]]))</f>
        <v>-2964270.7863362418</v>
      </c>
      <c r="H40">
        <f>IF(Fire_reduction_premium, INDEX(Table24[[#All],[FRP]], MATCH(Table27[[#This Row],[Year t]],Table24[[#All],[Year t]])), 0)</f>
        <v>0</v>
      </c>
      <c r="I40">
        <v>0</v>
      </c>
      <c r="J40">
        <f>Table27[[#This Row],[GHGBSL]]-Table27[[#This Row],[GHGWPS]]+Table27[[#This Row],[FRP]]-Table27[[#This Row],[GHGLK]]-Table27[[#This Row],[GHG(WPS-soil)_Deduction]]</f>
        <v>2964270.7863362418</v>
      </c>
      <c r="K40">
        <f>IF(NERRWE_Cap, IF(Table27[[#This Row],[NERRWE (Eq 85)]]&lt;=NERRWE_Max, Table27[[#This Row],[NERRWE (Eq 85)]], NERRWE_Max), Table27[[#This Row],[NERRWE (Eq 85)]])</f>
        <v>2964270.7863362418</v>
      </c>
      <c r="L40">
        <f>Table27[[#This Row],[NERRWE Capped]]</f>
        <v>2964270.7863362418</v>
      </c>
      <c r="M40" s="40">
        <f>'IndividualParameters + UI Req'!$B$9</f>
        <v>0</v>
      </c>
      <c r="N40" s="40">
        <f>'IndividualParameters + UI Req'!$B$6</f>
        <v>0</v>
      </c>
      <c r="O40">
        <f>Table27[[#This Row],[NERt]]*(100% - Table27[[#This Row],[NER(ERROR)]]+Table27[[#This Row],[allowable_uncert]])</f>
        <v>2964270.7863362418</v>
      </c>
      <c r="P40">
        <f>SUMIF(Table14[[#All],[year t]], "&lt;="&amp;Table27[[#This Row],[Year t]], Table14[[#All],[('[@'[GHGBSL-soil-CO2,i,t (Eq 27)']']-'[@'[Deductionalloch (Eq 38)']'])*Ai,t]])</f>
        <v>0</v>
      </c>
      <c r="Q40">
        <f>INDEX(Table11[[#All],[GHG(BSL-biomass)]], MATCH(Table27[[#This Row],[Year t]], Table11[[#All],[year t]]))</f>
        <v>0</v>
      </c>
      <c r="R40">
        <f xml:space="preserve"> SUMIF(Table1423[[#All],[year t]], "&lt;="&amp;Table27[[#This Row],[Year t]], Table1423[[#All],[('[@'[GHGWPS-soil-CO2,i,t (Eq 27)']']-'[@'[Deductionalloch WPS (Eq 38)']'])*Ai,t]] )</f>
        <v>-1187075.2009459862</v>
      </c>
      <c r="S40">
        <f>INDEX(Table1120[[#All],[GHG(WPS-biomass)]], MATCH(Table27[[#This Row],[Year t]], Table1120[[#All],[year t]]))</f>
        <v>-1777195.5853902556</v>
      </c>
      <c r="T40">
        <f>((Table27[[#This Row],[Sum(GHGBSL-soil-CO2,i,t (Eq 27)-Deductionalloch (Eq 38)),t]]+Table27[[#This Row],[GHG(BSL-biomass),t]])-(Table27[[#This Row],[Sum('[@'[GHGWPS-soil-CO2,i,t (Eq 80)']']-'[@Deductionalloch'])]]+Table27[[#This Row],[GHG(WPS-biomass)]]))</f>
        <v>2964270.7863362418</v>
      </c>
      <c r="U40">
        <f>'IndividualParameters + UI Req'!$B$7</f>
        <v>0.13</v>
      </c>
      <c r="V40">
        <f>(Table27[[#This Row],[𝑁𝐸𝑅𝑠𝑡𝑜𝑐𝑘,t]]-T39)*Table27[[#This Row],[Buffer%]]</f>
        <v>11826.212890764829</v>
      </c>
      <c r="W40">
        <f>(Table27[[#This Row],[adjusted_NERt (Eq 92)]]-O39)-Table27[[#This Row],[Buffer_deduction (Eq 94)]]</f>
        <v>79144.655499733854</v>
      </c>
    </row>
    <row r="41" spans="2:23" x14ac:dyDescent="0.2">
      <c r="B41" s="18">
        <v>2058</v>
      </c>
      <c r="C41" cm="1">
        <f t="array" ref="C41">SUMPRODUCT(IF(Table14[[#All],[year t]]&lt;=Table27[[#This Row],[Year t]], Table14[[#All],[Ai,t]]*Table14[[#All],[GHGBSL-soil-CO2,i,t (Eq 27)]]))</f>
        <v>0</v>
      </c>
      <c r="D41">
        <f>INDEX(Table11[[#All],[GHG(BSL)]], MATCH(Table27[[#This Row],[Year t]], Table11[[#All],[year t]]))</f>
        <v>0</v>
      </c>
      <c r="E41" cm="1">
        <f t="array" ref="E41">SUMPRODUCT(IF(Table1423[[#All],[year t]]&lt;=Table27[[#This Row],[Year t]], Table1423[[#All],[Ai,t]]*Table1423[[#All],[GHGWPS-soil-CO2,i,t]]))</f>
        <v>-1610393.7148564549</v>
      </c>
      <c r="F41">
        <f>IF(Emission_reduction_from_stock_loss?, IF(Table27[[#This Row],[GHGBSL-soil-CO2,t ]]-Table27[[#This Row],[GHGWPS-soil-CO2,t]] - SOC_Max&gt;0, Table27[[#This Row],[GHGBSL-soil-CO2,t ]]-Table27[[#This Row],[GHGWPS-soil-CO2,t]] - SOC_Max, 0), 0)</f>
        <v>0</v>
      </c>
      <c r="G41">
        <f>INDEX(Table1120[[#All],[GHG(WPS) (Eq 69)]], MATCH(Table27[[#This Row],[Year t]], Table1120[[#All],[year t]]))</f>
        <v>-3051121.1325946143</v>
      </c>
      <c r="H41">
        <f>IF(Fire_reduction_premium, INDEX(Table24[[#All],[FRP]], MATCH(Table27[[#This Row],[Year t]],Table24[[#All],[Year t]])), 0)</f>
        <v>0</v>
      </c>
      <c r="I41">
        <v>0</v>
      </c>
      <c r="J41">
        <f>Table27[[#This Row],[GHGBSL]]-Table27[[#This Row],[GHGWPS]]+Table27[[#This Row],[FRP]]-Table27[[#This Row],[GHGLK]]-Table27[[#This Row],[GHG(WPS-soil)_Deduction]]</f>
        <v>3051121.1325946143</v>
      </c>
      <c r="K41">
        <f>IF(NERRWE_Cap, IF(Table27[[#This Row],[NERRWE (Eq 85)]]&lt;=NERRWE_Max, Table27[[#This Row],[NERRWE (Eq 85)]], NERRWE_Max), Table27[[#This Row],[NERRWE (Eq 85)]])</f>
        <v>3051121.1325946143</v>
      </c>
      <c r="L41">
        <f>Table27[[#This Row],[NERRWE Capped]]</f>
        <v>3051121.1325946143</v>
      </c>
      <c r="M41" s="40">
        <f>'IndividualParameters + UI Req'!$B$9</f>
        <v>0</v>
      </c>
      <c r="N41" s="40">
        <f>'IndividualParameters + UI Req'!$B$6</f>
        <v>0</v>
      </c>
      <c r="O41">
        <f>Table27[[#This Row],[NERt]]*(100% - Table27[[#This Row],[NER(ERROR)]]+Table27[[#This Row],[allowable_uncert]])</f>
        <v>3051121.1325946143</v>
      </c>
      <c r="P41">
        <f>SUMIF(Table14[[#All],[year t]], "&lt;="&amp;Table27[[#This Row],[Year t]], Table14[[#All],[('[@'[GHGBSL-soil-CO2,i,t (Eq 27)']']-'[@'[Deductionalloch (Eq 38)']'])*Ai,t]])</f>
        <v>0</v>
      </c>
      <c r="Q41">
        <f>INDEX(Table11[[#All],[GHG(BSL-biomass)]], MATCH(Table27[[#This Row],[Year t]], Table11[[#All],[year t]]))</f>
        <v>0</v>
      </c>
      <c r="R41">
        <f xml:space="preserve"> SUMIF(Table1423[[#All],[year t]], "&lt;="&amp;Table27[[#This Row],[Year t]], Table1423[[#All],[('[@'[GHGWPS-soil-CO2,i,t (Eq 27)']']-'[@'[Deductionalloch WPS (Eq 38)']'])*Ai,t]] )</f>
        <v>-1230959.6103541912</v>
      </c>
      <c r="S41">
        <f>INDEX(Table1120[[#All],[GHG(WPS-biomass)]], MATCH(Table27[[#This Row],[Year t]], Table1120[[#All],[year t]]))</f>
        <v>-1820161.5222404234</v>
      </c>
      <c r="T41">
        <f>((Table27[[#This Row],[Sum(GHGBSL-soil-CO2,i,t (Eq 27)-Deductionalloch (Eq 38)),t]]+Table27[[#This Row],[GHG(BSL-biomass),t]])-(Table27[[#This Row],[Sum('[@'[GHGWPS-soil-CO2,i,t (Eq 80)']']-'[@Deductionalloch'])]]+Table27[[#This Row],[GHG(WPS-biomass)]]))</f>
        <v>3051121.1325946143</v>
      </c>
      <c r="U41">
        <f>'IndividualParameters + UI Req'!$B$7</f>
        <v>0.13</v>
      </c>
      <c r="V41">
        <f>(Table27[[#This Row],[𝑁𝐸𝑅𝑠𝑡𝑜𝑐𝑘,t]]-T40)*Table27[[#This Row],[Buffer%]]</f>
        <v>11290.545013588429</v>
      </c>
      <c r="W41">
        <f>(Table27[[#This Row],[adjusted_NERt (Eq 92)]]-O40)-Table27[[#This Row],[Buffer_deduction (Eq 94)]]</f>
        <v>75559.801244784103</v>
      </c>
    </row>
    <row r="42" spans="2:23" x14ac:dyDescent="0.2">
      <c r="B42" s="18">
        <v>2059</v>
      </c>
      <c r="C42" cm="1">
        <f t="array" ref="C42">SUMPRODUCT(IF(Table14[[#All],[year t]]&lt;=Table27[[#This Row],[Year t]], Table14[[#All],[Ai,t]]*Table14[[#All],[GHGBSL-soil-CO2,i,t (Eq 27)]]))</f>
        <v>0</v>
      </c>
      <c r="D42">
        <f>INDEX(Table11[[#All],[GHG(BSL)]], MATCH(Table27[[#This Row],[Year t]], Table11[[#All],[year t]]))</f>
        <v>0</v>
      </c>
      <c r="E42" cm="1">
        <f t="array" ref="E42">SUMPRODUCT(IF(Table1423[[#All],[year t]]&lt;=Table27[[#This Row],[Year t]], Table1423[[#All],[Ai,t]]*Table1423[[#All],[GHGWPS-soil-CO2,i,t]]))</f>
        <v>-1667805.1656438834</v>
      </c>
      <c r="F42">
        <f>IF(Emission_reduction_from_stock_loss?, IF(Table27[[#This Row],[GHGBSL-soil-CO2,t ]]-Table27[[#This Row],[GHGWPS-soil-CO2,t]] - SOC_Max&gt;0, Table27[[#This Row],[GHGBSL-soil-CO2,t ]]-Table27[[#This Row],[GHGWPS-soil-CO2,t]] - SOC_Max, 0), 0)</f>
        <v>0</v>
      </c>
      <c r="G42">
        <f>INDEX(Table1120[[#All],[GHG(WPS) (Eq 69)]], MATCH(Table27[[#This Row],[Year t]], Table1120[[#All],[year t]]))</f>
        <v>-3134110.3862022022</v>
      </c>
      <c r="H42">
        <f>IF(Fire_reduction_premium, INDEX(Table24[[#All],[FRP]], MATCH(Table27[[#This Row],[Year t]],Table24[[#All],[Year t]])), 0)</f>
        <v>0</v>
      </c>
      <c r="I42">
        <v>0</v>
      </c>
      <c r="J42">
        <f>Table27[[#This Row],[GHGBSL]]-Table27[[#This Row],[GHGWPS]]+Table27[[#This Row],[FRP]]-Table27[[#This Row],[GHGLK]]-Table27[[#This Row],[GHG(WPS-soil)_Deduction]]</f>
        <v>3134110.3862022022</v>
      </c>
      <c r="K42">
        <f>IF(NERRWE_Cap, IF(Table27[[#This Row],[NERRWE (Eq 85)]]&lt;=NERRWE_Max, Table27[[#This Row],[NERRWE (Eq 85)]], NERRWE_Max), Table27[[#This Row],[NERRWE (Eq 85)]])</f>
        <v>3134110.3862022022</v>
      </c>
      <c r="L42">
        <f>Table27[[#This Row],[NERRWE Capped]]</f>
        <v>3134110.3862022022</v>
      </c>
      <c r="M42" s="40">
        <f>'IndividualParameters + UI Req'!$B$9</f>
        <v>0</v>
      </c>
      <c r="N42" s="40">
        <f>'IndividualParameters + UI Req'!$B$6</f>
        <v>0</v>
      </c>
      <c r="O42">
        <f>Table27[[#This Row],[NERt]]*(100% - Table27[[#This Row],[NER(ERROR)]]+Table27[[#This Row],[allowable_uncert]])</f>
        <v>3134110.3862022022</v>
      </c>
      <c r="P42">
        <f>SUMIF(Table14[[#All],[year t]], "&lt;="&amp;Table27[[#This Row],[Year t]], Table14[[#All],[('[@'[GHGBSL-soil-CO2,i,t (Eq 27)']']-'[@'[Deductionalloch (Eq 38)']'])*Ai,t]])</f>
        <v>0</v>
      </c>
      <c r="Q42">
        <f>INDEX(Table11[[#All],[GHG(BSL-biomass)]], MATCH(Table27[[#This Row],[Year t]], Table11[[#All],[year t]]))</f>
        <v>0</v>
      </c>
      <c r="R42">
        <f xml:space="preserve"> SUMIF(Table1423[[#All],[year t]], "&lt;="&amp;Table27[[#This Row],[Year t]], Table1423[[#All],[('[@'[GHGWPS-soil-CO2,i,t (Eq 27)']']-'[@'[Deductionalloch WPS (Eq 38)']'])*Ai,t]] )</f>
        <v>-1274844.0197623966</v>
      </c>
      <c r="S42">
        <f>INDEX(Table1120[[#All],[GHG(WPS-biomass)]], MATCH(Table27[[#This Row],[Year t]], Table1120[[#All],[year t]]))</f>
        <v>-1859266.3664398056</v>
      </c>
      <c r="T42">
        <f>((Table27[[#This Row],[Sum(GHGBSL-soil-CO2,i,t (Eq 27)-Deductionalloch (Eq 38)),t]]+Table27[[#This Row],[GHG(BSL-biomass),t]])-(Table27[[#This Row],[Sum('[@'[GHGWPS-soil-CO2,i,t (Eq 80)']']-'[@Deductionalloch'])]]+Table27[[#This Row],[GHG(WPS-biomass)]]))</f>
        <v>3134110.3862022022</v>
      </c>
      <c r="U42">
        <f>'IndividualParameters + UI Req'!$B$7</f>
        <v>0.13</v>
      </c>
      <c r="V42">
        <f>(Table27[[#This Row],[𝑁𝐸𝑅𝑠𝑡𝑜𝑐𝑘,t]]-T41)*Table27[[#This Row],[Buffer%]]</f>
        <v>10788.602968986426</v>
      </c>
      <c r="W42">
        <f>(Table27[[#This Row],[adjusted_NERt (Eq 92)]]-O41)-Table27[[#This Row],[Buffer_deduction (Eq 94)]]</f>
        <v>72200.650638601466</v>
      </c>
    </row>
    <row r="43" spans="2:23" x14ac:dyDescent="0.2">
      <c r="B43" s="18">
        <v>2060</v>
      </c>
      <c r="C43" cm="1">
        <f t="array" ref="C43">SUMPRODUCT(IF(Table14[[#All],[year t]]&lt;=Table27[[#This Row],[Year t]], Table14[[#All],[Ai,t]]*Table14[[#All],[GHGBSL-soil-CO2,i,t (Eq 27)]]))</f>
        <v>0</v>
      </c>
      <c r="D43">
        <f>INDEX(Table11[[#All],[GHG(BSL)]], MATCH(Table27[[#This Row],[Year t]], Table11[[#All],[year t]]))</f>
        <v>0</v>
      </c>
      <c r="E43" cm="1">
        <f t="array" ref="E43">SUMPRODUCT(IF(Table1423[[#All],[year t]]&lt;=Table27[[#This Row],[Year t]], Table1423[[#All],[Ai,t]]*Table1423[[#All],[GHGWPS-soil-CO2,i,t]]))</f>
        <v>-1725216.6164313119</v>
      </c>
      <c r="F43">
        <f>IF(Emission_reduction_from_stock_loss?, IF(Table27[[#This Row],[GHGBSL-soil-CO2,t ]]-Table27[[#This Row],[GHGWPS-soil-CO2,t]] - SOC_Max&gt;0, Table27[[#This Row],[GHGBSL-soil-CO2,t ]]-Table27[[#This Row],[GHGWPS-soil-CO2,t]] - SOC_Max, 0), 0)</f>
        <v>0</v>
      </c>
      <c r="G43">
        <f>INDEX(Table1120[[#All],[GHG(WPS) (Eq 69)]], MATCH(Table27[[#This Row],[Year t]], Table1120[[#All],[year t]]))</f>
        <v>-3213503.944182789</v>
      </c>
      <c r="H43">
        <f>IF(Fire_reduction_premium, INDEX(Table24[[#All],[FRP]], MATCH(Table27[[#This Row],[Year t]],Table24[[#All],[Year t]])), 0)</f>
        <v>0</v>
      </c>
      <c r="I43">
        <v>0</v>
      </c>
      <c r="J43">
        <f>Table27[[#This Row],[GHGBSL]]-Table27[[#This Row],[GHGWPS]]+Table27[[#This Row],[FRP]]-Table27[[#This Row],[GHGLK]]-Table27[[#This Row],[GHG(WPS-soil)_Deduction]]</f>
        <v>3213503.944182789</v>
      </c>
      <c r="K43">
        <f>IF(NERRWE_Cap, IF(Table27[[#This Row],[NERRWE (Eq 85)]]&lt;=NERRWE_Max, Table27[[#This Row],[NERRWE (Eq 85)]], NERRWE_Max), Table27[[#This Row],[NERRWE (Eq 85)]])</f>
        <v>3213503.944182789</v>
      </c>
      <c r="L43">
        <f>Table27[[#This Row],[NERRWE Capped]]</f>
        <v>3213503.944182789</v>
      </c>
      <c r="M43" s="40">
        <f>'IndividualParameters + UI Req'!$B$9</f>
        <v>0</v>
      </c>
      <c r="N43" s="40">
        <f>'IndividualParameters + UI Req'!$B$6</f>
        <v>0</v>
      </c>
      <c r="O43">
        <f>Table27[[#This Row],[NERt]]*(100% - Table27[[#This Row],[NER(ERROR)]]+Table27[[#This Row],[allowable_uncert]])</f>
        <v>3213503.944182789</v>
      </c>
      <c r="P43">
        <f>SUMIF(Table14[[#All],[year t]], "&lt;="&amp;Table27[[#This Row],[Year t]], Table14[[#All],[('[@'[GHGBSL-soil-CO2,i,t (Eq 27)']']-'[@'[Deductionalloch (Eq 38)']'])*Ai,t]])</f>
        <v>0</v>
      </c>
      <c r="Q43">
        <f>INDEX(Table11[[#All],[GHG(BSL-biomass)]], MATCH(Table27[[#This Row],[Year t]], Table11[[#All],[year t]]))</f>
        <v>0</v>
      </c>
      <c r="R43">
        <f xml:space="preserve"> SUMIF(Table1423[[#All],[year t]], "&lt;="&amp;Table27[[#This Row],[Year t]], Table1423[[#All],[('[@'[GHGWPS-soil-CO2,i,t (Eq 27)']']-'[@'[Deductionalloch WPS (Eq 38)']'])*Ai,t]] )</f>
        <v>-1318728.429170602</v>
      </c>
      <c r="S43">
        <f>INDEX(Table1120[[#All],[GHG(WPS-biomass)]], MATCH(Table27[[#This Row],[Year t]], Table1120[[#All],[year t]]))</f>
        <v>-1894775.5150121872</v>
      </c>
      <c r="T43">
        <f>((Table27[[#This Row],[Sum(GHGBSL-soil-CO2,i,t (Eq 27)-Deductionalloch (Eq 38)),t]]+Table27[[#This Row],[GHG(BSL-biomass),t]])-(Table27[[#This Row],[Sum('[@'[GHGWPS-soil-CO2,i,t (Eq 80)']']-'[@Deductionalloch'])]]+Table27[[#This Row],[GHG(WPS-biomass)]]))</f>
        <v>3213503.944182789</v>
      </c>
      <c r="U43">
        <f>'IndividualParameters + UI Req'!$B$7</f>
        <v>0.13</v>
      </c>
      <c r="V43">
        <f>(Table27[[#This Row],[𝑁𝐸𝑅𝑠𝑡𝑜𝑐𝑘,t]]-T42)*Table27[[#This Row],[Buffer%]]</f>
        <v>10321.162537476281</v>
      </c>
      <c r="W43">
        <f>(Table27[[#This Row],[adjusted_NERt (Eq 92)]]-O42)-Table27[[#This Row],[Buffer_deduction (Eq 94)]]</f>
        <v>69072.395443110494</v>
      </c>
    </row>
    <row r="44" spans="2:23" x14ac:dyDescent="0.2">
      <c r="B44" s="18">
        <v>2061</v>
      </c>
      <c r="C44" cm="1">
        <f t="array" ref="C44">SUMPRODUCT(IF(Table14[[#All],[year t]]&lt;=Table27[[#This Row],[Year t]], Table14[[#All],[Ai,t]]*Table14[[#All],[GHGBSL-soil-CO2,i,t (Eq 27)]]))</f>
        <v>0</v>
      </c>
      <c r="D44">
        <f>INDEX(Table11[[#All],[GHG(BSL)]], MATCH(Table27[[#This Row],[Year t]], Table11[[#All],[year t]]))</f>
        <v>0</v>
      </c>
      <c r="E44" cm="1">
        <f t="array" ref="E44">SUMPRODUCT(IF(Table1423[[#All],[year t]]&lt;=Table27[[#This Row],[Year t]], Table1423[[#All],[Ai,t]]*Table1423[[#All],[GHGWPS-soil-CO2,i,t]]))</f>
        <v>-1782628.0672187405</v>
      </c>
      <c r="F44">
        <f>IF(Emission_reduction_from_stock_loss?, IF(Table27[[#This Row],[GHGBSL-soil-CO2,t ]]-Table27[[#This Row],[GHGWPS-soil-CO2,t]] - SOC_Max&gt;0, Table27[[#This Row],[GHGBSL-soil-CO2,t ]]-Table27[[#This Row],[GHGWPS-soil-CO2,t]] - SOC_Max, 0), 0)</f>
        <v>0</v>
      </c>
      <c r="G44">
        <f>INDEX(Table1120[[#All],[GHG(WPS) (Eq 69)]], MATCH(Table27[[#This Row],[Year t]], Table1120[[#All],[year t]]))</f>
        <v>-3289566.7524343589</v>
      </c>
      <c r="H44">
        <f>IF(Fire_reduction_premium, INDEX(Table24[[#All],[FRP]], MATCH(Table27[[#This Row],[Year t]],Table24[[#All],[Year t]])), 0)</f>
        <v>0</v>
      </c>
      <c r="I44">
        <v>0</v>
      </c>
      <c r="J44">
        <f>Table27[[#This Row],[GHGBSL]]-Table27[[#This Row],[GHGWPS]]+Table27[[#This Row],[FRP]]-Table27[[#This Row],[GHGLK]]-Table27[[#This Row],[GHG(WPS-soil)_Deduction]]</f>
        <v>3289566.7524343589</v>
      </c>
      <c r="K44">
        <f>IF(NERRWE_Cap, IF(Table27[[#This Row],[NERRWE (Eq 85)]]&lt;=NERRWE_Max, Table27[[#This Row],[NERRWE (Eq 85)]], NERRWE_Max), Table27[[#This Row],[NERRWE (Eq 85)]])</f>
        <v>3289566.7524343589</v>
      </c>
      <c r="L44">
        <f>Table27[[#This Row],[NERRWE Capped]]</f>
        <v>3289566.7524343589</v>
      </c>
      <c r="M44" s="40">
        <f>'IndividualParameters + UI Req'!$B$9</f>
        <v>0</v>
      </c>
      <c r="N44" s="40">
        <f>'IndividualParameters + UI Req'!$B$6</f>
        <v>0</v>
      </c>
      <c r="O44">
        <f>Table27[[#This Row],[NERt]]*(100% - Table27[[#This Row],[NER(ERROR)]]+Table27[[#This Row],[allowable_uncert]])</f>
        <v>3289566.7524343589</v>
      </c>
      <c r="P44">
        <f>SUMIF(Table14[[#All],[year t]], "&lt;="&amp;Table27[[#This Row],[Year t]], Table14[[#All],[('[@'[GHGBSL-soil-CO2,i,t (Eq 27)']']-'[@'[Deductionalloch (Eq 38)']'])*Ai,t]])</f>
        <v>0</v>
      </c>
      <c r="Q44">
        <f>INDEX(Table11[[#All],[GHG(BSL-biomass)]], MATCH(Table27[[#This Row],[Year t]], Table11[[#All],[year t]]))</f>
        <v>0</v>
      </c>
      <c r="R44">
        <f xml:space="preserve"> SUMIF(Table1423[[#All],[year t]], "&lt;="&amp;Table27[[#This Row],[Year t]], Table1423[[#All],[('[@'[GHGWPS-soil-CO2,i,t (Eq 27)']']-'[@'[Deductionalloch WPS (Eq 38)']'])*Ai,t]] )</f>
        <v>-1362612.8385788077</v>
      </c>
      <c r="S44">
        <f>INDEX(Table1120[[#All],[GHG(WPS-biomass)]], MATCH(Table27[[#This Row],[Year t]], Table1120[[#All],[year t]]))</f>
        <v>-1926953.9138555515</v>
      </c>
      <c r="T44">
        <f>((Table27[[#This Row],[Sum(GHGBSL-soil-CO2,i,t (Eq 27)-Deductionalloch (Eq 38)),t]]+Table27[[#This Row],[GHG(BSL-biomass),t]])-(Table27[[#This Row],[Sum('[@'[GHGWPS-soil-CO2,i,t (Eq 80)']']-'[@Deductionalloch'])]]+Table27[[#This Row],[GHG(WPS-biomass)]]))</f>
        <v>3289566.7524343589</v>
      </c>
      <c r="U44">
        <f>'IndividualParameters + UI Req'!$B$7</f>
        <v>0.13</v>
      </c>
      <c r="V44">
        <f>(Table27[[#This Row],[𝑁𝐸𝑅𝑠𝑡𝑜𝑐𝑘,t]]-T43)*Table27[[#This Row],[Buffer%]]</f>
        <v>9888.1650727040978</v>
      </c>
      <c r="W44">
        <f>(Table27[[#This Row],[adjusted_NERt (Eq 92)]]-O43)-Table27[[#This Row],[Buffer_deduction (Eq 94)]]</f>
        <v>66174.643178865881</v>
      </c>
    </row>
    <row r="45" spans="2:23" ht="32" x14ac:dyDescent="0.2">
      <c r="E45" s="1" t="s">
        <v>510</v>
      </c>
      <c r="F45" t="e">
        <f>SOC_Max</f>
        <v>#VALUE!</v>
      </c>
    </row>
    <row r="46" spans="2:23" x14ac:dyDescent="0.2">
      <c r="E46" s="2" t="s">
        <v>90</v>
      </c>
      <c r="F46" s="2" t="s">
        <v>511</v>
      </c>
      <c r="G46" s="2" t="s">
        <v>512</v>
      </c>
    </row>
    <row r="47" spans="2:23" x14ac:dyDescent="0.2">
      <c r="E47" s="2">
        <v>1</v>
      </c>
      <c r="F47" s="2">
        <f>C5-E5</f>
        <v>0</v>
      </c>
      <c r="G47" s="2" t="e">
        <f t="shared" ref="G47:G53" si="0">F47-SOC_Max</f>
        <v>#VALUE!</v>
      </c>
    </row>
    <row r="48" spans="2:23" x14ac:dyDescent="0.2">
      <c r="E48" s="2">
        <v>2</v>
      </c>
      <c r="F48" s="2">
        <f t="shared" ref="F48:F53" si="1">C6-E6</f>
        <v>0</v>
      </c>
      <c r="G48" s="2" t="e">
        <f t="shared" si="0"/>
        <v>#VALUE!</v>
      </c>
    </row>
    <row r="49" spans="5:7" x14ac:dyDescent="0.2">
      <c r="E49" s="2">
        <v>3</v>
      </c>
      <c r="F49" s="2">
        <f t="shared" si="1"/>
        <v>0</v>
      </c>
      <c r="G49" s="2" t="e">
        <f t="shared" si="0"/>
        <v>#VALUE!</v>
      </c>
    </row>
    <row r="50" spans="5:7" x14ac:dyDescent="0.2">
      <c r="E50" s="2">
        <v>4</v>
      </c>
      <c r="F50" s="2">
        <f t="shared" si="1"/>
        <v>0</v>
      </c>
      <c r="G50" s="2" t="e">
        <f t="shared" si="0"/>
        <v>#VALUE!</v>
      </c>
    </row>
    <row r="51" spans="5:7" x14ac:dyDescent="0.2">
      <c r="E51" s="2">
        <v>5</v>
      </c>
      <c r="F51" s="2">
        <f t="shared" si="1"/>
        <v>1919.1779828571428</v>
      </c>
      <c r="G51" s="2" t="e">
        <f t="shared" si="0"/>
        <v>#VALUE!</v>
      </c>
    </row>
    <row r="52" spans="5:7" x14ac:dyDescent="0.2">
      <c r="E52" s="2">
        <v>6</v>
      </c>
      <c r="F52" s="2">
        <f t="shared" si="1"/>
        <v>7904.1518348571426</v>
      </c>
      <c r="G52" s="2" t="e">
        <f t="shared" si="0"/>
        <v>#VALUE!</v>
      </c>
    </row>
    <row r="53" spans="5:7" x14ac:dyDescent="0.2">
      <c r="E53" s="2">
        <v>7</v>
      </c>
      <c r="F53" s="2">
        <f t="shared" si="1"/>
        <v>19424.097709028571</v>
      </c>
      <c r="G53" s="2" t="e">
        <f t="shared" si="0"/>
        <v>#VALUE!</v>
      </c>
    </row>
  </sheetData>
  <phoneticPr fontId="6" type="noConversion"/>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4637df4-1000-498e-ba93-7aefb515ae1d">
      <Terms xmlns="http://schemas.microsoft.com/office/infopath/2007/PartnerControls"/>
    </lcf76f155ced4ddcb4097134ff3c332f>
    <SharedWithUsers xmlns="c250ae46-f3d3-440a-be0a-33f14a8660f1">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0244357C1FBF34A94BA1F211764BA0D" ma:contentTypeVersion="16" ma:contentTypeDescription="Create a new document." ma:contentTypeScope="" ma:versionID="e1a9b67a47998a9b6af17f9173e3eca7">
  <xsd:schema xmlns:xsd="http://www.w3.org/2001/XMLSchema" xmlns:xs="http://www.w3.org/2001/XMLSchema" xmlns:p="http://schemas.microsoft.com/office/2006/metadata/properties" xmlns:ns2="b4637df4-1000-498e-ba93-7aefb515ae1d" xmlns:ns3="c250ae46-f3d3-440a-be0a-33f14a8660f1" targetNamespace="http://schemas.microsoft.com/office/2006/metadata/properties" ma:root="true" ma:fieldsID="3435bde14077e6f5a0e3952097331f72" ns2:_="" ns3:_="">
    <xsd:import namespace="b4637df4-1000-498e-ba93-7aefb515ae1d"/>
    <xsd:import namespace="c250ae46-f3d3-440a-be0a-33f14a8660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SharedWithUsers" minOccurs="0"/>
                <xsd:element ref="ns3:SharedWithDetails" minOccurs="0"/>
                <xsd:element ref="ns2:MediaServiceSearchProperties"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37df4-1000-498e-ba93-7aefb515ae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b97863a-9c53-4d79-aa62-b4edf9878b66"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50ae46-f3d3-440a-be0a-33f14a8660f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4DCA6F-6FB9-4FDE-99A5-BCF6BEE40F8A}">
  <ds:schemaRefs>
    <ds:schemaRef ds:uri="http://schemas.microsoft.com/sharepoint/v3/contenttype/forms"/>
  </ds:schemaRefs>
</ds:datastoreItem>
</file>

<file path=customXml/itemProps2.xml><?xml version="1.0" encoding="utf-8"?>
<ds:datastoreItem xmlns:ds="http://schemas.openxmlformats.org/officeDocument/2006/customXml" ds:itemID="{A14F102E-E336-4763-920D-A9315660480F}">
  <ds:schemaRefs>
    <ds:schemaRef ds:uri="http://schemas.microsoft.com/office/2006/metadata/properties"/>
    <ds:schemaRef ds:uri="http://schemas.microsoft.com/office/infopath/2007/PartnerControls"/>
    <ds:schemaRef ds:uri="b4637df4-1000-498e-ba93-7aefb515ae1d"/>
    <ds:schemaRef ds:uri="c250ae46-f3d3-440a-be0a-33f14a8660f1"/>
  </ds:schemaRefs>
</ds:datastoreItem>
</file>

<file path=customXml/itemProps3.xml><?xml version="1.0" encoding="utf-8"?>
<ds:datastoreItem xmlns:ds="http://schemas.openxmlformats.org/officeDocument/2006/customXml" ds:itemID="{0EBBA060-AECF-4C94-8C29-E67491BB3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637df4-1000-498e-ba93-7aefb515ae1d"/>
    <ds:schemaRef ds:uri="c250ae46-f3d3-440a-be0a-33f14a8660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28</vt:i4>
      </vt:variant>
    </vt:vector>
  </HeadingPairs>
  <TitlesOfParts>
    <vt:vector size="43" baseType="lpstr">
      <vt:lpstr>ProjectBoundary</vt:lpstr>
      <vt:lpstr>QuantificationApproach</vt:lpstr>
      <vt:lpstr>IndividualParameters + UI Req</vt:lpstr>
      <vt:lpstr>FireReductionPremium + UI Req</vt:lpstr>
      <vt:lpstr>StratumLevelInput + UI Req</vt:lpstr>
      <vt:lpstr>IF Wood Product Is Included</vt:lpstr>
      <vt:lpstr>MonitoringPeriodInputs + UI Req</vt:lpstr>
      <vt:lpstr>AnnualInputUIRequirements</vt:lpstr>
      <vt:lpstr>AnnualInput</vt:lpstr>
      <vt:lpstr>5.1_TemporalBoundary</vt:lpstr>
      <vt:lpstr>5.2.4_Ineligible wetland areas </vt:lpstr>
      <vt:lpstr>ERR</vt:lpstr>
      <vt:lpstr>8.2ProjectEmissions</vt:lpstr>
      <vt:lpstr>8.1BaselineEmissions</vt:lpstr>
      <vt:lpstr>8.5NetERR</vt:lpstr>
      <vt:lpstr>baseline_abground_nontree</vt:lpstr>
      <vt:lpstr>baseline_burning</vt:lpstr>
      <vt:lpstr>baseline_ff_CO2</vt:lpstr>
      <vt:lpstr>baseline_soil_CH4</vt:lpstr>
      <vt:lpstr>baseline_soil_N2O</vt:lpstr>
      <vt:lpstr>baseline_soil_SOC</vt:lpstr>
      <vt:lpstr>crediting_period</vt:lpstr>
      <vt:lpstr>EF_CH4_burn</vt:lpstr>
      <vt:lpstr>EF_N2O_burn</vt:lpstr>
      <vt:lpstr>Emission_reduction_from_stock_loss?</vt:lpstr>
      <vt:lpstr>Fire_reduction_premium</vt:lpstr>
      <vt:lpstr>GWP_CH4</vt:lpstr>
      <vt:lpstr>GWP_N2O</vt:lpstr>
      <vt:lpstr>NERRWE_Cap</vt:lpstr>
      <vt:lpstr>NERRWE_Max</vt:lpstr>
      <vt:lpstr>project_aboveground_nontree</vt:lpstr>
      <vt:lpstr>project_aboveground_tree</vt:lpstr>
      <vt:lpstr>project_ff_CO2</vt:lpstr>
      <vt:lpstr>project_prescribed_burning</vt:lpstr>
      <vt:lpstr>project_soil_CH4</vt:lpstr>
      <vt:lpstr>project_soil_N2O</vt:lpstr>
      <vt:lpstr>project_soil_SOC</vt:lpstr>
      <vt:lpstr>SOC_Cap_Approach</vt:lpstr>
      <vt:lpstr>SOC_Max</vt:lpstr>
      <vt:lpstr>soil_CH4_approach</vt:lpstr>
      <vt:lpstr>soil_insitu_approach</vt:lpstr>
      <vt:lpstr>soil_N2O_approach</vt:lpstr>
      <vt:lpstr>wood_product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Qing (Summer) Xia</dc:creator>
  <cp:keywords/>
  <dc:description/>
  <cp:lastModifiedBy>Gautam Prajapati</cp:lastModifiedBy>
  <cp:revision/>
  <dcterms:created xsi:type="dcterms:W3CDTF">2024-12-02T18:34:04Z</dcterms:created>
  <dcterms:modified xsi:type="dcterms:W3CDTF">2025-08-10T14:15:41Z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0x010100E0244357C1FBF34A94BA1F211764BA0D</vt:lpwstr>
  </property>
  <property fmtid="{D5CDD505-2E9C-101B-9397-08002B2CF9AE}" pid="3" name="MediaServiceImageTags">
    <vt:lpwstr/>
  </property>
  <property fmtid="{D5CDD505-2E9C-101B-9397-08002B2CF9AE}" pid="4" name="Order">
    <vt:r8>5510000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