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utam_prajapati/Downloads/"/>
    </mc:Choice>
  </mc:AlternateContent>
  <xr:revisionPtr revIDLastSave="0" documentId="8_{B1566289-9B7B-7849-9F3E-07BA02115423}" xr6:coauthVersionLast="47" xr6:coauthVersionMax="47" xr10:uidLastSave="{00000000-0000-0000-0000-000000000000}"/>
  <bookViews>
    <workbookView xWindow="0" yWindow="680" windowWidth="19420" windowHeight="10300" tabRatio="832" xr2:uid="{00000000-000D-0000-FFFF-FFFF00000000}"/>
  </bookViews>
  <sheets>
    <sheet name="Assumptions Calculat" sheetId="25" r:id="rId1"/>
    <sheet name="SLR" sheetId="36" r:id="rId2"/>
    <sheet name="ARR Calculations" sheetId="26" r:id="rId3"/>
    <sheet name="Summary Calculat" sheetId="27" r:id="rId4"/>
    <sheet name="Lineal" sheetId="33" state="hidden" r:id="rId5"/>
    <sheet name="SOC" sheetId="32" r:id="rId6"/>
  </sheets>
  <externalReferences>
    <externalReference r:id="rId7"/>
  </externalReferences>
  <definedNames>
    <definedName name="ALLCOT_portion">#REF!</definedName>
    <definedName name="Amortization_delay">'[1]General Project Data'!$I$40</definedName>
    <definedName name="Amortization_period">'[1]General Project Data'!$I$41</definedName>
    <definedName name="Balance">#REF!</definedName>
    <definedName name="Community_portion">#REF!</definedName>
    <definedName name="Cookstoves">#REF!</definedName>
    <definedName name="Cookstoves_costs">#REF!</definedName>
    <definedName name="Cookstoves_Standards">#REF!</definedName>
    <definedName name="Country">#REF!</definedName>
    <definedName name="DatosExternos_1" localSheetId="1" hidden="1">SLR!$B$4:$E$19</definedName>
    <definedName name="Discount_rate">#REF!</definedName>
    <definedName name="DTF">#REF!</definedName>
    <definedName name="Exchange_rate">#REF!</definedName>
    <definedName name="Inflation">#REF!</definedName>
    <definedName name="Investment">#REF!</definedName>
    <definedName name="Local_currency">#REF!</definedName>
    <definedName name="Max_selling_price">#REF!</definedName>
    <definedName name="MV">#REF!</definedName>
    <definedName name="NBS">#REF!</definedName>
    <definedName name="NBS_Costs">#REF!</definedName>
    <definedName name="NBS_Standards">#REF!</definedName>
    <definedName name="Offset_price">#REF!</definedName>
    <definedName name="Offset_type">#REF!</definedName>
    <definedName name="Offtaker_portion">#REF!</definedName>
    <definedName name="Origination_cost">#REF!</definedName>
    <definedName name="Outlay_date">'[1]General Project Data'!$I$37</definedName>
    <definedName name="Partner_portion">#REF!</definedName>
    <definedName name="Payback">#REF!</definedName>
    <definedName name="Percentage_investment">'[1]General Project Data'!$I$36</definedName>
    <definedName name="Price_increase_after_first_5_years">#REF!</definedName>
    <definedName name="Price_increase_first_5_years">#REF!</definedName>
    <definedName name="Project_duration">#REF!</definedName>
    <definedName name="Project_fase">#REF!</definedName>
    <definedName name="Project_Standards">#REF!</definedName>
    <definedName name="Project_sub_type">#REF!</definedName>
    <definedName name="Project_technology">#REF!</definedName>
    <definedName name="Project_tecnology">#REF!</definedName>
    <definedName name="Project_type">#REF!</definedName>
    <definedName name="RENEN">#REF!</definedName>
    <definedName name="RENEN_costs">#REF!</definedName>
    <definedName name="RENEN_Standards">#REF!</definedName>
    <definedName name="Spread">#REF!</definedName>
    <definedName name="Start_date">#REF!</definedName>
    <definedName name="Start_year">#REF!</definedName>
    <definedName name="Validation_year">#REF!</definedName>
    <definedName name="WASTE">#REF!</definedName>
    <definedName name="WASTE_cost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6" l="1"/>
  <c r="F5" i="36"/>
  <c r="F6" i="36"/>
  <c r="G6" i="36" s="1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K8" i="25"/>
  <c r="K9" i="25" s="1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AZ37" i="26" s="1"/>
  <c r="BA37" i="26" s="1"/>
  <c r="BB37" i="26" s="1"/>
  <c r="BC37" i="26" s="1"/>
  <c r="C44" i="25"/>
  <c r="C45" i="25"/>
  <c r="T37" i="26" s="1"/>
  <c r="U37" i="26" s="1"/>
  <c r="V37" i="26" s="1"/>
  <c r="W37" i="26" s="1"/>
  <c r="C46" i="25"/>
  <c r="C47" i="25"/>
  <c r="C48" i="25"/>
  <c r="C49" i="25"/>
  <c r="AZ43" i="26" s="1"/>
  <c r="BA43" i="26" s="1"/>
  <c r="BB43" i="26" s="1"/>
  <c r="C50" i="25"/>
  <c r="AJ43" i="26" s="1"/>
  <c r="AK43" i="26" s="1"/>
  <c r="AL43" i="26" s="1"/>
  <c r="C51" i="25"/>
  <c r="C52" i="25"/>
  <c r="C53" i="25"/>
  <c r="D44" i="26" s="1"/>
  <c r="E44" i="26" s="1"/>
  <c r="F44" i="26" s="1"/>
  <c r="G44" i="26" s="1"/>
  <c r="C54" i="25"/>
  <c r="T46" i="26" s="1"/>
  <c r="U46" i="26" s="1"/>
  <c r="V46" i="26" s="1"/>
  <c r="W46" i="26" s="1"/>
  <c r="C55" i="25"/>
  <c r="D46" i="26" s="1"/>
  <c r="E46" i="26" s="1"/>
  <c r="F46" i="26" s="1"/>
  <c r="G46" i="26" s="1"/>
  <c r="F46" i="27"/>
  <c r="F7" i="27"/>
  <c r="F8" i="27" s="1"/>
  <c r="F9" i="27" s="1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D7" i="27"/>
  <c r="D8" i="27" s="1"/>
  <c r="D9" i="27" s="1"/>
  <c r="D10" i="27" s="1"/>
  <c r="D11" i="27" s="1"/>
  <c r="D12" i="27" s="1"/>
  <c r="D13" i="27" s="1"/>
  <c r="D14" i="27" s="1"/>
  <c r="D15" i="27" s="1"/>
  <c r="D16" i="27" s="1"/>
  <c r="D17" i="27" s="1"/>
  <c r="D18" i="27" s="1"/>
  <c r="D19" i="27" s="1"/>
  <c r="D20" i="27" s="1"/>
  <c r="D21" i="27" s="1"/>
  <c r="D22" i="27" s="1"/>
  <c r="D23" i="27" s="1"/>
  <c r="D24" i="27" s="1"/>
  <c r="D25" i="27" s="1"/>
  <c r="D26" i="27" s="1"/>
  <c r="D27" i="27" s="1"/>
  <c r="D28" i="27" s="1"/>
  <c r="D29" i="27" s="1"/>
  <c r="D30" i="27" s="1"/>
  <c r="D31" i="27" s="1"/>
  <c r="D32" i="27" s="1"/>
  <c r="D33" i="27" s="1"/>
  <c r="D34" i="27" s="1"/>
  <c r="D35" i="27" s="1"/>
  <c r="D36" i="27" s="1"/>
  <c r="D37" i="27" s="1"/>
  <c r="D38" i="27" s="1"/>
  <c r="D39" i="27" s="1"/>
  <c r="D40" i="27" s="1"/>
  <c r="D41" i="27" s="1"/>
  <c r="D42" i="27" s="1"/>
  <c r="D43" i="27" s="1"/>
  <c r="D44" i="27" s="1"/>
  <c r="D45" i="27" s="1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3" i="33"/>
  <c r="F5" i="32"/>
  <c r="F6" i="32"/>
  <c r="F7" i="32"/>
  <c r="F4" i="32"/>
  <c r="G7" i="36" l="1"/>
  <c r="G8" i="36" s="1"/>
  <c r="G9" i="36" s="1"/>
  <c r="G10" i="36" s="1"/>
  <c r="G11" i="36" s="1"/>
  <c r="L5" i="25" s="1"/>
  <c r="F20" i="36"/>
  <c r="AJ41" i="26"/>
  <c r="AK41" i="26" s="1"/>
  <c r="AL41" i="26" s="1"/>
  <c r="AM41" i="26" s="1"/>
  <c r="AZ46" i="26"/>
  <c r="BA46" i="26" s="1"/>
  <c r="BB46" i="26" s="1"/>
  <c r="BC46" i="26" s="1"/>
  <c r="AJ37" i="26"/>
  <c r="AK37" i="26" s="1"/>
  <c r="AL37" i="26" s="1"/>
  <c r="AM37" i="26" s="1"/>
  <c r="AJ44" i="26"/>
  <c r="AK44" i="26" s="1"/>
  <c r="AL44" i="26" s="1"/>
  <c r="AM44" i="26" s="1"/>
  <c r="AZ40" i="26"/>
  <c r="BA40" i="26" s="1"/>
  <c r="BB40" i="26" s="1"/>
  <c r="BC40" i="26" s="1"/>
  <c r="AZ41" i="26"/>
  <c r="BA41" i="26" s="1"/>
  <c r="BB41" i="26" s="1"/>
  <c r="BC41" i="26" s="1"/>
  <c r="G4" i="32"/>
  <c r="G6" i="32"/>
  <c r="T43" i="26"/>
  <c r="U43" i="26" s="1"/>
  <c r="V43" i="26" s="1"/>
  <c r="W43" i="26" s="1"/>
  <c r="D42" i="26"/>
  <c r="E42" i="26" s="1"/>
  <c r="F42" i="26" s="1"/>
  <c r="G42" i="26" s="1"/>
  <c r="AZ45" i="26"/>
  <c r="BA45" i="26" s="1"/>
  <c r="BB45" i="26" s="1"/>
  <c r="BC45" i="26" s="1"/>
  <c r="AZ38" i="26"/>
  <c r="BA38" i="26" s="1"/>
  <c r="BB38" i="26" s="1"/>
  <c r="BC38" i="26" s="1"/>
  <c r="AJ45" i="26"/>
  <c r="AK45" i="26" s="1"/>
  <c r="AL45" i="26" s="1"/>
  <c r="AM45" i="26" s="1"/>
  <c r="D41" i="26"/>
  <c r="E41" i="26" s="1"/>
  <c r="F41" i="26" s="1"/>
  <c r="G41" i="26" s="1"/>
  <c r="D45" i="26"/>
  <c r="E45" i="26" s="1"/>
  <c r="F45" i="26" s="1"/>
  <c r="G45" i="26" s="1"/>
  <c r="AJ39" i="26"/>
  <c r="AK39" i="26" s="1"/>
  <c r="AL39" i="26" s="1"/>
  <c r="AM39" i="26" s="1"/>
  <c r="AJ46" i="26"/>
  <c r="AK46" i="26" s="1"/>
  <c r="AL46" i="26" s="1"/>
  <c r="AM46" i="26" s="1"/>
  <c r="T45" i="26"/>
  <c r="U45" i="26" s="1"/>
  <c r="V45" i="26" s="1"/>
  <c r="W45" i="26" s="1"/>
  <c r="AZ44" i="26"/>
  <c r="BA44" i="26" s="1"/>
  <c r="BB44" i="26" s="1"/>
  <c r="BC44" i="26" s="1"/>
  <c r="T42" i="26"/>
  <c r="U42" i="26" s="1"/>
  <c r="V42" i="26" s="1"/>
  <c r="W42" i="26" s="1"/>
  <c r="AJ38" i="26"/>
  <c r="AK38" i="26" s="1"/>
  <c r="AL38" i="26" s="1"/>
  <c r="AM38" i="26" s="1"/>
  <c r="AZ39" i="26"/>
  <c r="BA39" i="26" s="1"/>
  <c r="BB39" i="26" s="1"/>
  <c r="BC39" i="26" s="1"/>
  <c r="D43" i="26"/>
  <c r="E43" i="26" s="1"/>
  <c r="F43" i="26" s="1"/>
  <c r="G43" i="26" s="1"/>
  <c r="T44" i="26"/>
  <c r="U44" i="26" s="1"/>
  <c r="V44" i="26" s="1"/>
  <c r="W44" i="26" s="1"/>
  <c r="T39" i="26"/>
  <c r="U39" i="26" s="1"/>
  <c r="V39" i="26" s="1"/>
  <c r="W39" i="26" s="1"/>
  <c r="T38" i="26"/>
  <c r="U38" i="26" s="1"/>
  <c r="V38" i="26" s="1"/>
  <c r="W38" i="26" s="1"/>
  <c r="T41" i="26"/>
  <c r="U41" i="26" s="1"/>
  <c r="V41" i="26" s="1"/>
  <c r="W41" i="26" s="1"/>
  <c r="T40" i="26"/>
  <c r="U40" i="26" s="1"/>
  <c r="V40" i="26" s="1"/>
  <c r="W40" i="26" s="1"/>
  <c r="D40" i="26"/>
  <c r="E40" i="26" s="1"/>
  <c r="F40" i="26" s="1"/>
  <c r="G40" i="26" s="1"/>
  <c r="AJ42" i="26"/>
  <c r="AK42" i="26" s="1"/>
  <c r="AL42" i="26" s="1"/>
  <c r="AM42" i="26" s="1"/>
  <c r="D39" i="26"/>
  <c r="E39" i="26" s="1"/>
  <c r="F39" i="26" s="1"/>
  <c r="G39" i="26" s="1"/>
  <c r="D38" i="26"/>
  <c r="E38" i="26" s="1"/>
  <c r="F38" i="26" s="1"/>
  <c r="G38" i="26" s="1"/>
  <c r="AJ40" i="26"/>
  <c r="AK40" i="26" s="1"/>
  <c r="AL40" i="26" s="1"/>
  <c r="AM40" i="26" s="1"/>
  <c r="AZ42" i="26"/>
  <c r="BA42" i="26" s="1"/>
  <c r="BB42" i="26" s="1"/>
  <c r="BC42" i="26" s="1"/>
  <c r="D37" i="26"/>
  <c r="E37" i="26" s="1"/>
  <c r="F37" i="26" s="1"/>
  <c r="G37" i="26" s="1"/>
  <c r="BC43" i="26"/>
  <c r="AM43" i="26"/>
  <c r="G12" i="36" l="1"/>
  <c r="L6" i="25" s="1"/>
  <c r="H4" i="32"/>
  <c r="K10" i="32" l="1"/>
  <c r="K9" i="32"/>
  <c r="G13" i="36"/>
  <c r="L7" i="25" s="1"/>
  <c r="X41" i="26"/>
  <c r="Y41" i="26" s="1"/>
  <c r="Z41" i="26" s="1"/>
  <c r="AA41" i="26" s="1"/>
  <c r="BD39" i="26"/>
  <c r="BE39" i="26" s="1"/>
  <c r="BF39" i="26" s="1"/>
  <c r="AN37" i="26"/>
  <c r="AO37" i="26" s="1"/>
  <c r="AP37" i="26" s="1"/>
  <c r="AN45" i="26"/>
  <c r="AO45" i="26" s="1"/>
  <c r="AP45" i="26" s="1"/>
  <c r="H43" i="26"/>
  <c r="I43" i="26" s="1"/>
  <c r="J43" i="26" s="1"/>
  <c r="K43" i="26" s="1"/>
  <c r="H41" i="26"/>
  <c r="I41" i="26" s="1"/>
  <c r="J41" i="26" s="1"/>
  <c r="K41" i="26" s="1"/>
  <c r="X40" i="26"/>
  <c r="Y40" i="26" s="1"/>
  <c r="Z40" i="26" s="1"/>
  <c r="AA40" i="26" s="1"/>
  <c r="X42" i="26"/>
  <c r="Y42" i="26" s="1"/>
  <c r="Z42" i="26" s="1"/>
  <c r="AA42" i="26" s="1"/>
  <c r="BD40" i="26"/>
  <c r="BE40" i="26" s="1"/>
  <c r="BF40" i="26" s="1"/>
  <c r="AN38" i="26"/>
  <c r="AO38" i="26" s="1"/>
  <c r="AP38" i="26" s="1"/>
  <c r="AN46" i="26"/>
  <c r="AO46" i="26" s="1"/>
  <c r="AP46" i="26" s="1"/>
  <c r="H44" i="26"/>
  <c r="I44" i="26" s="1"/>
  <c r="J44" i="26" s="1"/>
  <c r="K44" i="26" s="1"/>
  <c r="AN43" i="26"/>
  <c r="AO43" i="26" s="1"/>
  <c r="AP43" i="26" s="1"/>
  <c r="AN44" i="26"/>
  <c r="AO44" i="26" s="1"/>
  <c r="AP44" i="26" s="1"/>
  <c r="X43" i="26"/>
  <c r="Y43" i="26" s="1"/>
  <c r="Z43" i="26" s="1"/>
  <c r="AA43" i="26" s="1"/>
  <c r="BD41" i="26"/>
  <c r="BE41" i="26" s="1"/>
  <c r="BF41" i="26" s="1"/>
  <c r="AN39" i="26"/>
  <c r="AO39" i="26" s="1"/>
  <c r="AP39" i="26" s="1"/>
  <c r="H37" i="26"/>
  <c r="I37" i="26" s="1"/>
  <c r="J37" i="26" s="1"/>
  <c r="K37" i="26" s="1"/>
  <c r="H45" i="26"/>
  <c r="I45" i="26" s="1"/>
  <c r="J45" i="26" s="1"/>
  <c r="K45" i="26" s="1"/>
  <c r="X39" i="26"/>
  <c r="Y39" i="26" s="1"/>
  <c r="Z39" i="26" s="1"/>
  <c r="AA39" i="26" s="1"/>
  <c r="H42" i="26"/>
  <c r="I42" i="26" s="1"/>
  <c r="J42" i="26" s="1"/>
  <c r="K42" i="26" s="1"/>
  <c r="X44" i="26"/>
  <c r="Y44" i="26" s="1"/>
  <c r="Z44" i="26" s="1"/>
  <c r="AA44" i="26" s="1"/>
  <c r="BD42" i="26"/>
  <c r="BE42" i="26" s="1"/>
  <c r="BF42" i="26" s="1"/>
  <c r="AN40" i="26"/>
  <c r="AO40" i="26" s="1"/>
  <c r="AP40" i="26" s="1"/>
  <c r="H38" i="26"/>
  <c r="I38" i="26" s="1"/>
  <c r="J38" i="26" s="1"/>
  <c r="K38" i="26" s="1"/>
  <c r="H46" i="26"/>
  <c r="I46" i="26" s="1"/>
  <c r="J46" i="26" s="1"/>
  <c r="K46" i="26" s="1"/>
  <c r="BD37" i="26"/>
  <c r="BE37" i="26" s="1"/>
  <c r="BF37" i="26" s="1"/>
  <c r="BD38" i="26"/>
  <c r="BE38" i="26" s="1"/>
  <c r="BF38" i="26" s="1"/>
  <c r="X37" i="26"/>
  <c r="Y37" i="26" s="1"/>
  <c r="Z37" i="26" s="1"/>
  <c r="AA37" i="26" s="1"/>
  <c r="X45" i="26"/>
  <c r="Y45" i="26" s="1"/>
  <c r="Z45" i="26" s="1"/>
  <c r="AA45" i="26" s="1"/>
  <c r="BD43" i="26"/>
  <c r="BE43" i="26" s="1"/>
  <c r="BF43" i="26" s="1"/>
  <c r="AN41" i="26"/>
  <c r="AO41" i="26" s="1"/>
  <c r="AP41" i="26" s="1"/>
  <c r="H39" i="26"/>
  <c r="I39" i="26" s="1"/>
  <c r="J39" i="26" s="1"/>
  <c r="K39" i="26" s="1"/>
  <c r="BD45" i="26"/>
  <c r="BE45" i="26" s="1"/>
  <c r="BF45" i="26" s="1"/>
  <c r="BD46" i="26"/>
  <c r="BE46" i="26" s="1"/>
  <c r="BF46" i="26" s="1"/>
  <c r="X38" i="26"/>
  <c r="Y38" i="26" s="1"/>
  <c r="Z38" i="26" s="1"/>
  <c r="AA38" i="26" s="1"/>
  <c r="X46" i="26"/>
  <c r="Y46" i="26" s="1"/>
  <c r="Z46" i="26" s="1"/>
  <c r="AA46" i="26" s="1"/>
  <c r="BD44" i="26"/>
  <c r="BE44" i="26" s="1"/>
  <c r="BF44" i="26" s="1"/>
  <c r="AN42" i="26"/>
  <c r="AO42" i="26" s="1"/>
  <c r="AP42" i="26" s="1"/>
  <c r="H40" i="26"/>
  <c r="I40" i="26" s="1"/>
  <c r="J40" i="26" s="1"/>
  <c r="K40" i="26" s="1"/>
  <c r="M9" i="32"/>
  <c r="M10" i="32" s="1"/>
  <c r="P10" i="25"/>
  <c r="P11" i="25" s="1"/>
  <c r="N7" i="26" s="1" a="1"/>
  <c r="N7" i="26" s="1"/>
  <c r="L46" i="26" l="1"/>
  <c r="G14" i="36"/>
  <c r="L8" i="25" s="1"/>
  <c r="L38" i="26"/>
  <c r="AB42" i="26"/>
  <c r="L40" i="26"/>
  <c r="L45" i="26"/>
  <c r="AB46" i="26"/>
  <c r="L42" i="26"/>
  <c r="L43" i="26"/>
  <c r="AB39" i="26"/>
  <c r="AB44" i="26"/>
  <c r="AB43" i="26"/>
  <c r="L41" i="26"/>
  <c r="AB41" i="26"/>
  <c r="L39" i="26"/>
  <c r="AB38" i="26"/>
  <c r="AB45" i="26"/>
  <c r="L44" i="26"/>
  <c r="AB40" i="26"/>
  <c r="BJ14" i="26" a="1"/>
  <c r="BJ14" i="26" s="1"/>
  <c r="BJ16" i="26" a="1"/>
  <c r="BJ16" i="26" s="1"/>
  <c r="AD30" i="26" a="1"/>
  <c r="AD30" i="26" s="1"/>
  <c r="N16" i="26" a="1"/>
  <c r="N16" i="26" s="1"/>
  <c r="N35" i="26" a="1"/>
  <c r="N35" i="26" s="1"/>
  <c r="BJ40" i="26" a="1"/>
  <c r="BJ40" i="26" s="1"/>
  <c r="N18" i="26" a="1"/>
  <c r="N18" i="26" s="1"/>
  <c r="AT33" i="26" a="1"/>
  <c r="AT33" i="26" s="1"/>
  <c r="N39" i="26" a="1"/>
  <c r="N39" i="26" s="1"/>
  <c r="AD12" i="26" a="1"/>
  <c r="AD12" i="26" s="1"/>
  <c r="BJ31" i="26" a="1"/>
  <c r="BJ31" i="26" s="1"/>
  <c r="AD37" i="26" a="1"/>
  <c r="AD37" i="26" s="1"/>
  <c r="AT12" i="26" a="1"/>
  <c r="AT12" i="26" s="1"/>
  <c r="AD36" i="26" a="1"/>
  <c r="AD36" i="26" s="1"/>
  <c r="AT17" i="26" a="1"/>
  <c r="AT17" i="26" s="1"/>
  <c r="N9" i="26" a="1"/>
  <c r="N9" i="26" s="1"/>
  <c r="AT16" i="26" a="1"/>
  <c r="AT16" i="26" s="1"/>
  <c r="N42" i="26" a="1"/>
  <c r="N42" i="26" s="1"/>
  <c r="AT15" i="26" a="1"/>
  <c r="AT15" i="26" s="1"/>
  <c r="AT46" i="26" a="1"/>
  <c r="AT46" i="26" s="1"/>
  <c r="BJ20" i="26" a="1"/>
  <c r="BJ20" i="26" s="1"/>
  <c r="AT41" i="26" a="1"/>
  <c r="AT41" i="26" s="1"/>
  <c r="AT25" i="26" a="1"/>
  <c r="AT25" i="26" s="1"/>
  <c r="AT9" i="26" a="1"/>
  <c r="AT9" i="26" s="1"/>
  <c r="AT39" i="26" a="1"/>
  <c r="AT39" i="26" s="1"/>
  <c r="N17" i="26" a="1"/>
  <c r="N17" i="26" s="1"/>
  <c r="AT34" i="26" a="1"/>
  <c r="AT34" i="26" s="1"/>
  <c r="N10" i="26" a="1"/>
  <c r="N10" i="26" s="1"/>
  <c r="AT11" i="26" a="1"/>
  <c r="AT11" i="26" s="1"/>
  <c r="N15" i="26" a="1"/>
  <c r="N15" i="26" s="1"/>
  <c r="N25" i="26" a="1"/>
  <c r="N25" i="26" s="1"/>
  <c r="BJ34" i="26" a="1"/>
  <c r="BJ34" i="26" s="1"/>
  <c r="N12" i="26" a="1"/>
  <c r="N12" i="26" s="1"/>
  <c r="AT26" i="26" a="1"/>
  <c r="AT26" i="26" s="1"/>
  <c r="N28" i="26" a="1"/>
  <c r="N28" i="26" s="1"/>
  <c r="AT45" i="26" a="1"/>
  <c r="AT45" i="26" s="1"/>
  <c r="BJ25" i="26" a="1"/>
  <c r="BJ25" i="26" s="1"/>
  <c r="AD31" i="26" a="1"/>
  <c r="AD31" i="26" s="1"/>
  <c r="BJ43" i="26" a="1"/>
  <c r="BJ43" i="26" s="1"/>
  <c r="AD29" i="26" a="1"/>
  <c r="AD29" i="26" s="1"/>
  <c r="AT10" i="26" a="1"/>
  <c r="AT10" i="26" s="1"/>
  <c r="AD42" i="26" a="1"/>
  <c r="AD42" i="26" s="1"/>
  <c r="BJ10" i="26" a="1"/>
  <c r="BJ10" i="26" s="1"/>
  <c r="N30" i="26" a="1"/>
  <c r="N30" i="26" s="1"/>
  <c r="BJ27" i="26" a="1"/>
  <c r="BJ27" i="26" s="1"/>
  <c r="AT40" i="26" a="1"/>
  <c r="AT40" i="26" s="1"/>
  <c r="N31" i="26" a="1"/>
  <c r="N31" i="26" s="1"/>
  <c r="AD25" i="26" a="1"/>
  <c r="AD25" i="26" s="1"/>
  <c r="AT36" i="26" a="1"/>
  <c r="AT36" i="26" s="1"/>
  <c r="AD27" i="26" a="1"/>
  <c r="AD27" i="26" s="1"/>
  <c r="N23" i="26" a="1"/>
  <c r="N23" i="26" s="1"/>
  <c r="AT18" i="26" a="1"/>
  <c r="AT18" i="26" s="1"/>
  <c r="AD14" i="26" a="1"/>
  <c r="AD14" i="26" s="1"/>
  <c r="AT30" i="26" a="1"/>
  <c r="AT30" i="26" s="1"/>
  <c r="AD24" i="26" a="1"/>
  <c r="AD24" i="26" s="1"/>
  <c r="N32" i="26" a="1"/>
  <c r="N32" i="26" s="1"/>
  <c r="N14" i="26" a="1"/>
  <c r="N14" i="26" s="1"/>
  <c r="N41" i="26" a="1"/>
  <c r="N41" i="26" s="1"/>
  <c r="AD8" i="26" a="1"/>
  <c r="AD8" i="26" s="1"/>
  <c r="AT20" i="26" a="1"/>
  <c r="AT20" i="26" s="1"/>
  <c r="N11" i="26" a="1"/>
  <c r="N11" i="26" s="1"/>
  <c r="AT38" i="26" a="1"/>
  <c r="AT38" i="26" s="1"/>
  <c r="N46" i="26" a="1"/>
  <c r="N46" i="26" s="1"/>
  <c r="AD18" i="26" a="1"/>
  <c r="AD18" i="26" s="1"/>
  <c r="BJ37" i="26" a="1"/>
  <c r="BJ37" i="26" s="1"/>
  <c r="AD23" i="26" a="1"/>
  <c r="AD23" i="26" s="1"/>
  <c r="BJ42" i="26" a="1"/>
  <c r="BJ42" i="26" s="1"/>
  <c r="AD35" i="26" a="1"/>
  <c r="AD35" i="26" s="1"/>
  <c r="BJ41" i="26" a="1"/>
  <c r="BJ41" i="26" s="1"/>
  <c r="N19" i="26" a="1"/>
  <c r="N19" i="26" s="1"/>
  <c r="N24" i="26" a="1"/>
  <c r="N24" i="26" s="1"/>
  <c r="AT27" i="26" a="1"/>
  <c r="AT27" i="26" s="1"/>
  <c r="N29" i="26" a="1"/>
  <c r="N29" i="26" s="1"/>
  <c r="BJ19" i="26" a="1"/>
  <c r="BJ19" i="26" s="1"/>
  <c r="N22" i="26" a="1"/>
  <c r="N22" i="26" s="1"/>
  <c r="AT29" i="26" a="1"/>
  <c r="AT29" i="26" s="1"/>
  <c r="AT37" i="26" a="1"/>
  <c r="AT37" i="26" s="1"/>
  <c r="BJ38" i="26" a="1"/>
  <c r="BJ38" i="26" s="1"/>
  <c r="N20" i="26" a="1"/>
  <c r="N20" i="26" s="1"/>
  <c r="BJ12" i="26" a="1"/>
  <c r="BJ12" i="26" s="1"/>
  <c r="BJ36" i="26" a="1"/>
  <c r="BJ36" i="26" s="1"/>
  <c r="AD10" i="26" a="1"/>
  <c r="AD10" i="26" s="1"/>
  <c r="AD41" i="26" a="1"/>
  <c r="AD41" i="26" s="1"/>
  <c r="N13" i="26" a="1"/>
  <c r="N13" i="26" s="1"/>
  <c r="AD39" i="26" a="1"/>
  <c r="AD39" i="26" s="1"/>
  <c r="BJ45" i="26" a="1"/>
  <c r="BJ45" i="26" s="1"/>
  <c r="AD45" i="26" a="1"/>
  <c r="AD45" i="26" s="1"/>
  <c r="AT32" i="26" a="1"/>
  <c r="AT32" i="26" s="1"/>
  <c r="N38" i="26" a="1"/>
  <c r="N38" i="26" s="1"/>
  <c r="AD11" i="26" a="1"/>
  <c r="AD11" i="26" s="1"/>
  <c r="BJ24" i="26" a="1"/>
  <c r="BJ24" i="26" s="1"/>
  <c r="AD16" i="26" a="1"/>
  <c r="AD16" i="26" s="1"/>
  <c r="BJ35" i="26" a="1"/>
  <c r="BJ35" i="26" s="1"/>
  <c r="AD22" i="26" a="1"/>
  <c r="AD22" i="26" s="1"/>
  <c r="BJ28" i="26" a="1"/>
  <c r="BJ28" i="26" s="1"/>
  <c r="N8" i="26" a="1"/>
  <c r="N8" i="26" s="1"/>
  <c r="O7" i="26"/>
  <c r="AT21" i="26" a="1"/>
  <c r="AT21" i="26" s="1"/>
  <c r="BJ17" i="26" a="1"/>
  <c r="BJ17" i="26" s="1"/>
  <c r="N21" i="26" a="1"/>
  <c r="N21" i="26" s="1"/>
  <c r="AD43" i="26" a="1"/>
  <c r="AD43" i="26" s="1"/>
  <c r="N26" i="26" a="1"/>
  <c r="N26" i="26" s="1"/>
  <c r="BJ21" i="26" a="1"/>
  <c r="BJ21" i="26" s="1"/>
  <c r="AT43" i="26" a="1"/>
  <c r="AT43" i="26" s="1"/>
  <c r="BJ23" i="26" a="1"/>
  <c r="BJ23" i="26" s="1"/>
  <c r="AD28" i="26" a="1"/>
  <c r="AD28" i="26" s="1"/>
  <c r="N40" i="26" a="1"/>
  <c r="N40" i="26" s="1"/>
  <c r="AD26" i="26" a="1"/>
  <c r="AD26" i="26" s="1"/>
  <c r="BJ32" i="26" a="1"/>
  <c r="BJ32" i="26" s="1"/>
  <c r="AD38" i="26" a="1"/>
  <c r="AD38" i="26" s="1"/>
  <c r="AT19" i="26" a="1"/>
  <c r="AT19" i="26" s="1"/>
  <c r="N33" i="26" a="1"/>
  <c r="N33" i="26" s="1"/>
  <c r="AT44" i="26" a="1"/>
  <c r="AT44" i="26" s="1"/>
  <c r="BJ18" i="26" a="1"/>
  <c r="BJ18" i="26" s="1"/>
  <c r="AD9" i="26" a="1"/>
  <c r="AD9" i="26" s="1"/>
  <c r="BJ29" i="26" a="1"/>
  <c r="BJ29" i="26" s="1"/>
  <c r="AD46" i="26" a="1"/>
  <c r="AD46" i="26" s="1"/>
  <c r="BJ22" i="26" a="1"/>
  <c r="BJ22" i="26" s="1"/>
  <c r="AD34" i="26" a="1"/>
  <c r="AD34" i="26" s="1"/>
  <c r="AD40" i="26" a="1"/>
  <c r="AD40" i="26" s="1"/>
  <c r="AT14" i="26" a="1"/>
  <c r="AT14" i="26" s="1"/>
  <c r="AT24" i="26" a="1"/>
  <c r="AT24" i="26" s="1"/>
  <c r="AD13" i="26" a="1"/>
  <c r="AD13" i="26" s="1"/>
  <c r="BJ44" i="26" a="1"/>
  <c r="BJ44" i="26" s="1"/>
  <c r="N37" i="26" a="1"/>
  <c r="N37" i="26" s="1"/>
  <c r="BJ30" i="26" a="1"/>
  <c r="BJ30" i="26" s="1"/>
  <c r="BJ13" i="26" a="1"/>
  <c r="BJ13" i="26" s="1"/>
  <c r="AT23" i="26" a="1"/>
  <c r="AT23" i="26" s="1"/>
  <c r="BJ33" i="26" a="1"/>
  <c r="BJ33" i="26" s="1"/>
  <c r="AD44" i="26" a="1"/>
  <c r="AD44" i="26" s="1"/>
  <c r="N45" i="26" a="1"/>
  <c r="N45" i="26" s="1"/>
  <c r="N44" i="26" a="1"/>
  <c r="N44" i="26" s="1"/>
  <c r="AD15" i="26" a="1"/>
  <c r="AD15" i="26" s="1"/>
  <c r="N34" i="26" a="1"/>
  <c r="N34" i="26" s="1"/>
  <c r="AD20" i="26" a="1"/>
  <c r="AD20" i="26" s="1"/>
  <c r="BJ26" i="26" a="1"/>
  <c r="BJ26" i="26" s="1"/>
  <c r="AD32" i="26" a="1"/>
  <c r="AD32" i="26" s="1"/>
  <c r="AT13" i="26" a="1"/>
  <c r="AT13" i="26" s="1"/>
  <c r="N27" i="26" a="1"/>
  <c r="N27" i="26" s="1"/>
  <c r="AT31" i="26" a="1"/>
  <c r="AT31" i="26" s="1"/>
  <c r="BJ11" i="26" a="1"/>
  <c r="BJ11" i="26" s="1"/>
  <c r="AT42" i="26" a="1"/>
  <c r="AT42" i="26" s="1"/>
  <c r="N43" i="26" a="1"/>
  <c r="N43" i="26" s="1"/>
  <c r="AT35" i="26" a="1"/>
  <c r="AT35" i="26" s="1"/>
  <c r="BJ15" i="26" a="1"/>
  <c r="BJ15" i="26" s="1"/>
  <c r="AD21" i="26" a="1"/>
  <c r="AD21" i="26" s="1"/>
  <c r="AD33" i="26" a="1"/>
  <c r="AD33" i="26" s="1"/>
  <c r="BJ46" i="26" a="1"/>
  <c r="BJ46" i="26" s="1"/>
  <c r="AD17" i="26" a="1"/>
  <c r="AD17" i="26" s="1"/>
  <c r="N36" i="26" a="1"/>
  <c r="N36" i="26" s="1"/>
  <c r="BJ39" i="26" a="1"/>
  <c r="BJ39" i="26" s="1"/>
  <c r="AT28" i="26" a="1"/>
  <c r="AT28" i="26" s="1"/>
  <c r="AD19" i="26" a="1"/>
  <c r="AD19" i="26" s="1"/>
  <c r="AT22" i="26" a="1"/>
  <c r="AT22" i="26" s="1"/>
  <c r="G15" i="36" l="1"/>
  <c r="G16" i="36" s="1"/>
  <c r="G17" i="36" s="1"/>
  <c r="G18" i="36" s="1"/>
  <c r="G19" i="36" s="1"/>
  <c r="L9" i="25"/>
  <c r="AQ44" i="26"/>
  <c r="AQ40" i="26"/>
  <c r="AQ38" i="26"/>
  <c r="AQ41" i="26"/>
  <c r="AQ43" i="26"/>
  <c r="AQ46" i="26"/>
  <c r="AQ39" i="26"/>
  <c r="AQ45" i="26"/>
  <c r="AQ42" i="26"/>
  <c r="AQ37" i="26"/>
  <c r="AE40" i="26"/>
  <c r="AF40" i="26" s="1"/>
  <c r="AE38" i="26"/>
  <c r="AF38" i="26" s="1"/>
  <c r="AE39" i="26"/>
  <c r="AF39" i="26" s="1"/>
  <c r="AE41" i="26"/>
  <c r="AF41" i="26" s="1"/>
  <c r="AR42" i="26" l="1"/>
  <c r="AR40" i="26"/>
  <c r="AR46" i="26"/>
  <c r="AR38" i="26"/>
  <c r="AR39" i="26"/>
  <c r="AR41" i="26"/>
  <c r="AR43" i="26"/>
  <c r="AR44" i="26"/>
  <c r="AR45" i="26"/>
  <c r="BG43" i="26"/>
  <c r="BG40" i="26"/>
  <c r="BG42" i="26"/>
  <c r="BG45" i="26"/>
  <c r="BG37" i="26"/>
  <c r="BG44" i="26"/>
  <c r="BH45" i="26" s="1"/>
  <c r="BG39" i="26"/>
  <c r="BG41" i="26"/>
  <c r="BG46" i="26"/>
  <c r="BG38" i="26"/>
  <c r="AE42" i="26"/>
  <c r="AF42" i="26" s="1"/>
  <c r="BH42" i="26" l="1"/>
  <c r="BH44" i="26"/>
  <c r="BH39" i="26"/>
  <c r="BH41" i="26"/>
  <c r="BH40" i="26"/>
  <c r="BH38" i="26"/>
  <c r="BH46" i="26"/>
  <c r="BH43" i="26"/>
  <c r="AE43" i="26"/>
  <c r="AF43" i="26" s="1"/>
  <c r="AE44" i="26" l="1"/>
  <c r="AF44" i="26" s="1"/>
  <c r="AE45" i="26" l="1"/>
  <c r="AF45" i="26" s="1"/>
  <c r="AE46" i="26"/>
  <c r="AF46" i="26" s="1"/>
  <c r="BK38" i="26" l="1"/>
  <c r="BL38" i="26" s="1"/>
  <c r="BK39" i="26" l="1"/>
  <c r="BL39" i="26" s="1"/>
  <c r="BK40" i="26" l="1"/>
  <c r="BL40" i="26" s="1"/>
  <c r="BK41" i="26" l="1"/>
  <c r="BL41" i="26" s="1"/>
  <c r="BK42" i="26" l="1"/>
  <c r="BL42" i="26" s="1"/>
  <c r="BK43" i="26" l="1"/>
  <c r="BL43" i="26" s="1"/>
  <c r="BK44" i="26" l="1"/>
  <c r="BL44" i="26" s="1"/>
  <c r="O38" i="26"/>
  <c r="BK45" i="26" l="1"/>
  <c r="BL45" i="26" s="1"/>
  <c r="BK46" i="26"/>
  <c r="BL46" i="26" s="1"/>
  <c r="O39" i="26"/>
  <c r="P38" i="26"/>
  <c r="O40" i="26" l="1"/>
  <c r="P39" i="26"/>
  <c r="P40" i="26" l="1"/>
  <c r="O41" i="26"/>
  <c r="O42" i="26" l="1"/>
  <c r="P41" i="26"/>
  <c r="P42" i="26" l="1"/>
  <c r="O43" i="26"/>
  <c r="O44" i="26" l="1"/>
  <c r="P43" i="26"/>
  <c r="P44" i="26" l="1"/>
  <c r="O46" i="26"/>
  <c r="O45" i="26"/>
  <c r="P45" i="26" l="1"/>
  <c r="P46" i="26"/>
  <c r="AU38" i="26" l="1"/>
  <c r="AU39" i="26" l="1"/>
  <c r="AV38" i="26"/>
  <c r="E37" i="27"/>
  <c r="G37" i="27" l="1"/>
  <c r="H37" i="27" s="1"/>
  <c r="I37" i="27" s="1"/>
  <c r="AU40" i="26"/>
  <c r="AV39" i="26"/>
  <c r="E38" i="27"/>
  <c r="G38" i="27" l="1"/>
  <c r="H38" i="27" s="1"/>
  <c r="I38" i="27" s="1"/>
  <c r="AV40" i="26"/>
  <c r="E39" i="27"/>
  <c r="AU41" i="26"/>
  <c r="G39" i="27" l="1"/>
  <c r="H39" i="27" s="1"/>
  <c r="I39" i="27" s="1"/>
  <c r="AV41" i="26"/>
  <c r="E40" i="27"/>
  <c r="AU42" i="26"/>
  <c r="G40" i="27" l="1"/>
  <c r="H40" i="27" s="1"/>
  <c r="I40" i="27" s="1"/>
  <c r="AU43" i="26"/>
  <c r="AV42" i="26"/>
  <c r="E41" i="27"/>
  <c r="AN9" i="26"/>
  <c r="BD11" i="26"/>
  <c r="BD12" i="26"/>
  <c r="BD13" i="26"/>
  <c r="BD14" i="26"/>
  <c r="BD15" i="26"/>
  <c r="BD16" i="26"/>
  <c r="BD17" i="26"/>
  <c r="BD18" i="26"/>
  <c r="BD19" i="26"/>
  <c r="BD20" i="26"/>
  <c r="BD21" i="26"/>
  <c r="BD22" i="26"/>
  <c r="BD23" i="26"/>
  <c r="BD24" i="26"/>
  <c r="BD25" i="26"/>
  <c r="BD26" i="26"/>
  <c r="BD27" i="26"/>
  <c r="BD28" i="26"/>
  <c r="BD29" i="26"/>
  <c r="BD30" i="26"/>
  <c r="BD31" i="26"/>
  <c r="BD32" i="26"/>
  <c r="BD33" i="26"/>
  <c r="BD34" i="26"/>
  <c r="BD35" i="26"/>
  <c r="BD36" i="26"/>
  <c r="BD10" i="26"/>
  <c r="AN10" i="26"/>
  <c r="AN11" i="26"/>
  <c r="AN12" i="26"/>
  <c r="AN13" i="26"/>
  <c r="AN14" i="26"/>
  <c r="AN15" i="26"/>
  <c r="AN16" i="26"/>
  <c r="AN17" i="26"/>
  <c r="AN18" i="26"/>
  <c r="AN19" i="26"/>
  <c r="AN20" i="26"/>
  <c r="AN21" i="26"/>
  <c r="AN22" i="26"/>
  <c r="AN23" i="26"/>
  <c r="AN24" i="26"/>
  <c r="AN25" i="26"/>
  <c r="AN26" i="26"/>
  <c r="AN27" i="26"/>
  <c r="AN28" i="26"/>
  <c r="AN29" i="26"/>
  <c r="AN30" i="26"/>
  <c r="AN31" i="26"/>
  <c r="AN32" i="26"/>
  <c r="AN33" i="26"/>
  <c r="AN34" i="26"/>
  <c r="AN35" i="26"/>
  <c r="AN36" i="26"/>
  <c r="X9" i="26"/>
  <c r="X10" i="26"/>
  <c r="X11" i="26"/>
  <c r="X12" i="26"/>
  <c r="X13" i="26"/>
  <c r="X14" i="26"/>
  <c r="X15" i="26"/>
  <c r="X16" i="26"/>
  <c r="X17" i="26"/>
  <c r="X18" i="26"/>
  <c r="X19" i="26"/>
  <c r="X20" i="26"/>
  <c r="X21" i="26"/>
  <c r="X22" i="26"/>
  <c r="X23" i="26"/>
  <c r="X24" i="26"/>
  <c r="X25" i="26"/>
  <c r="X26" i="26"/>
  <c r="X27" i="26"/>
  <c r="X28" i="26"/>
  <c r="X29" i="26"/>
  <c r="X30" i="26"/>
  <c r="X31" i="26"/>
  <c r="X32" i="26"/>
  <c r="X33" i="26"/>
  <c r="X34" i="26"/>
  <c r="X35" i="26"/>
  <c r="X36" i="26"/>
  <c r="X8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D4" i="26"/>
  <c r="C7" i="26" s="1"/>
  <c r="B7" i="27"/>
  <c r="B8" i="27" s="1"/>
  <c r="C6" i="27"/>
  <c r="D36" i="26"/>
  <c r="E36" i="26" s="1"/>
  <c r="F36" i="26" s="1"/>
  <c r="G36" i="26" s="1"/>
  <c r="D34" i="26"/>
  <c r="E34" i="26" s="1"/>
  <c r="F34" i="26" s="1"/>
  <c r="G34" i="26" s="1"/>
  <c r="T34" i="26"/>
  <c r="U34" i="26" s="1"/>
  <c r="V34" i="26" s="1"/>
  <c r="W34" i="26" s="1"/>
  <c r="AJ33" i="26"/>
  <c r="AK33" i="26" s="1"/>
  <c r="AL33" i="26" s="1"/>
  <c r="AM33" i="26" s="1"/>
  <c r="AZ33" i="26"/>
  <c r="BA33" i="26" s="1"/>
  <c r="BB33" i="26" s="1"/>
  <c r="BC33" i="26" s="1"/>
  <c r="T30" i="26"/>
  <c r="U30" i="26" s="1"/>
  <c r="V30" i="26" s="1"/>
  <c r="W30" i="26" s="1"/>
  <c r="T29" i="26"/>
  <c r="U29" i="26" s="1"/>
  <c r="V29" i="26" s="1"/>
  <c r="W29" i="26" s="1"/>
  <c r="AJ28" i="26"/>
  <c r="AK28" i="26" s="1"/>
  <c r="AL28" i="26" s="1"/>
  <c r="AM28" i="26" s="1"/>
  <c r="AZ28" i="26"/>
  <c r="BA28" i="26" s="1"/>
  <c r="BB28" i="26" s="1"/>
  <c r="BC28" i="26" s="1"/>
  <c r="AZ27" i="26"/>
  <c r="BA27" i="26" s="1"/>
  <c r="BB27" i="26" s="1"/>
  <c r="BC27" i="26" s="1"/>
  <c r="D23" i="26"/>
  <c r="E23" i="26" s="1"/>
  <c r="F23" i="26" s="1"/>
  <c r="G23" i="26" s="1"/>
  <c r="AJ24" i="26"/>
  <c r="AK24" i="26" s="1"/>
  <c r="AL24" i="26" s="1"/>
  <c r="AM24" i="26" s="1"/>
  <c r="AZ24" i="26"/>
  <c r="BA24" i="26" s="1"/>
  <c r="BB24" i="26" s="1"/>
  <c r="BC24" i="26" s="1"/>
  <c r="D20" i="26"/>
  <c r="E20" i="26" s="1"/>
  <c r="F20" i="26" s="1"/>
  <c r="G20" i="26" s="1"/>
  <c r="AJ20" i="26"/>
  <c r="AK20" i="26" s="1"/>
  <c r="AL20" i="26" s="1"/>
  <c r="AM20" i="26" s="1"/>
  <c r="AJ17" i="26"/>
  <c r="AK17" i="26" s="1"/>
  <c r="AL17" i="26" s="1"/>
  <c r="AM17" i="26" s="1"/>
  <c r="AZ17" i="26"/>
  <c r="BA17" i="26" s="1"/>
  <c r="BB17" i="26" s="1"/>
  <c r="BC17" i="26" s="1"/>
  <c r="AZ16" i="26"/>
  <c r="BA16" i="26" s="1"/>
  <c r="BB16" i="26" s="1"/>
  <c r="BC16" i="26" s="1"/>
  <c r="AZ14" i="26"/>
  <c r="BA14" i="26" s="1"/>
  <c r="BB14" i="26" s="1"/>
  <c r="BC14" i="26" s="1"/>
  <c r="AJ12" i="26"/>
  <c r="AK12" i="26" s="1"/>
  <c r="AL12" i="26" s="1"/>
  <c r="AM12" i="26" s="1"/>
  <c r="AJ9" i="26"/>
  <c r="AK9" i="26" s="1"/>
  <c r="AL9" i="26" s="1"/>
  <c r="AM9" i="26" s="1"/>
  <c r="N6" i="25"/>
  <c r="N7" i="25" l="1"/>
  <c r="G41" i="27"/>
  <c r="H41" i="27" s="1"/>
  <c r="I41" i="27" s="1"/>
  <c r="AU44" i="26"/>
  <c r="AV43" i="26"/>
  <c r="E42" i="27"/>
  <c r="C41" i="26"/>
  <c r="C42" i="26"/>
  <c r="C38" i="26"/>
  <c r="C43" i="26"/>
  <c r="C44" i="26"/>
  <c r="C46" i="26"/>
  <c r="C37" i="26"/>
  <c r="C45" i="26"/>
  <c r="C40" i="26"/>
  <c r="C39" i="26"/>
  <c r="C34" i="26"/>
  <c r="P7" i="26"/>
  <c r="E6" i="27"/>
  <c r="G6" i="27" s="1"/>
  <c r="AJ22" i="26"/>
  <c r="AK22" i="26" s="1"/>
  <c r="AL22" i="26" s="1"/>
  <c r="AM22" i="26" s="1"/>
  <c r="AO22" i="26" s="1"/>
  <c r="AP22" i="26" s="1"/>
  <c r="AQ22" i="26" s="1"/>
  <c r="T21" i="26"/>
  <c r="U21" i="26" s="1"/>
  <c r="V21" i="26" s="1"/>
  <c r="W21" i="26" s="1"/>
  <c r="Y21" i="26" s="1"/>
  <c r="Z21" i="26" s="1"/>
  <c r="AA21" i="26" s="1"/>
  <c r="AZ23" i="26"/>
  <c r="BA23" i="26" s="1"/>
  <c r="BB23" i="26" s="1"/>
  <c r="BC23" i="26" s="1"/>
  <c r="BE23" i="26" s="1"/>
  <c r="BF23" i="26" s="1"/>
  <c r="BG23" i="26" s="1"/>
  <c r="T22" i="26"/>
  <c r="U22" i="26" s="1"/>
  <c r="V22" i="26" s="1"/>
  <c r="W22" i="26" s="1"/>
  <c r="Y22" i="26" s="1"/>
  <c r="Z22" i="26" s="1"/>
  <c r="AA22" i="26" s="1"/>
  <c r="S4" i="26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T16" i="26"/>
  <c r="U16" i="26" s="1"/>
  <c r="V16" i="26" s="1"/>
  <c r="W16" i="26" s="1"/>
  <c r="Y16" i="26" s="1"/>
  <c r="Z16" i="26" s="1"/>
  <c r="AA16" i="26" s="1"/>
  <c r="D15" i="26"/>
  <c r="E15" i="26" s="1"/>
  <c r="F15" i="26" s="1"/>
  <c r="G15" i="26" s="1"/>
  <c r="I15" i="26" s="1"/>
  <c r="J15" i="26" s="1"/>
  <c r="K15" i="26" s="1"/>
  <c r="AJ32" i="26"/>
  <c r="AK32" i="26" s="1"/>
  <c r="AL32" i="26" s="1"/>
  <c r="AM32" i="26" s="1"/>
  <c r="AO32" i="26" s="1"/>
  <c r="AP32" i="26" s="1"/>
  <c r="AQ32" i="26" s="1"/>
  <c r="T32" i="26"/>
  <c r="U32" i="26" s="1"/>
  <c r="V32" i="26" s="1"/>
  <c r="W32" i="26" s="1"/>
  <c r="Y32" i="26" s="1"/>
  <c r="Z32" i="26" s="1"/>
  <c r="AA32" i="26" s="1"/>
  <c r="D31" i="26"/>
  <c r="E31" i="26" s="1"/>
  <c r="F31" i="26" s="1"/>
  <c r="G31" i="26" s="1"/>
  <c r="I31" i="26" s="1"/>
  <c r="J31" i="26" s="1"/>
  <c r="K31" i="26" s="1"/>
  <c r="D14" i="26"/>
  <c r="E14" i="26" s="1"/>
  <c r="F14" i="26" s="1"/>
  <c r="G14" i="26" s="1"/>
  <c r="I14" i="26" s="1"/>
  <c r="J14" i="26" s="1"/>
  <c r="K14" i="26" s="1"/>
  <c r="AZ26" i="26"/>
  <c r="BA26" i="26" s="1"/>
  <c r="BB26" i="26" s="1"/>
  <c r="BC26" i="26" s="1"/>
  <c r="BE26" i="26" s="1"/>
  <c r="BF26" i="26" s="1"/>
  <c r="BG26" i="26" s="1"/>
  <c r="AZ34" i="26"/>
  <c r="BA34" i="26" s="1"/>
  <c r="BB34" i="26" s="1"/>
  <c r="BC34" i="26" s="1"/>
  <c r="BE34" i="26" s="1"/>
  <c r="BF34" i="26" s="1"/>
  <c r="BG34" i="26" s="1"/>
  <c r="AJ15" i="26"/>
  <c r="AK15" i="26" s="1"/>
  <c r="AL15" i="26" s="1"/>
  <c r="AM15" i="26" s="1"/>
  <c r="AO15" i="26" s="1"/>
  <c r="AP15" i="26" s="1"/>
  <c r="AQ15" i="26" s="1"/>
  <c r="D13" i="26"/>
  <c r="E13" i="26" s="1"/>
  <c r="F13" i="26" s="1"/>
  <c r="G13" i="26" s="1"/>
  <c r="I13" i="26" s="1"/>
  <c r="J13" i="26" s="1"/>
  <c r="K13" i="26" s="1"/>
  <c r="AJ31" i="26"/>
  <c r="AK31" i="26" s="1"/>
  <c r="AL31" i="26" s="1"/>
  <c r="AM31" i="26" s="1"/>
  <c r="AO31" i="26" s="1"/>
  <c r="AP31" i="26" s="1"/>
  <c r="AQ31" i="26" s="1"/>
  <c r="AZ10" i="26"/>
  <c r="BA10" i="26" s="1"/>
  <c r="BB10" i="26" s="1"/>
  <c r="BC10" i="26" s="1"/>
  <c r="BE10" i="26" s="1"/>
  <c r="BF10" i="26" s="1"/>
  <c r="BG10" i="26" s="1"/>
  <c r="BH10" i="26" s="1"/>
  <c r="T14" i="26"/>
  <c r="U14" i="26" s="1"/>
  <c r="V14" i="26" s="1"/>
  <c r="W14" i="26" s="1"/>
  <c r="Y14" i="26" s="1"/>
  <c r="Z14" i="26" s="1"/>
  <c r="AA14" i="26" s="1"/>
  <c r="BE33" i="26"/>
  <c r="BF33" i="26" s="1"/>
  <c r="BG33" i="26" s="1"/>
  <c r="D8" i="26"/>
  <c r="E8" i="26" s="1"/>
  <c r="F8" i="26" s="1"/>
  <c r="G8" i="26" s="1"/>
  <c r="I8" i="26" s="1"/>
  <c r="J8" i="26" s="1"/>
  <c r="K8" i="26" s="1"/>
  <c r="AZ11" i="26"/>
  <c r="BA11" i="26" s="1"/>
  <c r="BB11" i="26" s="1"/>
  <c r="BC11" i="26" s="1"/>
  <c r="BE11" i="26" s="1"/>
  <c r="BF11" i="26" s="1"/>
  <c r="BG11" i="26" s="1"/>
  <c r="D30" i="26"/>
  <c r="E30" i="26" s="1"/>
  <c r="F30" i="26" s="1"/>
  <c r="G30" i="26" s="1"/>
  <c r="I30" i="26" s="1"/>
  <c r="J30" i="26" s="1"/>
  <c r="K30" i="26" s="1"/>
  <c r="AJ16" i="26"/>
  <c r="AK16" i="26" s="1"/>
  <c r="AL16" i="26" s="1"/>
  <c r="AM16" i="26" s="1"/>
  <c r="AO16" i="26" s="1"/>
  <c r="AP16" i="26" s="1"/>
  <c r="AQ16" i="26" s="1"/>
  <c r="T15" i="26"/>
  <c r="U15" i="26" s="1"/>
  <c r="V15" i="26" s="1"/>
  <c r="W15" i="26" s="1"/>
  <c r="Y15" i="26" s="1"/>
  <c r="Z15" i="26" s="1"/>
  <c r="AA15" i="26" s="1"/>
  <c r="BE24" i="26"/>
  <c r="BF24" i="26" s="1"/>
  <c r="BG24" i="26" s="1"/>
  <c r="T31" i="26"/>
  <c r="U31" i="26" s="1"/>
  <c r="V31" i="26" s="1"/>
  <c r="W31" i="26" s="1"/>
  <c r="Y31" i="26" s="1"/>
  <c r="Z31" i="26" s="1"/>
  <c r="AA31" i="26" s="1"/>
  <c r="AJ21" i="26"/>
  <c r="AK21" i="26" s="1"/>
  <c r="AL21" i="26" s="1"/>
  <c r="AM21" i="26" s="1"/>
  <c r="AO21" i="26" s="1"/>
  <c r="AP21" i="26" s="1"/>
  <c r="AQ21" i="26" s="1"/>
  <c r="AZ22" i="26"/>
  <c r="BA22" i="26" s="1"/>
  <c r="BB22" i="26" s="1"/>
  <c r="BC22" i="26" s="1"/>
  <c r="BE22" i="26" s="1"/>
  <c r="BF22" i="26" s="1"/>
  <c r="BG22" i="26" s="1"/>
  <c r="T20" i="26"/>
  <c r="U20" i="26" s="1"/>
  <c r="V20" i="26" s="1"/>
  <c r="W20" i="26" s="1"/>
  <c r="Y20" i="26" s="1"/>
  <c r="Z20" i="26" s="1"/>
  <c r="AA20" i="26" s="1"/>
  <c r="D27" i="26"/>
  <c r="E27" i="26" s="1"/>
  <c r="F27" i="26" s="1"/>
  <c r="G27" i="26" s="1"/>
  <c r="I27" i="26" s="1"/>
  <c r="J27" i="26" s="1"/>
  <c r="K27" i="26" s="1"/>
  <c r="AJ29" i="26"/>
  <c r="AK29" i="26" s="1"/>
  <c r="AL29" i="26" s="1"/>
  <c r="AM29" i="26" s="1"/>
  <c r="AO29" i="26" s="1"/>
  <c r="AP29" i="26" s="1"/>
  <c r="AQ29" i="26" s="1"/>
  <c r="D35" i="26"/>
  <c r="E35" i="26" s="1"/>
  <c r="F35" i="26" s="1"/>
  <c r="G35" i="26" s="1"/>
  <c r="I35" i="26" s="1"/>
  <c r="J35" i="26" s="1"/>
  <c r="K35" i="26" s="1"/>
  <c r="T36" i="26"/>
  <c r="U36" i="26" s="1"/>
  <c r="V36" i="26" s="1"/>
  <c r="W36" i="26" s="1"/>
  <c r="Y36" i="26" s="1"/>
  <c r="Z36" i="26" s="1"/>
  <c r="AA36" i="26" s="1"/>
  <c r="AB37" i="26" s="1"/>
  <c r="AE37" i="26" s="1"/>
  <c r="AJ26" i="26"/>
  <c r="AK26" i="26" s="1"/>
  <c r="AL26" i="26" s="1"/>
  <c r="AM26" i="26" s="1"/>
  <c r="AO26" i="26" s="1"/>
  <c r="AP26" i="26" s="1"/>
  <c r="AQ26" i="26" s="1"/>
  <c r="D24" i="26"/>
  <c r="E24" i="26" s="1"/>
  <c r="F24" i="26" s="1"/>
  <c r="G24" i="26" s="1"/>
  <c r="I24" i="26" s="1"/>
  <c r="J24" i="26" s="1"/>
  <c r="K24" i="26" s="1"/>
  <c r="T25" i="26"/>
  <c r="U25" i="26" s="1"/>
  <c r="V25" i="26" s="1"/>
  <c r="W25" i="26" s="1"/>
  <c r="Y25" i="26" s="1"/>
  <c r="Z25" i="26" s="1"/>
  <c r="AA25" i="26" s="1"/>
  <c r="T18" i="26"/>
  <c r="U18" i="26" s="1"/>
  <c r="V18" i="26" s="1"/>
  <c r="W18" i="26" s="1"/>
  <c r="Y18" i="26" s="1"/>
  <c r="Z18" i="26" s="1"/>
  <c r="AA18" i="26" s="1"/>
  <c r="D17" i="26"/>
  <c r="E17" i="26" s="1"/>
  <c r="F17" i="26" s="1"/>
  <c r="G17" i="26" s="1"/>
  <c r="I17" i="26" s="1"/>
  <c r="J17" i="26" s="1"/>
  <c r="K17" i="26" s="1"/>
  <c r="D21" i="26"/>
  <c r="E21" i="26" s="1"/>
  <c r="F21" i="26" s="1"/>
  <c r="G21" i="26" s="1"/>
  <c r="I21" i="26" s="1"/>
  <c r="J21" i="26" s="1"/>
  <c r="K21" i="26" s="1"/>
  <c r="C7" i="27"/>
  <c r="D29" i="26"/>
  <c r="E29" i="26" s="1"/>
  <c r="F29" i="26" s="1"/>
  <c r="G29" i="26" s="1"/>
  <c r="I29" i="26" s="1"/>
  <c r="J29" i="26" s="1"/>
  <c r="K29" i="26" s="1"/>
  <c r="Y30" i="26"/>
  <c r="Z30" i="26" s="1"/>
  <c r="AA30" i="26" s="1"/>
  <c r="AO12" i="26"/>
  <c r="AP12" i="26" s="1"/>
  <c r="AQ12" i="26" s="1"/>
  <c r="AO20" i="26"/>
  <c r="AP20" i="26" s="1"/>
  <c r="AQ20" i="26" s="1"/>
  <c r="AO28" i="26"/>
  <c r="AP28" i="26" s="1"/>
  <c r="AQ28" i="26" s="1"/>
  <c r="I23" i="26"/>
  <c r="J23" i="26" s="1"/>
  <c r="K23" i="26" s="1"/>
  <c r="Y34" i="26"/>
  <c r="Z34" i="26" s="1"/>
  <c r="AA34" i="26" s="1"/>
  <c r="BE28" i="26"/>
  <c r="BF28" i="26" s="1"/>
  <c r="BG28" i="26" s="1"/>
  <c r="BE14" i="26"/>
  <c r="BF14" i="26" s="1"/>
  <c r="BG14" i="26" s="1"/>
  <c r="BE27" i="26"/>
  <c r="BF27" i="26" s="1"/>
  <c r="BG27" i="26" s="1"/>
  <c r="BE17" i="26"/>
  <c r="BF17" i="26" s="1"/>
  <c r="BG17" i="26" s="1"/>
  <c r="AO24" i="26"/>
  <c r="AP24" i="26" s="1"/>
  <c r="AQ24" i="26" s="1"/>
  <c r="AO9" i="26"/>
  <c r="AP9" i="26" s="1"/>
  <c r="AQ9" i="26" s="1"/>
  <c r="AO33" i="26"/>
  <c r="AP33" i="26" s="1"/>
  <c r="AQ33" i="26" s="1"/>
  <c r="Y29" i="26"/>
  <c r="Z29" i="26" s="1"/>
  <c r="AA29" i="26" s="1"/>
  <c r="I34" i="26"/>
  <c r="J34" i="26" s="1"/>
  <c r="K34" i="26" s="1"/>
  <c r="AZ32" i="26"/>
  <c r="BA32" i="26" s="1"/>
  <c r="BB32" i="26" s="1"/>
  <c r="BC32" i="26" s="1"/>
  <c r="BE32" i="26" s="1"/>
  <c r="BF32" i="26" s="1"/>
  <c r="BG32" i="26" s="1"/>
  <c r="AJ10" i="26"/>
  <c r="AK10" i="26" s="1"/>
  <c r="AL10" i="26" s="1"/>
  <c r="AM10" i="26" s="1"/>
  <c r="AO10" i="26" s="1"/>
  <c r="AP10" i="26" s="1"/>
  <c r="AQ10" i="26" s="1"/>
  <c r="D28" i="26"/>
  <c r="E28" i="26" s="1"/>
  <c r="F28" i="26" s="1"/>
  <c r="G28" i="26" s="1"/>
  <c r="I28" i="26" s="1"/>
  <c r="J28" i="26" s="1"/>
  <c r="K28" i="26" s="1"/>
  <c r="D33" i="26"/>
  <c r="E33" i="26" s="1"/>
  <c r="F33" i="26" s="1"/>
  <c r="G33" i="26" s="1"/>
  <c r="I33" i="26" s="1"/>
  <c r="J33" i="26" s="1"/>
  <c r="K33" i="26" s="1"/>
  <c r="I36" i="26"/>
  <c r="J36" i="26" s="1"/>
  <c r="K36" i="26" s="1"/>
  <c r="L37" i="26" s="1"/>
  <c r="O37" i="26" s="1"/>
  <c r="P37" i="26" s="1"/>
  <c r="T9" i="26"/>
  <c r="U9" i="26" s="1"/>
  <c r="V9" i="26" s="1"/>
  <c r="W9" i="26" s="1"/>
  <c r="Y9" i="26" s="1"/>
  <c r="Z9" i="26" s="1"/>
  <c r="AA9" i="26" s="1"/>
  <c r="AZ18" i="26"/>
  <c r="BA18" i="26" s="1"/>
  <c r="BB18" i="26" s="1"/>
  <c r="BC18" i="26" s="1"/>
  <c r="BE18" i="26" s="1"/>
  <c r="BF18" i="26" s="1"/>
  <c r="BG18" i="26" s="1"/>
  <c r="AJ30" i="26"/>
  <c r="AK30" i="26" s="1"/>
  <c r="AL30" i="26" s="1"/>
  <c r="AM30" i="26" s="1"/>
  <c r="AO30" i="26" s="1"/>
  <c r="AP30" i="26" s="1"/>
  <c r="AQ30" i="26" s="1"/>
  <c r="BE16" i="26"/>
  <c r="BF16" i="26" s="1"/>
  <c r="BG16" i="26" s="1"/>
  <c r="D19" i="26"/>
  <c r="E19" i="26" s="1"/>
  <c r="F19" i="26" s="1"/>
  <c r="G19" i="26" s="1"/>
  <c r="I19" i="26" s="1"/>
  <c r="J19" i="26" s="1"/>
  <c r="K19" i="26" s="1"/>
  <c r="AJ36" i="26"/>
  <c r="AK36" i="26" s="1"/>
  <c r="AL36" i="26" s="1"/>
  <c r="AM36" i="26" s="1"/>
  <c r="AO36" i="26" s="1"/>
  <c r="AP36" i="26" s="1"/>
  <c r="AQ36" i="26" s="1"/>
  <c r="AR37" i="26" s="1"/>
  <c r="AU37" i="26" s="1"/>
  <c r="AV37" i="26" s="1"/>
  <c r="AJ23" i="26"/>
  <c r="AK23" i="26" s="1"/>
  <c r="AL23" i="26" s="1"/>
  <c r="AM23" i="26" s="1"/>
  <c r="AO23" i="26" s="1"/>
  <c r="AP23" i="26" s="1"/>
  <c r="AQ23" i="26" s="1"/>
  <c r="AZ31" i="26"/>
  <c r="BA31" i="26" s="1"/>
  <c r="BB31" i="26" s="1"/>
  <c r="BC31" i="26" s="1"/>
  <c r="BE31" i="26" s="1"/>
  <c r="BF31" i="26" s="1"/>
  <c r="BG31" i="26" s="1"/>
  <c r="AZ36" i="26"/>
  <c r="BA36" i="26" s="1"/>
  <c r="BB36" i="26" s="1"/>
  <c r="BC36" i="26" s="1"/>
  <c r="BE36" i="26" s="1"/>
  <c r="BF36" i="26" s="1"/>
  <c r="BG36" i="26" s="1"/>
  <c r="BH37" i="26" s="1"/>
  <c r="BK37" i="26" s="1"/>
  <c r="BL37" i="26" s="1"/>
  <c r="T35" i="26"/>
  <c r="U35" i="26" s="1"/>
  <c r="V35" i="26" s="1"/>
  <c r="W35" i="26" s="1"/>
  <c r="Y35" i="26" s="1"/>
  <c r="Z35" i="26" s="1"/>
  <c r="AA35" i="26" s="1"/>
  <c r="T23" i="26"/>
  <c r="U23" i="26" s="1"/>
  <c r="V23" i="26" s="1"/>
  <c r="W23" i="26" s="1"/>
  <c r="Y23" i="26" s="1"/>
  <c r="Z23" i="26" s="1"/>
  <c r="AA23" i="26" s="1"/>
  <c r="I20" i="26"/>
  <c r="J20" i="26" s="1"/>
  <c r="K20" i="26" s="1"/>
  <c r="AJ35" i="26"/>
  <c r="AK35" i="26" s="1"/>
  <c r="AL35" i="26" s="1"/>
  <c r="AM35" i="26" s="1"/>
  <c r="AO35" i="26" s="1"/>
  <c r="AP35" i="26" s="1"/>
  <c r="AQ35" i="26" s="1"/>
  <c r="C29" i="26"/>
  <c r="C11" i="26"/>
  <c r="C10" i="26"/>
  <c r="C9" i="26"/>
  <c r="C22" i="26"/>
  <c r="C16" i="26"/>
  <c r="C27" i="26"/>
  <c r="C25" i="26"/>
  <c r="C36" i="26"/>
  <c r="T8" i="26"/>
  <c r="U8" i="26" s="1"/>
  <c r="V8" i="26" s="1"/>
  <c r="W8" i="26" s="1"/>
  <c r="Y8" i="26" s="1"/>
  <c r="Z8" i="26" s="1"/>
  <c r="D7" i="26"/>
  <c r="D26" i="26"/>
  <c r="E26" i="26" s="1"/>
  <c r="F26" i="26" s="1"/>
  <c r="G26" i="26" s="1"/>
  <c r="I26" i="26" s="1"/>
  <c r="J26" i="26" s="1"/>
  <c r="K26" i="26" s="1"/>
  <c r="AZ29" i="26"/>
  <c r="BA29" i="26" s="1"/>
  <c r="BB29" i="26" s="1"/>
  <c r="BC29" i="26" s="1"/>
  <c r="BE29" i="26" s="1"/>
  <c r="BF29" i="26" s="1"/>
  <c r="BG29" i="26" s="1"/>
  <c r="T27" i="26"/>
  <c r="U27" i="26" s="1"/>
  <c r="V27" i="26" s="1"/>
  <c r="W27" i="26" s="1"/>
  <c r="Y27" i="26" s="1"/>
  <c r="Z27" i="26" s="1"/>
  <c r="AA27" i="26" s="1"/>
  <c r="T24" i="26"/>
  <c r="U24" i="26" s="1"/>
  <c r="V24" i="26" s="1"/>
  <c r="W24" i="26" s="1"/>
  <c r="Y24" i="26" s="1"/>
  <c r="Z24" i="26" s="1"/>
  <c r="AA24" i="26" s="1"/>
  <c r="AZ25" i="26"/>
  <c r="BA25" i="26" s="1"/>
  <c r="BB25" i="26" s="1"/>
  <c r="BC25" i="26" s="1"/>
  <c r="BE25" i="26" s="1"/>
  <c r="BF25" i="26" s="1"/>
  <c r="BG25" i="26" s="1"/>
  <c r="AZ30" i="26"/>
  <c r="BA30" i="26" s="1"/>
  <c r="BB30" i="26" s="1"/>
  <c r="BC30" i="26" s="1"/>
  <c r="BE30" i="26" s="1"/>
  <c r="BF30" i="26" s="1"/>
  <c r="BG30" i="26" s="1"/>
  <c r="T28" i="26"/>
  <c r="U28" i="26" s="1"/>
  <c r="V28" i="26" s="1"/>
  <c r="W28" i="26" s="1"/>
  <c r="Y28" i="26" s="1"/>
  <c r="Z28" i="26" s="1"/>
  <c r="AA28" i="26" s="1"/>
  <c r="D16" i="26"/>
  <c r="E16" i="26" s="1"/>
  <c r="F16" i="26" s="1"/>
  <c r="G16" i="26" s="1"/>
  <c r="I16" i="26" s="1"/>
  <c r="J16" i="26" s="1"/>
  <c r="K16" i="26" s="1"/>
  <c r="AJ18" i="26"/>
  <c r="AK18" i="26" s="1"/>
  <c r="AL18" i="26" s="1"/>
  <c r="AM18" i="26" s="1"/>
  <c r="AO18" i="26" s="1"/>
  <c r="AP18" i="26" s="1"/>
  <c r="AQ18" i="26" s="1"/>
  <c r="AZ19" i="26"/>
  <c r="BA19" i="26" s="1"/>
  <c r="BB19" i="26" s="1"/>
  <c r="BC19" i="26" s="1"/>
  <c r="BE19" i="26" s="1"/>
  <c r="BF19" i="26" s="1"/>
  <c r="BG19" i="26" s="1"/>
  <c r="T17" i="26"/>
  <c r="U17" i="26" s="1"/>
  <c r="V17" i="26" s="1"/>
  <c r="W17" i="26" s="1"/>
  <c r="Y17" i="26" s="1"/>
  <c r="Z17" i="26" s="1"/>
  <c r="AA17" i="26" s="1"/>
  <c r="C8" i="27"/>
  <c r="D10" i="26"/>
  <c r="E10" i="26" s="1"/>
  <c r="F10" i="26" s="1"/>
  <c r="G10" i="26" s="1"/>
  <c r="I10" i="26" s="1"/>
  <c r="J10" i="26" s="1"/>
  <c r="K10" i="26" s="1"/>
  <c r="AZ13" i="26"/>
  <c r="BA13" i="26" s="1"/>
  <c r="BB13" i="26" s="1"/>
  <c r="BC13" i="26" s="1"/>
  <c r="BE13" i="26" s="1"/>
  <c r="BF13" i="26" s="1"/>
  <c r="BG13" i="26" s="1"/>
  <c r="T11" i="26"/>
  <c r="U11" i="26" s="1"/>
  <c r="V11" i="26" s="1"/>
  <c r="W11" i="26" s="1"/>
  <c r="Y11" i="26" s="1"/>
  <c r="Z11" i="26" s="1"/>
  <c r="AA11" i="26" s="1"/>
  <c r="AJ19" i="26"/>
  <c r="AK19" i="26" s="1"/>
  <c r="AL19" i="26" s="1"/>
  <c r="AM19" i="26" s="1"/>
  <c r="AO19" i="26" s="1"/>
  <c r="AP19" i="26" s="1"/>
  <c r="AQ19" i="26" s="1"/>
  <c r="AZ20" i="26"/>
  <c r="BA20" i="26" s="1"/>
  <c r="BB20" i="26" s="1"/>
  <c r="BC20" i="26" s="1"/>
  <c r="BE20" i="26" s="1"/>
  <c r="BF20" i="26" s="1"/>
  <c r="BG20" i="26" s="1"/>
  <c r="AJ25" i="26"/>
  <c r="AK25" i="26" s="1"/>
  <c r="AL25" i="26" s="1"/>
  <c r="AM25" i="26" s="1"/>
  <c r="AO25" i="26" s="1"/>
  <c r="AP25" i="26" s="1"/>
  <c r="AQ25" i="26" s="1"/>
  <c r="D11" i="26"/>
  <c r="E11" i="26" s="1"/>
  <c r="F11" i="26" s="1"/>
  <c r="G11" i="26" s="1"/>
  <c r="I11" i="26" s="1"/>
  <c r="J11" i="26" s="1"/>
  <c r="K11" i="26" s="1"/>
  <c r="T12" i="26"/>
  <c r="U12" i="26" s="1"/>
  <c r="V12" i="26" s="1"/>
  <c r="W12" i="26" s="1"/>
  <c r="Y12" i="26" s="1"/>
  <c r="Z12" i="26" s="1"/>
  <c r="AA12" i="26" s="1"/>
  <c r="AJ13" i="26"/>
  <c r="AK13" i="26" s="1"/>
  <c r="AL13" i="26" s="1"/>
  <c r="AM13" i="26" s="1"/>
  <c r="AO13" i="26" s="1"/>
  <c r="AP13" i="26" s="1"/>
  <c r="AQ13" i="26" s="1"/>
  <c r="D18" i="26"/>
  <c r="E18" i="26" s="1"/>
  <c r="F18" i="26" s="1"/>
  <c r="G18" i="26" s="1"/>
  <c r="I18" i="26" s="1"/>
  <c r="J18" i="26" s="1"/>
  <c r="K18" i="26" s="1"/>
  <c r="AZ21" i="26"/>
  <c r="BA21" i="26" s="1"/>
  <c r="BB21" i="26" s="1"/>
  <c r="BC21" i="26" s="1"/>
  <c r="BE21" i="26" s="1"/>
  <c r="BF21" i="26" s="1"/>
  <c r="BG21" i="26" s="1"/>
  <c r="T19" i="26"/>
  <c r="U19" i="26" s="1"/>
  <c r="V19" i="26" s="1"/>
  <c r="W19" i="26" s="1"/>
  <c r="Y19" i="26" s="1"/>
  <c r="Z19" i="26" s="1"/>
  <c r="AA19" i="26" s="1"/>
  <c r="AO17" i="26"/>
  <c r="AP17" i="26" s="1"/>
  <c r="AQ17" i="26" s="1"/>
  <c r="AJ34" i="26"/>
  <c r="AK34" i="26" s="1"/>
  <c r="AL34" i="26" s="1"/>
  <c r="AM34" i="26" s="1"/>
  <c r="AO34" i="26" s="1"/>
  <c r="AP34" i="26" s="1"/>
  <c r="AQ34" i="26" s="1"/>
  <c r="D32" i="26"/>
  <c r="E32" i="26" s="1"/>
  <c r="F32" i="26" s="1"/>
  <c r="G32" i="26" s="1"/>
  <c r="I32" i="26" s="1"/>
  <c r="J32" i="26" s="1"/>
  <c r="K32" i="26" s="1"/>
  <c r="AZ35" i="26"/>
  <c r="BA35" i="26" s="1"/>
  <c r="BB35" i="26" s="1"/>
  <c r="BC35" i="26" s="1"/>
  <c r="BE35" i="26" s="1"/>
  <c r="BF35" i="26" s="1"/>
  <c r="BG35" i="26" s="1"/>
  <c r="T33" i="26"/>
  <c r="U33" i="26" s="1"/>
  <c r="V33" i="26" s="1"/>
  <c r="W33" i="26" s="1"/>
  <c r="Y33" i="26" s="1"/>
  <c r="Z33" i="26" s="1"/>
  <c r="AA33" i="26" s="1"/>
  <c r="C9" i="27"/>
  <c r="B9" i="27"/>
  <c r="D12" i="26"/>
  <c r="E12" i="26" s="1"/>
  <c r="F12" i="26" s="1"/>
  <c r="G12" i="26" s="1"/>
  <c r="I12" i="26" s="1"/>
  <c r="J12" i="26" s="1"/>
  <c r="K12" i="26" s="1"/>
  <c r="AZ15" i="26"/>
  <c r="BA15" i="26" s="1"/>
  <c r="BB15" i="26" s="1"/>
  <c r="BC15" i="26" s="1"/>
  <c r="BE15" i="26" s="1"/>
  <c r="BF15" i="26" s="1"/>
  <c r="BG15" i="26" s="1"/>
  <c r="T13" i="26"/>
  <c r="U13" i="26" s="1"/>
  <c r="V13" i="26" s="1"/>
  <c r="W13" i="26" s="1"/>
  <c r="Y13" i="26" s="1"/>
  <c r="Z13" i="26" s="1"/>
  <c r="AA13" i="26" s="1"/>
  <c r="AJ14" i="26"/>
  <c r="AK14" i="26" s="1"/>
  <c r="AL14" i="26" s="1"/>
  <c r="AM14" i="26" s="1"/>
  <c r="AO14" i="26" s="1"/>
  <c r="AP14" i="26" s="1"/>
  <c r="AQ14" i="26" s="1"/>
  <c r="C35" i="26"/>
  <c r="C23" i="26"/>
  <c r="C14" i="26"/>
  <c r="C21" i="26"/>
  <c r="C8" i="26"/>
  <c r="C12" i="26"/>
  <c r="C33" i="26"/>
  <c r="C19" i="26"/>
  <c r="C18" i="26"/>
  <c r="C28" i="26"/>
  <c r="C32" i="26"/>
  <c r="C17" i="26"/>
  <c r="C20" i="26"/>
  <c r="C26" i="26"/>
  <c r="C31" i="26"/>
  <c r="C15" i="26"/>
  <c r="C24" i="26"/>
  <c r="C30" i="26"/>
  <c r="C13" i="26"/>
  <c r="AJ11" i="26"/>
  <c r="AK11" i="26" s="1"/>
  <c r="AL11" i="26" s="1"/>
  <c r="AM11" i="26" s="1"/>
  <c r="AO11" i="26" s="1"/>
  <c r="AP11" i="26" s="1"/>
  <c r="AQ11" i="26" s="1"/>
  <c r="D9" i="26"/>
  <c r="E9" i="26" s="1"/>
  <c r="F9" i="26" s="1"/>
  <c r="G9" i="26" s="1"/>
  <c r="I9" i="26" s="1"/>
  <c r="J9" i="26" s="1"/>
  <c r="K9" i="26" s="1"/>
  <c r="L9" i="26" s="1"/>
  <c r="T10" i="26"/>
  <c r="U10" i="26" s="1"/>
  <c r="V10" i="26" s="1"/>
  <c r="W10" i="26" s="1"/>
  <c r="Y10" i="26" s="1"/>
  <c r="Z10" i="26" s="1"/>
  <c r="AA10" i="26" s="1"/>
  <c r="AZ12" i="26"/>
  <c r="BA12" i="26" s="1"/>
  <c r="BB12" i="26" s="1"/>
  <c r="BC12" i="26" s="1"/>
  <c r="BE12" i="26" s="1"/>
  <c r="BF12" i="26" s="1"/>
  <c r="BG12" i="26" s="1"/>
  <c r="AJ27" i="26"/>
  <c r="AK27" i="26" s="1"/>
  <c r="AL27" i="26" s="1"/>
  <c r="AM27" i="26" s="1"/>
  <c r="AO27" i="26" s="1"/>
  <c r="AP27" i="26" s="1"/>
  <c r="AQ27" i="26" s="1"/>
  <c r="T26" i="26"/>
  <c r="U26" i="26" s="1"/>
  <c r="V26" i="26" s="1"/>
  <c r="W26" i="26" s="1"/>
  <c r="Y26" i="26" s="1"/>
  <c r="Z26" i="26" s="1"/>
  <c r="AA26" i="26" s="1"/>
  <c r="D25" i="26"/>
  <c r="E25" i="26" s="1"/>
  <c r="F25" i="26" s="1"/>
  <c r="G25" i="26" s="1"/>
  <c r="I25" i="26" s="1"/>
  <c r="J25" i="26" s="1"/>
  <c r="K25" i="26" s="1"/>
  <c r="N8" i="25"/>
  <c r="AI4" i="26"/>
  <c r="AI9" i="26" s="1"/>
  <c r="AI10" i="26" s="1"/>
  <c r="AI11" i="26" s="1"/>
  <c r="AI12" i="26" s="1"/>
  <c r="AI13" i="26" s="1"/>
  <c r="AI14" i="26" s="1"/>
  <c r="AI15" i="26" s="1"/>
  <c r="AI16" i="26" s="1"/>
  <c r="AI17" i="26" s="1"/>
  <c r="AI18" i="26" s="1"/>
  <c r="AI19" i="26" s="1"/>
  <c r="AI20" i="26" s="1"/>
  <c r="AI21" i="26" s="1"/>
  <c r="AI22" i="26" s="1"/>
  <c r="AI23" i="26" s="1"/>
  <c r="AI24" i="26" s="1"/>
  <c r="AI25" i="26" s="1"/>
  <c r="AI26" i="26" s="1"/>
  <c r="AI27" i="26" s="1"/>
  <c r="AI28" i="26" s="1"/>
  <c r="AI29" i="26" s="1"/>
  <c r="AI30" i="26" s="1"/>
  <c r="AI31" i="26" s="1"/>
  <c r="AI32" i="26" s="1"/>
  <c r="AI33" i="26" s="1"/>
  <c r="AI34" i="26" s="1"/>
  <c r="AI35" i="26" s="1"/>
  <c r="AI36" i="26" s="1"/>
  <c r="AI37" i="26" s="1"/>
  <c r="AI38" i="26" s="1"/>
  <c r="AI39" i="26" s="1"/>
  <c r="AI40" i="26" s="1"/>
  <c r="AI41" i="26" s="1"/>
  <c r="AI42" i="26" s="1"/>
  <c r="AI43" i="26" s="1"/>
  <c r="AI44" i="26" s="1"/>
  <c r="AI45" i="26" s="1"/>
  <c r="AI46" i="26" s="1"/>
  <c r="D22" i="26"/>
  <c r="E22" i="26" s="1"/>
  <c r="F22" i="26" s="1"/>
  <c r="G22" i="26" s="1"/>
  <c r="I22" i="26" s="1"/>
  <c r="J22" i="26" s="1"/>
  <c r="K22" i="26" s="1"/>
  <c r="AY4" i="26" l="1"/>
  <c r="AY10" i="26" s="1"/>
  <c r="AY11" i="26" s="1"/>
  <c r="AY12" i="26" s="1"/>
  <c r="AY13" i="26" s="1"/>
  <c r="AY14" i="26" s="1"/>
  <c r="AY15" i="26" s="1"/>
  <c r="AY16" i="26" s="1"/>
  <c r="AY17" i="26" s="1"/>
  <c r="AY18" i="26" s="1"/>
  <c r="AY19" i="26" s="1"/>
  <c r="AY20" i="26" s="1"/>
  <c r="AY21" i="26" s="1"/>
  <c r="AY22" i="26" s="1"/>
  <c r="AY23" i="26" s="1"/>
  <c r="AY24" i="26" s="1"/>
  <c r="AY25" i="26" s="1"/>
  <c r="AY26" i="26" s="1"/>
  <c r="AY27" i="26" s="1"/>
  <c r="AY28" i="26" s="1"/>
  <c r="AY29" i="26" s="1"/>
  <c r="AY30" i="26" s="1"/>
  <c r="AY31" i="26" s="1"/>
  <c r="AY32" i="26" s="1"/>
  <c r="AY33" i="26" s="1"/>
  <c r="AY34" i="26" s="1"/>
  <c r="AY35" i="26" s="1"/>
  <c r="AY36" i="26" s="1"/>
  <c r="AY37" i="26" s="1"/>
  <c r="AY38" i="26" s="1"/>
  <c r="AY39" i="26" s="1"/>
  <c r="AY40" i="26" s="1"/>
  <c r="AY41" i="26" s="1"/>
  <c r="AY42" i="26" s="1"/>
  <c r="AY43" i="26" s="1"/>
  <c r="AY44" i="26" s="1"/>
  <c r="AY45" i="26" s="1"/>
  <c r="AY46" i="26" s="1"/>
  <c r="G42" i="27"/>
  <c r="H42" i="27" s="1"/>
  <c r="I42" i="27" s="1"/>
  <c r="H6" i="27"/>
  <c r="I6" i="27" s="1"/>
  <c r="AU45" i="26"/>
  <c r="AU46" i="26"/>
  <c r="AV44" i="26"/>
  <c r="E43" i="27"/>
  <c r="E7" i="26"/>
  <c r="F7" i="26" s="1"/>
  <c r="G7" i="26" s="1"/>
  <c r="I7" i="26" s="1"/>
  <c r="AA8" i="26"/>
  <c r="AB8" i="26" s="1"/>
  <c r="AE8" i="26" s="1"/>
  <c r="AF8" i="26" s="1"/>
  <c r="AF37" i="26"/>
  <c r="E36" i="27"/>
  <c r="BK10" i="26"/>
  <c r="BL10" i="26" s="1"/>
  <c r="BH19" i="26"/>
  <c r="AB34" i="26"/>
  <c r="AR22" i="26"/>
  <c r="AR25" i="26"/>
  <c r="AR24" i="26"/>
  <c r="AB14" i="26"/>
  <c r="AB35" i="26"/>
  <c r="BH33" i="26"/>
  <c r="AB15" i="26"/>
  <c r="L13" i="26"/>
  <c r="O13" i="26" s="1"/>
  <c r="L15" i="26"/>
  <c r="O15" i="26" s="1"/>
  <c r="AR31" i="26"/>
  <c r="AB16" i="26"/>
  <c r="BH34" i="26"/>
  <c r="BH36" i="26"/>
  <c r="AR21" i="26"/>
  <c r="AR30" i="26"/>
  <c r="AB23" i="26"/>
  <c r="AB22" i="26"/>
  <c r="AR20" i="26"/>
  <c r="AR29" i="26"/>
  <c r="BH14" i="26"/>
  <c r="BH11" i="26"/>
  <c r="L14" i="26"/>
  <c r="O14" i="26" s="1"/>
  <c r="L18" i="26"/>
  <c r="O18" i="26" s="1"/>
  <c r="BH22" i="26"/>
  <c r="L32" i="26"/>
  <c r="O32" i="26" s="1"/>
  <c r="BH18" i="26"/>
  <c r="BH29" i="26"/>
  <c r="AR17" i="26"/>
  <c r="AR13" i="26"/>
  <c r="AR16" i="26"/>
  <c r="AB12" i="26"/>
  <c r="AB11" i="26"/>
  <c r="L31" i="26"/>
  <c r="O31" i="26" s="1"/>
  <c r="L11" i="26"/>
  <c r="O11" i="26" s="1"/>
  <c r="AB30" i="26"/>
  <c r="AR28" i="26"/>
  <c r="L23" i="26"/>
  <c r="O23" i="26" s="1"/>
  <c r="AR23" i="26"/>
  <c r="BH26" i="26"/>
  <c r="AB20" i="26"/>
  <c r="AR10" i="26"/>
  <c r="AR9" i="26"/>
  <c r="AR33" i="26"/>
  <c r="L24" i="26"/>
  <c r="O24" i="26" s="1"/>
  <c r="AB21" i="26"/>
  <c r="BH13" i="26"/>
  <c r="BH31" i="26"/>
  <c r="L21" i="26"/>
  <c r="O21" i="26" s="1"/>
  <c r="BH27" i="26"/>
  <c r="L16" i="26"/>
  <c r="O16" i="26" s="1"/>
  <c r="L30" i="26"/>
  <c r="O30" i="26" s="1"/>
  <c r="L17" i="26"/>
  <c r="O17" i="26" s="1"/>
  <c r="BH23" i="26"/>
  <c r="L29" i="26"/>
  <c r="O29" i="26" s="1"/>
  <c r="AB24" i="26"/>
  <c r="BH28" i="26"/>
  <c r="BH17" i="26"/>
  <c r="L28" i="26"/>
  <c r="O28" i="26" s="1"/>
  <c r="AB17" i="26"/>
  <c r="BH24" i="26"/>
  <c r="L34" i="26"/>
  <c r="O34" i="26" s="1"/>
  <c r="AB32" i="26"/>
  <c r="AB18" i="26"/>
  <c r="L35" i="26"/>
  <c r="O35" i="26" s="1"/>
  <c r="L19" i="26"/>
  <c r="O19" i="26" s="1"/>
  <c r="AR19" i="26"/>
  <c r="L33" i="26"/>
  <c r="O33" i="26" s="1"/>
  <c r="BH32" i="26"/>
  <c r="AB31" i="26"/>
  <c r="AR36" i="26"/>
  <c r="AR32" i="26"/>
  <c r="L26" i="26"/>
  <c r="O26" i="26" s="1"/>
  <c r="AB36" i="26"/>
  <c r="L20" i="26"/>
  <c r="O20" i="26" s="1"/>
  <c r="BH20" i="26"/>
  <c r="AR26" i="26"/>
  <c r="BH35" i="26"/>
  <c r="L36" i="26"/>
  <c r="O36" i="26" s="1"/>
  <c r="AR15" i="26"/>
  <c r="AB25" i="26"/>
  <c r="BH30" i="26"/>
  <c r="L27" i="26"/>
  <c r="O27" i="26" s="1"/>
  <c r="BH21" i="26"/>
  <c r="AR14" i="26"/>
  <c r="AB10" i="26"/>
  <c r="AB28" i="26"/>
  <c r="AB29" i="26"/>
  <c r="BH25" i="26"/>
  <c r="L10" i="26"/>
  <c r="O10" i="26" s="1"/>
  <c r="AB19" i="26"/>
  <c r="BH16" i="26"/>
  <c r="BH15" i="26"/>
  <c r="AR27" i="26"/>
  <c r="BH12" i="26"/>
  <c r="BK12" i="26" s="1"/>
  <c r="AR35" i="26"/>
  <c r="AR34" i="26"/>
  <c r="AR11" i="26"/>
  <c r="AR12" i="26"/>
  <c r="AR18" i="26"/>
  <c r="L22" i="26"/>
  <c r="O22" i="26" s="1"/>
  <c r="L12" i="26"/>
  <c r="O12" i="26" s="1"/>
  <c r="B10" i="27"/>
  <c r="C10" i="27"/>
  <c r="AB33" i="26"/>
  <c r="AB13" i="26"/>
  <c r="AB27" i="26"/>
  <c r="AB26" i="26"/>
  <c r="L25" i="26"/>
  <c r="O25" i="26" s="1"/>
  <c r="O9" i="26"/>
  <c r="J7" i="26" l="1"/>
  <c r="G43" i="27"/>
  <c r="H43" i="27" s="1"/>
  <c r="I43" i="27" s="1"/>
  <c r="G36" i="27"/>
  <c r="H36" i="27" s="1"/>
  <c r="I36" i="27" s="1"/>
  <c r="AB9" i="26"/>
  <c r="AE9" i="26" s="1"/>
  <c r="AF9" i="26" s="1"/>
  <c r="AV46" i="26"/>
  <c r="E45" i="27"/>
  <c r="AV45" i="26"/>
  <c r="E44" i="27"/>
  <c r="BK36" i="26"/>
  <c r="BL36" i="26" s="1"/>
  <c r="BK35" i="26"/>
  <c r="BL35" i="26" s="1"/>
  <c r="BK20" i="26"/>
  <c r="BL20" i="26" s="1"/>
  <c r="BK29" i="26"/>
  <c r="BL29" i="26" s="1"/>
  <c r="BK14" i="26"/>
  <c r="BL14" i="26" s="1"/>
  <c r="BK33" i="26"/>
  <c r="BL33" i="26" s="1"/>
  <c r="BK18" i="26"/>
  <c r="BL18" i="26" s="1"/>
  <c r="BK17" i="26"/>
  <c r="BL17" i="26" s="1"/>
  <c r="BK26" i="26"/>
  <c r="BL26" i="26" s="1"/>
  <c r="BK30" i="26"/>
  <c r="BL30" i="26" s="1"/>
  <c r="BK28" i="26"/>
  <c r="BL28" i="26" s="1"/>
  <c r="BK27" i="26"/>
  <c r="BL27" i="26" s="1"/>
  <c r="BK34" i="26"/>
  <c r="BL34" i="26" s="1"/>
  <c r="BK15" i="26"/>
  <c r="BL15" i="26" s="1"/>
  <c r="BK25" i="26"/>
  <c r="BL25" i="26" s="1"/>
  <c r="BK32" i="26"/>
  <c r="BL32" i="26" s="1"/>
  <c r="BK24" i="26"/>
  <c r="BL24" i="26" s="1"/>
  <c r="BK31" i="26"/>
  <c r="BL31" i="26" s="1"/>
  <c r="BK22" i="26"/>
  <c r="BL22" i="26" s="1"/>
  <c r="BK11" i="26"/>
  <c r="BK16" i="26"/>
  <c r="BL16" i="26" s="1"/>
  <c r="BK21" i="26"/>
  <c r="BL21" i="26" s="1"/>
  <c r="BK23" i="26"/>
  <c r="BL23" i="26" s="1"/>
  <c r="BK13" i="26"/>
  <c r="BL13" i="26" s="1"/>
  <c r="BK19" i="26"/>
  <c r="BL19" i="26" s="1"/>
  <c r="AU28" i="26"/>
  <c r="AV28" i="26" s="1"/>
  <c r="AU13" i="26"/>
  <c r="AV13" i="26" s="1"/>
  <c r="AU18" i="26"/>
  <c r="AV18" i="26" s="1"/>
  <c r="AU17" i="26"/>
  <c r="AV17" i="26" s="1"/>
  <c r="AU21" i="26"/>
  <c r="AU12" i="26"/>
  <c r="AV12" i="26" s="1"/>
  <c r="AU15" i="26"/>
  <c r="AV15" i="26" s="1"/>
  <c r="AU19" i="26"/>
  <c r="AV19" i="26" s="1"/>
  <c r="AU11" i="26"/>
  <c r="AV11" i="26" s="1"/>
  <c r="AU10" i="26"/>
  <c r="AV10" i="26" s="1"/>
  <c r="AU20" i="26"/>
  <c r="AV20" i="26" s="1"/>
  <c r="AU35" i="26"/>
  <c r="AV35" i="26" s="1"/>
  <c r="AU27" i="26"/>
  <c r="AV27" i="26" s="1"/>
  <c r="AU26" i="26"/>
  <c r="AV26" i="26" s="1"/>
  <c r="AU25" i="26"/>
  <c r="AV25" i="26" s="1"/>
  <c r="AU22" i="26"/>
  <c r="AV22" i="26" s="1"/>
  <c r="AU32" i="26"/>
  <c r="AV32" i="26" s="1"/>
  <c r="AU33" i="26"/>
  <c r="AU29" i="26"/>
  <c r="AV29" i="26" s="1"/>
  <c r="AU30" i="26"/>
  <c r="AV30" i="26" s="1"/>
  <c r="AU24" i="26"/>
  <c r="AV24" i="26" s="1"/>
  <c r="AU14" i="26"/>
  <c r="AV14" i="26" s="1"/>
  <c r="AU36" i="26"/>
  <c r="AV36" i="26" s="1"/>
  <c r="AU9" i="26"/>
  <c r="AV9" i="26" s="1"/>
  <c r="AU23" i="26"/>
  <c r="AV23" i="26" s="1"/>
  <c r="AU31" i="26"/>
  <c r="AV31" i="26" s="1"/>
  <c r="AU34" i="26"/>
  <c r="AV34" i="26" s="1"/>
  <c r="AU16" i="26"/>
  <c r="AV16" i="26" s="1"/>
  <c r="AE33" i="26"/>
  <c r="AF33" i="26" s="1"/>
  <c r="AE12" i="26"/>
  <c r="AF12" i="26" s="1"/>
  <c r="AE17" i="26"/>
  <c r="AF17" i="26" s="1"/>
  <c r="AE14" i="26"/>
  <c r="AE36" i="26"/>
  <c r="AF36" i="26" s="1"/>
  <c r="AE21" i="26"/>
  <c r="AF21" i="26" s="1"/>
  <c r="AE22" i="26"/>
  <c r="AF22" i="26" s="1"/>
  <c r="AE29" i="26"/>
  <c r="AE20" i="26"/>
  <c r="AF20" i="26" s="1"/>
  <c r="AE23" i="26"/>
  <c r="AF23" i="26" s="1"/>
  <c r="AE19" i="26"/>
  <c r="AE30" i="26"/>
  <c r="AF30" i="26" s="1"/>
  <c r="AE26" i="26"/>
  <c r="AF26" i="26" s="1"/>
  <c r="AE28" i="26"/>
  <c r="AF28" i="26" s="1"/>
  <c r="AE10" i="26"/>
  <c r="AF10" i="26" s="1"/>
  <c r="AE18" i="26"/>
  <c r="AF18" i="26" s="1"/>
  <c r="AE16" i="26"/>
  <c r="AF16" i="26" s="1"/>
  <c r="AE27" i="26"/>
  <c r="AF27" i="26" s="1"/>
  <c r="AE32" i="26"/>
  <c r="AE15" i="26"/>
  <c r="AE35" i="26"/>
  <c r="AF35" i="26" s="1"/>
  <c r="AE13" i="26"/>
  <c r="AE25" i="26"/>
  <c r="AE31" i="26"/>
  <c r="AF31" i="26" s="1"/>
  <c r="AE24" i="26"/>
  <c r="AF24" i="26" s="1"/>
  <c r="AE11" i="26"/>
  <c r="AF11" i="26" s="1"/>
  <c r="AE34" i="26"/>
  <c r="P22" i="26"/>
  <c r="P10" i="26"/>
  <c r="P17" i="26"/>
  <c r="P25" i="26"/>
  <c r="P33" i="26"/>
  <c r="P18" i="26"/>
  <c r="P12" i="26"/>
  <c r="P20" i="26"/>
  <c r="P19" i="26"/>
  <c r="P28" i="26"/>
  <c r="P30" i="26"/>
  <c r="P9" i="26"/>
  <c r="P36" i="26"/>
  <c r="P26" i="26"/>
  <c r="P35" i="26"/>
  <c r="P24" i="26"/>
  <c r="P32" i="26"/>
  <c r="P27" i="26"/>
  <c r="P16" i="26"/>
  <c r="P11" i="26"/>
  <c r="P14" i="26"/>
  <c r="P15" i="26"/>
  <c r="P31" i="26"/>
  <c r="P13" i="26"/>
  <c r="P34" i="26"/>
  <c r="P21" i="26"/>
  <c r="P23" i="26"/>
  <c r="P29" i="26"/>
  <c r="BL12" i="26"/>
  <c r="B11" i="27"/>
  <c r="C11" i="27"/>
  <c r="E9" i="27" l="1"/>
  <c r="K7" i="26"/>
  <c r="L8" i="26" s="1"/>
  <c r="O8" i="26" s="1"/>
  <c r="E18" i="27"/>
  <c r="G18" i="27" s="1"/>
  <c r="H18" i="27" s="1"/>
  <c r="I18" i="27" s="1"/>
  <c r="G45" i="27"/>
  <c r="H45" i="27" s="1"/>
  <c r="I45" i="27" s="1"/>
  <c r="G44" i="27"/>
  <c r="H44" i="27" s="1"/>
  <c r="I44" i="27" s="1"/>
  <c r="E17" i="27"/>
  <c r="E24" i="27"/>
  <c r="E19" i="27"/>
  <c r="BK47" i="26"/>
  <c r="E32" i="27"/>
  <c r="E15" i="27"/>
  <c r="E35" i="27"/>
  <c r="E13" i="27"/>
  <c r="E20" i="27"/>
  <c r="BL11" i="26"/>
  <c r="E31" i="27"/>
  <c r="E29" i="27"/>
  <c r="E25" i="27"/>
  <c r="E12" i="27"/>
  <c r="E28" i="27"/>
  <c r="E26" i="27"/>
  <c r="AV21" i="26"/>
  <c r="E30" i="27"/>
  <c r="E14" i="27"/>
  <c r="E22" i="27"/>
  <c r="AV33" i="26"/>
  <c r="E23" i="27"/>
  <c r="E11" i="27"/>
  <c r="E27" i="27"/>
  <c r="E33" i="27"/>
  <c r="AF13" i="26"/>
  <c r="AU47" i="26"/>
  <c r="E34" i="27"/>
  <c r="E10" i="27"/>
  <c r="E8" i="27"/>
  <c r="E16" i="27"/>
  <c r="E21" i="27"/>
  <c r="AF15" i="26"/>
  <c r="AF34" i="26"/>
  <c r="AF25" i="26"/>
  <c r="AF32" i="26"/>
  <c r="AF14" i="26"/>
  <c r="AF29" i="26"/>
  <c r="AF19" i="26"/>
  <c r="AE47" i="26"/>
  <c r="B12" i="27"/>
  <c r="C12" i="27"/>
  <c r="P8" i="26" l="1"/>
  <c r="P47" i="26" s="1"/>
  <c r="O47" i="26"/>
  <c r="E7" i="27"/>
  <c r="G7" i="27" s="1"/>
  <c r="G21" i="27"/>
  <c r="H21" i="27" s="1"/>
  <c r="I21" i="27" s="1"/>
  <c r="G13" i="27"/>
  <c r="H13" i="27" s="1"/>
  <c r="I13" i="27" s="1"/>
  <c r="G9" i="27"/>
  <c r="H9" i="27" s="1"/>
  <c r="I9" i="27" s="1"/>
  <c r="G16" i="27"/>
  <c r="H16" i="27" s="1"/>
  <c r="I16" i="27" s="1"/>
  <c r="G11" i="27"/>
  <c r="H11" i="27" s="1"/>
  <c r="I11" i="27" s="1"/>
  <c r="G28" i="27"/>
  <c r="H28" i="27" s="1"/>
  <c r="I28" i="27" s="1"/>
  <c r="G35" i="27"/>
  <c r="H35" i="27" s="1"/>
  <c r="I35" i="27" s="1"/>
  <c r="G34" i="27"/>
  <c r="H34" i="27" s="1"/>
  <c r="I34" i="27" s="1"/>
  <c r="G26" i="27"/>
  <c r="H26" i="27" s="1"/>
  <c r="I26" i="27" s="1"/>
  <c r="G8" i="27"/>
  <c r="H8" i="27" s="1"/>
  <c r="I8" i="27" s="1"/>
  <c r="G23" i="27"/>
  <c r="H23" i="27" s="1"/>
  <c r="I23" i="27" s="1"/>
  <c r="G12" i="27"/>
  <c r="H12" i="27" s="1"/>
  <c r="I12" i="27" s="1"/>
  <c r="G15" i="27"/>
  <c r="H15" i="27" s="1"/>
  <c r="I15" i="27" s="1"/>
  <c r="G22" i="27"/>
  <c r="H22" i="27" s="1"/>
  <c r="I22" i="27" s="1"/>
  <c r="G27" i="27"/>
  <c r="H27" i="27" s="1"/>
  <c r="I27" i="27" s="1"/>
  <c r="G10" i="27"/>
  <c r="H10" i="27" s="1"/>
  <c r="I10" i="27" s="1"/>
  <c r="G25" i="27"/>
  <c r="H25" i="27" s="1"/>
  <c r="I25" i="27" s="1"/>
  <c r="G32" i="27"/>
  <c r="H32" i="27" s="1"/>
  <c r="I32" i="27" s="1"/>
  <c r="G14" i="27"/>
  <c r="H14" i="27" s="1"/>
  <c r="I14" i="27" s="1"/>
  <c r="G31" i="27"/>
  <c r="H31" i="27" s="1"/>
  <c r="I31" i="27" s="1"/>
  <c r="G19" i="27"/>
  <c r="H19" i="27" s="1"/>
  <c r="I19" i="27" s="1"/>
  <c r="G29" i="27"/>
  <c r="H29" i="27" s="1"/>
  <c r="I29" i="27" s="1"/>
  <c r="G30" i="27"/>
  <c r="H30" i="27" s="1"/>
  <c r="I30" i="27" s="1"/>
  <c r="G24" i="27"/>
  <c r="H24" i="27" s="1"/>
  <c r="I24" i="27" s="1"/>
  <c r="G33" i="27"/>
  <c r="H33" i="27" s="1"/>
  <c r="I33" i="27" s="1"/>
  <c r="G20" i="27"/>
  <c r="H20" i="27" s="1"/>
  <c r="I20" i="27" s="1"/>
  <c r="G17" i="27"/>
  <c r="H17" i="27" s="1"/>
  <c r="I17" i="27" s="1"/>
  <c r="BL47" i="26"/>
  <c r="AV47" i="26"/>
  <c r="AF47" i="26"/>
  <c r="B13" i="27"/>
  <c r="C13" i="27"/>
  <c r="E46" i="27" l="1"/>
  <c r="H7" i="27"/>
  <c r="G46" i="27"/>
  <c r="B14" i="27"/>
  <c r="C14" i="27"/>
  <c r="H46" i="27" l="1"/>
  <c r="I7" i="27"/>
  <c r="B15" i="27"/>
  <c r="C15" i="27"/>
  <c r="B16" i="27" l="1"/>
  <c r="C16" i="27"/>
  <c r="B17" i="27" l="1"/>
  <c r="C17" i="27"/>
  <c r="C18" i="27" l="1"/>
  <c r="B18" i="27"/>
  <c r="B19" i="27" l="1"/>
  <c r="C19" i="27"/>
  <c r="C20" i="27" l="1"/>
  <c r="B20" i="27"/>
  <c r="B21" i="27" l="1"/>
  <c r="C21" i="27"/>
  <c r="C22" i="27" l="1"/>
  <c r="B22" i="27"/>
  <c r="B23" i="27" l="1"/>
  <c r="C23" i="27"/>
  <c r="C24" i="27" l="1"/>
  <c r="B24" i="27"/>
  <c r="B25" i="27" l="1"/>
  <c r="C25" i="27"/>
  <c r="C26" i="27" l="1"/>
  <c r="B26" i="27"/>
  <c r="B27" i="27" l="1"/>
  <c r="C27" i="27"/>
  <c r="B28" i="27" l="1"/>
  <c r="C28" i="27"/>
  <c r="B29" i="27" l="1"/>
  <c r="C29" i="27"/>
  <c r="B30" i="27" l="1"/>
  <c r="C30" i="27"/>
  <c r="B31" i="27" l="1"/>
  <c r="C31" i="27"/>
  <c r="B32" i="27" l="1"/>
  <c r="C32" i="27"/>
  <c r="B33" i="27" l="1"/>
  <c r="C33" i="27"/>
  <c r="B34" i="27" l="1"/>
  <c r="C34" i="27"/>
  <c r="C35" i="27" l="1"/>
  <c r="B35" i="27"/>
  <c r="C36" i="27" l="1"/>
  <c r="B36" i="27"/>
  <c r="B37" i="27" l="1"/>
  <c r="C37" i="27"/>
  <c r="C38" i="27" l="1"/>
  <c r="B38" i="27"/>
  <c r="B39" i="27" l="1"/>
  <c r="C39" i="27"/>
  <c r="C40" i="27" l="1"/>
  <c r="B40" i="27"/>
  <c r="B41" i="27" l="1"/>
  <c r="C41" i="27"/>
  <c r="C42" i="27" l="1"/>
  <c r="B42" i="27"/>
  <c r="C43" i="27" l="1"/>
  <c r="B43" i="27"/>
  <c r="B44" i="27" l="1"/>
  <c r="C44" i="27"/>
  <c r="B45" i="27" l="1"/>
  <c r="C45" i="27"/>
  <c r="F47" i="27" l="1"/>
  <c r="G47" i="27"/>
  <c r="E47" i="27"/>
  <c r="H47" i="27"/>
  <c r="H48" i="27" s="1"/>
  <c r="S5" i="25"/>
  <c r="S6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tc={DBC5FA32-BD08-4E67-9429-FA547E8C0685}</author>
  </authors>
  <commentList>
    <comment ref="N9" authorId="0" shapeId="0" xr:uid="{DBC5FA32-BD08-4E67-9429-FA547E8C06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Ratio of below-ground biomass to above-ground biomass (R) in mangroves in tropical dry region, from Table 4.5. of the IPCC document : “2013 supplement to the 2006 IPCC guidelines for national greenhouse gas inventories: wetlands”. 
Document: Wetlands_Supplement_Entire_Report.pdf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tc={AD214405-5709-4478-82A9-E9EB6562B9F5}</author>
    <author>tc={949A0365-8348-49E4-BFAB-4C3586911502}</author>
    <author>tc={108613D0-7A70-456D-B6DE-8ED72A22259D}</author>
  </authors>
  <commentList>
    <comment ref="B4" authorId="0" shapeId="0" xr:uid="{AD214405-5709-4478-82A9-E9EB6562B9F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Two mangrove categories according to Kauffman and Bhomia for Senegal Mangroves</t>
        </r>
      </text>
    </comment>
    <comment ref="C4" authorId="1" shapeId="0" xr:uid="{949A0365-8348-49E4-BFAB-4C358691150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0-30 cm considered for calculating deduction of alloctonous carbon and this carbon is deposited on the surface of the soil</t>
        </r>
      </text>
    </comment>
    <comment ref="E4" authorId="2" shapeId="0" xr:uid="{108613D0-7A70-456D-B6DE-8ED72A22259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Kauffman and Bhomia Data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6B2E8-A4CA-4231-AA06-2C99EDC83FB9}" keepAlive="1" name="Consulta - Table008 (Page 15)" description="Conexión a la consulta 'Table008 (Page 15)' en el libro." type="5" refreshedVersion="8" background="1" saveData="1">
    <dbPr connection="Provider=Microsoft.Mashup.OleDb.1;Data Source=$Workbook$;Location=&quot;Table008 (Page 15)&quot;;Extended Properties=&quot;&quot;" command="SELECT * FROM [Table008 (Page 1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<sst xmlns="http://schemas.openxmlformats.org/spreadsheetml/2006/main" count="175" uniqueCount="120">
  <si>
    <t>ABC MANGROVE SENEGAL PROJECT</t>
  </si>
  <si>
    <t>VM0033</t>
  </si>
  <si>
    <t>Justification</t>
  </si>
  <si>
    <t>FIXED PARAMETERS</t>
  </si>
  <si>
    <t>Planted area (ha)</t>
  </si>
  <si>
    <t>Net area (ha) (sustracting the estimated loss due to SLR)</t>
  </si>
  <si>
    <t>Planting year</t>
  </si>
  <si>
    <t>The land subject to the project activity is degraded mangrove habitat</t>
  </si>
  <si>
    <t>The land subject to the project activity is degraded mangrove habitat. Now it is a nonforest land but in its natural state mangrove vegetation could grow because of the presence of soil or sediment that is usually water-logged with saline or brackish water.</t>
  </si>
  <si>
    <t>Area (ha) Year 1</t>
  </si>
  <si>
    <t>Year 1</t>
  </si>
  <si>
    <t>SOC (t C/ha/y)</t>
  </si>
  <si>
    <t>Kauffman $ Bhomia 2017. 
Document: Kauffman &amp; Bhomia.pdf</t>
  </si>
  <si>
    <t>Area (ha) Year 2</t>
  </si>
  <si>
    <t>Year 2</t>
  </si>
  <si>
    <t>Buffer (%)</t>
  </si>
  <si>
    <t>Mortality Rest of the years</t>
  </si>
  <si>
    <t>AFOLU Non-Permanence Risk Report Excel Calculation Tool, v4.2</t>
  </si>
  <si>
    <t>More than 90 per cent of the project area is planted with mangrove species. If more than 10 per cent of the project area is planted with non-mangrove species then the project activity does not lead to alteration of hydrology of the project area and hydrology of connected up-gradient and down-gradient wetland area</t>
  </si>
  <si>
    <t>100% of the project area is planted with mangrove species. The only project activity/measure is propagule planting. There will be no flooding, digging, drainage, ditch blocking or any other direct activity involving the alteration of the hydrology</t>
  </si>
  <si>
    <t>Area (ha) Year 3</t>
  </si>
  <si>
    <t>Year 3</t>
  </si>
  <si>
    <t>Mortality</t>
  </si>
  <si>
    <t>Assuming a final density of 2,750 stem/ha (See PD Section 3.2.2.2)</t>
  </si>
  <si>
    <t>Soil disturbance attributable to the A/R clean development mechanism (CDM) project activity does not cover more than 10 per cent of area”</t>
  </si>
  <si>
    <t>No soil disturbance is expected because soil preparation will not be necessary and because planting activities will be done manually by local people and hole-digging will not be necessary.</t>
  </si>
  <si>
    <t>Area (ha) Year 4</t>
  </si>
  <si>
    <t>Year 4</t>
  </si>
  <si>
    <t>Hallometric equation - Rhizophora</t>
  </si>
  <si>
    <t>Ln(AGB)=5,534244+2,404770*Ln(DBH)</t>
  </si>
  <si>
    <t>https://www.scielo.br/j/bjoce/a/CFg7SqsyWq5wbZ37JvnVTRf/
Document: Allometric model Rhizophora mangle.pdf</t>
  </si>
  <si>
    <t>TOTAL AREA (ha)</t>
  </si>
  <si>
    <t>Root Shoot Ratio</t>
  </si>
  <si>
    <t>DBH Model</t>
  </si>
  <si>
    <t>DBH=9,41*(1-exp(-0,12Age)^4,5</t>
  </si>
  <si>
    <t>Diameter growth model has been created based on Chapman-Richards function (Richards, 1959; Pienaar and Turnbull, 1973. See PD Section 3.2.2.2</t>
  </si>
  <si>
    <t>Density plantation (trees/ha)</t>
  </si>
  <si>
    <t>Carbon fraction</t>
  </si>
  <si>
    <t>ALLOCHTHONOUS CARBON DEDUCTION (%)</t>
  </si>
  <si>
    <t>See SOC tab</t>
  </si>
  <si>
    <t>FINAL SOC (after allochthonous carbon deduction) T C ha-1 year-1</t>
  </si>
  <si>
    <t>DBH MODEL Chapman &amp; Richards</t>
  </si>
  <si>
    <t>DBH=9,4*(1-exp(-0,115Age)^4,7)</t>
  </si>
  <si>
    <t>Age (year)</t>
  </si>
  <si>
    <t>DBH (cm)</t>
  </si>
  <si>
    <t>SEA LEVEL RISE ESTIMATE</t>
  </si>
  <si>
    <t>Year</t>
  </si>
  <si>
    <t>SSP1-2.6</t>
  </si>
  <si>
    <t>SSP2-4.5</t>
  </si>
  <si>
    <t>SSP5-8.5</t>
  </si>
  <si>
    <t>SSP5-8.6</t>
  </si>
  <si>
    <t>Cumulative loss - Crediting period</t>
  </si>
  <si>
    <t>2025 - 2030</t>
  </si>
  <si>
    <t>2030 - 2035</t>
  </si>
  <si>
    <t>2035 - 2040</t>
  </si>
  <si>
    <t>2040 - 2045</t>
  </si>
  <si>
    <t>2045 - 2050</t>
  </si>
  <si>
    <t>2050 - 2055</t>
  </si>
  <si>
    <t>2055 - 2060</t>
  </si>
  <si>
    <t>2060 - 2065</t>
  </si>
  <si>
    <t>2065 - 2070</t>
  </si>
  <si>
    <t>2070 - 2075</t>
  </si>
  <si>
    <t>2075 - 2080</t>
  </si>
  <si>
    <t>2080 - 2085</t>
  </si>
  <si>
    <t>2085 - 2090</t>
  </si>
  <si>
    <t>2090 - 2095</t>
  </si>
  <si>
    <t>2095 - 2100</t>
  </si>
  <si>
    <t>KANOP, 2024</t>
  </si>
  <si>
    <t>VCU CALCULATIONS</t>
  </si>
  <si>
    <t>Plantation</t>
  </si>
  <si>
    <t>k5</t>
  </si>
  <si>
    <t>Years</t>
  </si>
  <si>
    <t>AGB (Kg d.m.)/tree</t>
  </si>
  <si>
    <t>BGB (Kg d.m.)/tree</t>
  </si>
  <si>
    <t>Btree (kg d.m.)/tree</t>
  </si>
  <si>
    <t>Density (trees/ha)</t>
  </si>
  <si>
    <t>Btree (t d.m./ha)</t>
  </si>
  <si>
    <t>Btree (t C/ha)</t>
  </si>
  <si>
    <t>Tree Biomass Carbol pool (t CO2)</t>
  </si>
  <si>
    <t>NET Tree Biomass Carbol pool (t CO2)</t>
  </si>
  <si>
    <t>%cover</t>
  </si>
  <si>
    <t>SOC (t CO2/ha)</t>
  </si>
  <si>
    <t>Net VCU (t CO2)</t>
  </si>
  <si>
    <t>Net VCU (t CO2) with Buffer</t>
  </si>
  <si>
    <t>%COVER</t>
  </si>
  <si>
    <t>SUMMARY</t>
  </si>
  <si>
    <t>Starting Year:</t>
  </si>
  <si>
    <t>Num of year</t>
  </si>
  <si>
    <t>Estimated baseline removals (Tco2e)</t>
  </si>
  <si>
    <t>Estimated project removals (Tco2e)2</t>
  </si>
  <si>
    <t>Estimated leakage emissions (Tco2e)</t>
  </si>
  <si>
    <t>Estimated buffer pool allocation (Tco2e)</t>
  </si>
  <si>
    <t>NET VCUs</t>
  </si>
  <si>
    <t>Columna1</t>
  </si>
  <si>
    <t>TOTAL</t>
  </si>
  <si>
    <t>Average</t>
  </si>
  <si>
    <t>Depth</t>
  </si>
  <si>
    <t>% Weigh</t>
  </si>
  <si>
    <t>C %</t>
  </si>
  <si>
    <t>C % weighted</t>
  </si>
  <si>
    <t>C  % Category</t>
  </si>
  <si>
    <t>Global C %</t>
  </si>
  <si>
    <t>Kauffman, J.B., Bhomia, R.K., 2017. Ecosystem carbon stocks of mangroves across broad environmental gradients in West-Central Africa: Global and regional comparisons. PLoS One. https://doi.org/10.1371/journal.pone.0187749</t>
  </si>
  <si>
    <t>LOW Mangrove</t>
  </si>
  <si>
    <t>0-15</t>
  </si>
  <si>
    <t xml:space="preserve"> https://doi.org/10.1371/journal.pone.0187749</t>
  </si>
  <si>
    <t>15-30</t>
  </si>
  <si>
    <t>MEDIUM Mangrove</t>
  </si>
  <si>
    <t>Needelman</t>
  </si>
  <si>
    <t>Coastal Blue Carbon</t>
  </si>
  <si>
    <t>SOC Default value</t>
  </si>
  <si>
    <r>
      <t>T C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year</t>
    </r>
    <r>
      <rPr>
        <vertAlign val="superscript"/>
        <sz val="11"/>
        <color theme="1"/>
        <rFont val="Calibri"/>
        <family val="2"/>
        <scheme val="minor"/>
      </rPr>
      <t>-1</t>
    </r>
  </si>
  <si>
    <t>ALLOCHThonous Carbon Deduction</t>
  </si>
  <si>
    <t>%</t>
  </si>
  <si>
    <t>Value applied</t>
  </si>
  <si>
    <r>
      <t>T C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year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</si>
  <si>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Coastal Blue Carbon in Practice. A Manual for Using the VCS Methodology for Tidal Wetland and Seagrass Restoration VM0033. V1. 2015</t>
  </si>
  <si>
    <t>https://estuaries.org/wp-content/uploads/2018/08/rae-coastal-blue-carbon-methodology-web.pdf</t>
  </si>
  <si>
    <t>Needelman, B. A., I. M. Emmer, S. Emmett-Mattox, S. Crooks, J. P. Megonigal, D. Myers, M. P. J. Oreska, and K. McGlathery. 2018. The science and policy of the verified carbon standard methodology for tidal wetland and seagrass restoration. Estuaries and Coasts 41(8): 2159-2171.</t>
  </si>
  <si>
    <t>https://www.researchgate.net/publication/326283334_The_Science_and_Policy_of_the_Verified_Carbon_Standard_Methodology_for_Tidal_Wetland_and_Seagrass_Restoration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</si>
</sst>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_-&quot;$&quot;* #,##0.00_-;\-&quot;$&quot;* #,##0.00_-;_-&quot;$&quot;* &quot;-&quot;??_-;_-@_-"/>
    <numFmt numFmtId="168" formatCode="_-* #,##0\ _C_F_A_-;\-* #,##0\ _C_F_A_-;_-* &quot;-&quot;\ _C_F_A_-;_-@_-"/>
    <numFmt numFmtId="169" formatCode="0.000"/>
    <numFmt numFmtId="170" formatCode="0.0"/>
    <numFmt numFmtId="171" formatCode="#,##0.0"/>
    <numFmt numFmtId="172" formatCode="_-* #,##0.00\ _F_B_-;\-* #,##0.00\ _F_B_-;_-* &quot;-&quot;??\ _F_B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0"/>
      <name val="Avenir Next LT Pro"/>
      <family val="2"/>
    </font>
    <font>
      <b/>
      <sz val="16"/>
      <color theme="9" tint="-0.249977111117893"/>
      <name val="Avenir Next LT Pro"/>
      <family val="2"/>
    </font>
    <font>
      <b/>
      <sz val="10"/>
      <color theme="9" tint="-0.249977111117893"/>
      <name val="Avenir Next LT Pro"/>
      <family val="2"/>
    </font>
    <font>
      <u/>
      <sz val="10"/>
      <color theme="10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b/>
      <sz val="12"/>
      <color theme="9" tint="-0.499984740745262"/>
      <name val="Avenir Next LT Pro"/>
      <family val="2"/>
    </font>
    <font>
      <sz val="12"/>
      <color theme="9" tint="-0.499984740745262"/>
      <name val="Avenir Next LT Pro"/>
      <family val="2"/>
    </font>
    <font>
      <sz val="12"/>
      <color theme="1"/>
      <name val="Avenir Next LT Pro"/>
      <family val="2"/>
    </font>
    <font>
      <b/>
      <sz val="12"/>
      <color rgb="FF4F5150"/>
      <name val="Avenir Next LT Pro"/>
      <family val="2"/>
    </font>
    <font>
      <b/>
      <i/>
      <sz val="10"/>
      <color theme="9" tint="-0.499984740745262"/>
      <name val="Avenir Next LT Pro"/>
      <family val="2"/>
    </font>
    <font>
      <sz val="10"/>
      <color theme="9" tint="-0.499984740745262"/>
      <name val="Avenir Next LT Pro"/>
      <family val="2"/>
    </font>
    <font>
      <b/>
      <sz val="12"/>
      <color theme="9" tint="-0.249977111117893"/>
      <name val="Avenir Next LT Pro"/>
      <family val="2"/>
    </font>
    <font>
      <sz val="12"/>
      <color theme="9" tint="-0.249977111117893"/>
      <name val="Avenir Next LT Pro"/>
      <family val="2"/>
    </font>
    <font>
      <sz val="10"/>
      <color theme="0"/>
      <name val="Avenir Next LT Pro"/>
      <family val="2"/>
    </font>
    <font>
      <sz val="12"/>
      <name val="Avenir Next LT Pro"/>
      <family val="2"/>
    </font>
    <font>
      <b/>
      <sz val="10"/>
      <color rgb="FF4F5150"/>
      <name val="Avenir Next LT Pro"/>
      <family val="2"/>
    </font>
    <font>
      <b/>
      <sz val="10"/>
      <name val="Avenir Next LT Pro"/>
      <family val="2"/>
    </font>
    <font>
      <b/>
      <sz val="18"/>
      <color rgb="FF92D050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1"/>
      <name val="Calibri Light"/>
      <family val="2"/>
      <scheme val="major"/>
    </font>
    <font>
      <b/>
      <sz val="14"/>
      <color rgb="FF92D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9" tint="-0.249977111117893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Avenir Next LT Pro"/>
      <family val="2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Avenir Next LT Pro"/>
      <family val="2"/>
    </font>
    <font>
      <b/>
      <sz val="14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D9D9D9"/>
      </patternFill>
    </fill>
  </fills>
  <borders count="5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92D050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ck">
        <color theme="9" tint="-0.24994659260841701"/>
      </right>
      <top style="thin">
        <color theme="9" tint="-0.24994659260841701"/>
      </top>
      <bottom/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 style="thick">
        <color theme="9" tint="-0.24994659260841701"/>
      </right>
      <top/>
      <bottom style="thin">
        <color theme="9" tint="-0.24994659260841701"/>
      </bottom>
      <diagonal/>
    </border>
    <border>
      <left style="thick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/>
      <top style="thin">
        <color theme="9" tint="-0.24994659260841701"/>
      </top>
      <bottom style="thick">
        <color theme="9" tint="-0.24994659260841701"/>
      </bottom>
      <diagonal/>
    </border>
    <border>
      <left/>
      <right/>
      <top style="thin">
        <color theme="9" tint="-0.24994659260841701"/>
      </top>
      <bottom style="thick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double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medium">
        <color theme="9" tint="-0.24994659260841701"/>
      </top>
      <bottom/>
      <diagonal/>
    </border>
    <border>
      <left/>
      <right/>
      <top style="thick">
        <color rgb="FF92D050"/>
      </top>
      <bottom style="thin">
        <color rgb="FF000000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medium">
        <color theme="9" tint="-0.24994659260841701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9" fontId="4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2" fontId="34" fillId="0" borderId="0" applyFon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" vertical="center"/>
    </xf>
    <xf numFmtId="0" fontId="8" fillId="4" borderId="0" xfId="3" applyFont="1" applyFill="1"/>
    <xf numFmtId="0" fontId="9" fillId="4" borderId="2" xfId="2" applyFont="1" applyFill="1" applyBorder="1"/>
    <xf numFmtId="0" fontId="10" fillId="4" borderId="2" xfId="2" applyFont="1" applyFill="1" applyBorder="1"/>
    <xf numFmtId="0" fontId="11" fillId="4" borderId="2" xfId="2" applyFont="1" applyFill="1" applyBorder="1" applyAlignment="1">
      <alignment vertical="top"/>
    </xf>
    <xf numFmtId="0" fontId="10" fillId="4" borderId="0" xfId="2" applyFont="1" applyFill="1" applyBorder="1"/>
    <xf numFmtId="0" fontId="12" fillId="4" borderId="0" xfId="3" applyFont="1" applyFill="1" applyAlignment="1">
      <alignment horizontal="center"/>
    </xf>
    <xf numFmtId="0" fontId="12" fillId="4" borderId="0" xfId="3" applyFont="1" applyFill="1"/>
    <xf numFmtId="0" fontId="13" fillId="3" borderId="1" xfId="3" applyFont="1" applyFill="1" applyBorder="1"/>
    <xf numFmtId="0" fontId="12" fillId="3" borderId="1" xfId="3" applyFont="1" applyFill="1" applyBorder="1"/>
    <xf numFmtId="0" fontId="12" fillId="3" borderId="1" xfId="3" applyFont="1" applyFill="1" applyBorder="1" applyAlignment="1">
      <alignment horizontal="center"/>
    </xf>
    <xf numFmtId="0" fontId="12" fillId="0" borderId="0" xfId="3" applyFont="1"/>
    <xf numFmtId="0" fontId="12" fillId="3" borderId="0" xfId="3" applyFont="1" applyFill="1"/>
    <xf numFmtId="0" fontId="12" fillId="3" borderId="0" xfId="3" applyFont="1" applyFill="1" applyAlignment="1">
      <alignment horizontal="center"/>
    </xf>
    <xf numFmtId="0" fontId="16" fillId="3" borderId="0" xfId="3" applyFont="1" applyFill="1" applyAlignment="1">
      <alignment horizontal="center"/>
    </xf>
    <xf numFmtId="0" fontId="20" fillId="3" borderId="13" xfId="3" applyFont="1" applyFill="1" applyBorder="1" applyAlignment="1">
      <alignment horizontal="left" vertical="center" wrapText="1"/>
    </xf>
    <xf numFmtId="0" fontId="21" fillId="3" borderId="15" xfId="3" applyFont="1" applyFill="1" applyBorder="1" applyAlignment="1">
      <alignment horizontal="center" vertical="center"/>
    </xf>
    <xf numFmtId="0" fontId="22" fillId="3" borderId="0" xfId="3" applyFont="1" applyFill="1" applyAlignment="1">
      <alignment wrapText="1"/>
    </xf>
    <xf numFmtId="9" fontId="21" fillId="3" borderId="15" xfId="3" applyNumberFormat="1" applyFont="1" applyFill="1" applyBorder="1" applyAlignment="1">
      <alignment horizontal="center" vertical="center"/>
    </xf>
    <xf numFmtId="0" fontId="20" fillId="3" borderId="30" xfId="3" applyFont="1" applyFill="1" applyBorder="1" applyAlignment="1">
      <alignment horizontal="left" vertical="center" wrapText="1"/>
    </xf>
    <xf numFmtId="0" fontId="18" fillId="0" borderId="0" xfId="3" applyFont="1" applyAlignment="1">
      <alignment horizontal="left" vertical="center" wrapText="1"/>
    </xf>
    <xf numFmtId="0" fontId="19" fillId="0" borderId="0" xfId="3" applyFont="1"/>
    <xf numFmtId="0" fontId="19" fillId="0" borderId="0" xfId="3" applyFont="1" applyAlignment="1">
      <alignment horizontal="left" vertical="center" wrapText="1"/>
    </xf>
    <xf numFmtId="0" fontId="19" fillId="0" borderId="0" xfId="3" applyFont="1" applyAlignment="1">
      <alignment horizontal="left"/>
    </xf>
    <xf numFmtId="0" fontId="12" fillId="3" borderId="0" xfId="3" applyFont="1" applyFill="1" applyAlignment="1">
      <alignment horizontal="left"/>
    </xf>
    <xf numFmtId="0" fontId="12" fillId="0" borderId="0" xfId="3" applyFont="1" applyAlignment="1">
      <alignment horizontal="center"/>
    </xf>
    <xf numFmtId="3" fontId="12" fillId="3" borderId="0" xfId="3" applyNumberFormat="1" applyFont="1" applyFill="1"/>
    <xf numFmtId="170" fontId="0" fillId="0" borderId="0" xfId="0" applyNumberFormat="1" applyAlignment="1">
      <alignment horizontal="center" vertical="center"/>
    </xf>
    <xf numFmtId="3" fontId="13" fillId="3" borderId="0" xfId="3" applyNumberFormat="1" applyFont="1" applyFill="1" applyAlignment="1">
      <alignment horizontal="center"/>
    </xf>
    <xf numFmtId="0" fontId="12" fillId="3" borderId="0" xfId="3" applyFont="1" applyFill="1" applyAlignment="1">
      <alignment vertical="center"/>
    </xf>
    <xf numFmtId="0" fontId="13" fillId="3" borderId="0" xfId="3" applyFont="1" applyFill="1" applyAlignment="1">
      <alignment horizontal="center"/>
    </xf>
    <xf numFmtId="0" fontId="27" fillId="0" borderId="0" xfId="0" applyFont="1" applyAlignment="1">
      <alignment vertical="center"/>
    </xf>
    <xf numFmtId="0" fontId="13" fillId="3" borderId="0" xfId="3" applyFont="1" applyFill="1" applyAlignment="1">
      <alignment horizontal="center" vertical="center" wrapText="1"/>
    </xf>
    <xf numFmtId="169" fontId="12" fillId="0" borderId="0" xfId="3" applyNumberFormat="1" applyFont="1" applyAlignment="1">
      <alignment horizontal="center"/>
    </xf>
    <xf numFmtId="169" fontId="12" fillId="0" borderId="0" xfId="3" applyNumberFormat="1" applyFont="1"/>
    <xf numFmtId="0" fontId="10" fillId="3" borderId="0" xfId="3" applyFont="1" applyFill="1"/>
    <xf numFmtId="0" fontId="0" fillId="4" borderId="0" xfId="0" applyFill="1"/>
    <xf numFmtId="0" fontId="28" fillId="4" borderId="0" xfId="3" applyFont="1" applyFill="1"/>
    <xf numFmtId="0" fontId="29" fillId="4" borderId="2" xfId="2" applyFont="1" applyFill="1" applyBorder="1"/>
    <xf numFmtId="0" fontId="30" fillId="4" borderId="2" xfId="2" applyFont="1" applyFill="1" applyBorder="1"/>
    <xf numFmtId="0" fontId="3" fillId="4" borderId="2" xfId="2" applyFill="1" applyBorder="1" applyAlignment="1">
      <alignment vertical="top"/>
    </xf>
    <xf numFmtId="0" fontId="31" fillId="4" borderId="2" xfId="3" applyFont="1" applyFill="1" applyBorder="1" applyAlignment="1">
      <alignment horizontal="center"/>
    </xf>
    <xf numFmtId="0" fontId="31" fillId="4" borderId="0" xfId="3" applyFont="1" applyFill="1" applyAlignment="1">
      <alignment horizontal="center"/>
    </xf>
    <xf numFmtId="0" fontId="31" fillId="4" borderId="0" xfId="3" applyFont="1" applyFill="1"/>
    <xf numFmtId="0" fontId="30" fillId="4" borderId="0" xfId="2" applyFont="1" applyFill="1" applyBorder="1" applyAlignment="1">
      <alignment horizontal="left" vertical="center"/>
    </xf>
    <xf numFmtId="0" fontId="30" fillId="4" borderId="0" xfId="2" applyFont="1" applyFill="1" applyBorder="1"/>
    <xf numFmtId="0" fontId="3" fillId="4" borderId="0" xfId="2" applyFill="1" applyBorder="1" applyAlignment="1">
      <alignment vertical="top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6" fontId="5" fillId="0" borderId="34" xfId="0" applyNumberFormat="1" applyFont="1" applyBorder="1" applyAlignment="1">
      <alignment horizontal="center"/>
    </xf>
    <xf numFmtId="0" fontId="5" fillId="4" borderId="0" xfId="0" applyFont="1" applyFill="1"/>
    <xf numFmtId="0" fontId="12" fillId="3" borderId="36" xfId="3" applyFont="1" applyFill="1" applyBorder="1" applyAlignment="1">
      <alignment horizontal="center"/>
    </xf>
    <xf numFmtId="0" fontId="21" fillId="3" borderId="15" xfId="3" applyFont="1" applyFill="1" applyBorder="1" applyAlignment="1">
      <alignment vertical="center"/>
    </xf>
    <xf numFmtId="0" fontId="21" fillId="3" borderId="31" xfId="3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26" fillId="0" borderId="0" xfId="0" applyFont="1" applyAlignment="1">
      <alignment horizontal="right" vertical="center" indent="1"/>
    </xf>
    <xf numFmtId="3" fontId="26" fillId="0" borderId="0" xfId="0" applyNumberFormat="1" applyFont="1" applyAlignment="1">
      <alignment horizontal="left" vertical="center" indent="1"/>
    </xf>
    <xf numFmtId="0" fontId="32" fillId="4" borderId="0" xfId="0" applyFont="1" applyFill="1" applyAlignment="1">
      <alignment horizontal="center" vertical="center"/>
    </xf>
    <xf numFmtId="166" fontId="32" fillId="4" borderId="35" xfId="0" applyNumberFormat="1" applyFont="1" applyFill="1" applyBorder="1" applyAlignment="1">
      <alignment vertical="center"/>
    </xf>
    <xf numFmtId="3" fontId="21" fillId="0" borderId="34" xfId="3" applyNumberFormat="1" applyFont="1" applyBorder="1" applyAlignment="1">
      <alignment horizontal="center" vertical="center"/>
    </xf>
    <xf numFmtId="3" fontId="20" fillId="0" borderId="13" xfId="3" applyNumberFormat="1" applyFont="1" applyBorder="1" applyAlignment="1">
      <alignment horizontal="center" vertical="center"/>
    </xf>
    <xf numFmtId="0" fontId="21" fillId="0" borderId="22" xfId="3" applyFont="1" applyBorder="1" applyAlignment="1">
      <alignment horizontal="center" vertical="center"/>
    </xf>
    <xf numFmtId="3" fontId="13" fillId="3" borderId="0" xfId="3" applyNumberFormat="1" applyFont="1" applyFill="1" applyAlignment="1">
      <alignment horizontal="center" vertical="center"/>
    </xf>
    <xf numFmtId="3" fontId="12" fillId="0" borderId="0" xfId="3" applyNumberFormat="1" applyFont="1"/>
    <xf numFmtId="9" fontId="12" fillId="3" borderId="0" xfId="1" applyFont="1" applyFill="1"/>
    <xf numFmtId="170" fontId="12" fillId="3" borderId="0" xfId="3" applyNumberFormat="1" applyFont="1" applyFill="1"/>
    <xf numFmtId="4" fontId="12" fillId="0" borderId="0" xfId="3" applyNumberFormat="1" applyFont="1"/>
    <xf numFmtId="0" fontId="33" fillId="0" borderId="0" xfId="0" applyFont="1" applyAlignment="1">
      <alignment vertical="center"/>
    </xf>
    <xf numFmtId="0" fontId="8" fillId="3" borderId="0" xfId="3" applyFont="1" applyFill="1"/>
    <xf numFmtId="0" fontId="8" fillId="0" borderId="0" xfId="3" applyFont="1"/>
    <xf numFmtId="0" fontId="5" fillId="4" borderId="2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166" fontId="0" fillId="4" borderId="37" xfId="0" applyNumberFormat="1" applyFill="1" applyBorder="1" applyAlignment="1">
      <alignment vertical="center"/>
    </xf>
    <xf numFmtId="0" fontId="5" fillId="0" borderId="10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0" xfId="3" applyFont="1" applyAlignment="1">
      <alignment horizontal="center" vertical="center" wrapText="1"/>
    </xf>
    <xf numFmtId="0" fontId="0" fillId="0" borderId="0" xfId="3" applyFont="1" applyAlignment="1">
      <alignment horizontal="center"/>
    </xf>
    <xf numFmtId="170" fontId="0" fillId="0" borderId="0" xfId="3" applyNumberFormat="1" applyFont="1" applyAlignment="1">
      <alignment horizontal="center"/>
    </xf>
    <xf numFmtId="4" fontId="0" fillId="0" borderId="0" xfId="3" applyNumberFormat="1" applyFont="1" applyAlignment="1">
      <alignment horizontal="center"/>
    </xf>
    <xf numFmtId="3" fontId="0" fillId="0" borderId="0" xfId="3" applyNumberFormat="1" applyFont="1" applyAlignment="1">
      <alignment horizontal="center"/>
    </xf>
    <xf numFmtId="171" fontId="0" fillId="0" borderId="0" xfId="3" applyNumberFormat="1" applyFont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0" xfId="3" applyFont="1"/>
    <xf numFmtId="170" fontId="0" fillId="0" borderId="0" xfId="3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3" borderId="0" xfId="3" applyFont="1" applyFill="1" applyAlignment="1">
      <alignment horizontal="center" vertical="center"/>
    </xf>
    <xf numFmtId="4" fontId="0" fillId="0" borderId="0" xfId="0" applyNumberFormat="1" applyAlignment="1">
      <alignment horizontal="center"/>
    </xf>
    <xf numFmtId="0" fontId="35" fillId="3" borderId="0" xfId="3" applyFont="1" applyFill="1"/>
    <xf numFmtId="0" fontId="23" fillId="0" borderId="0" xfId="3" applyFont="1" applyAlignment="1">
      <alignment vertical="center"/>
    </xf>
    <xf numFmtId="0" fontId="23" fillId="3" borderId="0" xfId="3" applyFont="1" applyFill="1" applyAlignment="1">
      <alignment vertical="center"/>
    </xf>
    <xf numFmtId="0" fontId="23" fillId="0" borderId="0" xfId="3" applyFont="1" applyAlignment="1">
      <alignment vertical="center" wrapText="1"/>
    </xf>
    <xf numFmtId="0" fontId="23" fillId="3" borderId="0" xfId="3" applyFont="1" applyFill="1" applyAlignment="1">
      <alignment vertical="center" wrapText="1"/>
    </xf>
    <xf numFmtId="0" fontId="3" fillId="3" borderId="0" xfId="2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39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9" fontId="0" fillId="0" borderId="39" xfId="1" applyFont="1" applyBorder="1" applyAlignment="1">
      <alignment vertical="center"/>
    </xf>
    <xf numFmtId="2" fontId="36" fillId="0" borderId="0" xfId="0" applyNumberFormat="1" applyFont="1" applyAlignment="1">
      <alignment horizontal="left" vertical="center" indent="1"/>
    </xf>
    <xf numFmtId="169" fontId="21" fillId="3" borderId="15" xfId="3" applyNumberFormat="1" applyFont="1" applyFill="1" applyBorder="1" applyAlignment="1">
      <alignment horizontal="center" vertical="center"/>
    </xf>
    <xf numFmtId="2" fontId="21" fillId="3" borderId="15" xfId="3" applyNumberFormat="1" applyFont="1" applyFill="1" applyBorder="1" applyAlignment="1">
      <alignment horizontal="center" vertical="center"/>
    </xf>
    <xf numFmtId="0" fontId="3" fillId="0" borderId="0" xfId="2" applyAlignment="1">
      <alignment vertical="center"/>
    </xf>
    <xf numFmtId="0" fontId="38" fillId="0" borderId="0" xfId="0" applyFont="1" applyAlignment="1">
      <alignment vertical="center"/>
    </xf>
    <xf numFmtId="0" fontId="0" fillId="0" borderId="40" xfId="0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2" fontId="2" fillId="0" borderId="39" xfId="0" applyNumberFormat="1" applyFont="1" applyBorder="1" applyAlignment="1">
      <alignment vertical="center"/>
    </xf>
    <xf numFmtId="169" fontId="2" fillId="0" borderId="46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2" fontId="39" fillId="0" borderId="39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3" xfId="0" applyBorder="1" applyAlignment="1">
      <alignment vertical="center" wrapText="1"/>
    </xf>
    <xf numFmtId="0" fontId="0" fillId="0" borderId="45" xfId="0" applyBorder="1" applyAlignment="1">
      <alignment vertical="center"/>
    </xf>
    <xf numFmtId="166" fontId="0" fillId="4" borderId="0" xfId="0" applyNumberFormat="1" applyFill="1"/>
    <xf numFmtId="0" fontId="5" fillId="0" borderId="34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 wrapText="1"/>
    </xf>
    <xf numFmtId="0" fontId="17" fillId="5" borderId="5" xfId="3" applyFont="1" applyFill="1" applyBorder="1" applyAlignment="1">
      <alignment horizontal="center" vertical="center" wrapText="1"/>
    </xf>
    <xf numFmtId="0" fontId="17" fillId="5" borderId="6" xfId="3" applyFont="1" applyFill="1" applyBorder="1" applyAlignment="1">
      <alignment horizontal="center" vertical="center" wrapText="1"/>
    </xf>
    <xf numFmtId="0" fontId="17" fillId="5" borderId="7" xfId="3" applyFont="1" applyFill="1" applyBorder="1" applyAlignment="1">
      <alignment horizontal="center" vertical="center" wrapText="1"/>
    </xf>
    <xf numFmtId="0" fontId="11" fillId="4" borderId="0" xfId="2" applyFont="1" applyFill="1" applyBorder="1" applyAlignment="1">
      <alignment vertical="top"/>
    </xf>
    <xf numFmtId="0" fontId="20" fillId="3" borderId="49" xfId="3" applyFont="1" applyFill="1" applyBorder="1" applyAlignment="1">
      <alignment horizontal="left" vertical="center" wrapText="1"/>
    </xf>
    <xf numFmtId="3" fontId="20" fillId="3" borderId="22" xfId="3" applyNumberFormat="1" applyFont="1" applyFill="1" applyBorder="1" applyAlignment="1">
      <alignment horizontal="center" vertical="center" wrapText="1"/>
    </xf>
    <xf numFmtId="0" fontId="17" fillId="5" borderId="48" xfId="3" applyFont="1" applyFill="1" applyBorder="1" applyAlignment="1">
      <alignment horizontal="center" vertical="center" wrapText="1"/>
    </xf>
    <xf numFmtId="3" fontId="43" fillId="0" borderId="34" xfId="3" applyNumberFormat="1" applyFont="1" applyBorder="1" applyAlignment="1">
      <alignment horizontal="center" vertical="center"/>
    </xf>
    <xf numFmtId="0" fontId="35" fillId="5" borderId="6" xfId="3" applyFont="1" applyFill="1" applyBorder="1" applyAlignment="1">
      <alignment horizontal="center" vertical="center" wrapText="1"/>
    </xf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44" fillId="0" borderId="50" xfId="0" applyFont="1" applyBorder="1"/>
    <xf numFmtId="9" fontId="0" fillId="0" borderId="0" xfId="0" applyNumberFormat="1"/>
    <xf numFmtId="10" fontId="0" fillId="0" borderId="0" xfId="0" applyNumberFormat="1"/>
    <xf numFmtId="0" fontId="36" fillId="0" borderId="0" xfId="0" applyFont="1"/>
    <xf numFmtId="3" fontId="36" fillId="0" borderId="0" xfId="0" applyNumberFormat="1" applyFont="1"/>
    <xf numFmtId="9" fontId="36" fillId="0" borderId="0" xfId="1" applyFont="1"/>
    <xf numFmtId="9" fontId="36" fillId="0" borderId="0" xfId="0" applyNumberFormat="1" applyFont="1"/>
    <xf numFmtId="2" fontId="12" fillId="0" borderId="0" xfId="3" applyNumberFormat="1" applyFont="1"/>
    <xf numFmtId="169" fontId="0" fillId="0" borderId="0" xfId="0" applyNumberFormat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165" fontId="5" fillId="4" borderId="19" xfId="0" applyNumberFormat="1" applyFont="1" applyFill="1" applyBorder="1" applyAlignment="1">
      <alignment horizontal="center"/>
    </xf>
    <xf numFmtId="165" fontId="5" fillId="4" borderId="34" xfId="0" applyNumberFormat="1" applyFont="1" applyFill="1" applyBorder="1" applyAlignment="1">
      <alignment horizontal="center"/>
    </xf>
    <xf numFmtId="0" fontId="18" fillId="0" borderId="21" xfId="3" applyFont="1" applyBorder="1" applyAlignment="1">
      <alignment horizontal="left" vertical="center" wrapText="1" indent="1"/>
    </xf>
    <xf numFmtId="0" fontId="18" fillId="0" borderId="22" xfId="3" applyFont="1" applyBorder="1" applyAlignment="1">
      <alignment horizontal="left" vertical="center" wrapText="1" indent="1"/>
    </xf>
    <xf numFmtId="0" fontId="18" fillId="0" borderId="23" xfId="3" applyFont="1" applyBorder="1" applyAlignment="1">
      <alignment horizontal="left" vertical="center" wrapText="1" indent="1"/>
    </xf>
    <xf numFmtId="0" fontId="19" fillId="0" borderId="14" xfId="3" applyFont="1" applyBorder="1" applyAlignment="1">
      <alignment horizontal="left" vertical="center" wrapText="1"/>
    </xf>
    <xf numFmtId="0" fontId="19" fillId="0" borderId="14" xfId="3" applyFont="1" applyBorder="1" applyAlignment="1">
      <alignment horizontal="left"/>
    </xf>
    <xf numFmtId="0" fontId="19" fillId="0" borderId="24" xfId="3" applyFont="1" applyBorder="1" applyAlignment="1">
      <alignment horizontal="left"/>
    </xf>
    <xf numFmtId="0" fontId="14" fillId="5" borderId="3" xfId="3" applyFont="1" applyFill="1" applyBorder="1" applyAlignment="1">
      <alignment horizontal="center" vertical="center" wrapText="1"/>
    </xf>
    <xf numFmtId="0" fontId="15" fillId="2" borderId="3" xfId="3" applyFont="1" applyFill="1" applyBorder="1"/>
    <xf numFmtId="0" fontId="15" fillId="2" borderId="4" xfId="3" applyFont="1" applyFill="1" applyBorder="1"/>
    <xf numFmtId="0" fontId="18" fillId="0" borderId="8" xfId="3" applyFont="1" applyBorder="1" applyAlignment="1">
      <alignment horizontal="left" vertical="center" wrapText="1"/>
    </xf>
    <xf numFmtId="0" fontId="18" fillId="0" borderId="9" xfId="3" applyFont="1" applyBorder="1" applyAlignment="1">
      <alignment horizontal="left" vertical="center" wrapText="1"/>
    </xf>
    <xf numFmtId="0" fontId="18" fillId="0" borderId="10" xfId="3" applyFont="1" applyBorder="1" applyAlignment="1">
      <alignment horizontal="left" vertical="center" wrapText="1"/>
    </xf>
    <xf numFmtId="0" fontId="18" fillId="0" borderId="16" xfId="3" applyFont="1" applyBorder="1" applyAlignment="1">
      <alignment horizontal="left" vertical="center" wrapText="1"/>
    </xf>
    <xf numFmtId="0" fontId="18" fillId="0" borderId="17" xfId="3" applyFont="1" applyBorder="1" applyAlignment="1">
      <alignment horizontal="left" vertical="center" wrapText="1"/>
    </xf>
    <xf numFmtId="0" fontId="18" fillId="0" borderId="18" xfId="3" applyFont="1" applyBorder="1" applyAlignment="1">
      <alignment horizontal="left" vertical="center" wrapText="1"/>
    </xf>
    <xf numFmtId="0" fontId="19" fillId="0" borderId="11" xfId="3" applyFont="1" applyBorder="1" applyAlignment="1">
      <alignment horizontal="left" vertical="center" wrapText="1"/>
    </xf>
    <xf numFmtId="0" fontId="19" fillId="0" borderId="9" xfId="3" applyFont="1" applyBorder="1" applyAlignment="1">
      <alignment horizontal="left" vertical="center" wrapText="1"/>
    </xf>
    <xf numFmtId="0" fontId="19" fillId="0" borderId="12" xfId="3" applyFont="1" applyBorder="1" applyAlignment="1">
      <alignment horizontal="left" vertical="center" wrapText="1"/>
    </xf>
    <xf numFmtId="0" fontId="19" fillId="0" borderId="19" xfId="3" applyFont="1" applyBorder="1" applyAlignment="1">
      <alignment horizontal="left" vertical="center" wrapText="1"/>
    </xf>
    <xf numFmtId="0" fontId="19" fillId="0" borderId="17" xfId="3" applyFont="1" applyBorder="1" applyAlignment="1">
      <alignment horizontal="left" vertical="center" wrapText="1"/>
    </xf>
    <xf numFmtId="0" fontId="19" fillId="0" borderId="20" xfId="3" applyFont="1" applyBorder="1" applyAlignment="1">
      <alignment horizontal="left" vertical="center" wrapText="1"/>
    </xf>
    <xf numFmtId="0" fontId="18" fillId="0" borderId="25" xfId="3" applyFont="1" applyBorder="1" applyAlignment="1">
      <alignment horizontal="left" vertical="center" wrapText="1" indent="1"/>
    </xf>
    <xf numFmtId="0" fontId="18" fillId="0" borderId="26" xfId="3" applyFont="1" applyBorder="1" applyAlignment="1">
      <alignment horizontal="left" vertical="center" wrapText="1" indent="1"/>
    </xf>
    <xf numFmtId="0" fontId="18" fillId="0" borderId="27" xfId="3" applyFont="1" applyBorder="1" applyAlignment="1">
      <alignment horizontal="left" vertical="center" wrapText="1" indent="1"/>
    </xf>
    <xf numFmtId="0" fontId="19" fillId="0" borderId="28" xfId="3" applyFont="1" applyBorder="1" applyAlignment="1">
      <alignment horizontal="left" vertical="center" wrapText="1"/>
    </xf>
    <xf numFmtId="0" fontId="19" fillId="0" borderId="28" xfId="3" applyFont="1" applyBorder="1" applyAlignment="1">
      <alignment horizontal="left"/>
    </xf>
    <xf numFmtId="0" fontId="19" fillId="0" borderId="29" xfId="3" applyFont="1" applyBorder="1" applyAlignment="1">
      <alignment horizontal="left"/>
    </xf>
    <xf numFmtId="0" fontId="17" fillId="5" borderId="5" xfId="3" applyFont="1" applyFill="1" applyBorder="1" applyAlignment="1">
      <alignment horizontal="center" vertical="center" wrapText="1"/>
    </xf>
    <xf numFmtId="0" fontId="23" fillId="2" borderId="7" xfId="3" applyFont="1" applyFill="1" applyBorder="1"/>
    <xf numFmtId="0" fontId="24" fillId="5" borderId="5" xfId="3" applyFont="1" applyFill="1" applyBorder="1" applyAlignment="1">
      <alignment horizontal="center" vertical="center" wrapText="1"/>
    </xf>
    <xf numFmtId="0" fontId="25" fillId="2" borderId="7" xfId="3" applyFont="1" applyFill="1" applyBorder="1"/>
    <xf numFmtId="0" fontId="12" fillId="0" borderId="0" xfId="3" applyFont="1" applyAlignment="1">
      <alignment horizontal="center"/>
    </xf>
    <xf numFmtId="0" fontId="26" fillId="0" borderId="32" xfId="0" applyFont="1" applyBorder="1" applyAlignment="1">
      <alignment horizontal="left" vertical="center" indent="1"/>
    </xf>
    <xf numFmtId="0" fontId="30" fillId="4" borderId="0" xfId="2" applyFont="1" applyFill="1" applyBorder="1" applyAlignment="1">
      <alignment horizontal="left" vertical="center"/>
    </xf>
    <xf numFmtId="0" fontId="0" fillId="0" borderId="39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2" fontId="36" fillId="0" borderId="39" xfId="0" applyNumberFormat="1" applyFont="1" applyBorder="1" applyAlignment="1">
      <alignment horizontal="left" vertical="center" indent="1"/>
    </xf>
  </cellXfs>
  <cellStyles count="20">
    <cellStyle name="Hipervínculo 2" xfId="11" xr:uid="{89CE5A02-9ABB-49BE-972A-26E587AF2151}"/>
    <cellStyle name="Hyperlink" xfId="2" builtinId="8"/>
    <cellStyle name="Millares [0] 2" xfId="13" xr:uid="{83ABAFA0-62A5-4070-A7D2-DFD812AA69EF}"/>
    <cellStyle name="Millares [0] 3" xfId="9" xr:uid="{4531CEC7-9F8A-416E-A84A-F345F30499E5}"/>
    <cellStyle name="Millares [0] 3 2" xfId="16" xr:uid="{6E3D6476-DC54-40EC-A328-598FC0D26BA1}"/>
    <cellStyle name="Millares [0] 4" xfId="18" xr:uid="{0B5B3D07-9B03-4C60-A8FB-75BA21F716BB}"/>
    <cellStyle name="Millares 2" xfId="4" xr:uid="{D1D6C1E8-0C3B-4DA7-AB41-23C3C90569BE}"/>
    <cellStyle name="Millares 2 2" xfId="15" xr:uid="{7C53B1C5-BC60-4AE7-842B-788D394C3EED}"/>
    <cellStyle name="Millares 3" xfId="17" xr:uid="{32DE428D-DEDE-4480-828B-515ACD6DA065}"/>
    <cellStyle name="Millares 4" xfId="14" xr:uid="{C3191B91-D49D-4619-8F5E-4053D8B376BD}"/>
    <cellStyle name="Milliers 2" xfId="19" xr:uid="{ED387A57-5914-4D17-AC7C-CBF62E8F54E6}"/>
    <cellStyle name="Moneda 2" xfId="6" xr:uid="{F949C6E7-9A85-48E9-8EFF-E1F5C02D8C21}"/>
    <cellStyle name="Moneda 3" xfId="8" xr:uid="{63B4CCFC-0F25-4206-81B4-2DAE32393CE6}"/>
    <cellStyle name="Normal" xfId="0" builtinId="0"/>
    <cellStyle name="Normal 2" xfId="3" xr:uid="{749942B9-F6EE-48A1-B38C-29F81EFB7BE1}"/>
    <cellStyle name="Normal 2 2" xfId="10" xr:uid="{0D06D7EF-DD33-4E9B-B66D-6A0E6D262C92}"/>
    <cellStyle name="Normal 3" xfId="5" xr:uid="{48EE1F69-CC51-4B76-83D8-B99A798CEC21}"/>
    <cellStyle name="Normal 4" xfId="7" xr:uid="{8040A7FA-3503-4080-86C4-43E8016C8C8E}"/>
    <cellStyle name="Per cent" xfId="1" builtinId="5"/>
    <cellStyle name="Porcentaje 2" xfId="12" xr:uid="{6731C962-C5AF-433F-825F-82FC40E32786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6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6" formatCode="_-* #,##0_-;\-* #,##0_-;_-* &quot;-&quot;??_-;_-@_-"/>
      <alignment horizontal="center" vertical="bottom" textRotation="0" wrapText="0" indent="0" justifyLastLine="0" shrinkToFit="0" readingOrder="0"/>
      <border diagonalUp="0" diagonalDown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6" formatCode="_-* #,##0_-;\-* #,##0_-;_-* &quot;-&quot;??_-;_-@_-"/>
      <alignment horizontal="center" vertical="bottom" textRotation="0" wrapText="0" indent="0" justifyLastLine="0" shrinkToFit="0" readingOrder="0"/>
      <border diagonalUp="0" diagonalDown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166" formatCode="_-* #,##0_-;\-* #,##0_-;_-* &quot;-&quot;??_-;_-@_-"/>
      <alignment horizontal="center" vertical="bottom" textRotation="0" wrapText="0" indent="0" justifyLastLine="0" shrinkToFit="0" readingOrder="0"/>
      <border diagonalUp="0" diagonalDown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border outline="0">
        <top style="thin">
          <color theme="9" tint="-0.24994659260841701"/>
        </top>
      </border>
    </dxf>
    <dxf>
      <border outline="0">
        <left style="medium">
          <color theme="9" tint="-0.24994659260841701"/>
        </left>
        <right style="medium">
          <color theme="9" tint="-0.24994659260841701"/>
        </right>
        <top style="medium">
          <color theme="9" tint="-0.24994659260841701"/>
        </top>
      </border>
    </dxf>
    <dxf>
      <border outline="0"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/>
        <bottom/>
      </border>
    </dxf>
    <dxf>
      <numFmt numFmtId="171" formatCode="#,##0.0"/>
    </dxf>
    <dxf>
      <alignment horizontal="center" vertical="center" textRotation="0" indent="0" justifyLastLine="0" shrinkToFit="0" readingOrder="0"/>
    </dxf>
    <dxf>
      <numFmt numFmtId="14" formatCode="0.00%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DBH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'Assumptions Calculat'!$C$15</c:f>
              <c:strCache>
                <c:ptCount val="1"/>
                <c:pt idx="0">
                  <c:v>DBH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'Assumptions Calculat'!$B$16:$B$55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'Assumptions Calculat'!$C$16:$C$55</c:f>
              <c:numCache>
                <c:formatCode>0.0</c:formatCode>
                <c:ptCount val="40"/>
                <c:pt idx="0">
                  <c:v>2.7679884465390468E-4</c:v>
                </c:pt>
                <c:pt idx="1">
                  <c:v>5.5336239660259924E-3</c:v>
                </c:pt>
                <c:pt idx="2">
                  <c:v>2.8766453623657557E-2</c:v>
                </c:pt>
                <c:pt idx="3">
                  <c:v>8.6413608206960674E-2</c:v>
                </c:pt>
                <c:pt idx="4">
                  <c:v>0.192649848081656</c:v>
                </c:pt>
                <c:pt idx="5">
                  <c:v>0.3563219840565609</c:v>
                </c:pt>
                <c:pt idx="6">
                  <c:v>0.58024498861795248</c:v>
                </c:pt>
                <c:pt idx="7">
                  <c:v>0.86192743753982781</c:v>
                </c:pt>
                <c:pt idx="8">
                  <c:v>1.1949286542065627</c:v>
                </c:pt>
                <c:pt idx="9">
                  <c:v>1.5703281195162211</c:v>
                </c:pt>
                <c:pt idx="10">
                  <c:v>1.9780275638081601</c:v>
                </c:pt>
                <c:pt idx="11">
                  <c:v>2.4077706020279614</c:v>
                </c:pt>
                <c:pt idx="12">
                  <c:v>2.8498625274925025</c:v>
                </c:pt>
                <c:pt idx="13">
                  <c:v>3.2956229821931591</c:v>
                </c:pt>
                <c:pt idx="14">
                  <c:v>3.737624173638022</c:v>
                </c:pt>
                <c:pt idx="15">
                  <c:v>4.1697700855037159</c:v>
                </c:pt>
                <c:pt idx="16">
                  <c:v>4.5872663219200716</c:v>
                </c:pt>
                <c:pt idx="17">
                  <c:v>4.9865210512948641</c:v>
                </c:pt>
                <c:pt idx="18">
                  <c:v>5.3650078779190302</c:v>
                </c:pt>
                <c:pt idx="19">
                  <c:v>5.7211127994159989</c:v>
                </c:pt>
                <c:pt idx="20">
                  <c:v>6.0539802640259532</c:v>
                </c:pt>
                <c:pt idx="21">
                  <c:v>6.3633678038821149</c:v>
                </c:pt>
                <c:pt idx="22">
                  <c:v>6.6495146347531353</c:v>
                </c:pt>
                <c:pt idx="23">
                  <c:v>6.9130267335117193</c:v>
                </c:pt>
                <c:pt idx="24">
                  <c:v>7.1547789720689883</c:v>
                </c:pt>
                <c:pt idx="25">
                  <c:v>7.3758336646326192</c:v>
                </c:pt>
                <c:pt idx="26">
                  <c:v>7.5773741764465843</c:v>
                </c:pt>
                <c:pt idx="27">
                  <c:v>7.7606518902807267</c:v>
                </c:pt>
                <c:pt idx="28">
                  <c:v>7.926944713018929</c:v>
                </c:pt>
                <c:pt idx="29">
                  <c:v>8.0775253414867567</c:v>
                </c:pt>
                <c:pt idx="30">
                  <c:v>8.2136376320972051</c:v>
                </c:pt>
                <c:pt idx="31">
                  <c:v>8.3364795902354754</c:v>
                </c:pt>
                <c:pt idx="32">
                  <c:v>8.4471916841727843</c:v>
                </c:pt>
                <c:pt idx="33">
                  <c:v>8.5468493766937907</c:v>
                </c:pt>
                <c:pt idx="34">
                  <c:v>8.6364589448429587</c:v>
                </c:pt>
                <c:pt idx="35">
                  <c:v>8.7169558185326661</c:v>
                </c:pt>
                <c:pt idx="36">
                  <c:v>8.7892048098049287</c:v>
                </c:pt>
                <c:pt idx="37">
                  <c:v>8.8540017259924149</c:v>
                </c:pt>
                <c:pt idx="38">
                  <c:v>8.9120759628335158</c:v>
                </c:pt>
                <c:pt idx="39">
                  <c:v>8.9640937593981942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9D-4854-B1D3-DAE51B004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14175"/>
        <c:axId val="536017087"/>
      </c:scatterChart>
      <c:valAx>
        <c:axId val="536014175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Age (year)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6017087"/>
        <c:crosses val="autoZero"/>
        <c:crossBetween val="midCat"/>
      </c:valAx>
      <c:valAx>
        <c:axId val="53601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/>
                  <a:t>DBH</a:t>
                </a:r>
                <a:r>
                  <a:rPr lang="es-ES" sz="1400" baseline="0"/>
                  <a:t> (cm)</a:t>
                </a:r>
                <a:endParaRPr lang="es-ES" sz="1400"/>
              </a:p>
            </c:rich>
          </c:tx>
          <c:layout>
            <c:manualLayout>
              <c:xMode val="edge"/>
              <c:yMode val="edge"/>
              <c:x val="1.1554015020219527E-2"/>
              <c:y val="0.39248934412446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601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>
                    <a:lumMod val="75000"/>
                  </a:schemeClr>
                </a:solidFill>
              </a:rPr>
              <a:t>Estimated Carbon</a:t>
            </a:r>
            <a:r>
              <a:rPr lang="en-US" baseline="0">
                <a:solidFill>
                  <a:schemeClr val="accent6">
                    <a:lumMod val="75000"/>
                  </a:schemeClr>
                </a:solidFill>
              </a:rPr>
              <a:t> Credits</a:t>
            </a:r>
            <a:endParaRPr lang="en-US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VCUs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Lit>
              <c:ptCount val="30"/>
              <c:pt idx="0">
                <c:v>2022</c:v>
              </c:pt>
              <c:pt idx="1">
                <c:v>2023</c:v>
              </c:pt>
              <c:pt idx="2">
                <c:v>2024</c:v>
              </c:pt>
              <c:pt idx="3">
                <c:v>2025</c:v>
              </c:pt>
              <c:pt idx="4">
                <c:v>2026</c:v>
              </c:pt>
              <c:pt idx="5">
                <c:v>2027</c:v>
              </c:pt>
              <c:pt idx="6">
                <c:v>2028</c:v>
              </c:pt>
              <c:pt idx="7">
                <c:v>2029</c:v>
              </c:pt>
              <c:pt idx="8">
                <c:v>2030</c:v>
              </c:pt>
              <c:pt idx="9">
                <c:v>2031</c:v>
              </c:pt>
              <c:pt idx="10">
                <c:v>2032</c:v>
              </c:pt>
              <c:pt idx="11">
                <c:v>2033</c:v>
              </c:pt>
              <c:pt idx="12">
                <c:v>2034</c:v>
              </c:pt>
              <c:pt idx="13">
                <c:v>2035</c:v>
              </c:pt>
              <c:pt idx="14">
                <c:v>2036</c:v>
              </c:pt>
              <c:pt idx="15">
                <c:v>2037</c:v>
              </c:pt>
              <c:pt idx="16">
                <c:v>2038</c:v>
              </c:pt>
              <c:pt idx="17">
                <c:v>2039</c:v>
              </c:pt>
              <c:pt idx="18">
                <c:v>2040</c:v>
              </c:pt>
              <c:pt idx="19">
                <c:v>2041</c:v>
              </c:pt>
              <c:pt idx="20">
                <c:v>2042</c:v>
              </c:pt>
              <c:pt idx="21">
                <c:v>2043</c:v>
              </c:pt>
              <c:pt idx="22">
                <c:v>2044</c:v>
              </c:pt>
              <c:pt idx="23">
                <c:v>2045</c:v>
              </c:pt>
              <c:pt idx="24">
                <c:v>2046</c:v>
              </c:pt>
              <c:pt idx="25">
                <c:v>2047</c:v>
              </c:pt>
              <c:pt idx="26">
                <c:v>2048</c:v>
              </c:pt>
              <c:pt idx="27">
                <c:v>2049</c:v>
              </c:pt>
              <c:pt idx="28">
                <c:v>2050</c:v>
              </c:pt>
              <c:pt idx="29">
                <c:v>2051</c:v>
              </c:pt>
            </c:strLit>
          </c:xVal>
          <c:yVal>
            <c:numLit>
              <c:formatCode>General</c:formatCode>
              <c:ptCount val="30"/>
              <c:pt idx="0">
                <c:v>7479.9999999999982</c:v>
              </c:pt>
              <c:pt idx="1">
                <c:v>14961.442128083454</c:v>
              </c:pt>
              <c:pt idx="2">
                <c:v>22464.306745746973</c:v>
              </c:pt>
              <c:pt idx="3">
                <c:v>22613.539473055207</c:v>
              </c:pt>
              <c:pt idx="4">
                <c:v>23182.503088949648</c:v>
              </c:pt>
              <c:pt idx="5">
                <c:v>24671.353594894244</c:v>
              </c:pt>
              <c:pt idx="6">
                <c:v>27626.980225755418</c:v>
              </c:pt>
              <c:pt idx="7">
                <c:v>32408.537376508255</c:v>
              </c:pt>
              <c:pt idx="8">
                <c:v>39037.985710822599</c:v>
              </c:pt>
              <c:pt idx="9">
                <c:v>47192.579848339388</c:v>
              </c:pt>
              <c:pt idx="10">
                <c:v>56303.337233789658</c:v>
              </c:pt>
              <c:pt idx="11">
                <c:v>65694.207144538275</c:v>
              </c:pt>
              <c:pt idx="12">
                <c:v>74709.59898620873</c:v>
              </c:pt>
              <c:pt idx="13">
                <c:v>82803.495199869038</c:v>
              </c:pt>
              <c:pt idx="14">
                <c:v>89584.851671916316</c:v>
              </c:pt>
              <c:pt idx="15">
                <c:v>94826.466436342773</c:v>
              </c:pt>
              <c:pt idx="16">
                <c:v>98449.124487928289</c:v>
              </c:pt>
              <c:pt idx="17">
                <c:v>100492.53725854862</c:v>
              </c:pt>
              <c:pt idx="18">
                <c:v>101082.03977562886</c:v>
              </c:pt>
              <c:pt idx="19">
                <c:v>100396.93389130957</c:v>
              </c:pt>
              <c:pt idx="20">
                <c:v>98643.67566048546</c:v>
              </c:pt>
              <c:pt idx="21">
                <c:v>88555.123855149926</c:v>
              </c:pt>
              <c:pt idx="22">
                <c:v>77815.798002585128</c:v>
              </c:pt>
              <c:pt idx="23">
                <c:v>66612.401762530222</c:v>
              </c:pt>
              <c:pt idx="24">
                <c:v>62588.581121040712</c:v>
              </c:pt>
              <c:pt idx="25">
                <c:v>58402.855090268829</c:v>
              </c:pt>
              <c:pt idx="26">
                <c:v>54168.763801377005</c:v>
              </c:pt>
              <c:pt idx="27">
                <c:v>49976.446323394179</c:v>
              </c:pt>
              <c:pt idx="28">
                <c:v>45895.039795012664</c:v>
              </c:pt>
              <c:pt idx="29">
                <c:v>41975.456129106518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50A-4ADD-8CF4-C2FE9669C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063311"/>
        <c:axId val="345067055"/>
      </c:scatterChart>
      <c:valAx>
        <c:axId val="34506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>
                    <a:solidFill>
                      <a:schemeClr val="accent6">
                        <a:lumMod val="75000"/>
                      </a:schemeClr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6204122534328607"/>
              <c:y val="0.927758557265466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067055"/>
        <c:crosses val="autoZero"/>
        <c:crossBetween val="midCat"/>
      </c:valAx>
      <c:valAx>
        <c:axId val="34506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>
                    <a:solidFill>
                      <a:schemeClr val="accent6">
                        <a:lumMod val="75000"/>
                      </a:schemeClr>
                    </a:solidFill>
                  </a:rPr>
                  <a:t>VCU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06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>
                    <a:lumMod val="75000"/>
                  </a:schemeClr>
                </a:solidFill>
              </a:rPr>
              <a:t>Estimated Carbon</a:t>
            </a:r>
            <a:r>
              <a:rPr lang="en-US" baseline="0">
                <a:solidFill>
                  <a:schemeClr val="accent6">
                    <a:lumMod val="75000"/>
                  </a:schemeClr>
                </a:solidFill>
              </a:rPr>
              <a:t> Credits</a:t>
            </a:r>
            <a:endParaRPr lang="en-US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Calculat'!$H$5</c:f>
              <c:strCache>
                <c:ptCount val="1"/>
                <c:pt idx="0">
                  <c:v>NET VCUs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'Summary Calculat'!$C$6:$C$45</c:f>
              <c:numCache>
                <c:formatCode>General</c:formatCode>
                <c:ptCount val="4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  <c:pt idx="29">
                  <c:v>2051</c:v>
                </c:pt>
                <c:pt idx="30">
                  <c:v>2052</c:v>
                </c:pt>
                <c:pt idx="31">
                  <c:v>2053</c:v>
                </c:pt>
                <c:pt idx="32">
                  <c:v>2054</c:v>
                </c:pt>
                <c:pt idx="33">
                  <c:v>2055</c:v>
                </c:pt>
                <c:pt idx="34">
                  <c:v>2056</c:v>
                </c:pt>
                <c:pt idx="35">
                  <c:v>2057</c:v>
                </c:pt>
                <c:pt idx="36">
                  <c:v>2058</c:v>
                </c:pt>
                <c:pt idx="37">
                  <c:v>2059</c:v>
                </c:pt>
                <c:pt idx="38">
                  <c:v>2060</c:v>
                </c:pt>
                <c:pt idx="39">
                  <c:v>2061</c:v>
                </c:pt>
              </c:numCache>
            </c:numRef>
          </c:xVal>
          <c:yVal>
            <c:numRef>
              <c:f>'Summary Calculat'!$H$6:$H$45</c:f>
              <c:numCache>
                <c:formatCode>_-* #,##0_-;\-* #,##0_-;_-* "-"??_-;_-@_-</c:formatCode>
                <c:ptCount val="40"/>
                <c:pt idx="0">
                  <c:v>0</c:v>
                </c:pt>
                <c:pt idx="1">
                  <c:v>5.4916811984481919E-3</c:v>
                </c:pt>
                <c:pt idx="2">
                  <c:v>0.29353423436469572</c:v>
                </c:pt>
                <c:pt idx="3">
                  <c:v>4.3088522411288839</c:v>
                </c:pt>
                <c:pt idx="4">
                  <c:v>1307.6624762285869</c:v>
                </c:pt>
                <c:pt idx="5">
                  <c:v>4126.4493212954358</c:v>
                </c:pt>
                <c:pt idx="6">
                  <c:v>8160.3303740987794</c:v>
                </c:pt>
                <c:pt idx="7">
                  <c:v>12306.792705161539</c:v>
                </c:pt>
                <c:pt idx="8">
                  <c:v>16287.208558287204</c:v>
                </c:pt>
                <c:pt idx="9">
                  <c:v>24648.579644122365</c:v>
                </c:pt>
                <c:pt idx="10">
                  <c:v>36684.886098392926</c:v>
                </c:pt>
                <c:pt idx="11">
                  <c:v>50251.03862891371</c:v>
                </c:pt>
                <c:pt idx="12">
                  <c:v>61514.731663100334</c:v>
                </c:pt>
                <c:pt idx="13">
                  <c:v>69817.086764488078</c:v>
                </c:pt>
                <c:pt idx="14">
                  <c:v>78721.113664467266</c:v>
                </c:pt>
                <c:pt idx="15">
                  <c:v>87709.836675067869</c:v>
                </c:pt>
                <c:pt idx="16">
                  <c:v>96282.927494151707</c:v>
                </c:pt>
                <c:pt idx="17">
                  <c:v>104012.50160378171</c:v>
                </c:pt>
                <c:pt idx="18">
                  <c:v>110576.45555041649</c:v>
                </c:pt>
                <c:pt idx="19">
                  <c:v>115770.39672017354</c:v>
                </c:pt>
                <c:pt idx="20">
                  <c:v>119502.79088033432</c:v>
                </c:pt>
                <c:pt idx="21">
                  <c:v>121779.15538582041</c:v>
                </c:pt>
                <c:pt idx="22">
                  <c:v>122680.74637353289</c:v>
                </c:pt>
                <c:pt idx="23">
                  <c:v>122342.01078866098</c:v>
                </c:pt>
                <c:pt idx="24">
                  <c:v>120929.68069527972</c:v>
                </c:pt>
                <c:pt idx="25">
                  <c:v>118625.12390884175</c:v>
                </c:pt>
                <c:pt idx="26">
                  <c:v>115610.58584020278</c:v>
                </c:pt>
                <c:pt idx="27">
                  <c:v>112059.29103695933</c:v>
                </c:pt>
                <c:pt idx="28">
                  <c:v>108128.98028988119</c:v>
                </c:pt>
                <c:pt idx="29">
                  <c:v>103958.27526118094</c:v>
                </c:pt>
                <c:pt idx="30">
                  <c:v>99665.220748834472</c:v>
                </c:pt>
                <c:pt idx="31">
                  <c:v>95347.398633416509</c:v>
                </c:pt>
                <c:pt idx="32">
                  <c:v>91083.09513417531</c:v>
                </c:pt>
                <c:pt idx="33">
                  <c:v>86933.105689339834</c:v>
                </c:pt>
                <c:pt idx="34">
                  <c:v>82942.862126032021</c:v>
                </c:pt>
                <c:pt idx="35">
                  <c:v>79144.655499734072</c:v>
                </c:pt>
                <c:pt idx="36">
                  <c:v>75559.801244784772</c:v>
                </c:pt>
                <c:pt idx="37">
                  <c:v>72200.650638601423</c:v>
                </c:pt>
                <c:pt idx="38">
                  <c:v>69072.395443111178</c:v>
                </c:pt>
                <c:pt idx="39">
                  <c:v>66174.643178865605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C-4CA2-8713-91CDEF747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063311"/>
        <c:axId val="345067055"/>
      </c:scatterChart>
      <c:valAx>
        <c:axId val="34506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400">
                    <a:solidFill>
                      <a:schemeClr val="accent6">
                        <a:lumMod val="75000"/>
                      </a:schemeClr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6204122534328607"/>
              <c:y val="0.927758557265466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067055"/>
        <c:crosses val="autoZero"/>
        <c:crossBetween val="midCat"/>
      </c:valAx>
      <c:valAx>
        <c:axId val="34506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>
                    <a:solidFill>
                      <a:schemeClr val="accent6">
                        <a:lumMod val="75000"/>
                      </a:schemeClr>
                    </a:solidFill>
                  </a:rPr>
                  <a:t>VCU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506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25400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1</xdr:rowOff>
    </xdr:from>
    <xdr:to>
      <xdr:col>2</xdr:col>
      <xdr:colOff>133350</xdr:colOff>
      <xdr:row>0</xdr:row>
      <xdr:rowOff>702311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FE0A16-D182-4751-8AF7-DEECE878F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1" y="1"/>
          <a:ext cx="1653539" cy="706120"/>
        </a:xfrm>
        <a:prstGeom prst="rect">
          <a:avLst/>
        </a:prstGeom>
      </xdr:spPr>
    </xdr:pic>
    <xdr:clientData/>
  </xdr:twoCellAnchor>
  <xdr:twoCellAnchor>
    <xdr:from>
      <xdr:col>3</xdr:col>
      <xdr:colOff>329565</xdr:colOff>
      <xdr:row>13</xdr:row>
      <xdr:rowOff>57149</xdr:rowOff>
    </xdr:from>
    <xdr:to>
      <xdr:col>12</xdr:col>
      <xdr:colOff>41413</xdr:colOff>
      <xdr:row>28</xdr:row>
      <xdr:rowOff>289559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D24CB0-27F4-48E8-A476-DF0CF3F5B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448376</xdr:colOff>
      <xdr:row>2</xdr:row>
      <xdr:rowOff>50799</xdr:rowOff>
    </xdr:from>
    <xdr:to>
      <xdr:col>17</xdr:col>
      <xdr:colOff>105278</xdr:colOff>
      <xdr:row>31</xdr:row>
      <xdr:rowOff>113995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86F5F6-7900-A54F-1101-20A1B7843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8805" y="685799"/>
          <a:ext cx="7276902" cy="5379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133562</xdr:colOff>
      <xdr:row>53</xdr:row>
      <xdr:rowOff>57996</xdr:rowOff>
    </xdr:from>
    <xdr:to>
      <xdr:col>8</xdr:col>
      <xdr:colOff>207857</xdr:colOff>
      <xdr:row>76</xdr:row>
      <xdr:rowOff>9101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1964-D729-4CD3-AB45-2025EE7DF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1</xdr:rowOff>
    </xdr:from>
    <xdr:to>
      <xdr:col>3</xdr:col>
      <xdr:colOff>154305</xdr:colOff>
      <xdr:row>1</xdr:row>
      <xdr:rowOff>702311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85270-AD80-4573-BEF5-AA8E1807F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1" y="137161"/>
          <a:ext cx="1792604" cy="702310"/>
        </a:xfrm>
        <a:prstGeom prst="rect">
          <a:avLst/>
        </a:prstGeom>
      </xdr:spPr>
    </xdr:pic>
    <xdr:clientData/>
  </xdr:twoCellAnchor>
  <xdr:twoCellAnchor>
    <xdr:from>
      <xdr:col>10</xdr:col>
      <xdr:colOff>470534</xdr:colOff>
      <xdr:row>4</xdr:row>
      <xdr:rowOff>81914</xdr:rowOff>
    </xdr:from>
    <xdr:to>
      <xdr:col>19</xdr:col>
      <xdr:colOff>730249</xdr:colOff>
      <xdr:row>25</xdr:row>
      <xdr:rowOff>111759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021131-9FAE-4F22-BA42-8224D6E785EE}"/>
            </a:ext>
            <a:ext uri="{147F2762-F138-4A5C-976F-8EAC2B608ADB}">
              <a16:predDERef xmlns:a16="http://schemas.microsoft.com/office/drawing/2014/main" pred="{77185270-AD80-4573-BEF5-AA8E1807F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398633</xdr:colOff>
      <xdr:row>11</xdr:row>
      <xdr:rowOff>39614</xdr:rowOff>
    </xdr:from>
    <xdr:to>
      <xdr:col>10</xdr:col>
      <xdr:colOff>1109191</xdr:colOff>
      <xdr:row>27</xdr:row>
      <xdr:rowOff>1761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805162-560C-C569-A1F6-8338A47C2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7729" y="2677306"/>
          <a:ext cx="3289635" cy="2892917"/>
        </a:xfrm>
        <a:prstGeom prst="rect">
          <a:avLst/>
        </a:prstGeom>
      </xdr:spPr>
    </xdr:pic>
    <xdr:clientData/>
  </xdr:twoCellAnchor>
  <xdr:twoCellAnchor editAs="oneCell">
    <xdr:from>
      <xdr:col>0</xdr:col>
      <xdr:colOff>531495</xdr:colOff>
      <xdr:row>8</xdr:row>
      <xdr:rowOff>9525</xdr:rowOff>
    </xdr:from>
    <xdr:to>
      <xdr:col>7</xdr:col>
      <xdr:colOff>130054</xdr:colOff>
      <xdr:row>19</xdr:row>
      <xdr:rowOff>15431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D24917-7264-33B9-5C1C-A4357D1B5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" y="2333625"/>
          <a:ext cx="5925064" cy="2198561"/>
        </a:xfrm>
        <a:prstGeom prst="rect">
          <a:avLst/>
        </a:prstGeom>
      </xdr:spPr>
    </xdr:pic>
    <xdr:clientData/>
  </xdr:twoCellAnchor>
  <xdr:twoCellAnchor editAs="oneCell">
    <xdr:from>
      <xdr:col>11</xdr:col>
      <xdr:colOff>458470</xdr:colOff>
      <xdr:row>10</xdr:row>
      <xdr:rowOff>90512</xdr:rowOff>
    </xdr:from>
    <xdr:to>
      <xdr:col>18</xdr:col>
      <xdr:colOff>417695</xdr:colOff>
      <xdr:row>23</xdr:row>
      <xdr:rowOff>143425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0AD07F1-E238-47B8-0B35-72581132E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6970" y="2537704"/>
          <a:ext cx="5791456" cy="2441490"/>
        </a:xfrm>
        <a:prstGeom prst="rect">
          <a:avLst/>
        </a:prstGeom>
      </xdr:spPr>
    </xdr:pic>
    <xdr:clientData/>
  </xdr:twoCellAnchor>
  <xdr:twoCellAnchor>
    <xdr:from>
      <xdr:col>3</xdr:col>
      <xdr:colOff>617366</xdr:colOff>
      <xdr:row>11</xdr:row>
      <xdr:rowOff>143022</xdr:rowOff>
    </xdr:from>
    <xdr:to>
      <xdr:col>4</xdr:col>
      <xdr:colOff>326195</xdr:colOff>
      <xdr:row>13</xdr:row>
      <xdr:rowOff>25498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E3DB717-A6D7-907A-81A5-85EB57EC3E2A}"/>
            </a:ext>
          </a:extLst>
        </xdr:cNvPr>
        <xdr:cNvSpPr/>
      </xdr:nvSpPr>
      <xdr:spPr>
        <a:xfrm>
          <a:off x="3496847" y="2780714"/>
          <a:ext cx="500136" cy="24882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  <xdr:twoCellAnchor>
    <xdr:from>
      <xdr:col>3</xdr:col>
      <xdr:colOff>597144</xdr:colOff>
      <xdr:row>15</xdr:row>
      <xdr:rowOff>76346</xdr:rowOff>
    </xdr:from>
    <xdr:to>
      <xdr:col>4</xdr:col>
      <xdr:colOff>317403</xdr:colOff>
      <xdr:row>16</xdr:row>
      <xdr:rowOff>149615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544E357-C2D0-4022-A912-C927FFBB7395}"/>
            </a:ext>
          </a:extLst>
        </xdr:cNvPr>
        <xdr:cNvSpPr/>
      </xdr:nvSpPr>
      <xdr:spPr>
        <a:xfrm>
          <a:off x="3476625" y="3446731"/>
          <a:ext cx="511566" cy="256442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cotsas.sharepoint.com/Mi%20unidad/Computador/Modelos%20financieros/Plantillas/RENEN/220217_Modelo%20financiero%20La%20Noque_V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Guide"/>
      <sheetName val="General Project Data"/>
      <sheetName val="Project income"/>
      <sheetName val="Investments"/>
      <sheetName val="Investments summary"/>
      <sheetName val="Loan"/>
      <sheetName val="Equity investment"/>
      <sheetName val="Depreciation"/>
      <sheetName val="Cashflows"/>
      <sheetName val="Summary BD"/>
      <sheetName val="Processing"/>
      <sheetName val="Results"/>
      <sheetName val="Project Costs"/>
      <sheetName val="Pre-Summary"/>
      <sheetName val="Summary"/>
      <sheetName val="Negotiation Limits"/>
      <sheetName val="Sensibilidades e indicadores"/>
      <sheetName val="Procesamiento1"/>
      <sheetName val="Procesamiento2"/>
      <sheetName val="Procesamiento 3"/>
      <sheetName val="220217_Modelo financiero La N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an Diego  Muñoz Borrego" id="{8CF6D918-7955-4588-B12E-BA2243B859D9}" userId="S::jdm@allcot.com::714c4f10-5c8b-4802-9b67-96d04286234e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351480-70C2-4763-9DA5-B14448CB9FA7}" autoFormatId="16" applyNumberFormats="0" applyBorderFormats="0" applyFontFormats="0" applyPatternFormats="0" applyAlignmentFormats="0" applyWidthHeightFormats="0">
  <queryTableRefresh nextId="9" unboundColumnsRight="2">
    <queryTableFields count="6">
      <queryTableField id="1" name="Year" tableColumnId="1"/>
      <queryTableField id="2" name="SSP1-2.6" tableColumnId="2"/>
      <queryTableField id="3" name="SSP2-4.5" tableColumnId="3"/>
      <queryTableField id="4" name="SSP5-8.5" tableColumnId="4"/>
      <queryTableField id="7" dataBound="0" tableColumnId="7"/>
      <queryTableField id="8" dataBound="0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F14BE8-52AA-4170-B259-47D2C2B5F64A}" name="Tabla110" displayName="Tabla110" ref="B15:C55" totalsRowShown="0">
  <autoFilter ref="B15:C55" xr:uid="{4FAD4DD9-3415-46B8-8C0D-06800A3DA7C8}"/>
  <tableColumns count="2">
    <tableColumn id="1" xr3:uid="{91FD55E0-1ED6-4F66-A507-AF672F507BDF}" name="Age (year)"/>
    <tableColumn id="2" xr3:uid="{A5A92583-909C-44F6-BDDF-A8F877645336}" name="DBH (cm)" dataDxfId="22">
      <calculatedColumnFormula>(9.4*(1-(EXP(-0.115*B16)))^4.7)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65ABF8-A853-4F69-BA52-D9BA5D96532A}" name="Table008__Page_15" displayName="Table008__Page_15" ref="B4:G20" tableType="queryTable" totalsRowCount="1">
  <autoFilter ref="B4:G19" xr:uid="{F865ABF8-A853-4F69-BA52-D9BA5D96532A}"/>
  <tableColumns count="6">
    <tableColumn id="1" xr3:uid="{FBD795CE-4A99-4202-94C5-D6AF16BF45B4}" uniqueName="1" name="Year" queryTableFieldId="1" dataDxfId="21"/>
    <tableColumn id="2" xr3:uid="{DDE21369-13D0-4F9C-A7BF-3C0BDE643080}" uniqueName="2" name="SSP1-2.6" queryTableFieldId="2" dataDxfId="20" totalsRowDxfId="19"/>
    <tableColumn id="3" xr3:uid="{79DD374D-536C-40CC-AACC-8BDB219FAA14}" uniqueName="3" name="SSP2-4.5" queryTableFieldId="3" dataDxfId="18" totalsRowDxfId="17"/>
    <tableColumn id="4" xr3:uid="{3F3795A6-0C63-4DD4-8399-10D5610F460F}" uniqueName="4" name="SSP5-8.5" queryTableFieldId="4" dataDxfId="16" totalsRowDxfId="15"/>
    <tableColumn id="7" xr3:uid="{BCB61F8D-1E15-412B-9A4A-C8013DA0F05B}" uniqueName="7" name="SSP5-8.6" totalsRowFunction="custom" queryTableFieldId="7" totalsRowDxfId="14">
      <calculatedColumnFormula>Table008__Page_15[[#This Row],[SSP5-8.5]]/7000</calculatedColumnFormula>
      <totalsRowFormula>SUM(Table008__Page_15[SSP5-8.6])</totalsRowFormula>
    </tableColumn>
    <tableColumn id="5" xr3:uid="{6AA577B5-109F-476A-BEDF-1ABACE7A7C6E}" uniqueName="5" name="Cumulative loss - Crediting perio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9837DB-2E8B-4FBC-B99D-7B0C4B70A75D}" name="Tabla28" displayName="Tabla28" ref="B6:P46" totalsRowShown="0">
  <autoFilter ref="B6:P46" xr:uid="{CA000385-2FCC-476C-91B7-765C7B39A95B}"/>
  <tableColumns count="15">
    <tableColumn id="1" xr3:uid="{28E45BE8-69C5-4833-94D3-E4CC2C31BF79}" name="Years"/>
    <tableColumn id="4" xr3:uid="{4516ACD7-7AE3-4EEC-B837-56E7CCF870ED}" name="Year">
      <calculatedColumnFormula>$C$7</calculatedColumnFormula>
    </tableColumn>
    <tableColumn id="2" xr3:uid="{21C0A2C9-1503-49EF-80DD-B1A27D6A27C6}" name="DBH (cm)" dataDxfId="13">
      <calculatedColumnFormula>'Assumptions Calculat'!C16</calculatedColumnFormula>
    </tableColumn>
    <tableColumn id="3" xr3:uid="{DCD4C5CB-D143-41C1-A547-CCC8A52373A4}" name="AGB (Kg d.m.)/tree">
      <calculatedColumnFormula>(EXP(5.5344244+(2.40477*LN(Tabla28[[#This Row],[DBH (cm)]]))))/1000</calculatedColumnFormula>
    </tableColumn>
    <tableColumn id="18" xr3:uid="{8A9C493B-BED2-48B5-B5ED-42BDA095B19B}" name="BGB (Kg d.m.)/tree">
      <calculatedColumnFormula>Tabla28[[#This Row],[AGB (Kg d.m.)/tree]]*'Assumptions Calculat'!$N$9</calculatedColumnFormula>
    </tableColumn>
    <tableColumn id="17" xr3:uid="{3B594AD0-BB82-417D-809D-B83CEAA32779}" name="Btree (kg d.m.)/tree">
      <calculatedColumnFormula>Tabla28[[#This Row],[BGB (Kg d.m.)/tree]]+Tabla28[[#This Row],[AGB (Kg d.m.)/tree]]</calculatedColumnFormula>
    </tableColumn>
    <tableColumn id="16" xr3:uid="{81B66625-5289-4858-9D26-A8AFBDA9FDEF}" name="Density (trees/ha)">
      <calculatedColumnFormula>'Assumptions Calculat'!$L$10*(1-'Assumptions Calculat'!$P$7)</calculatedColumnFormula>
    </tableColumn>
    <tableColumn id="14" xr3:uid="{7DC82950-51F6-4B7D-A677-963DACE3AAA5}" name="Btree (t d.m./ha)">
      <calculatedColumnFormula>(Tabla28[[#This Row],[Btree (kg d.m.)/tree]]/1000)*Tabla28[[#This Row],[Density (trees/ha)]]</calculatedColumnFormula>
    </tableColumn>
    <tableColumn id="13" xr3:uid="{EBB1E2BD-AB7A-4C41-BBA4-068A24E843F8}" name="Btree (t C/ha)">
      <calculatedColumnFormula>Tabla28[[#This Row],[Btree (t d.m./ha)]]*'Assumptions Calculat'!$N$10</calculatedColumnFormula>
    </tableColumn>
    <tableColumn id="24" xr3:uid="{2DC449D6-8736-45A8-A9B6-7CC2489B5B91}" name="Tree Biomass Carbol pool (t CO2)">
      <calculatedColumnFormula>Tabla28[[#This Row],[Btree (t C/ha)]]*(44/12)*'Assumptions Calculat'!$L$5</calculatedColumnFormula>
    </tableColumn>
    <tableColumn id="25" xr3:uid="{30034AE7-2945-40A4-B7C5-1137E2562830}" name="NET Tree Biomass Carbol pool (t CO2)">
      <calculatedColumnFormula>Tabla28[[#This Row],[Tree Biomass Carbol pool (t CO2)]]-K6</calculatedColumnFormula>
    </tableColumn>
    <tableColumn id="6" xr3:uid="{E2B56E3C-3567-4BA0-AD43-84371DAFB3CF}" name="%cover"/>
    <tableColumn id="5" xr3:uid="{F8AFC408-3CD0-4AF8-8A32-3EDBECFE805A}" name="SOC (t CO2/ha)" dataDxfId="12">
      <calculatedColumnFormula array="1">_xlfn.IFS(Tabla28[[#This Row],[%cover]]&lt;=15%,0,Tabla28[[#This Row],[%cover]]&gt;=50%,'Assumptions Calculat'!$P$11*44/12,Tabla28[[#This Row],[%cover]],44/12*Tabla28[[#This Row],[%cover]]*'Assumptions Calculat'!$P$11)</calculatedColumnFormula>
    </tableColumn>
    <tableColumn id="23" xr3:uid="{DBCD5E21-94F7-46F0-8435-3E5F0E6C4CDC}" name="Net VCU (t CO2)">
      <calculatedColumnFormula>Tabla28[[#This Row],[NET Tree Biomass Carbol pool (t CO2)]]+(N7*'Assumptions Calculat'!$L$5)</calculatedColumnFormula>
    </tableColumn>
    <tableColumn id="22" xr3:uid="{E7D51ADC-0FC1-4962-A482-17073C75E935}" name="Net VCU (t CO2) with Buffer">
      <calculatedColumnFormula>IF('Assumptions Calculat'!$L$5="",0,Tabla28[[#This Row],[Net VCU (t CO2)]]*(1-'Assumptions Calculat'!$P$6))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C5895E-5F6B-49F5-8BA1-4DF5EC31A3A4}" name="Tabla26" displayName="Tabla26" ref="R6:AF46" totalsRowShown="0">
  <autoFilter ref="R6:AF46" xr:uid="{FBEDDA85-14F1-431C-BD8F-BC52FDE9CA89}"/>
  <tableColumns count="15">
    <tableColumn id="1" xr3:uid="{90B67B13-FAB7-49CB-AE44-8049AB65232F}" name="Years"/>
    <tableColumn id="4" xr3:uid="{7891E28B-F235-4EDC-87F3-4A633263898E}" name="Year">
      <calculatedColumnFormula>$C$7</calculatedColumnFormula>
    </tableColumn>
    <tableColumn id="2" xr3:uid="{E74159B5-7745-413A-9F1F-3A5FB38C31E9}" name="DBH (cm)"/>
    <tableColumn id="3" xr3:uid="{24D6BB15-F51C-4BCD-91C0-1ECFF882CBE9}" name="AGB (Kg d.m.)/tree">
      <calculatedColumnFormula>10^(1.731*(LOG10(T7))-0.112)</calculatedColumnFormula>
    </tableColumn>
    <tableColumn id="18" xr3:uid="{890B4D0B-14C4-42A3-AA2E-9F95DE6A580F}" name="BGB (Kg d.m.)/tree"/>
    <tableColumn id="17" xr3:uid="{1E231082-032D-407F-BDDD-22DEED0C0FCB}" name="Btree (kg d.m.)/tree">
      <calculatedColumnFormula>Tabla26[[#This Row],[BGB (Kg d.m.)/tree]]+Tabla26[[#This Row],[AGB (Kg d.m.)/tree]]</calculatedColumnFormula>
    </tableColumn>
    <tableColumn id="16" xr3:uid="{8C4CEAEE-4C8B-4697-B562-48622EAB1FDE}" name="Density (trees/ha)"/>
    <tableColumn id="14" xr3:uid="{6939C047-0DB6-4498-AA3D-AF9711D8D2F1}" name="Btree (t d.m./ha)">
      <calculatedColumnFormula>(Tabla26[[#This Row],[Btree (kg d.m.)/tree]]/1000)*Tabla26[[#This Row],[Density (trees/ha)]]</calculatedColumnFormula>
    </tableColumn>
    <tableColumn id="13" xr3:uid="{F8E3EB09-04CF-452C-9898-5A186C70A8BB}" name="Btree (t C/ha)"/>
    <tableColumn id="24" xr3:uid="{9599EEAF-D051-40F5-A930-12994D37FA66}" name="Tree Biomass Carbol pool (t CO2)"/>
    <tableColumn id="25" xr3:uid="{A79A99F1-0BCF-460C-B638-4F5B52FCEC14}" name="NET Tree Biomass Carbol pool (t CO2)">
      <calculatedColumnFormula>Tabla26[[#This Row],[Tree Biomass Carbol pool (t CO2)]]-AA6</calculatedColumnFormula>
    </tableColumn>
    <tableColumn id="6" xr3:uid="{2934AF31-C6D4-4AAF-BA08-12D83A1D3FC1}" name="%COVER"/>
    <tableColumn id="5" xr3:uid="{5EC730CA-C847-403F-8D13-7AEE4C6D74BB}" name="SOC (t CO2/ha)">
      <calculatedColumnFormula array="1">_xlfn.IFS(Tabla26[[#This Row],[%COVER]]&lt;15%,0,Tabla26[[#This Row],[%COVER]]&gt;=50%,'Assumptions Calculat'!$P$5*44/12,Tabla26[[#This Row],[%COVER]],44/12*Tabla26[[#This Row],[%COVER]]*'Assumptions Calculat'!$P$5)</calculatedColumnFormula>
    </tableColumn>
    <tableColumn id="23" xr3:uid="{1EB038C5-30E8-4783-BF8F-0A1624EF8DAB}" name="Net VCU (t CO2)"/>
    <tableColumn id="22" xr3:uid="{84CD11A2-81BE-4908-811B-A3025D2AAE14}" name="Net VCU (t CO2) with Buffer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6B2C09F-6396-4434-93C8-D18807A36EDB}" name="Tabla265" displayName="Tabla265" ref="AH6:AV46" totalsRowShown="0">
  <autoFilter ref="AH6:AV46" xr:uid="{95A0121E-CDEA-430A-A910-61C17CE4AD7B}"/>
  <tableColumns count="15">
    <tableColumn id="1" xr3:uid="{D6F0ECE3-5DBA-4142-86D6-14ADDE75EEF9}" name="Years"/>
    <tableColumn id="4" xr3:uid="{CE5A9ACF-E764-4B20-ABB9-EC3A348257FA}" name="Year">
      <calculatedColumnFormula>$C$7</calculatedColumnFormula>
    </tableColumn>
    <tableColumn id="2" xr3:uid="{C340BAA0-A6EF-420F-B08A-4DCE64B8905F}" name="DBH (cm)"/>
    <tableColumn id="3" xr3:uid="{DBD4E3B8-4722-4B96-A4E7-7984B5DA2795}" name="AGB (Kg d.m.)/tree">
      <calculatedColumnFormula>10^(1.731*(LOG10(AJ7))-0.112)</calculatedColumnFormula>
    </tableColumn>
    <tableColumn id="18" xr3:uid="{47E97E44-3557-4396-BC50-9774958E5D28}" name="BGB (Kg d.m.)/tree"/>
    <tableColumn id="17" xr3:uid="{4A3611FF-0318-4C10-B484-5C1D947164A3}" name="Btree (kg d.m.)/tree">
      <calculatedColumnFormula>Tabla265[[#This Row],[BGB (Kg d.m.)/tree]]+Tabla265[[#This Row],[AGB (Kg d.m.)/tree]]</calculatedColumnFormula>
    </tableColumn>
    <tableColumn id="16" xr3:uid="{084AB730-1D0D-4191-B5A0-54D45F6BF91F}" name="Density (trees/ha)"/>
    <tableColumn id="14" xr3:uid="{7C0B7032-5AA8-4611-AF10-436B69B5C2CD}" name="Btree (t d.m./ha)">
      <calculatedColumnFormula>(Tabla265[[#This Row],[Btree (kg d.m.)/tree]]/1000)*Tabla265[[#This Row],[Density (trees/ha)]]</calculatedColumnFormula>
    </tableColumn>
    <tableColumn id="13" xr3:uid="{7C8A258C-E931-470F-91DC-31E01B55EFD4}" name="Btree (t C/ha)"/>
    <tableColumn id="24" xr3:uid="{071D8E06-4C57-4E54-85C1-6C1EEE3294AF}" name="Tree Biomass Carbol pool (t CO2)"/>
    <tableColumn id="25" xr3:uid="{A9C33B1E-CF39-4E62-9B27-AC5927D7005F}" name="NET Tree Biomass Carbol pool (t CO2)">
      <calculatedColumnFormula>Tabla265[[#This Row],[Tree Biomass Carbol pool (t CO2)]]-AQ6</calculatedColumnFormula>
    </tableColumn>
    <tableColumn id="6" xr3:uid="{6FF5E689-2521-4B9A-998A-6B968BB9F697}" name="%COVER"/>
    <tableColumn id="5" xr3:uid="{6AE85460-A115-42C1-A8CB-33F00EC21910}" name="SOC (t CO2/ha)">
      <calculatedColumnFormula array="1">_xlfn.IFS(Tabla265[[#This Row],[%COVER]]&lt;=15%,0,Tabla265[[#This Row],[%COVER]]&gt;=50%,'Assumptions Calculat'!P3*44/12,Tabla265[[#This Row],[%COVER]],44/12*Tabla265[[#This Row],[%COVER]]*'Assumptions Calculat'!P3)</calculatedColumnFormula>
    </tableColumn>
    <tableColumn id="23" xr3:uid="{201C0FA0-05AC-49C5-B81C-AD70D67B80C6}" name="Net VCU (t CO2)"/>
    <tableColumn id="22" xr3:uid="{A2998722-1299-41DC-9F31-92844BBFF775}" name="Net VCU (t CO2) with Buffer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E064CA0-0F36-4071-A2E5-F8BF1517D413}" name="Tabla2657" displayName="Tabla2657" ref="AX6:BL46" totalsRowShown="0">
  <autoFilter ref="AX6:BL46" xr:uid="{67215E50-0318-49EC-8718-A7391257578E}"/>
  <tableColumns count="15">
    <tableColumn id="1" xr3:uid="{42B81DD8-6EB7-4AA0-9FB5-7175BCB5F307}" name="Years"/>
    <tableColumn id="4" xr3:uid="{DA827EE2-7811-40CF-B2C5-A825C1313D13}" name="Year">
      <calculatedColumnFormula>$C$7</calculatedColumnFormula>
    </tableColumn>
    <tableColumn id="2" xr3:uid="{AE26057C-0CF3-4BE3-8B3F-F38B7BE4D2DE}" name="DBH (cm)"/>
    <tableColumn id="3" xr3:uid="{815A3763-C248-40FE-AAA8-D5603F66A39A}" name="AGB (Kg d.m.)/tree">
      <calculatedColumnFormula>10^(1.731*(LOG10(AZ7))-0.112)</calculatedColumnFormula>
    </tableColumn>
    <tableColumn id="18" xr3:uid="{B19D0C1E-2D7C-4B69-81E0-0D95A9D4D4E7}" name="BGB (Kg d.m.)/tree"/>
    <tableColumn id="17" xr3:uid="{4885F73E-7A95-4EBC-B73B-8473D9A63E27}" name="Btree (kg d.m.)/tree">
      <calculatedColumnFormula>Tabla2657[[#This Row],[BGB (Kg d.m.)/tree]]+Tabla2657[[#This Row],[AGB (Kg d.m.)/tree]]</calculatedColumnFormula>
    </tableColumn>
    <tableColumn id="16" xr3:uid="{2A4DB100-C34F-4490-BDD7-E9F6B2DD6EE1}" name="Density (trees/ha)"/>
    <tableColumn id="14" xr3:uid="{025F7603-AFEB-4843-8D26-5C5419CC6884}" name="Btree (t d.m./ha)">
      <calculatedColumnFormula>(Tabla2657[[#This Row],[Btree (kg d.m.)/tree]]/1000)*Tabla2657[[#This Row],[Density (trees/ha)]]</calculatedColumnFormula>
    </tableColumn>
    <tableColumn id="13" xr3:uid="{9B999972-6882-4606-B5D3-B693FC947922}" name="Btree (t C/ha)"/>
    <tableColumn id="24" xr3:uid="{68EA68BA-6DA4-4F67-9180-7AB3AA21145D}" name="Tree Biomass Carbol pool (t CO2)"/>
    <tableColumn id="25" xr3:uid="{D411573E-C11A-41F1-A58B-195342E28124}" name="NET Tree Biomass Carbol pool (t CO2)">
      <calculatedColumnFormula>Tabla2657[[#This Row],[Tree Biomass Carbol pool (t CO2)]]-BG6</calculatedColumnFormula>
    </tableColumn>
    <tableColumn id="6" xr3:uid="{99113D71-6622-4ACB-9E7D-AA7E80F0D9A0}" name="%cover"/>
    <tableColumn id="5" xr3:uid="{99F5D818-D764-4DBA-B917-BC0FE44ACBD0}" name="SOC (t CO2/ha)">
      <calculatedColumnFormula array="1">_xlfn.IFS(Tabla2657[[#This Row],[%cover]]&lt;=15%,0,Tabla2657[[#This Row],[%cover]]&gt;=50%,'Assumptions Calculat'!$P$5*44/12,Tabla2657[[#This Row],[%cover]],44/12*Tabla2657[[#This Row],[%cover]]*'Assumptions Calculat'!$P$5)</calculatedColumnFormula>
    </tableColumn>
    <tableColumn id="23" xr3:uid="{60DF0C18-A816-46F7-9950-F49A4D309550}" name="Net VCU (t CO2)"/>
    <tableColumn id="22" xr3:uid="{C4CBC515-841A-4768-BFAF-992D85101757}" name="Net VCU (t CO2) with Buffer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A378AD6-F5BD-4A22-A186-17817DED7FF9}" name="Tabla326" displayName="Tabla326" ref="B5:I45" totalsRowShown="0" headerRowDxfId="11" headerRowBorderDxfId="10" tableBorderDxfId="9" totalsRowBorderDxfId="8">
  <autoFilter ref="B5:I45" xr:uid="{BD2AA241-1BDC-47D4-BBF9-F17998064E9B}"/>
  <tableColumns count="8">
    <tableColumn id="1" xr3:uid="{7592C584-6ED1-4974-A619-5A74B68E0452}" name="Num of year" dataDxfId="7">
      <calculatedColumnFormula>B5+1</calculatedColumnFormula>
    </tableColumn>
    <tableColumn id="2" xr3:uid="{F2573ABA-8A15-4C12-B92A-667A004A71BF}" name="Year" dataDxfId="6">
      <calculatedColumnFormula>$H$3+B5</calculatedColumnFormula>
    </tableColumn>
    <tableColumn id="8" xr3:uid="{490C9E55-F7B2-4F11-8748-329170F50675}" name="Estimated baseline removals (Tco2e)" dataDxfId="5"/>
    <tableColumn id="7" xr3:uid="{2016D1DD-DC61-494D-A772-57A39A3C71E3}" name="Estimated project removals (Tco2e)2" dataDxfId="4">
      <calculatedColumnFormula>'ARR Calculations'!O7+'ARR Calculations'!AE7+'ARR Calculations'!AU7+'ARR Calculations'!BK7</calculatedColumnFormula>
    </tableColumn>
    <tableColumn id="10" xr3:uid="{3B717BB6-7A10-45B7-BEFD-64CDCC8645E9}" name="Estimated leakage emissions (Tco2e)" dataDxfId="3"/>
    <tableColumn id="11" xr3:uid="{3F33ACD8-50E5-4108-B78F-EDA6239B6F0B}" name="Estimated buffer pool allocation (Tco2e)" dataDxfId="2">
      <calculatedColumnFormula>(Tabla326[[#This Row],[Estimated baseline removals (Tco2e)]]+Tabla326[[#This Row],[Estimated project removals (Tco2e)2]]-Tabla326[[#This Row],[Estimated leakage emissions (Tco2e)]])*'Assumptions Calculat'!$P$6</calculatedColumnFormula>
    </tableColumn>
    <tableColumn id="5" xr3:uid="{E47A173C-8B6B-4BF1-9545-EF32768D01AC}" name="NET VCUs" dataDxfId="1">
      <calculatedColumnFormula>Tabla326[[#This Row],[Estimated baseline removals (Tco2e)]]+Tabla326[[#This Row],[Estimated project removals (Tco2e)2]]-Tabla326[[#This Row],[Estimated leakage emissions (Tco2e)]]-Tabla326[[#This Row],[Estimated buffer pool allocation (Tco2e)]]</calculatedColumnFormula>
    </tableColumn>
    <tableColumn id="3" xr3:uid="{6A2B0EBA-969B-49CA-B539-50E57F2913D4}" name="Columna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9" dT="2024-08-16T11:18:50.55" personId="{8CF6D918-7955-4588-B12E-BA2243B859D9}" id="{DBC5FA32-BD08-4E67-9429-FA547E8C0685}">
    <text>Ratio of below-ground biomass to above-ground biomass (R) in mangroves in tropical dry region, from Table 4.5. of the IPCC document : “2013 supplement to the 2006 IPCC guidelines for national greenhouse gas inventories: wetlands”. 
Document: Wetlands_Supplement_Entire_Report.pdf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4-10-24T16:17:43.26" personId="{8CF6D918-7955-4588-B12E-BA2243B859D9}" id="{AD214405-5709-4478-82A9-E9EB6562B9F5}">
    <text>Two mangrove categories according to Kauffman and Bhomia for Senegal Mangroves</text>
  </threadedComment>
  <threadedComment ref="C4" dT="2024-10-24T16:16:59.41" personId="{8CF6D918-7955-4588-B12E-BA2243B859D9}" id="{949A0365-8348-49E4-BFAB-4C3586911502}">
    <text>0-30 cm considered for calculating deduction of alloctonous carbon and this carbon is deposited on the surface of the soil</text>
  </threadedComment>
  <threadedComment ref="E4" dT="2024-10-24T16:15:59.80" personId="{8CF6D918-7955-4588-B12E-BA2243B859D9}" id="{108613D0-7A70-456D-B6DE-8ED72A22259D}">
    <text>Kauffman and Bhomia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microsoft.com/office/2017/10/relationships/threadedComment" Target="../threadedComments/threadedComment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lo.br/j/bjoce/a/CFg7SqsyWq5wbZ37JvnVTRf/Document:%20Allometric%20model%20Rhizophora%20mangle.pdf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www.researchgate.net/publication/326283334_The_Science_and_Policy_of_the_Verified_Carbon_Standard_Methodology_for_Tidal_Wetland_and_Seagrass_Restoration" TargetMode="External"/><Relationship Id="rId1" Type="http://schemas.openxmlformats.org/officeDocument/2006/relationships/hyperlink" Target="https://estuaries.org/wp-content/uploads/2018/08/rae-coastal-blue-carbon-methodology-web.pdf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F311-142D-425D-B95D-ED32671666A1}">
  <sheetPr>
    <tabColor theme="7" tint="0.59999389629810485"/>
  </sheetPr>
  <dimension ref="A1:AK782"/>
  <sheetViews>
    <sheetView showGridLines="0" tabSelected="1" zoomScale="90" zoomScaleNormal="90" workbookViewId="0">
      <selection activeCell="G50" sqref="G50"/>
    </sheetView>
  </sheetViews>
  <sheetFormatPr baseColWidth="10" defaultColWidth="14" defaultRowHeight="15" customHeight="1" x14ac:dyDescent="0.2"/>
  <cols>
    <col min="1" max="1" width="4.5" style="12" customWidth="1"/>
    <col min="2" max="3" width="23.5" style="12" customWidth="1"/>
    <col min="4" max="4" width="25.1640625" style="12" customWidth="1"/>
    <col min="5" max="8" width="14.5" style="12" customWidth="1"/>
    <col min="9" max="9" width="5.1640625" style="12" customWidth="1"/>
    <col min="10" max="11" width="24" style="12" customWidth="1"/>
    <col min="12" max="12" width="23.1640625" style="12" customWidth="1"/>
    <col min="13" max="13" width="18" style="12" customWidth="1"/>
    <col min="14" max="14" width="12.83203125" style="12" customWidth="1"/>
    <col min="15" max="15" width="25.83203125" style="12" customWidth="1"/>
    <col min="16" max="16" width="43.1640625" style="12" customWidth="1"/>
    <col min="17" max="17" width="3.83203125" style="12" customWidth="1"/>
    <col min="18" max="18" width="69.83203125" style="12" customWidth="1"/>
    <col min="19" max="19" width="18.5" style="12" customWidth="1"/>
    <col min="20" max="37" width="10.5" style="12" customWidth="1"/>
    <col min="38" max="16384" width="14" style="12"/>
  </cols>
  <sheetData>
    <row r="1" spans="1:37" s="8" customFormat="1" ht="81.5" customHeight="1" thickBot="1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5"/>
      <c r="K1" s="126"/>
      <c r="L1" s="6"/>
      <c r="M1" s="6"/>
      <c r="N1" s="6"/>
      <c r="O1" s="6"/>
      <c r="P1" s="6"/>
      <c r="Q1" s="7"/>
    </row>
    <row r="2" spans="1:37" ht="14.25" customHeight="1" thickTop="1" x14ac:dyDescent="0.2">
      <c r="A2" s="9"/>
      <c r="B2" s="10"/>
      <c r="C2" s="10"/>
      <c r="D2" s="10"/>
      <c r="E2" s="10"/>
      <c r="F2" s="11"/>
      <c r="G2" s="11"/>
      <c r="H2" s="11"/>
      <c r="I2" s="11"/>
      <c r="J2" s="11"/>
      <c r="K2" s="11"/>
      <c r="L2" s="54"/>
      <c r="M2" s="54"/>
      <c r="N2" s="54"/>
      <c r="O2" s="54"/>
      <c r="P2" s="5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4.25" customHeight="1" thickBot="1" x14ac:dyDescent="0.25">
      <c r="A3" s="13"/>
      <c r="B3" s="13"/>
      <c r="C3" s="13"/>
      <c r="D3" s="13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ht="65" thickTop="1" x14ac:dyDescent="0.2">
      <c r="A4" s="13"/>
      <c r="B4" s="153" t="s">
        <v>1</v>
      </c>
      <c r="C4" s="154"/>
      <c r="D4" s="154"/>
      <c r="E4" s="153" t="s">
        <v>2</v>
      </c>
      <c r="F4" s="154"/>
      <c r="G4" s="154"/>
      <c r="H4" s="155"/>
      <c r="I4" s="15"/>
      <c r="J4" s="123" t="s">
        <v>3</v>
      </c>
      <c r="K4" s="129" t="s">
        <v>4</v>
      </c>
      <c r="L4" s="131" t="s">
        <v>5</v>
      </c>
      <c r="M4" s="124" t="s">
        <v>6</v>
      </c>
      <c r="N4" s="124"/>
      <c r="O4" s="124"/>
      <c r="P4" s="125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7" ht="38.5" customHeight="1" x14ac:dyDescent="0.2">
      <c r="A5" s="13"/>
      <c r="B5" s="156" t="s">
        <v>7</v>
      </c>
      <c r="C5" s="157"/>
      <c r="D5" s="158"/>
      <c r="E5" s="162" t="s">
        <v>8</v>
      </c>
      <c r="F5" s="163"/>
      <c r="G5" s="163"/>
      <c r="H5" s="164"/>
      <c r="I5" s="14"/>
      <c r="J5" s="16" t="s">
        <v>9</v>
      </c>
      <c r="K5" s="62">
        <v>1149</v>
      </c>
      <c r="L5" s="130">
        <f>K5*(100%-SLR!G11)</f>
        <v>1090.4420357142858</v>
      </c>
      <c r="M5" s="63" t="s">
        <v>10</v>
      </c>
      <c r="N5" s="64">
        <v>2022</v>
      </c>
      <c r="O5" s="16" t="s">
        <v>11</v>
      </c>
      <c r="P5" s="17">
        <v>2.4</v>
      </c>
      <c r="Q5" s="92"/>
      <c r="R5" s="95" t="s">
        <v>12</v>
      </c>
      <c r="S5" s="27">
        <f>'Summary Calculat'!H46</f>
        <v>2861923.074617893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7" ht="51" customHeight="1" x14ac:dyDescent="0.2">
      <c r="A6" s="13"/>
      <c r="B6" s="159"/>
      <c r="C6" s="160"/>
      <c r="D6" s="161"/>
      <c r="E6" s="165"/>
      <c r="F6" s="166"/>
      <c r="G6" s="166"/>
      <c r="H6" s="167"/>
      <c r="I6" s="14"/>
      <c r="J6" s="16" t="s">
        <v>13</v>
      </c>
      <c r="K6" s="62">
        <v>2115</v>
      </c>
      <c r="L6" s="130">
        <f>K6*(100%-SLR!G12)</f>
        <v>1982.9786785714284</v>
      </c>
      <c r="M6" s="63" t="s">
        <v>14</v>
      </c>
      <c r="N6" s="64">
        <f>N5+1</f>
        <v>2023</v>
      </c>
      <c r="O6" s="16" t="s">
        <v>15</v>
      </c>
      <c r="P6" s="19">
        <v>0.13</v>
      </c>
      <c r="Q6" s="18" t="s">
        <v>16</v>
      </c>
      <c r="R6" s="93" t="s">
        <v>17</v>
      </c>
      <c r="S6" s="27">
        <f>'Summary Calculat'!I47</f>
        <v>0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7" ht="67.25" customHeight="1" x14ac:dyDescent="0.2">
      <c r="A7" s="13"/>
      <c r="B7" s="147" t="s">
        <v>18</v>
      </c>
      <c r="C7" s="148"/>
      <c r="D7" s="149"/>
      <c r="E7" s="150" t="s">
        <v>19</v>
      </c>
      <c r="F7" s="151"/>
      <c r="G7" s="151"/>
      <c r="H7" s="152"/>
      <c r="I7" s="14"/>
      <c r="J7" s="16" t="s">
        <v>20</v>
      </c>
      <c r="K7" s="62">
        <v>2397</v>
      </c>
      <c r="L7" s="130">
        <f>K7*(100%-SLR!G13)</f>
        <v>2222.8442528571427</v>
      </c>
      <c r="M7" s="63" t="s">
        <v>21</v>
      </c>
      <c r="N7" s="64">
        <f t="shared" ref="N7:N8" si="0">N6+1</f>
        <v>2024</v>
      </c>
      <c r="O7" s="16" t="s">
        <v>22</v>
      </c>
      <c r="P7" s="19">
        <v>0.5</v>
      </c>
      <c r="Q7" s="13"/>
      <c r="R7" s="94" t="s">
        <v>23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7" ht="51" customHeight="1" thickBot="1" x14ac:dyDescent="0.25">
      <c r="A8" s="13"/>
      <c r="B8" s="168" t="s">
        <v>24</v>
      </c>
      <c r="C8" s="169"/>
      <c r="D8" s="170"/>
      <c r="E8" s="171" t="s">
        <v>25</v>
      </c>
      <c r="F8" s="172"/>
      <c r="G8" s="172"/>
      <c r="H8" s="173"/>
      <c r="I8" s="14"/>
      <c r="J8" s="16" t="s">
        <v>26</v>
      </c>
      <c r="K8" s="62">
        <f>7000-K7-K6-K5</f>
        <v>1339</v>
      </c>
      <c r="L8" s="130">
        <f>K8*(100%-SLR!G14)</f>
        <v>1227.7635314285715</v>
      </c>
      <c r="M8" s="63" t="s">
        <v>27</v>
      </c>
      <c r="N8" s="64">
        <f t="shared" si="0"/>
        <v>2025</v>
      </c>
      <c r="O8" s="16" t="s">
        <v>28</v>
      </c>
      <c r="P8" s="55" t="s">
        <v>29</v>
      </c>
      <c r="Q8" s="13"/>
      <c r="R8" s="97" t="s">
        <v>30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7" ht="59" customHeight="1" thickTop="1" x14ac:dyDescent="0.2">
      <c r="A9" s="13"/>
      <c r="B9" s="21"/>
      <c r="C9" s="22"/>
      <c r="D9" s="22"/>
      <c r="E9" s="23"/>
      <c r="F9" s="130"/>
      <c r="G9" s="24"/>
      <c r="H9" s="24"/>
      <c r="I9" s="14"/>
      <c r="J9" s="16" t="s">
        <v>31</v>
      </c>
      <c r="K9" s="128">
        <f>SUM(K5:K8)</f>
        <v>7000</v>
      </c>
      <c r="L9" s="130">
        <f>SUM(L5:L8)</f>
        <v>6524.0284985714288</v>
      </c>
      <c r="M9" s="16" t="s">
        <v>32</v>
      </c>
      <c r="N9" s="17">
        <v>0.28999999999999998</v>
      </c>
      <c r="O9" s="16" t="s">
        <v>33</v>
      </c>
      <c r="P9" s="55" t="s">
        <v>34</v>
      </c>
      <c r="Q9" s="13"/>
      <c r="R9" s="96" t="s">
        <v>35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7" ht="57.5" customHeight="1" thickBot="1" x14ac:dyDescent="0.25">
      <c r="A10" s="13"/>
      <c r="B10" s="21"/>
      <c r="C10" s="22"/>
      <c r="D10" s="22"/>
      <c r="E10" s="23"/>
      <c r="F10" s="24"/>
      <c r="G10" s="24"/>
      <c r="H10" s="24"/>
      <c r="I10" s="14"/>
      <c r="J10" s="20" t="s">
        <v>36</v>
      </c>
      <c r="K10" s="127"/>
      <c r="L10" s="130">
        <v>5500</v>
      </c>
      <c r="M10" s="20" t="s">
        <v>37</v>
      </c>
      <c r="N10" s="56">
        <v>0.47</v>
      </c>
      <c r="O10" s="16" t="s">
        <v>38</v>
      </c>
      <c r="P10" s="104">
        <f>SOC!K9</f>
        <v>23.561573856247001</v>
      </c>
      <c r="Q10" s="13"/>
      <c r="R10" s="94" t="s">
        <v>39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7" ht="66" customHeight="1" x14ac:dyDescent="0.2">
      <c r="A11" s="13"/>
      <c r="B11" s="21"/>
      <c r="C11" s="22"/>
      <c r="D11" s="22"/>
      <c r="E11" s="23"/>
      <c r="F11" s="24"/>
      <c r="G11" s="24"/>
      <c r="H11" s="24"/>
      <c r="I11" s="14"/>
      <c r="L11" s="142"/>
      <c r="O11" s="16" t="s">
        <v>40</v>
      </c>
      <c r="P11" s="103">
        <f>P5*(1-P10/100)</f>
        <v>1.8345222274500719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7" ht="18.5" customHeight="1" thickBot="1" x14ac:dyDescent="0.25">
      <c r="A12" s="13"/>
      <c r="B12" s="21"/>
      <c r="C12" s="22"/>
      <c r="D12" s="22"/>
      <c r="E12" s="23"/>
      <c r="F12" s="24"/>
      <c r="G12" s="24"/>
      <c r="H12" s="24"/>
      <c r="I12" s="1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7" ht="22.75" customHeight="1" thickBot="1" x14ac:dyDescent="0.25">
      <c r="A13" s="13"/>
      <c r="B13" s="174" t="s">
        <v>41</v>
      </c>
      <c r="C13" s="175"/>
      <c r="D13" s="25"/>
      <c r="E13" s="13"/>
      <c r="H13" s="14"/>
      <c r="I13" s="14"/>
      <c r="P13" s="66"/>
      <c r="Q13" s="13"/>
      <c r="R13" s="13"/>
      <c r="S13" s="66"/>
      <c r="T13" s="13"/>
      <c r="U13" s="13"/>
      <c r="V13" s="66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24.5" customHeight="1" x14ac:dyDescent="0.2">
      <c r="A14" s="13"/>
      <c r="B14" s="176" t="s">
        <v>42</v>
      </c>
      <c r="C14" s="177"/>
      <c r="E14" s="13"/>
      <c r="F14" s="178"/>
      <c r="G14" s="178"/>
      <c r="H14" s="14"/>
      <c r="I14" s="14"/>
      <c r="P14" s="66"/>
      <c r="Q14" s="13"/>
      <c r="R14" s="13"/>
      <c r="S14" s="67"/>
      <c r="T14" s="13"/>
      <c r="U14" s="13"/>
      <c r="V14" s="67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25.25" customHeight="1" x14ac:dyDescent="0.2">
      <c r="A15" s="13"/>
      <c r="B15" s="1" t="s">
        <v>43</v>
      </c>
      <c r="C15" s="1" t="s">
        <v>44</v>
      </c>
      <c r="D15" s="1"/>
      <c r="E15" s="27"/>
      <c r="H15" s="14"/>
      <c r="I15" s="14"/>
      <c r="Q15" s="13"/>
      <c r="R15" s="13"/>
      <c r="S15" s="68"/>
      <c r="T15" s="13"/>
      <c r="U15" s="13"/>
      <c r="V15" s="68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25.25" customHeight="1" x14ac:dyDescent="0.2">
      <c r="A16" s="13"/>
      <c r="B16" s="1">
        <v>1</v>
      </c>
      <c r="C16" s="28">
        <f t="shared" ref="C16:C54" si="1">(9.4*(1-(EXP(-0.115*B16)))^4.7)</f>
        <v>2.7679884465390468E-4</v>
      </c>
      <c r="D16" s="28"/>
      <c r="E16" s="13"/>
      <c r="H16" s="14"/>
      <c r="I16" s="14"/>
      <c r="O16" s="14"/>
      <c r="P16" s="66"/>
      <c r="Q16" s="13"/>
      <c r="R16" s="13"/>
      <c r="S16" s="66"/>
      <c r="T16" s="13"/>
      <c r="U16" s="13"/>
      <c r="V16" s="66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25.25" customHeight="1" x14ac:dyDescent="0.2">
      <c r="A17" s="13"/>
      <c r="B17" s="1">
        <v>2</v>
      </c>
      <c r="C17" s="28">
        <f t="shared" si="1"/>
        <v>5.5336239660259924E-3</v>
      </c>
      <c r="D17" s="28"/>
      <c r="E17" s="13"/>
      <c r="H17" s="14"/>
      <c r="I17" s="13"/>
      <c r="O17" s="14"/>
      <c r="P17" s="66"/>
      <c r="Q17" s="13"/>
      <c r="R17" s="13"/>
      <c r="S17" s="69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25.25" customHeight="1" x14ac:dyDescent="0.2">
      <c r="A18" s="13"/>
      <c r="B18" s="1">
        <v>3</v>
      </c>
      <c r="C18" s="28">
        <f t="shared" si="1"/>
        <v>2.8766453623657557E-2</v>
      </c>
      <c r="D18" s="28"/>
      <c r="E18" s="13"/>
      <c r="H18" s="29"/>
      <c r="I18" s="14"/>
      <c r="O18" s="14"/>
      <c r="P18" s="14"/>
      <c r="Q18" s="13"/>
      <c r="R18" s="13"/>
      <c r="S18" s="69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ht="25.25" customHeight="1" x14ac:dyDescent="0.2">
      <c r="A19" s="13"/>
      <c r="B19" s="1">
        <v>4</v>
      </c>
      <c r="C19" s="28">
        <f t="shared" si="1"/>
        <v>8.6413608206960674E-2</v>
      </c>
      <c r="D19" s="28"/>
      <c r="E19" s="13"/>
      <c r="H19" s="29"/>
      <c r="I19" s="14"/>
      <c r="J19" s="14"/>
      <c r="K19" s="14"/>
      <c r="L19" s="14"/>
      <c r="M19" s="14"/>
      <c r="N19" s="14"/>
      <c r="O19" s="14"/>
      <c r="Q19" s="13"/>
      <c r="R19" s="13"/>
      <c r="S19" s="66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25.25" customHeight="1" x14ac:dyDescent="0.2">
      <c r="A20" s="13"/>
      <c r="B20" s="1">
        <v>5</v>
      </c>
      <c r="C20" s="28">
        <f t="shared" si="1"/>
        <v>0.192649848081656</v>
      </c>
      <c r="D20" s="28"/>
      <c r="E20" s="13"/>
      <c r="H20" s="29"/>
      <c r="I20" s="14"/>
      <c r="J20" s="14"/>
      <c r="K20" s="14"/>
      <c r="L20" s="14"/>
      <c r="M20" s="14"/>
      <c r="N20" s="14"/>
      <c r="O20" s="14"/>
      <c r="P20" s="14"/>
      <c r="Q20" s="13"/>
      <c r="R20" s="13"/>
      <c r="S20" s="6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ht="25.25" customHeight="1" x14ac:dyDescent="0.2">
      <c r="A21" s="13"/>
      <c r="B21" s="1">
        <v>6</v>
      </c>
      <c r="C21" s="28">
        <f t="shared" si="1"/>
        <v>0.3563219840565609</v>
      </c>
      <c r="D21" s="28"/>
      <c r="E21" s="13"/>
      <c r="H21" s="29"/>
      <c r="I21" s="14"/>
      <c r="J21" s="14"/>
      <c r="K21" s="14"/>
      <c r="L21" s="14"/>
      <c r="M21" s="14"/>
      <c r="N21" s="14"/>
      <c r="O21" s="14"/>
      <c r="P21" s="14"/>
      <c r="Q21" s="13"/>
      <c r="R21" s="13"/>
      <c r="S21" s="66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ht="25.25" customHeight="1" x14ac:dyDescent="0.2">
      <c r="A22" s="13"/>
      <c r="B22" s="1">
        <v>7</v>
      </c>
      <c r="C22" s="28">
        <f t="shared" si="1"/>
        <v>0.58024498861795248</v>
      </c>
      <c r="D22" s="28"/>
      <c r="E22" s="30"/>
      <c r="H22" s="29"/>
      <c r="I22" s="14"/>
      <c r="J22" s="14"/>
      <c r="K22" s="14"/>
      <c r="L22" s="14"/>
      <c r="M22" s="14"/>
      <c r="N22" s="14"/>
      <c r="O22" s="14"/>
      <c r="P22" s="14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25.25" customHeight="1" x14ac:dyDescent="0.2">
      <c r="A23" s="13"/>
      <c r="B23" s="1">
        <v>8</v>
      </c>
      <c r="C23" s="28">
        <f t="shared" si="1"/>
        <v>0.86192743753982781</v>
      </c>
      <c r="D23" s="28"/>
      <c r="E23" s="13"/>
      <c r="H23" s="29"/>
      <c r="I23" s="14"/>
      <c r="J23" s="14"/>
      <c r="K23" s="14"/>
      <c r="L23" s="14"/>
      <c r="M23" s="14"/>
      <c r="N23" s="14"/>
      <c r="O23" s="14"/>
      <c r="P23" s="14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25.25" customHeight="1" x14ac:dyDescent="0.2">
      <c r="A24" s="13"/>
      <c r="B24" s="1">
        <v>9</v>
      </c>
      <c r="C24" s="28">
        <f t="shared" si="1"/>
        <v>1.1949286542065627</v>
      </c>
      <c r="D24" s="28"/>
      <c r="E24" s="13"/>
      <c r="H24" s="29"/>
      <c r="I24" s="14"/>
      <c r="J24" s="14"/>
      <c r="K24" s="14"/>
      <c r="L24" s="14"/>
      <c r="M24" s="14"/>
      <c r="N24" s="14"/>
      <c r="O24" s="31"/>
      <c r="P24" s="31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25.25" customHeight="1" x14ac:dyDescent="0.2">
      <c r="A25" s="13"/>
      <c r="B25" s="1">
        <v>10</v>
      </c>
      <c r="C25" s="28">
        <f t="shared" si="1"/>
        <v>1.5703281195162211</v>
      </c>
      <c r="D25" s="28"/>
      <c r="E25" s="13"/>
      <c r="H25" s="29"/>
      <c r="I25" s="14"/>
      <c r="J25" s="14"/>
      <c r="K25" s="14"/>
      <c r="L25" s="14"/>
      <c r="M25" s="14"/>
      <c r="N25" s="14"/>
      <c r="O25" s="31"/>
      <c r="P25" s="31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25.25" customHeight="1" x14ac:dyDescent="0.2">
      <c r="A26" s="13"/>
      <c r="B26" s="1">
        <v>11</v>
      </c>
      <c r="C26" s="28">
        <f t="shared" si="1"/>
        <v>1.9780275638081601</v>
      </c>
      <c r="D26" s="28"/>
      <c r="E26" s="13"/>
      <c r="H26" s="29"/>
      <c r="I26" s="14"/>
      <c r="J26" s="14"/>
      <c r="K26" s="14"/>
      <c r="L26" s="14"/>
      <c r="M26" s="14"/>
      <c r="N26" s="14"/>
      <c r="O26" s="31"/>
      <c r="P26" s="31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ht="25.25" customHeight="1" x14ac:dyDescent="0.2">
      <c r="B27" s="1">
        <v>12</v>
      </c>
      <c r="C27" s="28">
        <f t="shared" si="1"/>
        <v>2.4077706020279614</v>
      </c>
      <c r="D27" s="28"/>
    </row>
    <row r="28" spans="1:37" ht="25.25" customHeight="1" x14ac:dyDescent="0.2">
      <c r="B28" s="1">
        <v>13</v>
      </c>
      <c r="C28" s="28">
        <f t="shared" si="1"/>
        <v>2.8498625274925025</v>
      </c>
      <c r="D28" s="28"/>
    </row>
    <row r="29" spans="1:37" ht="25.25" customHeight="1" x14ac:dyDescent="0.2">
      <c r="B29" s="1">
        <v>14</v>
      </c>
      <c r="C29" s="28">
        <f t="shared" si="1"/>
        <v>3.2956229821931591</v>
      </c>
      <c r="D29" s="28"/>
    </row>
    <row r="30" spans="1:37" ht="25.25" customHeight="1" x14ac:dyDescent="0.2">
      <c r="B30" s="1">
        <v>15</v>
      </c>
      <c r="C30" s="28">
        <f t="shared" si="1"/>
        <v>3.737624173638022</v>
      </c>
      <c r="D30" s="28"/>
    </row>
    <row r="31" spans="1:37" ht="25.25" customHeight="1" x14ac:dyDescent="0.2">
      <c r="B31" s="1">
        <v>16</v>
      </c>
      <c r="C31" s="28">
        <f t="shared" si="1"/>
        <v>4.1697700855037159</v>
      </c>
      <c r="D31" s="28"/>
    </row>
    <row r="32" spans="1:37" ht="25.25" customHeight="1" x14ac:dyDescent="0.2">
      <c r="B32" s="1">
        <v>17</v>
      </c>
      <c r="C32" s="28">
        <f t="shared" si="1"/>
        <v>4.5872663219200716</v>
      </c>
      <c r="D32" s="28"/>
    </row>
    <row r="33" spans="2:4" ht="25.25" customHeight="1" x14ac:dyDescent="0.2">
      <c r="B33" s="1">
        <v>18</v>
      </c>
      <c r="C33" s="28">
        <f t="shared" si="1"/>
        <v>4.9865210512948641</v>
      </c>
      <c r="D33" s="28"/>
    </row>
    <row r="34" spans="2:4" ht="25.25" customHeight="1" x14ac:dyDescent="0.2">
      <c r="B34" s="1">
        <v>19</v>
      </c>
      <c r="C34" s="28">
        <f t="shared" si="1"/>
        <v>5.3650078779190302</v>
      </c>
      <c r="D34" s="28"/>
    </row>
    <row r="35" spans="2:4" ht="25.25" customHeight="1" x14ac:dyDescent="0.2">
      <c r="B35" s="1">
        <v>20</v>
      </c>
      <c r="C35" s="28">
        <f t="shared" si="1"/>
        <v>5.7211127994159989</v>
      </c>
      <c r="D35" s="28"/>
    </row>
    <row r="36" spans="2:4" ht="25.25" customHeight="1" x14ac:dyDescent="0.2">
      <c r="B36" s="1">
        <v>21</v>
      </c>
      <c r="C36" s="28">
        <f t="shared" si="1"/>
        <v>6.0539802640259532</v>
      </c>
      <c r="D36" s="28"/>
    </row>
    <row r="37" spans="2:4" ht="25.25" customHeight="1" x14ac:dyDescent="0.2">
      <c r="B37" s="1">
        <v>22</v>
      </c>
      <c r="C37" s="28">
        <f t="shared" si="1"/>
        <v>6.3633678038821149</v>
      </c>
      <c r="D37" s="28"/>
    </row>
    <row r="38" spans="2:4" ht="25.25" customHeight="1" x14ac:dyDescent="0.2">
      <c r="B38" s="1">
        <v>23</v>
      </c>
      <c r="C38" s="28">
        <f t="shared" si="1"/>
        <v>6.6495146347531353</v>
      </c>
      <c r="D38" s="28"/>
    </row>
    <row r="39" spans="2:4" ht="25.25" customHeight="1" x14ac:dyDescent="0.2">
      <c r="B39" s="1">
        <v>24</v>
      </c>
      <c r="C39" s="28">
        <f t="shared" si="1"/>
        <v>6.9130267335117193</v>
      </c>
      <c r="D39" s="28"/>
    </row>
    <row r="40" spans="2:4" ht="25.25" customHeight="1" x14ac:dyDescent="0.2">
      <c r="B40" s="1">
        <v>25</v>
      </c>
      <c r="C40" s="28">
        <f t="shared" si="1"/>
        <v>7.1547789720689883</v>
      </c>
      <c r="D40" s="28"/>
    </row>
    <row r="41" spans="2:4" ht="25.25" customHeight="1" x14ac:dyDescent="0.2">
      <c r="B41" s="1">
        <v>26</v>
      </c>
      <c r="C41" s="28">
        <f t="shared" si="1"/>
        <v>7.3758336646326192</v>
      </c>
      <c r="D41" s="28"/>
    </row>
    <row r="42" spans="2:4" ht="27.5" customHeight="1" x14ac:dyDescent="0.2">
      <c r="B42" s="1">
        <v>27</v>
      </c>
      <c r="C42" s="28">
        <f t="shared" si="1"/>
        <v>7.5773741764465843</v>
      </c>
      <c r="D42" s="28"/>
    </row>
    <row r="43" spans="2:4" ht="27.5" customHeight="1" x14ac:dyDescent="0.2">
      <c r="B43" s="1">
        <v>28</v>
      </c>
      <c r="C43" s="28">
        <f t="shared" si="1"/>
        <v>7.7606518902807267</v>
      </c>
      <c r="D43" s="28"/>
    </row>
    <row r="44" spans="2:4" ht="27.5" customHeight="1" x14ac:dyDescent="0.2">
      <c r="B44" s="1">
        <v>29</v>
      </c>
      <c r="C44" s="28">
        <f t="shared" si="1"/>
        <v>7.926944713018929</v>
      </c>
      <c r="D44" s="28"/>
    </row>
    <row r="45" spans="2:4" ht="27.5" customHeight="1" x14ac:dyDescent="0.2">
      <c r="B45" s="1">
        <v>30</v>
      </c>
      <c r="C45" s="28">
        <f t="shared" si="1"/>
        <v>8.0775253414867567</v>
      </c>
      <c r="D45" s="28"/>
    </row>
    <row r="46" spans="2:4" ht="27.5" customHeight="1" x14ac:dyDescent="0.2">
      <c r="B46" s="1">
        <v>31</v>
      </c>
      <c r="C46" s="28">
        <f t="shared" si="1"/>
        <v>8.2136376320972051</v>
      </c>
    </row>
    <row r="47" spans="2:4" ht="27.5" customHeight="1" x14ac:dyDescent="0.2">
      <c r="B47" s="1">
        <v>32</v>
      </c>
      <c r="C47" s="28">
        <f t="shared" si="1"/>
        <v>8.3364795902354754</v>
      </c>
    </row>
    <row r="48" spans="2:4" ht="27.5" customHeight="1" x14ac:dyDescent="0.2">
      <c r="B48" s="1">
        <v>33</v>
      </c>
      <c r="C48" s="28">
        <f t="shared" si="1"/>
        <v>8.4471916841727843</v>
      </c>
    </row>
    <row r="49" spans="1:37" ht="27.5" customHeight="1" x14ac:dyDescent="0.2">
      <c r="B49" s="1">
        <v>34</v>
      </c>
      <c r="C49" s="28">
        <f t="shared" si="1"/>
        <v>8.5468493766937907</v>
      </c>
    </row>
    <row r="50" spans="1:37" ht="27.5" customHeight="1" x14ac:dyDescent="0.2">
      <c r="B50" s="1">
        <v>35</v>
      </c>
      <c r="C50" s="28">
        <f t="shared" si="1"/>
        <v>8.6364589448429587</v>
      </c>
    </row>
    <row r="51" spans="1:37" ht="27.5" customHeight="1" x14ac:dyDescent="0.2">
      <c r="B51" s="1">
        <v>36</v>
      </c>
      <c r="C51" s="28">
        <f t="shared" si="1"/>
        <v>8.7169558185326661</v>
      </c>
    </row>
    <row r="52" spans="1:37" ht="27.5" customHeight="1" x14ac:dyDescent="0.2">
      <c r="B52" s="1">
        <v>37</v>
      </c>
      <c r="C52" s="28">
        <f t="shared" si="1"/>
        <v>8.7892048098049287</v>
      </c>
    </row>
    <row r="53" spans="1:37" ht="27.5" customHeight="1" x14ac:dyDescent="0.2">
      <c r="B53" s="1">
        <v>38</v>
      </c>
      <c r="C53" s="28">
        <f t="shared" si="1"/>
        <v>8.8540017259924149</v>
      </c>
    </row>
    <row r="54" spans="1:37" ht="27.5" customHeight="1" x14ac:dyDescent="0.2">
      <c r="B54" s="1">
        <v>39</v>
      </c>
      <c r="C54" s="28">
        <f t="shared" si="1"/>
        <v>8.9120759628335158</v>
      </c>
    </row>
    <row r="55" spans="1:37" ht="27.5" customHeight="1" x14ac:dyDescent="0.2">
      <c r="B55" s="1">
        <v>40</v>
      </c>
      <c r="C55" s="28">
        <f>(9.4*(1-(EXP(-0.115*B55)))^4.7)</f>
        <v>8.9640937593981942</v>
      </c>
    </row>
    <row r="56" spans="1:37" ht="14.25" customHeight="1" x14ac:dyDescent="0.2">
      <c r="A56" s="13"/>
      <c r="B56" s="1"/>
      <c r="C56" s="28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spans="1:37" ht="14.25" customHeight="1" x14ac:dyDescent="0.2">
      <c r="A57" s="13"/>
      <c r="B57" s="1"/>
      <c r="C57" s="28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spans="1:37" ht="14.25" customHeight="1" x14ac:dyDescent="0.2">
      <c r="A58" s="13"/>
      <c r="B58" s="1"/>
      <c r="C58" s="28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spans="1:37" ht="14.25" customHeight="1" x14ac:dyDescent="0.2">
      <c r="A59" s="13"/>
      <c r="B59" s="1"/>
      <c r="C59" s="28"/>
      <c r="D59" s="13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spans="1:37" ht="14.25" customHeight="1" x14ac:dyDescent="0.2">
      <c r="A60" s="13"/>
      <c r="B60" s="1"/>
      <c r="C60" s="28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spans="1:37" ht="14.25" customHeight="1" x14ac:dyDescent="0.2">
      <c r="A61" s="13"/>
      <c r="B61" s="1"/>
      <c r="C61" s="28"/>
      <c r="D61" s="13"/>
      <c r="E61" s="13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spans="1:37" ht="14.25" customHeight="1" x14ac:dyDescent="0.2">
      <c r="A62" s="13"/>
      <c r="B62" s="1"/>
      <c r="C62" s="28"/>
      <c r="D62" s="13"/>
      <c r="E62" s="1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spans="1:37" ht="14.25" customHeight="1" x14ac:dyDescent="0.2">
      <c r="A63" s="13"/>
      <c r="B63" s="1"/>
      <c r="C63" s="28"/>
      <c r="D63" s="13"/>
      <c r="E63" s="13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</row>
    <row r="64" spans="1:37" ht="14.25" customHeight="1" x14ac:dyDescent="0.2">
      <c r="A64" s="13"/>
      <c r="B64" s="1"/>
      <c r="C64" s="28"/>
      <c r="D64" s="13"/>
      <c r="E64" s="1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spans="1:37" ht="14.25" customHeight="1" x14ac:dyDescent="0.2">
      <c r="A65" s="13"/>
      <c r="B65" s="1"/>
      <c r="C65" s="28"/>
      <c r="D65" s="13"/>
      <c r="E65" s="13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spans="1:37" ht="14.25" customHeight="1" x14ac:dyDescent="0.2">
      <c r="A66" s="13"/>
      <c r="B66" s="1"/>
      <c r="C66" s="28"/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spans="1:37" ht="14.25" customHeight="1" x14ac:dyDescent="0.2">
      <c r="A67" s="13"/>
      <c r="B67" s="1"/>
      <c r="C67" s="28"/>
      <c r="D67" s="13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spans="1:37" ht="14.25" customHeight="1" x14ac:dyDescent="0.2">
      <c r="A68" s="13"/>
      <c r="B68" s="1"/>
      <c r="C68" s="28"/>
      <c r="D68" s="13"/>
      <c r="E68" s="1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37" ht="14.25" customHeight="1" x14ac:dyDescent="0.2">
      <c r="A69" s="13"/>
      <c r="B69" s="1"/>
      <c r="C69" s="28"/>
      <c r="D69" s="13"/>
      <c r="E69" s="13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spans="1:37" ht="14.25" customHeight="1" x14ac:dyDescent="0.2">
      <c r="A70" s="13"/>
      <c r="B70" s="1"/>
      <c r="C70" s="28"/>
      <c r="D70" s="1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spans="1:37" ht="14.25" customHeight="1" x14ac:dyDescent="0.2">
      <c r="A71" s="13"/>
      <c r="B71" s="1"/>
      <c r="C71" s="28"/>
      <c r="D71" s="13"/>
      <c r="E71" s="13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spans="1:37" ht="14.25" customHeight="1" x14ac:dyDescent="0.2">
      <c r="A72" s="13"/>
      <c r="B72" s="1"/>
      <c r="C72" s="143"/>
      <c r="D72" s="13"/>
      <c r="E72" s="1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spans="1:37" ht="14.25" customHeight="1" x14ac:dyDescent="0.2">
      <c r="A73" s="13"/>
      <c r="B73" s="13"/>
      <c r="C73" s="13"/>
      <c r="D73" s="13"/>
      <c r="E73" s="13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spans="1:37" ht="14.25" customHeight="1" x14ac:dyDescent="0.2">
      <c r="A74" s="13"/>
      <c r="B74" s="13"/>
      <c r="C74" s="13"/>
      <c r="D74" s="13"/>
      <c r="E74" s="1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spans="1:37" ht="14.25" customHeight="1" x14ac:dyDescent="0.2">
      <c r="A75" s="13"/>
      <c r="B75" s="13"/>
      <c r="C75" s="13"/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spans="1:37" ht="14.25" customHeight="1" x14ac:dyDescent="0.2">
      <c r="A76" s="13"/>
      <c r="B76" s="13"/>
      <c r="C76" s="13"/>
      <c r="D76" s="13"/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1:37" ht="14.25" customHeight="1" x14ac:dyDescent="0.2">
      <c r="A77" s="13"/>
      <c r="B77" s="13"/>
      <c r="C77" s="13"/>
      <c r="D77" s="13"/>
      <c r="E77" s="13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37" ht="14.25" customHeight="1" x14ac:dyDescent="0.2">
      <c r="A78" s="13"/>
      <c r="B78" s="13"/>
      <c r="C78" s="13"/>
      <c r="D78" s="1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1:37" ht="14.25" customHeight="1" x14ac:dyDescent="0.2">
      <c r="A79" s="13"/>
      <c r="B79" s="13"/>
      <c r="C79" s="13"/>
      <c r="D79" s="13"/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37" ht="14.25" customHeight="1" x14ac:dyDescent="0.2">
      <c r="A80" s="13"/>
      <c r="B80" s="13"/>
      <c r="C80" s="13"/>
      <c r="D80" s="13"/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37" ht="14.25" customHeight="1" x14ac:dyDescent="0.2">
      <c r="A81" s="13"/>
      <c r="B81" s="13"/>
      <c r="C81" s="13"/>
      <c r="D81" s="13"/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37" ht="14.25" customHeight="1" x14ac:dyDescent="0.2">
      <c r="A82" s="13"/>
      <c r="B82" s="13"/>
      <c r="C82" s="13"/>
      <c r="D82" s="13"/>
      <c r="E82" s="1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1:37" ht="14.25" customHeight="1" x14ac:dyDescent="0.2">
      <c r="A83" s="13"/>
      <c r="B83" s="13"/>
      <c r="C83" s="13"/>
      <c r="D83" s="13"/>
      <c r="E83" s="13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1:37" ht="14.25" customHeight="1" x14ac:dyDescent="0.2">
      <c r="A84" s="13"/>
      <c r="B84" s="13"/>
      <c r="C84" s="13"/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1:37" ht="14.25" customHeight="1" x14ac:dyDescent="0.2">
      <c r="A85" s="13"/>
      <c r="B85" s="13"/>
      <c r="C85" s="13"/>
      <c r="D85" s="13"/>
      <c r="E85" s="13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spans="1:37" ht="14.25" customHeight="1" x14ac:dyDescent="0.2">
      <c r="A86" s="13"/>
      <c r="B86" s="13"/>
      <c r="C86" s="13"/>
      <c r="D86" s="1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spans="1:37" ht="14.25" customHeight="1" x14ac:dyDescent="0.2">
      <c r="A87" s="13"/>
      <c r="B87" s="13"/>
      <c r="C87" s="13"/>
      <c r="D87" s="13"/>
      <c r="E87" s="13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spans="1:37" ht="14.25" customHeight="1" x14ac:dyDescent="0.2">
      <c r="A88" s="13"/>
      <c r="B88" s="13"/>
      <c r="C88" s="13"/>
      <c r="D88" s="13"/>
      <c r="E88" s="13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spans="1:37" ht="14.25" customHeight="1" x14ac:dyDescent="0.2">
      <c r="A89" s="13"/>
      <c r="B89" s="13"/>
      <c r="C89" s="13"/>
      <c r="D89" s="13"/>
      <c r="E89" s="13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spans="1:37" ht="14.25" customHeight="1" x14ac:dyDescent="0.2">
      <c r="A90" s="13"/>
      <c r="B90" s="13"/>
      <c r="C90" s="13"/>
      <c r="D90" s="13"/>
      <c r="E90" s="1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spans="1:37" ht="14.25" customHeight="1" x14ac:dyDescent="0.2">
      <c r="A91" s="13"/>
      <c r="B91" s="13"/>
      <c r="C91" s="13"/>
      <c r="D91" s="13"/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spans="1:37" ht="14.25" customHeight="1" x14ac:dyDescent="0.2">
      <c r="A92" s="13"/>
      <c r="B92" s="13"/>
      <c r="C92" s="13"/>
      <c r="D92" s="13"/>
      <c r="E92" s="1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spans="1:37" ht="14.25" customHeight="1" x14ac:dyDescent="0.2">
      <c r="A93" s="13"/>
      <c r="B93" s="13"/>
      <c r="C93" s="13"/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spans="1:37" ht="14.25" customHeight="1" x14ac:dyDescent="0.2">
      <c r="A94" s="13"/>
      <c r="B94" s="13"/>
      <c r="C94" s="13"/>
      <c r="D94" s="13"/>
      <c r="E94" s="13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spans="1:37" ht="14.25" customHeight="1" x14ac:dyDescent="0.2">
      <c r="A95" s="13"/>
      <c r="B95" s="13"/>
      <c r="C95" s="13"/>
      <c r="D95" s="13"/>
      <c r="E95" s="13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spans="1:37" ht="14.25" customHeight="1" x14ac:dyDescent="0.2">
      <c r="A96" s="13"/>
      <c r="B96" s="13"/>
      <c r="C96" s="13"/>
      <c r="D96" s="13"/>
      <c r="E96" s="13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spans="1:37" ht="14.25" customHeight="1" x14ac:dyDescent="0.2">
      <c r="A97" s="13"/>
      <c r="B97" s="13"/>
      <c r="C97" s="13"/>
      <c r="D97" s="13"/>
      <c r="E97" s="13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spans="1:37" ht="14.25" customHeight="1" x14ac:dyDescent="0.2">
      <c r="A98" s="13"/>
      <c r="B98" s="13"/>
      <c r="C98" s="13"/>
      <c r="D98" s="13"/>
      <c r="E98" s="1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spans="1:37" ht="14.25" customHeight="1" x14ac:dyDescent="0.2">
      <c r="A99" s="13"/>
      <c r="B99" s="13"/>
      <c r="C99" s="13"/>
      <c r="D99" s="13"/>
      <c r="E99" s="13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spans="1:37" ht="14.25" customHeight="1" x14ac:dyDescent="0.2">
      <c r="A100" s="13"/>
      <c r="B100" s="13"/>
      <c r="C100" s="13"/>
      <c r="D100" s="13"/>
      <c r="E100" s="13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spans="1:37" ht="14.25" customHeight="1" x14ac:dyDescent="0.2">
      <c r="A101" s="13"/>
      <c r="B101" s="13"/>
      <c r="C101" s="13"/>
      <c r="D101" s="13"/>
      <c r="E101" s="1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spans="1:37" ht="14.25" customHeight="1" x14ac:dyDescent="0.2">
      <c r="A102" s="13"/>
      <c r="B102" s="13"/>
      <c r="C102" s="13"/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spans="1:37" ht="14.2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spans="1:37" ht="14.2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spans="1:37" ht="14.2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spans="1:37" ht="14.2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spans="1:37" ht="14.2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spans="1:37" ht="14.2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spans="1:37" ht="14.2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spans="1:37" ht="14.2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spans="1:37" ht="14.2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spans="1:37" ht="14.2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spans="1:37" ht="14.2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spans="1:37" ht="14.2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spans="1:37" ht="14.2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spans="1:37" ht="14.2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spans="1:37" ht="14.2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spans="1:37" ht="14.2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spans="1:37" ht="14.2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spans="1:37" ht="14.2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spans="1:37" ht="14.2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spans="1:37" ht="14.2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spans="1:37" ht="14.2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spans="1:37" ht="14.2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spans="1:37" ht="14.2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spans="1:37" ht="14.2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spans="1:37" ht="14.2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spans="1:37" ht="14.2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spans="1:37" ht="14.2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spans="1:37" ht="14.2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spans="1:37" ht="14.2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spans="1:37" ht="14.2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spans="1:37" ht="14.2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spans="1:37" ht="14.2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spans="1:37" ht="14.2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spans="1:37" ht="14.2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spans="1:37" ht="14.2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spans="1:37" ht="14.2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spans="1:37" ht="14.2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spans="1:37" ht="14.2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spans="1:37" ht="14.2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spans="1:37" ht="14.2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spans="1:37" ht="14.2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spans="1:37" ht="14.2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spans="1:37" ht="14.2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spans="1:37" ht="14.2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spans="1:37" ht="14.2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spans="1:37" ht="14.2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spans="1:37" ht="14.2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spans="1:37" ht="14.2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spans="1:37" ht="14.2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spans="1:37" ht="14.2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spans="1:37" ht="14.2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spans="1:37" ht="14.2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spans="1:37" ht="14.2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spans="1:37" ht="14.2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spans="1:37" ht="14.2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spans="1:37" ht="14.2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spans="1:37" ht="14.2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spans="1:37" ht="14.2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spans="1:37" ht="14.2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spans="1:37" ht="14.2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spans="1:37" ht="14.2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spans="1:37" ht="14.2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spans="1:37" ht="14.2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spans="1:37" ht="14.2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spans="1:37" ht="14.2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spans="1:37" ht="14.2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spans="1:37" ht="14.2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spans="1:37" ht="14.2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spans="1:37" ht="14.2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spans="1:37" ht="14.2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spans="1:37" ht="14.2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spans="1:37" ht="14.2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spans="1:37" ht="14.2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spans="1:37" ht="14.2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spans="1:37" ht="14.2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spans="1:37" ht="14.2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spans="1:37" ht="14.2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spans="1:37" ht="14.2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spans="1:37" ht="14.2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spans="1:37" ht="14.2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spans="1:37" ht="14.2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spans="1:37" ht="14.2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spans="1:37" ht="14.2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spans="1:37" ht="14.2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spans="1:37" ht="14.2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spans="1:37" ht="14.2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spans="1:37" ht="14.2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spans="1:37" ht="14.2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spans="1:37" ht="14.2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spans="1:37" ht="14.2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spans="1:37" ht="14.2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spans="1:37" ht="14.2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spans="1:37" ht="14.2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spans="1:37" ht="14.2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spans="1:37" ht="14.2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spans="1:37" ht="14.2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spans="1:37" ht="14.2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spans="1:37" ht="14.2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spans="1:37" ht="14.25" customHeight="1" x14ac:dyDescent="0.2">
      <c r="A201" s="13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  <row r="202" spans="1:37" ht="14.25" customHeight="1" x14ac:dyDescent="0.2">
      <c r="A202" s="13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spans="1:37" ht="14.25" customHeight="1" x14ac:dyDescent="0.2">
      <c r="A203" s="13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spans="1:37" ht="14.25" customHeight="1" x14ac:dyDescent="0.2">
      <c r="A204" s="13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1:37" ht="14.25" customHeight="1" x14ac:dyDescent="0.2">
      <c r="A205" s="13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1:37" ht="14.25" customHeight="1" x14ac:dyDescent="0.2">
      <c r="A206" s="13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37" ht="14.25" customHeight="1" x14ac:dyDescent="0.2">
      <c r="A207" s="13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1:37" ht="14.25" customHeight="1" x14ac:dyDescent="0.2">
      <c r="A208" s="13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spans="1:16" ht="14.25" customHeight="1" x14ac:dyDescent="0.2">
      <c r="A209" s="13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</row>
    <row r="210" spans="1:16" ht="14.25" customHeight="1" x14ac:dyDescent="0.2">
      <c r="A210" s="13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spans="1:16" ht="14.25" customHeight="1" x14ac:dyDescent="0.2">
      <c r="A211" s="13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spans="1:16" ht="14.25" customHeight="1" x14ac:dyDescent="0.2">
      <c r="A212" s="13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spans="1:16" ht="14.25" customHeight="1" x14ac:dyDescent="0.2">
      <c r="A213" s="13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spans="1:16" ht="14.25" customHeight="1" x14ac:dyDescent="0.2">
      <c r="A214" s="13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1:16" ht="14.25" customHeight="1" x14ac:dyDescent="0.2">
      <c r="A215" s="13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1:16" ht="14.25" customHeight="1" x14ac:dyDescent="0.2">
      <c r="A216" s="13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spans="1:16" ht="14.25" customHeight="1" x14ac:dyDescent="0.2">
      <c r="A217" s="13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  <row r="218" spans="1:16" ht="14.25" customHeight="1" x14ac:dyDescent="0.2">
      <c r="A218" s="13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</row>
    <row r="219" spans="1:16" ht="14.25" customHeight="1" x14ac:dyDescent="0.2">
      <c r="A219" s="13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</row>
    <row r="220" spans="1:16" ht="14.25" customHeight="1" x14ac:dyDescent="0.2">
      <c r="A220" s="13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</row>
    <row r="221" spans="1:16" ht="14.25" customHeight="1" x14ac:dyDescent="0.2">
      <c r="A221" s="13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</row>
    <row r="222" spans="1:16" ht="14.25" customHeight="1" x14ac:dyDescent="0.2">
      <c r="A222" s="13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</row>
    <row r="223" spans="1:16" ht="14.25" customHeight="1" x14ac:dyDescent="0.2">
      <c r="A223" s="13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</row>
    <row r="224" spans="1:16" ht="14.25" customHeight="1" x14ac:dyDescent="0.2">
      <c r="A224" s="13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</row>
    <row r="225" spans="1:16" ht="14.25" customHeight="1" x14ac:dyDescent="0.2">
      <c r="A225" s="13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</row>
    <row r="226" spans="1:16" ht="14.25" customHeight="1" x14ac:dyDescent="0.2">
      <c r="A226" s="13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16" ht="14.25" customHeight="1" x14ac:dyDescent="0.2">
      <c r="A227" s="13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1:16" ht="14.25" customHeight="1" x14ac:dyDescent="0.2">
      <c r="A228" s="13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1:16" ht="14.25" customHeight="1" x14ac:dyDescent="0.2">
      <c r="A229" s="13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</row>
    <row r="230" spans="1:16" ht="14.25" customHeight="1" x14ac:dyDescent="0.2">
      <c r="A230" s="13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</row>
    <row r="231" spans="1:16" ht="14.25" customHeight="1" x14ac:dyDescent="0.2">
      <c r="A231" s="13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</row>
    <row r="232" spans="1:16" ht="14.25" customHeight="1" x14ac:dyDescent="0.2">
      <c r="A232" s="13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</row>
    <row r="233" spans="1:16" ht="14.25" customHeight="1" x14ac:dyDescent="0.2">
      <c r="A233" s="13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spans="1:16" ht="14.25" customHeight="1" x14ac:dyDescent="0.2">
      <c r="A234" s="13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</row>
    <row r="235" spans="1:16" ht="14.25" customHeight="1" x14ac:dyDescent="0.2">
      <c r="A235" s="13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spans="1:16" ht="14.25" customHeight="1" x14ac:dyDescent="0.2">
      <c r="A236" s="13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spans="1:16" ht="14.25" customHeight="1" x14ac:dyDescent="0.2">
      <c r="A237" s="13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</row>
    <row r="238" spans="1:16" ht="14.25" customHeight="1" x14ac:dyDescent="0.2">
      <c r="A238" s="13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</row>
    <row r="239" spans="1:16" ht="14.25" customHeight="1" x14ac:dyDescent="0.2">
      <c r="A239" s="13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</row>
    <row r="240" spans="1:16" ht="14.25" customHeight="1" x14ac:dyDescent="0.2">
      <c r="A240" s="13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</row>
    <row r="241" spans="1:16" ht="14.25" customHeight="1" x14ac:dyDescent="0.2">
      <c r="A241" s="13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spans="1:16" ht="14.25" customHeight="1" x14ac:dyDescent="0.2">
      <c r="A242" s="13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</row>
    <row r="243" spans="1:16" ht="14.25" customHeight="1" x14ac:dyDescent="0.2">
      <c r="A243" s="13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16" ht="14.25" customHeight="1" x14ac:dyDescent="0.2">
      <c r="A244" s="13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</row>
    <row r="245" spans="1:16" ht="14.25" customHeight="1" x14ac:dyDescent="0.2">
      <c r="A245" s="13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</row>
    <row r="246" spans="1:16" ht="14.25" customHeight="1" x14ac:dyDescent="0.2">
      <c r="A246" s="13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</row>
    <row r="247" spans="1:16" ht="14.25" customHeight="1" x14ac:dyDescent="0.2">
      <c r="A247" s="13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spans="1:16" ht="14.25" customHeight="1" x14ac:dyDescent="0.2">
      <c r="A248" s="13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</row>
    <row r="249" spans="1:16" ht="14.25" customHeight="1" x14ac:dyDescent="0.2">
      <c r="A249" s="13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spans="1:16" ht="14.25" customHeight="1" x14ac:dyDescent="0.2">
      <c r="A250" s="13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spans="1:16" ht="14.25" customHeight="1" x14ac:dyDescent="0.2">
      <c r="A251" s="13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1:16" ht="14.25" customHeight="1" x14ac:dyDescent="0.2">
      <c r="A252" s="13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1:16" ht="14.25" customHeight="1" x14ac:dyDescent="0.2">
      <c r="A253" s="13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spans="1:16" ht="14.25" customHeight="1" x14ac:dyDescent="0.2">
      <c r="A254" s="13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spans="1:16" ht="14.25" customHeight="1" x14ac:dyDescent="0.2">
      <c r="A255" s="13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  <row r="256" spans="1:16" ht="14.25" customHeight="1" x14ac:dyDescent="0.2">
      <c r="A256" s="13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</row>
    <row r="257" spans="1:16" ht="14.25" customHeight="1" x14ac:dyDescent="0.2">
      <c r="A257" s="13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</row>
    <row r="258" spans="1:16" ht="14.25" customHeight="1" x14ac:dyDescent="0.2">
      <c r="A258" s="13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</row>
    <row r="259" spans="1:16" ht="14.25" customHeight="1" x14ac:dyDescent="0.2">
      <c r="A259" s="13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</row>
    <row r="260" spans="1:16" ht="14.25" customHeight="1" x14ac:dyDescent="0.2">
      <c r="A260" s="13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16" ht="14.25" customHeight="1" x14ac:dyDescent="0.2">
      <c r="A261" s="13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</row>
    <row r="262" spans="1:16" ht="14.25" customHeight="1" x14ac:dyDescent="0.2">
      <c r="A262" s="13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</row>
    <row r="263" spans="1:16" ht="14.25" customHeight="1" x14ac:dyDescent="0.2">
      <c r="A263" s="13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spans="1:16" ht="14.25" customHeight="1" x14ac:dyDescent="0.2">
      <c r="A264" s="13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</row>
    <row r="265" spans="1:16" ht="14.25" customHeight="1" x14ac:dyDescent="0.2">
      <c r="A265" s="13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</row>
    <row r="266" spans="1:16" ht="14.25" customHeight="1" x14ac:dyDescent="0.2">
      <c r="A266" s="13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</row>
    <row r="267" spans="1:16" ht="14.25" customHeight="1" x14ac:dyDescent="0.2">
      <c r="A267" s="13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</row>
    <row r="268" spans="1:16" ht="14.25" customHeight="1" x14ac:dyDescent="0.2">
      <c r="A268" s="13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</row>
    <row r="269" spans="1:16" ht="14.25" customHeight="1" x14ac:dyDescent="0.2">
      <c r="A269" s="13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</row>
    <row r="270" spans="1:16" ht="14.25" customHeight="1" x14ac:dyDescent="0.2">
      <c r="A270" s="13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spans="1:16" ht="14.25" customHeight="1" x14ac:dyDescent="0.2">
      <c r="A271" s="13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</row>
    <row r="272" spans="1:16" ht="14.25" customHeight="1" x14ac:dyDescent="0.2">
      <c r="A272" s="13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</row>
    <row r="273" spans="1:16" ht="14.25" customHeight="1" x14ac:dyDescent="0.2">
      <c r="A273" s="13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</row>
    <row r="274" spans="1:16" ht="14.25" customHeight="1" x14ac:dyDescent="0.2">
      <c r="A274" s="13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</row>
    <row r="275" spans="1:16" ht="14.25" customHeight="1" x14ac:dyDescent="0.2">
      <c r="A275" s="13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</row>
    <row r="276" spans="1:16" ht="14.25" customHeight="1" x14ac:dyDescent="0.2">
      <c r="A276" s="13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</row>
    <row r="277" spans="1:16" ht="14.25" customHeight="1" x14ac:dyDescent="0.2">
      <c r="A277" s="13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16" ht="14.25" customHeight="1" x14ac:dyDescent="0.2">
      <c r="A278" s="13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spans="1:16" ht="14.25" customHeight="1" x14ac:dyDescent="0.2">
      <c r="A279" s="13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</row>
    <row r="280" spans="1:16" ht="14.25" customHeight="1" x14ac:dyDescent="0.2">
      <c r="A280" s="13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</row>
    <row r="281" spans="1:16" ht="14.25" customHeight="1" x14ac:dyDescent="0.2">
      <c r="A281" s="13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</row>
    <row r="282" spans="1:16" ht="14.25" customHeight="1" x14ac:dyDescent="0.2">
      <c r="A282" s="13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</row>
    <row r="283" spans="1:16" ht="14.25" customHeight="1" x14ac:dyDescent="0.2">
      <c r="A283" s="13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</row>
    <row r="284" spans="1:16" ht="14.25" customHeight="1" x14ac:dyDescent="0.2">
      <c r="A284" s="13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</row>
    <row r="285" spans="1:16" ht="14.25" customHeight="1" x14ac:dyDescent="0.2">
      <c r="A285" s="13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</row>
    <row r="286" spans="1:16" ht="14.25" customHeight="1" x14ac:dyDescent="0.2">
      <c r="A286" s="13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</row>
    <row r="287" spans="1:16" ht="14.25" customHeight="1" x14ac:dyDescent="0.2">
      <c r="A287" s="13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</row>
    <row r="288" spans="1:16" ht="14.25" customHeight="1" x14ac:dyDescent="0.2">
      <c r="A288" s="13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</row>
    <row r="289" spans="1:16" ht="14.25" customHeight="1" x14ac:dyDescent="0.2">
      <c r="A289" s="13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</row>
    <row r="290" spans="1:16" ht="14.25" customHeight="1" x14ac:dyDescent="0.2">
      <c r="A290" s="13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</row>
    <row r="291" spans="1:16" ht="14.25" customHeight="1" x14ac:dyDescent="0.2">
      <c r="A291" s="13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</row>
    <row r="292" spans="1:16" ht="14.25" customHeight="1" x14ac:dyDescent="0.2">
      <c r="A292" s="13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</row>
    <row r="293" spans="1:16" ht="14.25" customHeight="1" x14ac:dyDescent="0.2">
      <c r="A293" s="13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</row>
    <row r="294" spans="1:16" ht="14.25" customHeight="1" x14ac:dyDescent="0.2">
      <c r="A294" s="13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16" ht="14.25" customHeight="1" x14ac:dyDescent="0.2">
      <c r="A295" s="13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spans="1:16" ht="14.25" customHeight="1" x14ac:dyDescent="0.2">
      <c r="A296" s="13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</row>
    <row r="297" spans="1:16" ht="14.25" customHeight="1" x14ac:dyDescent="0.2">
      <c r="A297" s="13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</row>
    <row r="298" spans="1:16" ht="14.25" customHeight="1" x14ac:dyDescent="0.2">
      <c r="A298" s="13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</row>
    <row r="299" spans="1:16" ht="14.25" customHeight="1" x14ac:dyDescent="0.2">
      <c r="A299" s="13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</row>
    <row r="300" spans="1:16" ht="14.25" customHeight="1" x14ac:dyDescent="0.2">
      <c r="A300" s="13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</row>
    <row r="301" spans="1:16" ht="14.25" customHeight="1" x14ac:dyDescent="0.2">
      <c r="A301" s="13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</row>
    <row r="302" spans="1:16" ht="14.25" customHeight="1" x14ac:dyDescent="0.2">
      <c r="A302" s="13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</row>
    <row r="303" spans="1:16" ht="14.25" customHeight="1" x14ac:dyDescent="0.2">
      <c r="A303" s="13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</row>
    <row r="304" spans="1:16" ht="14.25" customHeight="1" x14ac:dyDescent="0.2">
      <c r="A304" s="13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</row>
    <row r="305" spans="1:16" ht="14.25" customHeight="1" x14ac:dyDescent="0.2">
      <c r="A305" s="13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</row>
    <row r="306" spans="1:16" ht="14.25" customHeight="1" x14ac:dyDescent="0.2">
      <c r="A306" s="13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</row>
    <row r="307" spans="1:16" ht="14.25" customHeight="1" x14ac:dyDescent="0.2">
      <c r="A307" s="13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</row>
    <row r="308" spans="1:16" ht="14.25" customHeight="1" x14ac:dyDescent="0.2">
      <c r="A308" s="13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</row>
    <row r="309" spans="1:16" ht="14.25" customHeight="1" x14ac:dyDescent="0.2">
      <c r="A309" s="13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</row>
    <row r="310" spans="1:16" ht="14.25" customHeight="1" x14ac:dyDescent="0.2">
      <c r="A310" s="13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</row>
    <row r="311" spans="1:16" ht="14.25" customHeight="1" x14ac:dyDescent="0.2">
      <c r="A311" s="13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16" ht="14.25" customHeight="1" x14ac:dyDescent="0.2">
      <c r="A312" s="13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</row>
    <row r="313" spans="1:16" ht="14.25" customHeight="1" x14ac:dyDescent="0.2">
      <c r="A313" s="13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</row>
    <row r="314" spans="1:16" ht="14.25" customHeight="1" x14ac:dyDescent="0.2">
      <c r="A314" s="13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</row>
    <row r="315" spans="1:16" ht="14.25" customHeight="1" x14ac:dyDescent="0.2">
      <c r="A315" s="13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</row>
    <row r="316" spans="1:16" ht="14.25" customHeight="1" x14ac:dyDescent="0.2">
      <c r="A316" s="13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</row>
    <row r="317" spans="1:16" ht="14.25" customHeight="1" x14ac:dyDescent="0.2">
      <c r="A317" s="13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</row>
    <row r="318" spans="1:16" ht="14.25" customHeight="1" x14ac:dyDescent="0.2">
      <c r="A318" s="13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</row>
    <row r="319" spans="1:16" ht="14.25" customHeight="1" x14ac:dyDescent="0.2">
      <c r="A319" s="13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1:16" ht="14.25" customHeight="1" x14ac:dyDescent="0.2">
      <c r="A320" s="13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1:16" ht="14.25" customHeight="1" x14ac:dyDescent="0.2">
      <c r="A321" s="13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1:16" ht="14.25" customHeight="1" x14ac:dyDescent="0.2">
      <c r="A322" s="13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1:16" ht="14.25" customHeight="1" x14ac:dyDescent="0.2">
      <c r="A323" s="13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1:16" ht="14.25" customHeight="1" x14ac:dyDescent="0.2">
      <c r="A324" s="13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1:16" ht="14.25" customHeight="1" x14ac:dyDescent="0.2">
      <c r="A325" s="13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1:16" ht="14.25" customHeight="1" x14ac:dyDescent="0.2">
      <c r="A326" s="13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1:16" ht="14.25" customHeight="1" x14ac:dyDescent="0.2">
      <c r="A327" s="13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1:16" ht="14.25" customHeight="1" x14ac:dyDescent="0.2">
      <c r="A328" s="13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16" ht="14.25" customHeight="1" x14ac:dyDescent="0.2">
      <c r="A329" s="13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1:16" ht="14.25" customHeight="1" x14ac:dyDescent="0.2">
      <c r="A330" s="13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1:16" ht="14.25" customHeight="1" x14ac:dyDescent="0.2">
      <c r="A331" s="13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1:16" ht="14.25" customHeight="1" x14ac:dyDescent="0.2">
      <c r="A332" s="13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1:16" ht="14.25" customHeight="1" x14ac:dyDescent="0.2">
      <c r="A333" s="13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1:16" ht="14.25" customHeight="1" x14ac:dyDescent="0.2">
      <c r="A334" s="13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1:16" ht="14.25" customHeight="1" x14ac:dyDescent="0.2">
      <c r="A335" s="13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1:16" ht="14.25" customHeight="1" x14ac:dyDescent="0.2">
      <c r="A336" s="13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1:16" ht="14.25" customHeight="1" x14ac:dyDescent="0.2">
      <c r="A337" s="13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1:16" ht="14.25" customHeight="1" x14ac:dyDescent="0.2">
      <c r="A338" s="13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1:16" ht="14.25" customHeight="1" x14ac:dyDescent="0.2">
      <c r="A339" s="13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1:16" ht="14.25" customHeight="1" x14ac:dyDescent="0.2">
      <c r="A340" s="13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1:16" ht="14.25" customHeight="1" x14ac:dyDescent="0.2">
      <c r="A341" s="13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1:16" ht="14.25" customHeight="1" x14ac:dyDescent="0.2">
      <c r="A342" s="13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1:16" ht="14.25" customHeight="1" x14ac:dyDescent="0.2">
      <c r="A343" s="13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1:16" ht="14.25" customHeight="1" x14ac:dyDescent="0.2">
      <c r="A344" s="13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1:16" ht="14.25" customHeight="1" x14ac:dyDescent="0.2">
      <c r="A345" s="13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16" ht="14.25" customHeight="1" x14ac:dyDescent="0.2">
      <c r="A346" s="13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1:16" ht="14.25" customHeight="1" x14ac:dyDescent="0.2">
      <c r="A347" s="13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1:16" ht="14.25" customHeight="1" x14ac:dyDescent="0.2">
      <c r="A348" s="13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1:16" ht="14.25" customHeight="1" x14ac:dyDescent="0.2">
      <c r="A349" s="13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1:16" ht="14.25" customHeight="1" x14ac:dyDescent="0.2">
      <c r="A350" s="13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1:16" ht="14.25" customHeight="1" x14ac:dyDescent="0.2">
      <c r="A351" s="13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1:16" ht="14.25" customHeight="1" x14ac:dyDescent="0.2">
      <c r="A352" s="13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1:16" ht="14.25" customHeight="1" x14ac:dyDescent="0.2">
      <c r="A353" s="13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1:16" ht="14.25" customHeight="1" x14ac:dyDescent="0.2">
      <c r="A354" s="13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1:16" ht="14.25" customHeight="1" x14ac:dyDescent="0.2">
      <c r="A355" s="13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1:16" ht="14.25" customHeight="1" x14ac:dyDescent="0.2">
      <c r="A356" s="13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1:16" ht="14.25" customHeight="1" x14ac:dyDescent="0.2">
      <c r="A357" s="13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1:16" ht="14.25" customHeight="1" x14ac:dyDescent="0.2">
      <c r="A358" s="13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1:16" ht="14.25" customHeight="1" x14ac:dyDescent="0.2">
      <c r="A359" s="13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1:16" ht="14.25" customHeight="1" x14ac:dyDescent="0.2">
      <c r="A360" s="13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1:16" ht="14.25" customHeight="1" x14ac:dyDescent="0.2">
      <c r="A361" s="13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1:16" ht="14.25" customHeight="1" x14ac:dyDescent="0.2">
      <c r="A362" s="13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16" ht="14.25" customHeight="1" x14ac:dyDescent="0.2">
      <c r="A363" s="13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1:16" ht="14.25" customHeight="1" x14ac:dyDescent="0.2">
      <c r="A364" s="13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1:16" ht="14.25" customHeight="1" x14ac:dyDescent="0.2">
      <c r="A365" s="13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1:16" ht="14.25" customHeight="1" x14ac:dyDescent="0.2">
      <c r="A366" s="13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1:16" ht="14.25" customHeight="1" x14ac:dyDescent="0.2">
      <c r="A367" s="13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1:16" ht="14.25" customHeight="1" x14ac:dyDescent="0.2">
      <c r="A368" s="13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1:16" ht="14.25" customHeight="1" x14ac:dyDescent="0.2">
      <c r="A369" s="13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1:16" ht="14.25" customHeight="1" x14ac:dyDescent="0.2">
      <c r="A370" s="13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1:16" ht="14.25" customHeight="1" x14ac:dyDescent="0.2">
      <c r="A371" s="13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1:16" ht="14.25" customHeight="1" x14ac:dyDescent="0.2">
      <c r="A372" s="13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1:16" ht="14.25" customHeight="1" x14ac:dyDescent="0.2">
      <c r="A373" s="13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1:16" ht="14.25" customHeight="1" x14ac:dyDescent="0.2">
      <c r="A374" s="13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1:16" ht="14.25" customHeight="1" x14ac:dyDescent="0.2">
      <c r="A375" s="13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1:16" ht="14.25" customHeight="1" x14ac:dyDescent="0.2">
      <c r="A376" s="13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1:16" ht="14.25" customHeight="1" x14ac:dyDescent="0.2">
      <c r="A377" s="13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1:16" ht="14.25" customHeight="1" x14ac:dyDescent="0.2">
      <c r="A378" s="13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1:16" ht="14.25" customHeight="1" x14ac:dyDescent="0.2">
      <c r="A379" s="13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16" ht="14.25" customHeight="1" x14ac:dyDescent="0.2">
      <c r="A380" s="13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1:16" ht="14.25" customHeight="1" x14ac:dyDescent="0.2">
      <c r="A381" s="13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1:16" ht="14.25" customHeight="1" x14ac:dyDescent="0.2">
      <c r="A382" s="13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1:16" ht="14.25" customHeight="1" x14ac:dyDescent="0.2">
      <c r="A383" s="13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1:16" ht="14.25" customHeight="1" x14ac:dyDescent="0.2">
      <c r="A384" s="13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1:16" ht="14.25" customHeight="1" x14ac:dyDescent="0.2">
      <c r="A385" s="13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1:16" ht="14.25" customHeight="1" x14ac:dyDescent="0.2">
      <c r="A386" s="13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1:16" ht="14.25" customHeight="1" x14ac:dyDescent="0.2">
      <c r="A387" s="13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1:16" ht="14.25" customHeight="1" x14ac:dyDescent="0.2">
      <c r="A388" s="13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1:16" ht="14.25" customHeight="1" x14ac:dyDescent="0.2">
      <c r="A389" s="13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1:16" ht="14.25" customHeight="1" x14ac:dyDescent="0.2">
      <c r="A390" s="13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1:16" ht="14.25" customHeight="1" x14ac:dyDescent="0.2">
      <c r="A391" s="13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1:16" ht="14.25" customHeight="1" x14ac:dyDescent="0.2">
      <c r="A392" s="13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1:16" ht="14.25" customHeight="1" x14ac:dyDescent="0.2">
      <c r="A393" s="13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1:16" ht="14.25" customHeight="1" x14ac:dyDescent="0.2">
      <c r="A394" s="13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1:16" ht="14.25" customHeight="1" x14ac:dyDescent="0.2">
      <c r="A395" s="13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1:16" ht="14.25" customHeight="1" x14ac:dyDescent="0.2">
      <c r="A396" s="13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16" ht="14.25" customHeight="1" x14ac:dyDescent="0.2">
      <c r="A397" s="13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1:16" ht="14.25" customHeight="1" x14ac:dyDescent="0.2">
      <c r="A398" s="13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1:16" ht="14.25" customHeight="1" x14ac:dyDescent="0.2">
      <c r="A399" s="13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1:16" ht="14.25" customHeight="1" x14ac:dyDescent="0.2">
      <c r="A400" s="13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1:16" ht="14.25" customHeight="1" x14ac:dyDescent="0.2">
      <c r="A401" s="13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1:16" ht="14.25" customHeight="1" x14ac:dyDescent="0.2">
      <c r="A402" s="13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1:16" ht="14.25" customHeight="1" x14ac:dyDescent="0.2">
      <c r="A403" s="13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1:16" ht="14.25" customHeight="1" x14ac:dyDescent="0.2">
      <c r="A404" s="13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1:16" ht="14.25" customHeight="1" x14ac:dyDescent="0.2">
      <c r="A405" s="13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1:16" ht="14.25" customHeight="1" x14ac:dyDescent="0.2">
      <c r="A406" s="13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1:16" ht="14.25" customHeight="1" x14ac:dyDescent="0.2">
      <c r="A407" s="13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1:16" ht="14.25" customHeight="1" x14ac:dyDescent="0.2">
      <c r="A408" s="13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1:16" ht="14.25" customHeight="1" x14ac:dyDescent="0.2">
      <c r="A409" s="13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1:16" ht="14.25" customHeight="1" x14ac:dyDescent="0.2">
      <c r="A410" s="13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1:16" ht="14.25" customHeight="1" x14ac:dyDescent="0.2">
      <c r="A411" s="13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1:16" ht="14.25" customHeight="1" x14ac:dyDescent="0.2">
      <c r="A412" s="13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1:16" ht="14.25" customHeight="1" x14ac:dyDescent="0.2">
      <c r="A413" s="13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6" ht="14.25" customHeight="1" x14ac:dyDescent="0.2">
      <c r="A414" s="13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1:16" ht="14.25" customHeight="1" x14ac:dyDescent="0.2">
      <c r="A415" s="13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1:16" ht="14.25" customHeight="1" x14ac:dyDescent="0.2">
      <c r="A416" s="13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1:16" ht="14.25" customHeight="1" x14ac:dyDescent="0.2">
      <c r="A417" s="13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1:16" ht="14.25" customHeight="1" x14ac:dyDescent="0.2">
      <c r="A418" s="13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1:16" ht="14.25" customHeight="1" x14ac:dyDescent="0.2">
      <c r="A419" s="13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1:16" ht="14.25" customHeight="1" x14ac:dyDescent="0.2">
      <c r="A420" s="13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1:16" ht="14.25" customHeight="1" x14ac:dyDescent="0.2">
      <c r="A421" s="13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1:16" ht="14.25" customHeight="1" x14ac:dyDescent="0.2">
      <c r="A422" s="13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1:16" ht="14.25" customHeight="1" x14ac:dyDescent="0.2">
      <c r="A423" s="13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1:16" ht="14.25" customHeight="1" x14ac:dyDescent="0.2">
      <c r="A424" s="13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1:16" ht="14.25" customHeight="1" x14ac:dyDescent="0.2">
      <c r="A425" s="13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1:16" ht="14.25" customHeight="1" x14ac:dyDescent="0.2">
      <c r="A426" s="13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1:16" ht="14.25" customHeight="1" x14ac:dyDescent="0.2">
      <c r="A427" s="13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1:16" ht="14.25" customHeight="1" x14ac:dyDescent="0.2">
      <c r="A428" s="13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1:16" ht="14.25" customHeight="1" x14ac:dyDescent="0.2">
      <c r="A429" s="13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1:16" ht="14.25" customHeight="1" x14ac:dyDescent="0.2">
      <c r="A430" s="13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16" ht="14.25" customHeight="1" x14ac:dyDescent="0.2">
      <c r="A431" s="13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1:16" ht="14.25" customHeight="1" x14ac:dyDescent="0.2">
      <c r="A432" s="13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1:16" ht="14.25" customHeight="1" x14ac:dyDescent="0.2">
      <c r="A433" s="13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1:16" ht="14.25" customHeight="1" x14ac:dyDescent="0.2">
      <c r="A434" s="13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1:16" ht="14.25" customHeight="1" x14ac:dyDescent="0.2">
      <c r="A435" s="13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1:16" ht="14.25" customHeight="1" x14ac:dyDescent="0.2">
      <c r="A436" s="13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1:16" ht="14.25" customHeight="1" x14ac:dyDescent="0.2">
      <c r="A437" s="13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1:16" ht="14.25" customHeight="1" x14ac:dyDescent="0.2">
      <c r="A438" s="13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1:16" ht="14.25" customHeight="1" x14ac:dyDescent="0.2">
      <c r="A439" s="13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1:16" ht="14.25" customHeight="1" x14ac:dyDescent="0.2">
      <c r="A440" s="13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1:16" ht="14.25" customHeight="1" x14ac:dyDescent="0.2">
      <c r="A441" s="13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1:16" ht="14.25" customHeight="1" x14ac:dyDescent="0.2">
      <c r="A442" s="13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1:16" ht="14.25" customHeight="1" x14ac:dyDescent="0.2">
      <c r="A443" s="13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1:16" ht="14.25" customHeight="1" x14ac:dyDescent="0.2">
      <c r="A444" s="13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1:16" ht="14.25" customHeight="1" x14ac:dyDescent="0.2">
      <c r="A445" s="13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1:16" ht="14.25" customHeight="1" x14ac:dyDescent="0.2">
      <c r="A446" s="13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1:16" ht="14.25" customHeight="1" x14ac:dyDescent="0.2">
      <c r="A447" s="13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6" ht="14.25" customHeight="1" x14ac:dyDescent="0.2">
      <c r="A448" s="13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1:16" ht="14.25" customHeight="1" x14ac:dyDescent="0.2">
      <c r="A449" s="13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1:16" ht="14.25" customHeight="1" x14ac:dyDescent="0.2">
      <c r="A450" s="13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1:16" ht="14.25" customHeight="1" x14ac:dyDescent="0.2">
      <c r="A451" s="13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1:16" ht="14.25" customHeight="1" x14ac:dyDescent="0.2">
      <c r="A452" s="13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1:16" ht="14.25" customHeight="1" x14ac:dyDescent="0.2">
      <c r="A453" s="13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1:16" ht="14.25" customHeight="1" x14ac:dyDescent="0.2">
      <c r="A454" s="13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1:16" ht="14.25" customHeight="1" x14ac:dyDescent="0.2">
      <c r="A455" s="13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1:16" ht="14.25" customHeight="1" x14ac:dyDescent="0.2">
      <c r="A456" s="13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1:16" ht="14.25" customHeight="1" x14ac:dyDescent="0.2">
      <c r="A457" s="13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1:16" ht="14.25" customHeight="1" x14ac:dyDescent="0.2">
      <c r="A458" s="13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1:16" ht="14.25" customHeight="1" x14ac:dyDescent="0.2">
      <c r="A459" s="13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1:16" ht="14.25" customHeight="1" x14ac:dyDescent="0.2">
      <c r="A460" s="13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1:16" ht="14.25" customHeight="1" x14ac:dyDescent="0.2">
      <c r="A461" s="13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1:16" ht="14.25" customHeight="1" x14ac:dyDescent="0.2">
      <c r="A462" s="13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1:16" ht="14.25" customHeight="1" x14ac:dyDescent="0.2">
      <c r="A463" s="13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1:16" ht="14.25" customHeight="1" x14ac:dyDescent="0.2">
      <c r="A464" s="13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6" ht="14.25" customHeight="1" x14ac:dyDescent="0.2">
      <c r="A465" s="13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1:16" ht="14.25" customHeight="1" x14ac:dyDescent="0.2">
      <c r="A466" s="13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1:16" ht="14.25" customHeight="1" x14ac:dyDescent="0.2">
      <c r="A467" s="13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1:16" ht="14.25" customHeight="1" x14ac:dyDescent="0.2">
      <c r="A468" s="13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1:16" ht="14.25" customHeight="1" x14ac:dyDescent="0.2">
      <c r="A469" s="13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1:16" ht="14.25" customHeight="1" x14ac:dyDescent="0.2">
      <c r="A470" s="13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1:16" ht="14.25" customHeight="1" x14ac:dyDescent="0.2">
      <c r="A471" s="13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1:16" ht="14.25" customHeight="1" x14ac:dyDescent="0.2">
      <c r="A472" s="13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1:16" ht="14.25" customHeight="1" x14ac:dyDescent="0.2">
      <c r="A473" s="13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1:16" ht="14.25" customHeight="1" x14ac:dyDescent="0.2">
      <c r="A474" s="13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1:16" ht="14.25" customHeight="1" x14ac:dyDescent="0.2">
      <c r="A475" s="13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1:16" ht="14.25" customHeight="1" x14ac:dyDescent="0.2">
      <c r="A476" s="13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1:16" ht="14.25" customHeight="1" x14ac:dyDescent="0.2">
      <c r="A477" s="13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1:16" ht="14.25" customHeight="1" x14ac:dyDescent="0.2">
      <c r="A478" s="13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1:16" ht="14.25" customHeight="1" x14ac:dyDescent="0.2">
      <c r="A479" s="13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1:16" ht="14.25" customHeight="1" x14ac:dyDescent="0.2">
      <c r="A480" s="13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1:16" ht="14.25" customHeight="1" x14ac:dyDescent="0.2">
      <c r="A481" s="13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6" ht="14.25" customHeight="1" x14ac:dyDescent="0.2">
      <c r="A482" s="13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1:16" ht="14.25" customHeight="1" x14ac:dyDescent="0.2">
      <c r="A483" s="13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1:16" ht="14.25" customHeight="1" x14ac:dyDescent="0.2">
      <c r="A484" s="13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1:16" ht="14.25" customHeight="1" x14ac:dyDescent="0.2">
      <c r="A485" s="13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1:16" ht="14.25" customHeight="1" x14ac:dyDescent="0.2">
      <c r="A486" s="13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1:16" ht="14.25" customHeight="1" x14ac:dyDescent="0.2">
      <c r="A487" s="13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1:16" ht="14.25" customHeight="1" x14ac:dyDescent="0.2">
      <c r="A488" s="13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1:16" ht="14.25" customHeight="1" x14ac:dyDescent="0.2">
      <c r="A489" s="13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1:16" ht="14.25" customHeight="1" x14ac:dyDescent="0.2">
      <c r="A490" s="13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1:16" ht="14.25" customHeight="1" x14ac:dyDescent="0.2">
      <c r="A491" s="13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1:16" ht="14.25" customHeight="1" x14ac:dyDescent="0.2">
      <c r="A492" s="13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1:16" ht="14.25" customHeight="1" x14ac:dyDescent="0.2">
      <c r="A493" s="13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1:16" ht="14.25" customHeight="1" x14ac:dyDescent="0.2">
      <c r="A494" s="13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1:16" ht="14.25" customHeight="1" x14ac:dyDescent="0.2">
      <c r="A495" s="13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1:16" ht="14.25" customHeight="1" x14ac:dyDescent="0.2">
      <c r="A496" s="13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1:16" ht="14.25" customHeight="1" x14ac:dyDescent="0.2">
      <c r="A497" s="13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1:16" ht="14.25" customHeight="1" x14ac:dyDescent="0.2">
      <c r="A498" s="13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6" ht="14.25" customHeight="1" x14ac:dyDescent="0.2">
      <c r="A499" s="13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1:16" ht="14.25" customHeight="1" x14ac:dyDescent="0.2">
      <c r="A500" s="13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1:16" ht="14.25" customHeight="1" x14ac:dyDescent="0.2">
      <c r="A501" s="13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1:16" ht="14.25" customHeight="1" x14ac:dyDescent="0.2">
      <c r="A502" s="13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1:16" ht="14.25" customHeight="1" x14ac:dyDescent="0.2">
      <c r="A503" s="13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1:16" ht="14.25" customHeight="1" x14ac:dyDescent="0.2">
      <c r="A504" s="13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1:16" ht="14.25" customHeight="1" x14ac:dyDescent="0.2">
      <c r="A505" s="13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1:16" ht="14.25" customHeight="1" x14ac:dyDescent="0.2">
      <c r="A506" s="13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1:16" ht="14.25" customHeight="1" x14ac:dyDescent="0.2">
      <c r="A507" s="13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1:16" ht="14.25" customHeight="1" x14ac:dyDescent="0.2">
      <c r="A508" s="13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1:16" ht="14.25" customHeight="1" x14ac:dyDescent="0.2">
      <c r="A509" s="13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1:16" ht="14.25" customHeight="1" x14ac:dyDescent="0.2">
      <c r="A510" s="13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1:16" ht="14.25" customHeight="1" x14ac:dyDescent="0.2">
      <c r="A511" s="13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1:16" ht="14.25" customHeight="1" x14ac:dyDescent="0.2">
      <c r="A512" s="13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1:16" ht="14.25" customHeight="1" x14ac:dyDescent="0.2">
      <c r="A513" s="13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1:16" ht="14.25" customHeight="1" x14ac:dyDescent="0.2">
      <c r="A514" s="13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1:16" ht="14.25" customHeight="1" x14ac:dyDescent="0.2">
      <c r="A515" s="13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6" ht="14.25" customHeight="1" x14ac:dyDescent="0.2">
      <c r="A516" s="13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1:16" ht="14.25" customHeight="1" x14ac:dyDescent="0.2">
      <c r="A517" s="13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1:16" ht="14.25" customHeight="1" x14ac:dyDescent="0.2">
      <c r="A518" s="13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1:16" ht="14.25" customHeight="1" x14ac:dyDescent="0.2">
      <c r="A519" s="13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1:16" ht="14.25" customHeight="1" x14ac:dyDescent="0.2">
      <c r="A520" s="13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1:16" ht="14.25" customHeight="1" x14ac:dyDescent="0.2">
      <c r="A521" s="13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1:16" ht="14.25" customHeight="1" x14ac:dyDescent="0.2">
      <c r="A522" s="13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1:16" ht="14.25" customHeight="1" x14ac:dyDescent="0.2">
      <c r="A523" s="13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1:16" ht="14.25" customHeight="1" x14ac:dyDescent="0.2">
      <c r="A524" s="13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1:16" ht="14.25" customHeight="1" x14ac:dyDescent="0.2">
      <c r="A525" s="13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1:16" ht="14.25" customHeight="1" x14ac:dyDescent="0.2">
      <c r="A526" s="13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1:16" ht="14.25" customHeight="1" x14ac:dyDescent="0.2">
      <c r="A527" s="13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1:16" ht="14.25" customHeight="1" x14ac:dyDescent="0.2">
      <c r="A528" s="13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1:16" ht="14.25" customHeight="1" x14ac:dyDescent="0.2">
      <c r="A529" s="13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1:16" ht="14.25" customHeight="1" x14ac:dyDescent="0.2">
      <c r="A530" s="13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1:16" ht="14.25" customHeight="1" x14ac:dyDescent="0.2">
      <c r="A531" s="13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1:16" ht="14.25" customHeight="1" x14ac:dyDescent="0.2">
      <c r="A532" s="13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6" ht="14.25" customHeight="1" x14ac:dyDescent="0.2">
      <c r="A533" s="13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1:16" ht="14.25" customHeight="1" x14ac:dyDescent="0.2">
      <c r="A534" s="13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1:16" ht="14.25" customHeight="1" x14ac:dyDescent="0.2">
      <c r="A535" s="13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1:16" ht="14.25" customHeight="1" x14ac:dyDescent="0.2">
      <c r="A536" s="13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1:16" ht="14.25" customHeight="1" x14ac:dyDescent="0.2">
      <c r="A537" s="13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1:16" ht="14.25" customHeight="1" x14ac:dyDescent="0.2">
      <c r="A538" s="13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1:16" ht="14.25" customHeight="1" x14ac:dyDescent="0.2">
      <c r="A539" s="13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1:16" ht="14.25" customHeight="1" x14ac:dyDescent="0.2">
      <c r="A540" s="13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1:16" ht="14.25" customHeight="1" x14ac:dyDescent="0.2">
      <c r="A541" s="13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1:16" ht="14.25" customHeight="1" x14ac:dyDescent="0.2">
      <c r="A542" s="13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1:16" ht="14.25" customHeight="1" x14ac:dyDescent="0.2">
      <c r="A543" s="13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1:16" ht="14.25" customHeight="1" x14ac:dyDescent="0.2">
      <c r="A544" s="13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1:16" ht="14.25" customHeight="1" x14ac:dyDescent="0.2">
      <c r="A545" s="13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1:16" ht="14.25" customHeight="1" x14ac:dyDescent="0.2">
      <c r="A546" s="13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1:16" ht="14.25" customHeight="1" x14ac:dyDescent="0.2">
      <c r="A547" s="13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1:16" ht="14.25" customHeight="1" x14ac:dyDescent="0.2">
      <c r="A548" s="13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1:16" ht="14.25" customHeight="1" x14ac:dyDescent="0.2">
      <c r="A549" s="13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1:16" ht="14.25" customHeight="1" x14ac:dyDescent="0.2">
      <c r="A550" s="13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1:16" ht="14.25" customHeight="1" x14ac:dyDescent="0.2">
      <c r="A551" s="13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1:16" ht="14.25" customHeight="1" x14ac:dyDescent="0.2">
      <c r="A552" s="13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1:16" ht="14.25" customHeight="1" x14ac:dyDescent="0.2">
      <c r="A553" s="13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1:16" ht="14.25" customHeight="1" x14ac:dyDescent="0.2">
      <c r="A554" s="13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1:16" ht="14.25" customHeight="1" x14ac:dyDescent="0.2">
      <c r="A555" s="13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1:16" ht="14.25" customHeight="1" x14ac:dyDescent="0.2">
      <c r="A556" s="13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1:16" ht="14.25" customHeight="1" x14ac:dyDescent="0.2">
      <c r="A557" s="13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1:16" ht="14.25" customHeight="1" x14ac:dyDescent="0.2">
      <c r="A558" s="13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1:16" ht="14.25" customHeight="1" x14ac:dyDescent="0.2">
      <c r="A559" s="13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1:16" ht="14.25" customHeight="1" x14ac:dyDescent="0.2">
      <c r="A560" s="13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1:16" ht="14.25" customHeight="1" x14ac:dyDescent="0.2">
      <c r="A561" s="13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1:16" ht="14.25" customHeight="1" x14ac:dyDescent="0.2">
      <c r="A562" s="13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1:16" ht="14.25" customHeight="1" x14ac:dyDescent="0.2">
      <c r="A563" s="13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1:16" ht="14.25" customHeight="1" x14ac:dyDescent="0.2">
      <c r="A564" s="13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1:16" ht="14.25" customHeight="1" x14ac:dyDescent="0.2">
      <c r="A565" s="13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1:16" ht="14.25" customHeight="1" x14ac:dyDescent="0.2">
      <c r="A566" s="13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1:16" ht="14.25" customHeight="1" x14ac:dyDescent="0.2">
      <c r="A567" s="13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1:16" ht="14.25" customHeight="1" x14ac:dyDescent="0.2">
      <c r="A568" s="13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1:16" ht="14.25" customHeight="1" x14ac:dyDescent="0.2">
      <c r="A569" s="13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1:16" ht="14.25" customHeight="1" x14ac:dyDescent="0.2">
      <c r="A570" s="13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1:16" ht="14.25" customHeight="1" x14ac:dyDescent="0.2">
      <c r="A571" s="13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1:16" ht="14.25" customHeight="1" x14ac:dyDescent="0.2">
      <c r="A572" s="13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1:16" ht="14.25" customHeight="1" x14ac:dyDescent="0.2">
      <c r="A573" s="13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1:16" ht="14.25" customHeight="1" x14ac:dyDescent="0.2">
      <c r="A574" s="13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1:16" ht="14.25" customHeight="1" x14ac:dyDescent="0.2">
      <c r="A575" s="13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1:16" ht="14.25" customHeight="1" x14ac:dyDescent="0.2">
      <c r="A576" s="13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1:16" ht="14.25" customHeight="1" x14ac:dyDescent="0.2">
      <c r="A577" s="13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1:16" ht="14.25" customHeight="1" x14ac:dyDescent="0.2">
      <c r="A578" s="13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1:16" ht="14.25" customHeight="1" x14ac:dyDescent="0.2">
      <c r="A579" s="13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1:16" ht="14.25" customHeight="1" x14ac:dyDescent="0.2">
      <c r="A580" s="13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1:16" ht="14.25" customHeight="1" x14ac:dyDescent="0.2">
      <c r="A581" s="13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1:16" ht="14.25" customHeight="1" x14ac:dyDescent="0.2">
      <c r="A582" s="13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1:16" ht="14.25" customHeight="1" x14ac:dyDescent="0.2">
      <c r="A583" s="13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1:16" ht="14.25" customHeight="1" x14ac:dyDescent="0.2">
      <c r="A584" s="13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1:16" ht="14.25" customHeight="1" x14ac:dyDescent="0.2">
      <c r="A585" s="13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1:16" ht="14.25" customHeight="1" x14ac:dyDescent="0.2">
      <c r="A586" s="13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1:16" ht="14.25" customHeight="1" x14ac:dyDescent="0.2">
      <c r="A587" s="13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1:16" ht="14.25" customHeight="1" x14ac:dyDescent="0.2">
      <c r="A588" s="13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1:16" ht="14.25" customHeight="1" x14ac:dyDescent="0.2">
      <c r="A589" s="13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1:16" ht="14.25" customHeight="1" x14ac:dyDescent="0.2">
      <c r="A590" s="13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1:16" ht="14.25" customHeight="1" x14ac:dyDescent="0.2">
      <c r="A591" s="13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1:16" ht="14.25" customHeight="1" x14ac:dyDescent="0.2">
      <c r="A592" s="13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1:16" ht="14.25" customHeight="1" x14ac:dyDescent="0.2">
      <c r="A593" s="13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1:16" ht="14.25" customHeight="1" x14ac:dyDescent="0.2">
      <c r="A594" s="13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1:16" ht="14.25" customHeight="1" x14ac:dyDescent="0.2">
      <c r="A595" s="13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1:16" ht="14.25" customHeight="1" x14ac:dyDescent="0.2">
      <c r="A596" s="13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1:16" ht="14.25" customHeight="1" x14ac:dyDescent="0.2">
      <c r="A597" s="13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1:16" ht="14.25" customHeight="1" x14ac:dyDescent="0.2">
      <c r="A598" s="13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1:16" ht="14.25" customHeight="1" x14ac:dyDescent="0.2">
      <c r="A599" s="13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1:16" ht="14.25" customHeight="1" x14ac:dyDescent="0.2">
      <c r="A600" s="13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1:16" ht="14.25" customHeight="1" x14ac:dyDescent="0.2">
      <c r="A601" s="13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1:16" ht="14.25" customHeight="1" x14ac:dyDescent="0.2">
      <c r="A602" s="13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1:16" ht="14.25" customHeight="1" x14ac:dyDescent="0.2">
      <c r="A603" s="13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1:16" ht="14.25" customHeight="1" x14ac:dyDescent="0.2">
      <c r="A604" s="13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1:16" ht="14.25" customHeight="1" x14ac:dyDescent="0.2">
      <c r="A605" s="13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1:16" ht="14.25" customHeight="1" x14ac:dyDescent="0.2">
      <c r="A606" s="13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1:16" ht="14.25" customHeight="1" x14ac:dyDescent="0.2">
      <c r="A607" s="13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1:16" ht="14.25" customHeight="1" x14ac:dyDescent="0.2">
      <c r="A608" s="13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1:16" ht="14.25" customHeight="1" x14ac:dyDescent="0.2">
      <c r="A609" s="13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1:16" ht="14.25" customHeight="1" x14ac:dyDescent="0.2">
      <c r="A610" s="13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1:16" ht="14.25" customHeight="1" x14ac:dyDescent="0.2">
      <c r="A611" s="13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1:16" ht="14.25" customHeight="1" x14ac:dyDescent="0.2">
      <c r="A612" s="13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1:16" ht="14.25" customHeight="1" x14ac:dyDescent="0.2">
      <c r="A613" s="13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1:16" ht="14.25" customHeight="1" x14ac:dyDescent="0.2">
      <c r="A614" s="13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1:16" ht="14.25" customHeight="1" x14ac:dyDescent="0.2">
      <c r="A615" s="13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1:16" ht="14.25" customHeight="1" x14ac:dyDescent="0.2">
      <c r="A616" s="13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1:16" ht="14.25" customHeight="1" x14ac:dyDescent="0.2">
      <c r="A617" s="13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1:16" ht="14.25" customHeight="1" x14ac:dyDescent="0.2">
      <c r="A618" s="13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1:16" ht="14.25" customHeight="1" x14ac:dyDescent="0.2">
      <c r="A619" s="13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1:16" ht="14.25" customHeight="1" x14ac:dyDescent="0.2">
      <c r="A620" s="13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1:16" ht="14.25" customHeight="1" x14ac:dyDescent="0.2">
      <c r="A621" s="13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1:16" ht="14.25" customHeight="1" x14ac:dyDescent="0.2">
      <c r="A622" s="13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1:16" ht="14.25" customHeight="1" x14ac:dyDescent="0.2">
      <c r="A623" s="13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1:16" ht="14.25" customHeight="1" x14ac:dyDescent="0.2">
      <c r="A624" s="13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1:16" ht="14.25" customHeight="1" x14ac:dyDescent="0.2">
      <c r="A625" s="13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1:16" ht="14.25" customHeight="1" x14ac:dyDescent="0.2">
      <c r="A626" s="13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1:16" ht="14.25" customHeight="1" x14ac:dyDescent="0.2">
      <c r="A627" s="13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1:16" ht="14.25" customHeight="1" x14ac:dyDescent="0.2">
      <c r="A628" s="13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1:16" ht="14.25" customHeight="1" x14ac:dyDescent="0.2">
      <c r="A629" s="13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1:16" ht="14.25" customHeight="1" x14ac:dyDescent="0.2">
      <c r="A630" s="13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1:16" ht="14.25" customHeight="1" x14ac:dyDescent="0.2">
      <c r="A631" s="13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1:16" ht="14.25" customHeight="1" x14ac:dyDescent="0.2">
      <c r="A632" s="13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1:16" ht="14.25" customHeight="1" x14ac:dyDescent="0.2">
      <c r="A633" s="13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1:16" ht="14.25" customHeight="1" x14ac:dyDescent="0.2">
      <c r="A634" s="13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1:16" ht="14.25" customHeight="1" x14ac:dyDescent="0.2">
      <c r="A635" s="13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1:16" ht="14.25" customHeight="1" x14ac:dyDescent="0.2">
      <c r="A636" s="13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1:16" ht="14.25" customHeight="1" x14ac:dyDescent="0.2">
      <c r="A637" s="13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1:16" ht="14.25" customHeight="1" x14ac:dyDescent="0.2">
      <c r="A638" s="13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1:16" ht="14.25" customHeight="1" x14ac:dyDescent="0.2">
      <c r="A639" s="13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1:16" ht="14.25" customHeight="1" x14ac:dyDescent="0.2">
      <c r="A640" s="13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1:16" ht="14.25" customHeight="1" x14ac:dyDescent="0.2">
      <c r="A641" s="13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1:16" ht="14.25" customHeight="1" x14ac:dyDescent="0.2">
      <c r="A642" s="13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1:16" ht="14.25" customHeight="1" x14ac:dyDescent="0.2">
      <c r="A643" s="13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1:16" ht="14.25" customHeight="1" x14ac:dyDescent="0.2">
      <c r="A644" s="13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1:16" ht="14.25" customHeight="1" x14ac:dyDescent="0.2">
      <c r="A645" s="13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1:16" ht="14.25" customHeight="1" x14ac:dyDescent="0.2">
      <c r="A646" s="13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1:16" ht="14.25" customHeight="1" x14ac:dyDescent="0.2">
      <c r="A647" s="13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1:16" ht="14.25" customHeight="1" x14ac:dyDescent="0.2">
      <c r="A648" s="13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1:16" ht="14.25" customHeight="1" x14ac:dyDescent="0.2">
      <c r="A649" s="13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1:16" ht="14.25" customHeight="1" x14ac:dyDescent="0.2">
      <c r="A650" s="13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1:16" ht="14.25" customHeight="1" x14ac:dyDescent="0.2">
      <c r="A651" s="13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1:16" ht="14.25" customHeight="1" x14ac:dyDescent="0.2">
      <c r="A652" s="13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1:16" ht="14.25" customHeight="1" x14ac:dyDescent="0.2">
      <c r="A653" s="13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1:16" ht="14.25" customHeight="1" x14ac:dyDescent="0.2">
      <c r="A654" s="13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1:16" ht="14.25" customHeight="1" x14ac:dyDescent="0.2">
      <c r="A655" s="13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1:16" ht="14.25" customHeight="1" x14ac:dyDescent="0.2">
      <c r="A656" s="13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1:16" ht="14.25" customHeight="1" x14ac:dyDescent="0.2">
      <c r="A657" s="13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1:16" ht="14.25" customHeight="1" x14ac:dyDescent="0.2">
      <c r="A658" s="13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1:16" ht="14.25" customHeight="1" x14ac:dyDescent="0.2">
      <c r="A659" s="13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1:16" ht="14.25" customHeight="1" x14ac:dyDescent="0.2">
      <c r="A660" s="13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1:16" ht="14.25" customHeight="1" x14ac:dyDescent="0.2">
      <c r="A661" s="13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1:16" ht="14.25" customHeight="1" x14ac:dyDescent="0.2">
      <c r="A662" s="13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1:16" ht="14.25" customHeight="1" x14ac:dyDescent="0.2">
      <c r="A663" s="13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1:16" ht="14.25" customHeight="1" x14ac:dyDescent="0.2">
      <c r="A664" s="13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1:16" ht="14.25" customHeight="1" x14ac:dyDescent="0.2">
      <c r="A665" s="13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1:16" ht="14.25" customHeight="1" x14ac:dyDescent="0.2">
      <c r="A666" s="13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1:16" ht="14.25" customHeight="1" x14ac:dyDescent="0.2">
      <c r="A667" s="13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1:16" ht="14.25" customHeight="1" x14ac:dyDescent="0.2">
      <c r="A668" s="13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1:16" ht="14.25" customHeight="1" x14ac:dyDescent="0.2">
      <c r="A669" s="13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1:16" ht="14.25" customHeight="1" x14ac:dyDescent="0.2">
      <c r="A670" s="13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1:16" ht="14.25" customHeight="1" x14ac:dyDescent="0.2">
      <c r="A671" s="13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1:16" ht="14.25" customHeight="1" x14ac:dyDescent="0.2">
      <c r="A672" s="13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1:16" ht="14.25" customHeight="1" x14ac:dyDescent="0.2">
      <c r="A673" s="13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1:16" ht="14.25" customHeight="1" x14ac:dyDescent="0.2">
      <c r="A674" s="13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1:16" ht="14.25" customHeight="1" x14ac:dyDescent="0.2">
      <c r="A675" s="13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1:16" ht="14.25" customHeight="1" x14ac:dyDescent="0.2">
      <c r="A676" s="13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1:16" ht="14.25" customHeight="1" x14ac:dyDescent="0.2">
      <c r="A677" s="13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1:16" ht="14.25" customHeight="1" x14ac:dyDescent="0.2">
      <c r="A678" s="13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1:16" ht="14.25" customHeight="1" x14ac:dyDescent="0.2">
      <c r="A679" s="13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1:16" ht="14.25" customHeight="1" x14ac:dyDescent="0.2">
      <c r="A680" s="13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1:16" ht="14.25" customHeight="1" x14ac:dyDescent="0.2">
      <c r="A681" s="13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1:16" ht="14.25" customHeight="1" x14ac:dyDescent="0.2">
      <c r="A682" s="13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1:16" ht="14.25" customHeight="1" x14ac:dyDescent="0.2">
      <c r="A683" s="13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1:16" ht="14.25" customHeight="1" x14ac:dyDescent="0.2">
      <c r="A684" s="13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1:16" ht="14.25" customHeight="1" x14ac:dyDescent="0.2">
      <c r="A685" s="13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1:16" ht="14.25" customHeight="1" x14ac:dyDescent="0.2">
      <c r="A686" s="13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1:16" ht="14.25" customHeight="1" x14ac:dyDescent="0.2">
      <c r="A687" s="13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1:16" ht="14.25" customHeight="1" x14ac:dyDescent="0.2">
      <c r="A688" s="13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1:16" ht="14.25" customHeight="1" x14ac:dyDescent="0.2">
      <c r="A689" s="13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1:16" ht="14.25" customHeight="1" x14ac:dyDescent="0.2">
      <c r="A690" s="13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1:16" ht="14.25" customHeight="1" x14ac:dyDescent="0.2">
      <c r="A691" s="13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1:16" ht="14.25" customHeight="1" x14ac:dyDescent="0.2">
      <c r="A692" s="13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1:16" ht="14.25" customHeight="1" x14ac:dyDescent="0.2">
      <c r="A693" s="13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1:16" ht="14.25" customHeight="1" x14ac:dyDescent="0.2">
      <c r="A694" s="13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1:16" ht="14.25" customHeight="1" x14ac:dyDescent="0.2">
      <c r="A695" s="13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1:16" ht="14.25" customHeight="1" x14ac:dyDescent="0.2">
      <c r="A696" s="13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1:16" ht="14.25" customHeight="1" x14ac:dyDescent="0.2">
      <c r="A697" s="13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1:16" ht="14.25" customHeight="1" x14ac:dyDescent="0.2">
      <c r="A698" s="13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1:16" ht="14.25" customHeight="1" x14ac:dyDescent="0.2">
      <c r="A699" s="13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1:16" ht="14.25" customHeight="1" x14ac:dyDescent="0.2">
      <c r="A700" s="13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1:16" ht="14.25" customHeight="1" x14ac:dyDescent="0.2">
      <c r="A701" s="13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1:16" ht="14.25" customHeight="1" x14ac:dyDescent="0.2">
      <c r="A702" s="13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1:16" ht="14.25" customHeight="1" x14ac:dyDescent="0.2">
      <c r="A703" s="13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1:16" ht="14.25" customHeight="1" x14ac:dyDescent="0.2">
      <c r="A704" s="13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1:16" ht="14.25" customHeight="1" x14ac:dyDescent="0.2">
      <c r="A705" s="13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1:16" ht="14.25" customHeight="1" x14ac:dyDescent="0.2">
      <c r="A706" s="13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1:16" ht="14.25" customHeight="1" x14ac:dyDescent="0.2">
      <c r="A707" s="13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1:16" ht="14.25" customHeight="1" x14ac:dyDescent="0.2">
      <c r="A708" s="13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1:16" ht="14.25" customHeight="1" x14ac:dyDescent="0.2">
      <c r="A709" s="13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1:16" ht="14.25" customHeight="1" x14ac:dyDescent="0.2">
      <c r="A710" s="13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1:16" ht="14.25" customHeight="1" x14ac:dyDescent="0.2">
      <c r="A711" s="13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1:16" ht="14.25" customHeight="1" x14ac:dyDescent="0.2">
      <c r="A712" s="13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1:16" ht="14.25" customHeight="1" x14ac:dyDescent="0.2">
      <c r="A713" s="13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1:16" ht="14.25" customHeight="1" x14ac:dyDescent="0.2">
      <c r="A714" s="13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1:16" ht="14.25" customHeight="1" x14ac:dyDescent="0.2">
      <c r="A715" s="13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1:16" ht="14.25" customHeight="1" x14ac:dyDescent="0.2">
      <c r="A716" s="13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1:16" ht="14.25" customHeight="1" x14ac:dyDescent="0.2">
      <c r="A717" s="13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1:16" ht="14.25" customHeight="1" x14ac:dyDescent="0.2">
      <c r="A718" s="13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</row>
    <row r="719" spans="1:16" ht="14.25" customHeight="1" x14ac:dyDescent="0.2">
      <c r="A719" s="13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</row>
    <row r="720" spans="1:16" ht="14.25" customHeight="1" x14ac:dyDescent="0.2">
      <c r="A720" s="13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</row>
    <row r="721" spans="1:16" ht="14.25" customHeight="1" x14ac:dyDescent="0.2">
      <c r="A721" s="13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</row>
    <row r="722" spans="1:16" ht="14.25" customHeight="1" x14ac:dyDescent="0.2">
      <c r="A722" s="13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</row>
    <row r="723" spans="1:16" ht="14.25" customHeight="1" x14ac:dyDescent="0.2">
      <c r="A723" s="13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</row>
    <row r="724" spans="1:16" ht="14.25" customHeight="1" x14ac:dyDescent="0.2">
      <c r="A724" s="13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</row>
    <row r="725" spans="1:16" ht="14.25" customHeight="1" x14ac:dyDescent="0.2">
      <c r="A725" s="13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</row>
    <row r="726" spans="1:16" ht="14.25" customHeight="1" x14ac:dyDescent="0.2">
      <c r="A726" s="13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</row>
    <row r="727" spans="1:16" ht="14.25" customHeight="1" x14ac:dyDescent="0.2">
      <c r="A727" s="13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</row>
    <row r="728" spans="1:16" ht="14.25" customHeight="1" x14ac:dyDescent="0.2">
      <c r="A728" s="13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</row>
    <row r="729" spans="1:16" ht="14.25" customHeight="1" x14ac:dyDescent="0.2">
      <c r="A729" s="13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</row>
    <row r="730" spans="1:16" ht="14.25" customHeight="1" x14ac:dyDescent="0.2">
      <c r="A730" s="13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</row>
    <row r="731" spans="1:16" ht="14.25" customHeight="1" x14ac:dyDescent="0.2">
      <c r="A731" s="13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</row>
    <row r="732" spans="1:16" ht="14.25" customHeight="1" x14ac:dyDescent="0.2">
      <c r="A732" s="13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</row>
    <row r="733" spans="1:16" ht="14.25" customHeight="1" x14ac:dyDescent="0.2">
      <c r="A733" s="13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</row>
    <row r="734" spans="1:16" ht="14.25" customHeight="1" x14ac:dyDescent="0.2">
      <c r="A734" s="13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</row>
    <row r="735" spans="1:16" ht="14.25" customHeight="1" x14ac:dyDescent="0.2">
      <c r="A735" s="13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</row>
    <row r="736" spans="1:16" ht="14.25" customHeight="1" x14ac:dyDescent="0.2">
      <c r="A736" s="13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</row>
    <row r="737" spans="1:16" ht="14.25" customHeight="1" x14ac:dyDescent="0.2">
      <c r="A737" s="13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</row>
    <row r="738" spans="1:16" ht="14.25" customHeight="1" x14ac:dyDescent="0.2">
      <c r="A738" s="13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</row>
    <row r="739" spans="1:16" ht="14.25" customHeight="1" x14ac:dyDescent="0.2">
      <c r="A739" s="13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</row>
    <row r="740" spans="1:16" ht="14.25" customHeight="1" x14ac:dyDescent="0.2">
      <c r="A740" s="13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</row>
    <row r="741" spans="1:16" ht="14.25" customHeight="1" x14ac:dyDescent="0.2">
      <c r="A741" s="13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</row>
    <row r="742" spans="1:16" ht="14.25" customHeight="1" x14ac:dyDescent="0.2">
      <c r="A742" s="13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</row>
    <row r="743" spans="1:16" ht="14.25" customHeight="1" x14ac:dyDescent="0.2">
      <c r="A743" s="13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</row>
    <row r="744" spans="1:16" ht="14.25" customHeight="1" x14ac:dyDescent="0.2">
      <c r="A744" s="13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</row>
    <row r="745" spans="1:16" ht="14.25" customHeight="1" x14ac:dyDescent="0.2">
      <c r="A745" s="13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</row>
    <row r="746" spans="1:16" ht="14.25" customHeight="1" x14ac:dyDescent="0.2">
      <c r="A746" s="13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</row>
    <row r="747" spans="1:16" ht="14.25" customHeight="1" x14ac:dyDescent="0.2">
      <c r="A747" s="13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</row>
    <row r="748" spans="1:16" ht="14.25" customHeight="1" x14ac:dyDescent="0.2">
      <c r="A748" s="13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</row>
    <row r="749" spans="1:16" ht="14.25" customHeight="1" x14ac:dyDescent="0.2">
      <c r="A749" s="13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</row>
    <row r="750" spans="1:16" ht="14.25" customHeight="1" x14ac:dyDescent="0.2">
      <c r="A750" s="13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</row>
    <row r="751" spans="1:16" ht="14.25" customHeight="1" x14ac:dyDescent="0.2">
      <c r="A751" s="13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</row>
    <row r="752" spans="1:16" ht="14.25" customHeight="1" x14ac:dyDescent="0.2">
      <c r="A752" s="13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</row>
    <row r="753" spans="1:16" ht="14.25" customHeight="1" x14ac:dyDescent="0.2">
      <c r="A753" s="13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</row>
    <row r="754" spans="1:16" ht="14.25" customHeight="1" x14ac:dyDescent="0.2">
      <c r="A754" s="13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</row>
    <row r="755" spans="1:16" ht="14.25" customHeight="1" x14ac:dyDescent="0.2">
      <c r="A755" s="13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</row>
    <row r="756" spans="1:16" ht="14.25" customHeight="1" x14ac:dyDescent="0.2">
      <c r="A756" s="13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</row>
    <row r="757" spans="1:16" ht="14.25" customHeight="1" x14ac:dyDescent="0.2">
      <c r="A757" s="13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</row>
    <row r="758" spans="1:16" ht="14.25" customHeight="1" x14ac:dyDescent="0.2">
      <c r="A758" s="13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</row>
    <row r="759" spans="1:16" ht="14.25" customHeight="1" x14ac:dyDescent="0.2">
      <c r="A759" s="13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</row>
    <row r="760" spans="1:16" ht="14.25" customHeight="1" x14ac:dyDescent="0.2">
      <c r="A760" s="13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</row>
    <row r="761" spans="1:16" ht="14.25" customHeight="1" x14ac:dyDescent="0.2">
      <c r="A761" s="13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</row>
    <row r="762" spans="1:16" ht="14.25" customHeight="1" x14ac:dyDescent="0.2">
      <c r="A762" s="13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</row>
    <row r="763" spans="1:16" ht="14.25" customHeight="1" x14ac:dyDescent="0.2">
      <c r="A763" s="13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</row>
    <row r="764" spans="1:16" ht="14.25" customHeight="1" x14ac:dyDescent="0.2">
      <c r="A764" s="13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</row>
    <row r="765" spans="1:16" ht="14.25" customHeight="1" x14ac:dyDescent="0.2">
      <c r="A765" s="13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</row>
    <row r="766" spans="1:16" ht="14.25" customHeight="1" x14ac:dyDescent="0.2">
      <c r="A766" s="13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</row>
    <row r="767" spans="1:16" ht="14.25" customHeight="1" x14ac:dyDescent="0.2">
      <c r="A767" s="13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</row>
    <row r="768" spans="1:16" ht="14.25" customHeight="1" x14ac:dyDescent="0.2">
      <c r="A768" s="13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</row>
    <row r="769" spans="1:16" ht="14.25" customHeight="1" x14ac:dyDescent="0.2">
      <c r="A769" s="13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</row>
    <row r="770" spans="1:16" ht="14.25" customHeight="1" x14ac:dyDescent="0.2">
      <c r="A770" s="13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</row>
    <row r="771" spans="1:16" ht="14.25" customHeight="1" x14ac:dyDescent="0.2">
      <c r="A771" s="13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</row>
    <row r="772" spans="1:16" ht="14.25" customHeight="1" x14ac:dyDescent="0.2">
      <c r="A772" s="13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</row>
    <row r="773" spans="1:16" ht="14.25" customHeight="1" x14ac:dyDescent="0.2">
      <c r="A773" s="13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</row>
    <row r="774" spans="1:16" ht="14.25" customHeight="1" x14ac:dyDescent="0.2">
      <c r="A774" s="13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</row>
    <row r="775" spans="1:16" ht="14.25" customHeight="1" x14ac:dyDescent="0.2">
      <c r="A775" s="13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</row>
    <row r="776" spans="1:16" ht="14.25" customHeight="1" x14ac:dyDescent="0.2">
      <c r="A776" s="13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</row>
    <row r="777" spans="1:16" ht="14.25" customHeight="1" x14ac:dyDescent="0.2">
      <c r="A777" s="13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</row>
    <row r="778" spans="1:16" ht="14.25" customHeight="1" x14ac:dyDescent="0.2">
      <c r="A778" s="13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</row>
    <row r="779" spans="1:16" ht="14.25" customHeight="1" x14ac:dyDescent="0.2">
      <c r="A779" s="13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</row>
    <row r="780" spans="1:16" ht="14.25" customHeight="1" x14ac:dyDescent="0.2">
      <c r="A780" s="13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</row>
    <row r="781" spans="1:16" ht="14.25" customHeight="1" x14ac:dyDescent="0.2">
      <c r="A781" s="13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</row>
    <row r="782" spans="1:16" ht="14.25" customHeight="1" x14ac:dyDescent="0.2">
      <c r="A782" s="13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</row>
  </sheetData>
  <mergeCells count="11">
    <mergeCell ref="B8:D8"/>
    <mergeCell ref="E8:H8"/>
    <mergeCell ref="B13:C13"/>
    <mergeCell ref="B14:C14"/>
    <mergeCell ref="F14:G14"/>
    <mergeCell ref="B7:D7"/>
    <mergeCell ref="E7:H7"/>
    <mergeCell ref="B4:D4"/>
    <mergeCell ref="E4:H4"/>
    <mergeCell ref="B5:D6"/>
    <mergeCell ref="E5:H6"/>
  </mergeCells>
  <hyperlinks>
    <hyperlink ref="R8" r:id="rId1" xr:uid="{10A0A8F2-7360-4336-8FB7-1562CC7B04E4}"/>
  </hyperlinks>
  <pageMargins left="0.7" right="0.7" top="0.75" bottom="0.75" header="0.3" footer="0.3"/>
  <pageSetup paperSize="9" orientation="portrait" horizontalDpi="0" verticalDpi="0" r:id="rId2"/>
  <drawing r:id="rId3"/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719A-5B62-4EF3-9A2E-D1AB709D6AEE}">
  <sheetPr>
    <tabColor theme="7" tint="0.59999389629810485"/>
  </sheetPr>
  <dimension ref="B1:M31"/>
  <sheetViews>
    <sheetView showGridLines="0" topLeftCell="A2" zoomScale="70" zoomScaleNormal="70" workbookViewId="0">
      <selection activeCell="G11" sqref="G11"/>
    </sheetView>
  </sheetViews>
  <sheetFormatPr baseColWidth="10" defaultColWidth="11.5" defaultRowHeight="15" x14ac:dyDescent="0.2"/>
  <cols>
    <col min="2" max="2" width="12.1640625" customWidth="1"/>
    <col min="3" max="5" width="13.5" customWidth="1"/>
    <col min="7" max="7" width="13.5" customWidth="1"/>
  </cols>
  <sheetData>
    <row r="1" spans="2:13" ht="35.5" customHeight="1" x14ac:dyDescent="0.25">
      <c r="B1" s="135" t="s">
        <v>45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4" spans="2:13" x14ac:dyDescent="0.2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</row>
    <row r="5" spans="2:13" x14ac:dyDescent="0.2">
      <c r="B5" t="s">
        <v>52</v>
      </c>
      <c r="C5" s="132">
        <v>2188</v>
      </c>
      <c r="D5" s="132">
        <v>2188</v>
      </c>
      <c r="E5">
        <v>27.07</v>
      </c>
      <c r="F5" s="134">
        <f>Table008__Page_15[[#This Row],[SSP5-8.5]]/7000</f>
        <v>3.8671428571428572E-3</v>
      </c>
    </row>
    <row r="6" spans="2:13" x14ac:dyDescent="0.2">
      <c r="B6" t="s">
        <v>53</v>
      </c>
      <c r="C6" s="132">
        <v>2983</v>
      </c>
      <c r="D6" s="132">
        <v>2983</v>
      </c>
      <c r="E6">
        <v>36.409999999999997</v>
      </c>
      <c r="F6" s="134">
        <f>Table008__Page_15[[#This Row],[SSP5-8.5]]/7000</f>
        <v>5.2014285714285713E-3</v>
      </c>
      <c r="G6" s="136">
        <f>Table008__Page_15[[#This Row],[SSP5-8.6]]+G5</f>
        <v>5.2014285714285713E-3</v>
      </c>
    </row>
    <row r="7" spans="2:13" x14ac:dyDescent="0.2">
      <c r="B7" t="s">
        <v>54</v>
      </c>
      <c r="C7" s="132">
        <v>3292</v>
      </c>
      <c r="D7" s="132">
        <v>3292</v>
      </c>
      <c r="E7">
        <v>41.09</v>
      </c>
      <c r="F7" s="134">
        <f>Table008__Page_15[[#This Row],[SSP5-8.5]]/7000</f>
        <v>5.8700000000000002E-3</v>
      </c>
      <c r="G7" s="136">
        <f>Table008__Page_15[[#This Row],[SSP5-8.6]]+G6</f>
        <v>1.1071428571428572E-2</v>
      </c>
    </row>
    <row r="8" spans="2:13" x14ac:dyDescent="0.2">
      <c r="B8" t="s">
        <v>55</v>
      </c>
      <c r="C8" s="132">
        <v>366</v>
      </c>
      <c r="D8" s="132">
        <v>5226</v>
      </c>
      <c r="E8">
        <v>62.14</v>
      </c>
      <c r="F8" s="134">
        <f>Table008__Page_15[[#This Row],[SSP5-8.5]]/7000</f>
        <v>8.8771428571428578E-3</v>
      </c>
      <c r="G8" s="136">
        <f>Table008__Page_15[[#This Row],[SSP5-8.6]]+G7</f>
        <v>1.994857142857143E-2</v>
      </c>
    </row>
    <row r="9" spans="2:13" x14ac:dyDescent="0.2">
      <c r="B9" t="s">
        <v>56</v>
      </c>
      <c r="C9" s="132">
        <v>4029</v>
      </c>
      <c r="D9" s="132">
        <v>583</v>
      </c>
      <c r="E9">
        <v>68.92</v>
      </c>
      <c r="F9" s="134">
        <f>Table008__Page_15[[#This Row],[SSP5-8.5]]/7000</f>
        <v>9.8457142857142858E-3</v>
      </c>
      <c r="G9" s="136">
        <f>Table008__Page_15[[#This Row],[SSP5-8.6]]+G8</f>
        <v>2.9794285714285718E-2</v>
      </c>
    </row>
    <row r="10" spans="2:13" x14ac:dyDescent="0.2">
      <c r="B10" t="s">
        <v>57</v>
      </c>
      <c r="C10" s="132">
        <v>4225</v>
      </c>
      <c r="D10" s="132">
        <v>5322</v>
      </c>
      <c r="E10">
        <v>73.510000000000005</v>
      </c>
      <c r="F10" s="134">
        <f>Table008__Page_15[[#This Row],[SSP5-8.5]]/7000</f>
        <v>1.0501428571428573E-2</v>
      </c>
      <c r="G10" s="136">
        <f>Table008__Page_15[[#This Row],[SSP5-8.6]]+G9</f>
        <v>4.0295714285714289E-2</v>
      </c>
    </row>
    <row r="11" spans="2:13" ht="19" x14ac:dyDescent="0.25">
      <c r="B11" s="138" t="s">
        <v>58</v>
      </c>
      <c r="C11" s="139">
        <v>4464</v>
      </c>
      <c r="D11" s="139">
        <v>5554</v>
      </c>
      <c r="E11" s="138">
        <v>74.680000000000007</v>
      </c>
      <c r="F11" s="140">
        <f>Table008__Page_15[[#This Row],[SSP5-8.5]]/7000</f>
        <v>1.066857142857143E-2</v>
      </c>
      <c r="G11" s="141">
        <f>Table008__Page_15[[#This Row],[SSP5-8.6]]+G10</f>
        <v>5.0964285714285719E-2</v>
      </c>
    </row>
    <row r="12" spans="2:13" x14ac:dyDescent="0.2">
      <c r="B12" t="s">
        <v>59</v>
      </c>
      <c r="C12" s="132">
        <v>5554</v>
      </c>
      <c r="D12" s="132">
        <v>6566</v>
      </c>
      <c r="E12">
        <v>80.2</v>
      </c>
      <c r="F12" s="134">
        <f>Table008__Page_15[[#This Row],[SSP5-8.5]]/7000</f>
        <v>1.1457142857142857E-2</v>
      </c>
      <c r="G12" s="136">
        <f>Table008__Page_15[[#This Row],[SSP5-8.6]]+G11</f>
        <v>6.2421428571428572E-2</v>
      </c>
    </row>
    <row r="13" spans="2:13" x14ac:dyDescent="0.2">
      <c r="B13" t="s">
        <v>60</v>
      </c>
      <c r="C13" s="132">
        <v>5615</v>
      </c>
      <c r="D13" s="132">
        <v>6298</v>
      </c>
      <c r="E13">
        <v>71.64</v>
      </c>
      <c r="F13" s="134">
        <f>Table008__Page_15[[#This Row],[SSP5-8.5]]/7000</f>
        <v>1.0234285714285715E-2</v>
      </c>
      <c r="G13" s="136">
        <f>Table008__Page_15[[#This Row],[SSP5-8.6]]+G12</f>
        <v>7.2655714285714282E-2</v>
      </c>
    </row>
    <row r="14" spans="2:13" x14ac:dyDescent="0.2">
      <c r="B14" t="s">
        <v>61</v>
      </c>
      <c r="C14" s="132">
        <v>4571</v>
      </c>
      <c r="D14" s="132">
        <v>5822</v>
      </c>
      <c r="E14">
        <v>72.930000000000007</v>
      </c>
      <c r="F14" s="134">
        <f>Table008__Page_15[[#This Row],[SSP5-8.5]]/7000</f>
        <v>1.041857142857143E-2</v>
      </c>
      <c r="G14" s="136">
        <f>Table008__Page_15[[#This Row],[SSP5-8.6]]+G13</f>
        <v>8.3074285714285712E-2</v>
      </c>
    </row>
    <row r="15" spans="2:13" x14ac:dyDescent="0.2">
      <c r="B15" t="s">
        <v>62</v>
      </c>
      <c r="C15" s="132">
        <v>4444</v>
      </c>
      <c r="D15" s="132">
        <v>5459</v>
      </c>
      <c r="E15">
        <v>55.25</v>
      </c>
      <c r="F15" s="134">
        <f>Table008__Page_15[[#This Row],[SSP5-8.5]]/7000</f>
        <v>7.8928571428571424E-3</v>
      </c>
      <c r="G15" s="136">
        <f>Table008__Page_15[[#This Row],[SSP5-8.6]]+G14</f>
        <v>9.0967142857142858E-2</v>
      </c>
    </row>
    <row r="16" spans="2:13" x14ac:dyDescent="0.2">
      <c r="B16" t="s">
        <v>63</v>
      </c>
      <c r="C16" s="132">
        <v>3282</v>
      </c>
      <c r="D16" s="132">
        <v>4681</v>
      </c>
      <c r="E16">
        <v>48.24</v>
      </c>
      <c r="F16" s="134">
        <f>Table008__Page_15[[#This Row],[SSP5-8.5]]/7000</f>
        <v>6.8914285714285718E-3</v>
      </c>
      <c r="G16" s="136">
        <f>Table008__Page_15[[#This Row],[SSP5-8.6]]+G15</f>
        <v>9.7858571428571434E-2</v>
      </c>
    </row>
    <row r="17" spans="2:8" x14ac:dyDescent="0.2">
      <c r="B17" t="s">
        <v>64</v>
      </c>
      <c r="C17" s="132">
        <v>3245</v>
      </c>
      <c r="D17" s="132">
        <v>387</v>
      </c>
      <c r="E17">
        <v>30.22</v>
      </c>
      <c r="F17" s="134">
        <f>Table008__Page_15[[#This Row],[SSP5-8.5]]/7000</f>
        <v>4.3171428571428571E-3</v>
      </c>
      <c r="G17" s="136">
        <f>Table008__Page_15[[#This Row],[SSP5-8.6]]+G16</f>
        <v>0.10217571428571429</v>
      </c>
    </row>
    <row r="18" spans="2:8" x14ac:dyDescent="0.2">
      <c r="B18" t="s">
        <v>65</v>
      </c>
      <c r="C18" s="132">
        <v>3689</v>
      </c>
      <c r="D18" s="132">
        <v>3677</v>
      </c>
      <c r="E18">
        <v>19.47</v>
      </c>
      <c r="F18" s="134">
        <f>Table008__Page_15[[#This Row],[SSP5-8.5]]/7000</f>
        <v>2.7814285714285714E-3</v>
      </c>
      <c r="G18" s="136">
        <f>Table008__Page_15[[#This Row],[SSP5-8.6]]+G17</f>
        <v>0.10495714285714286</v>
      </c>
    </row>
    <row r="19" spans="2:8" x14ac:dyDescent="0.2">
      <c r="B19" t="s">
        <v>66</v>
      </c>
      <c r="C19" s="132">
        <v>3319</v>
      </c>
      <c r="D19" s="132">
        <v>3001</v>
      </c>
      <c r="E19">
        <v>12.28</v>
      </c>
      <c r="F19" s="134">
        <f>Table008__Page_15[[#This Row],[SSP5-8.5]]/7000</f>
        <v>1.7542857142857143E-3</v>
      </c>
      <c r="G19" s="136">
        <f>Table008__Page_15[[#This Row],[SSP5-8.6]]+G18</f>
        <v>0.10671142857142857</v>
      </c>
    </row>
    <row r="20" spans="2:8" x14ac:dyDescent="0.2">
      <c r="C20" s="132"/>
      <c r="D20" s="132"/>
      <c r="E20" s="133"/>
      <c r="F20" s="137">
        <f>SUM(Table008__Page_15[SSP5-8.6])</f>
        <v>0.11057857142857143</v>
      </c>
    </row>
    <row r="31" spans="2:8" x14ac:dyDescent="0.2">
      <c r="H31" t="s">
        <v>67</v>
      </c>
    </row>
  </sheetData>
  <phoneticPr fontId="4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43A3-7928-438E-9143-3CBF9582A0C5}">
  <sheetPr>
    <tabColor theme="7" tint="0.59999389629810485"/>
  </sheetPr>
  <dimension ref="B2:BL47"/>
  <sheetViews>
    <sheetView showGridLines="0" zoomScale="80" zoomScaleNormal="80" workbookViewId="0">
      <selection activeCell="J10" sqref="J10"/>
    </sheetView>
  </sheetViews>
  <sheetFormatPr baseColWidth="10" defaultColWidth="11.5" defaultRowHeight="15" x14ac:dyDescent="0.2"/>
  <cols>
    <col min="1" max="1" width="6.1640625" customWidth="1"/>
    <col min="3" max="3" width="13.5" customWidth="1"/>
    <col min="4" max="4" width="12.5" style="1" customWidth="1"/>
    <col min="5" max="5" width="12.1640625" customWidth="1"/>
    <col min="6" max="6" width="12.5" customWidth="1"/>
    <col min="7" max="7" width="12.83203125" customWidth="1"/>
    <col min="8" max="9" width="14.83203125" customWidth="1"/>
    <col min="10" max="10" width="13.83203125" customWidth="1"/>
    <col min="11" max="11" width="20.5" customWidth="1"/>
    <col min="12" max="14" width="22.1640625" customWidth="1"/>
    <col min="15" max="15" width="14.83203125" customWidth="1"/>
    <col min="16" max="16" width="15.5" customWidth="1"/>
    <col min="32" max="32" width="15.1640625" customWidth="1"/>
    <col min="48" max="48" width="15.1640625" customWidth="1"/>
    <col min="64" max="64" width="13.1640625" customWidth="1"/>
  </cols>
  <sheetData>
    <row r="2" spans="2:64" s="32" customFormat="1" ht="27" customHeight="1" thickBot="1" x14ac:dyDescent="0.25">
      <c r="B2" s="179" t="s">
        <v>68</v>
      </c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57"/>
      <c r="N2" s="57"/>
    </row>
    <row r="3" spans="2:64" s="32" customFormat="1" ht="6.5" customHeight="1" thickTop="1" x14ac:dyDescent="0.2">
      <c r="B3" s="57"/>
      <c r="C3" s="57"/>
      <c r="D3" s="89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2:64" s="32" customFormat="1" ht="27" customHeight="1" x14ac:dyDescent="0.2">
      <c r="B4" s="57" t="s">
        <v>69</v>
      </c>
      <c r="D4" s="89">
        <f>'Assumptions Calculat'!N5</f>
        <v>2022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70" t="s">
        <v>70</v>
      </c>
      <c r="R4" s="58" t="s">
        <v>69</v>
      </c>
      <c r="S4" s="59">
        <f>'Assumptions Calculat'!N6</f>
        <v>2023</v>
      </c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H4" s="58" t="s">
        <v>69</v>
      </c>
      <c r="AI4" s="59">
        <f>'Assumptions Calculat'!N7</f>
        <v>2024</v>
      </c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X4" s="58" t="s">
        <v>46</v>
      </c>
      <c r="AY4" s="59">
        <f>'Assumptions Calculat'!N8</f>
        <v>2025</v>
      </c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</row>
    <row r="5" spans="2:64" ht="4.25" customHeight="1" x14ac:dyDescent="0.2"/>
    <row r="6" spans="2:64" s="12" customFormat="1" ht="52.75" customHeight="1" x14ac:dyDescent="0.2">
      <c r="B6" s="80" t="s">
        <v>71</v>
      </c>
      <c r="C6" s="80" t="s">
        <v>46</v>
      </c>
      <c r="D6" s="80" t="s">
        <v>44</v>
      </c>
      <c r="E6" s="80" t="s">
        <v>72</v>
      </c>
      <c r="F6" s="80" t="s">
        <v>73</v>
      </c>
      <c r="G6" s="80" t="s">
        <v>74</v>
      </c>
      <c r="H6" s="80" t="s">
        <v>75</v>
      </c>
      <c r="I6" s="80" t="s">
        <v>76</v>
      </c>
      <c r="J6" s="80" t="s">
        <v>77</v>
      </c>
      <c r="K6" s="80" t="s">
        <v>78</v>
      </c>
      <c r="L6" s="80" t="s">
        <v>79</v>
      </c>
      <c r="M6" s="80" t="s">
        <v>80</v>
      </c>
      <c r="N6" s="80" t="s">
        <v>81</v>
      </c>
      <c r="O6" s="80" t="s">
        <v>82</v>
      </c>
      <c r="P6" s="80" t="s">
        <v>83</v>
      </c>
      <c r="Q6" s="33"/>
      <c r="R6" s="80" t="s">
        <v>71</v>
      </c>
      <c r="S6" s="80" t="s">
        <v>46</v>
      </c>
      <c r="T6" s="80" t="s">
        <v>44</v>
      </c>
      <c r="U6" s="80" t="s">
        <v>72</v>
      </c>
      <c r="V6" s="80" t="s">
        <v>73</v>
      </c>
      <c r="W6" s="80" t="s">
        <v>74</v>
      </c>
      <c r="X6" s="80" t="s">
        <v>75</v>
      </c>
      <c r="Y6" s="80" t="s">
        <v>76</v>
      </c>
      <c r="Z6" s="80" t="s">
        <v>77</v>
      </c>
      <c r="AA6" s="80" t="s">
        <v>78</v>
      </c>
      <c r="AB6" s="80" t="s">
        <v>79</v>
      </c>
      <c r="AC6" s="80" t="s">
        <v>84</v>
      </c>
      <c r="AD6" s="80" t="s">
        <v>81</v>
      </c>
      <c r="AE6" s="80" t="s">
        <v>82</v>
      </c>
      <c r="AF6" s="80" t="s">
        <v>83</v>
      </c>
      <c r="AG6" s="33"/>
      <c r="AH6" s="80" t="s">
        <v>71</v>
      </c>
      <c r="AI6" s="80" t="s">
        <v>46</v>
      </c>
      <c r="AJ6" s="80" t="s">
        <v>44</v>
      </c>
      <c r="AK6" s="80" t="s">
        <v>72</v>
      </c>
      <c r="AL6" s="80" t="s">
        <v>73</v>
      </c>
      <c r="AM6" s="80" t="s">
        <v>74</v>
      </c>
      <c r="AN6" s="80" t="s">
        <v>75</v>
      </c>
      <c r="AO6" s="80" t="s">
        <v>76</v>
      </c>
      <c r="AP6" s="80" t="s">
        <v>77</v>
      </c>
      <c r="AQ6" s="80" t="s">
        <v>78</v>
      </c>
      <c r="AR6" s="80" t="s">
        <v>79</v>
      </c>
      <c r="AS6" s="80" t="s">
        <v>84</v>
      </c>
      <c r="AT6" s="80" t="s">
        <v>81</v>
      </c>
      <c r="AU6" s="80" t="s">
        <v>82</v>
      </c>
      <c r="AV6" s="80" t="s">
        <v>83</v>
      </c>
      <c r="AX6" s="80" t="s">
        <v>71</v>
      </c>
      <c r="AY6" s="80" t="s">
        <v>46</v>
      </c>
      <c r="AZ6" s="80" t="s">
        <v>44</v>
      </c>
      <c r="BA6" s="80" t="s">
        <v>72</v>
      </c>
      <c r="BB6" s="80" t="s">
        <v>73</v>
      </c>
      <c r="BC6" s="80" t="s">
        <v>74</v>
      </c>
      <c r="BD6" s="80" t="s">
        <v>75</v>
      </c>
      <c r="BE6" s="80" t="s">
        <v>76</v>
      </c>
      <c r="BF6" s="80" t="s">
        <v>77</v>
      </c>
      <c r="BG6" s="80" t="s">
        <v>78</v>
      </c>
      <c r="BH6" s="80" t="s">
        <v>79</v>
      </c>
      <c r="BI6" s="80" t="s">
        <v>80</v>
      </c>
      <c r="BJ6" s="80" t="s">
        <v>81</v>
      </c>
      <c r="BK6" s="80" t="s">
        <v>82</v>
      </c>
      <c r="BL6" s="80" t="s">
        <v>83</v>
      </c>
    </row>
    <row r="7" spans="2:64" s="12" customFormat="1" ht="14.25" customHeight="1" x14ac:dyDescent="0.2">
      <c r="B7" s="81">
        <v>1</v>
      </c>
      <c r="C7" s="81">
        <f>D4</f>
        <v>2022</v>
      </c>
      <c r="D7" s="88">
        <f>'Assumptions Calculat'!C16</f>
        <v>2.7679884465390468E-4</v>
      </c>
      <c r="E7" s="83">
        <f>(EXP(5.5344244+(2.40477*LN(Tabla28[[#This Row],[DBH (cm)]]))))/1000</f>
        <v>7.0435784550512968E-10</v>
      </c>
      <c r="F7" s="83">
        <f>Tabla28[[#This Row],[AGB (Kg d.m.)/tree]]*'Assumptions Calculat'!$N$9</f>
        <v>2.0426377519648759E-10</v>
      </c>
      <c r="G7" s="83">
        <f>Tabla28[[#This Row],[BGB (Kg d.m.)/tree]]+Tabla28[[#This Row],[AGB (Kg d.m.)/tree]]</f>
        <v>9.0862162070161727E-10</v>
      </c>
      <c r="H7" s="84">
        <f>'Assumptions Calculat'!$L$10*(1-'Assumptions Calculat'!$P$7)</f>
        <v>2750</v>
      </c>
      <c r="I7" s="85">
        <f>(Tabla28[[#This Row],[Btree (kg d.m.)/tree]]/1000)*Tabla28[[#This Row],[Density (trees/ha)]]</f>
        <v>2.4987094569294477E-9</v>
      </c>
      <c r="J7" s="85">
        <f>Tabla28[[#This Row],[Btree (t d.m./ha)]]*'Assumptions Calculat'!$N$10</f>
        <v>1.1743934447568404E-9</v>
      </c>
      <c r="K7" s="84">
        <f>Tabla28[[#This Row],[Btree (t C/ha)]]*(44/12)*'Assumptions Calculat'!$L$5</f>
        <v>4.6955625883105924E-6</v>
      </c>
      <c r="L7" s="84">
        <v>0</v>
      </c>
      <c r="M7" s="86">
        <v>0</v>
      </c>
      <c r="N7" s="85" cm="1">
        <f t="array" ref="N7">_xlfn.IFS(Tabla28[[#This Row],[%cover]]&lt;=15%,0,Tabla28[[#This Row],[%cover]]&gt;=50%,'Assumptions Calculat'!$P$11*44/12,Tabla28[[#This Row],[%cover]],44/12*Tabla28[[#This Row],[%cover]]*'Assumptions Calculat'!$P$11)</f>
        <v>0</v>
      </c>
      <c r="O7" s="84">
        <f>Tabla28[[#This Row],[NET Tree Biomass Carbol pool (t CO2)]]+(N7*'Assumptions Calculat'!$L$5)</f>
        <v>0</v>
      </c>
      <c r="P7" s="84">
        <f>IF('Assumptions Calculat'!$L$5="",0,Tabla28[[#This Row],[Net VCU (t CO2)]]*(1-'Assumptions Calculat'!$P$6))</f>
        <v>0</v>
      </c>
      <c r="Q7" s="13"/>
      <c r="R7" s="81"/>
      <c r="S7" s="81"/>
      <c r="T7" s="82"/>
      <c r="U7" s="83"/>
      <c r="V7" s="83"/>
      <c r="W7" s="83"/>
      <c r="X7" s="84"/>
      <c r="Y7" s="85"/>
      <c r="Z7" s="85"/>
      <c r="AA7" s="84"/>
      <c r="AB7" s="85"/>
      <c r="AC7" s="85"/>
      <c r="AD7" s="85"/>
      <c r="AE7" s="84"/>
      <c r="AF7" s="84"/>
      <c r="AG7" s="13"/>
      <c r="AH7" s="81"/>
      <c r="AI7" s="81"/>
      <c r="AJ7" s="82"/>
      <c r="AK7" s="83"/>
      <c r="AL7" s="83"/>
      <c r="AM7" s="83"/>
      <c r="AN7" s="84"/>
      <c r="AO7" s="85"/>
      <c r="AP7" s="85"/>
      <c r="AQ7" s="84"/>
      <c r="AR7" s="85"/>
      <c r="AS7" s="85"/>
      <c r="AT7" s="85"/>
      <c r="AU7" s="84"/>
      <c r="AV7" s="84"/>
      <c r="AX7" s="81"/>
      <c r="AY7" s="81"/>
      <c r="AZ7" s="82"/>
      <c r="BA7" s="83"/>
      <c r="BB7" s="83"/>
      <c r="BC7" s="83"/>
      <c r="BD7" s="84"/>
      <c r="BE7" s="85"/>
      <c r="BF7" s="85"/>
      <c r="BG7" s="84"/>
      <c r="BH7" s="85"/>
      <c r="BI7" s="85"/>
      <c r="BJ7" s="85"/>
      <c r="BK7" s="84"/>
      <c r="BL7" s="84"/>
    </row>
    <row r="8" spans="2:64" s="12" customFormat="1" ht="14.25" customHeight="1" x14ac:dyDescent="0.2">
      <c r="B8" s="81">
        <v>2</v>
      </c>
      <c r="C8" s="81">
        <f>$C$7+B7</f>
        <v>2023</v>
      </c>
      <c r="D8" s="88">
        <f>'Assumptions Calculat'!C17</f>
        <v>5.5336239660259924E-3</v>
      </c>
      <c r="E8" s="83">
        <f>(EXP(5.5344244+(2.40477*LN(Tabla28[[#This Row],[DBH (cm)]]))))/1000</f>
        <v>9.462965964437238E-7</v>
      </c>
      <c r="F8" s="83">
        <f>Tabla28[[#This Row],[AGB (Kg d.m.)/tree]]*'Assumptions Calculat'!$N$9</f>
        <v>2.7442601296867989E-7</v>
      </c>
      <c r="G8" s="83">
        <f>Tabla28[[#This Row],[BGB (Kg d.m.)/tree]]+Tabla28[[#This Row],[AGB (Kg d.m.)/tree]]</f>
        <v>1.2207226094124036E-6</v>
      </c>
      <c r="H8" s="84">
        <f>'Assumptions Calculat'!$L$10*(1-'Assumptions Calculat'!$P$7)</f>
        <v>2750</v>
      </c>
      <c r="I8" s="85">
        <f>(Tabla28[[#This Row],[Btree (kg d.m.)/tree]]/1000)*Tabla28[[#This Row],[Density (trees/ha)]]</f>
        <v>3.3569871758841097E-6</v>
      </c>
      <c r="J8" s="85">
        <f>Tabla28[[#This Row],[Btree (t d.m./ha)]]*'Assumptions Calculat'!$N$10</f>
        <v>1.5777839726655314E-6</v>
      </c>
      <c r="K8" s="84">
        <f>Tabla28[[#This Row],[Btree (t C/ha)]]*(44/12)*'Assumptions Calculat'!$L$5</f>
        <v>6.3084338792595085E-3</v>
      </c>
      <c r="L8" s="84">
        <f>Tabla28[[#This Row],[Tree Biomass Carbol pool (t CO2)]]-K7</f>
        <v>6.3037383166711976E-3</v>
      </c>
      <c r="M8" s="86">
        <v>0.02</v>
      </c>
      <c r="N8" s="85" cm="1">
        <f t="array" ref="N8">_xlfn.IFS(Tabla28[[#This Row],[%cover]]&lt;=15%,0,Tabla28[[#This Row],[%cover]]&gt;=50%,'Assumptions Calculat'!$P$11*44/12,Tabla28[[#This Row],[%cover]],44/12*Tabla28[[#This Row],[%cover]]*'Assumptions Calculat'!$P$11)</f>
        <v>0</v>
      </c>
      <c r="O8" s="84">
        <f>Tabla28[[#This Row],[NET Tree Biomass Carbol pool (t CO2)]]+(N8*'Assumptions Calculat'!$L$5)</f>
        <v>6.3037383166711976E-3</v>
      </c>
      <c r="P8" s="84">
        <f>IF('Assumptions Calculat'!$L$5="",0,Tabla28[[#This Row],[Net VCU (t CO2)]]*(1-'Assumptions Calculat'!$P$6))</f>
        <v>5.4842523355039417E-3</v>
      </c>
      <c r="Q8" s="13"/>
      <c r="R8" s="81">
        <v>1</v>
      </c>
      <c r="S8" s="84">
        <f>$S$4</f>
        <v>2023</v>
      </c>
      <c r="T8" s="82">
        <f>'Assumptions Calculat'!C16</f>
        <v>2.7679884465390468E-4</v>
      </c>
      <c r="U8" s="83">
        <f>(EXP(5.5344244+(2.40477*LN(Tabla26[[#This Row],[DBH (cm)]]))))/1000</f>
        <v>7.0435784550512968E-10</v>
      </c>
      <c r="V8" s="83">
        <f>Tabla26[[#This Row],[AGB (Kg d.m.)/tree]]*'Assumptions Calculat'!$N$9</f>
        <v>2.0426377519648759E-10</v>
      </c>
      <c r="W8" s="83">
        <f>Tabla26[[#This Row],[BGB (Kg d.m.)/tree]]+Tabla26[[#This Row],[AGB (Kg d.m.)/tree]]</f>
        <v>9.0862162070161727E-10</v>
      </c>
      <c r="X8" s="84">
        <f>'Assumptions Calculat'!$L$10*(1-'Assumptions Calculat'!$P$7)</f>
        <v>2750</v>
      </c>
      <c r="Y8" s="85">
        <f>(Tabla26[[#This Row],[Btree (kg d.m.)/tree]]/1000)*Tabla26[[#This Row],[Density (trees/ha)]]</f>
        <v>2.4987094569294477E-9</v>
      </c>
      <c r="Z8" s="85">
        <f>Tabla26[[#This Row],[Btree (t d.m./ha)]]*'Assumptions Calculat'!$N$10</f>
        <v>1.1743934447568404E-9</v>
      </c>
      <c r="AA8" s="84">
        <f>Tabla26[[#This Row],[Btree (t C/ha)]]*(44/12)*'Assumptions Calculat'!$L$6</f>
        <v>8.5389229244251794E-6</v>
      </c>
      <c r="AB8" s="84">
        <f>Tabla26[[#This Row],[Tree Biomass Carbol pool (t CO2)]]-AA7</f>
        <v>8.5389229244251794E-6</v>
      </c>
      <c r="AC8" s="86">
        <v>0</v>
      </c>
      <c r="AD8" s="85" cm="1">
        <f t="array" ref="AD8">_xlfn.IFS(Tabla26[[#This Row],[%COVER]]&lt;15%,0,Tabla26[[#This Row],[%COVER]]&gt;=50%,'Assumptions Calculat'!$P$11*44/12,Tabla26[[#This Row],[%COVER]],44/12*Tabla26[[#This Row],[%COVER]]*'Assumptions Calculat'!$P$11)</f>
        <v>0</v>
      </c>
      <c r="AE8" s="84">
        <f>Tabla26[[#This Row],[NET Tree Biomass Carbol pool (t CO2)]]+(AD8*'Assumptions Calculat'!$L$6)</f>
        <v>8.5389229244251794E-6</v>
      </c>
      <c r="AF8" s="84">
        <f>IF('Assumptions Calculat'!$L$6="",0,Tabla26[[#This Row],[Net VCU (t CO2)]]*(1-'Assumptions Calculat'!$P$6))</f>
        <v>7.4288629442499065E-6</v>
      </c>
      <c r="AG8" s="13"/>
      <c r="AH8" s="87"/>
      <c r="AI8" s="84"/>
      <c r="AJ8" s="82"/>
      <c r="AK8" s="83"/>
      <c r="AL8" s="83"/>
      <c r="AM8" s="83"/>
      <c r="AN8" s="84"/>
      <c r="AO8" s="85"/>
      <c r="AP8" s="85"/>
      <c r="AQ8" s="84"/>
      <c r="AR8" s="84"/>
      <c r="AS8" s="84"/>
      <c r="AT8" s="84"/>
      <c r="AU8" s="84"/>
      <c r="AV8" s="84"/>
      <c r="AX8" s="87"/>
      <c r="AY8" s="84"/>
      <c r="AZ8" s="82"/>
      <c r="BA8" s="83"/>
      <c r="BB8" s="83"/>
      <c r="BC8" s="83"/>
      <c r="BD8" s="84"/>
      <c r="BE8" s="85"/>
      <c r="BF8" s="85"/>
      <c r="BG8" s="84"/>
      <c r="BH8" s="84"/>
      <c r="BI8" s="84"/>
      <c r="BJ8" s="85"/>
      <c r="BK8" s="84"/>
      <c r="BL8" s="84"/>
    </row>
    <row r="9" spans="2:64" s="12" customFormat="1" ht="14.25" customHeight="1" x14ac:dyDescent="0.2">
      <c r="B9" s="81">
        <v>3</v>
      </c>
      <c r="C9" s="81">
        <f t="shared" ref="C9:C46" si="0">$C$7+B8</f>
        <v>2024</v>
      </c>
      <c r="D9" s="88">
        <f>'Assumptions Calculat'!C18</f>
        <v>2.8766453623657557E-2</v>
      </c>
      <c r="E9" s="83">
        <f>(EXP(5.5344244+(2.40477*LN(Tabla28[[#This Row],[DBH (cm)]]))))/1000</f>
        <v>4.9836329015194702E-5</v>
      </c>
      <c r="F9" s="83">
        <f>Tabla28[[#This Row],[AGB (Kg d.m.)/tree]]*'Assumptions Calculat'!$N$9</f>
        <v>1.4452535414406463E-5</v>
      </c>
      <c r="G9" s="83">
        <f>Tabla28[[#This Row],[BGB (Kg d.m.)/tree]]+Tabla28[[#This Row],[AGB (Kg d.m.)/tree]]</f>
        <v>6.428886442960116E-5</v>
      </c>
      <c r="H9" s="84">
        <f>'Assumptions Calculat'!$L$10*(1-'Assumptions Calculat'!$P$7)</f>
        <v>2750</v>
      </c>
      <c r="I9" s="85">
        <f>(Tabla28[[#This Row],[Btree (kg d.m.)/tree]]/1000)*Tabla28[[#This Row],[Density (trees/ha)]]</f>
        <v>1.7679437718140319E-4</v>
      </c>
      <c r="J9" s="85">
        <f>Tabla28[[#This Row],[Btree (t d.m./ha)]]*'Assumptions Calculat'!$N$10</f>
        <v>8.3093357275259493E-5</v>
      </c>
      <c r="K9" s="84">
        <f>Tabla28[[#This Row],[Btree (t C/ha)]]*(44/12)*'Assumptions Calculat'!$L$5</f>
        <v>0.33223112875908423</v>
      </c>
      <c r="L9" s="84">
        <f>Tabla28[[#This Row],[Tree Biomass Carbol pool (t CO2)]]-K8</f>
        <v>0.32592269487982473</v>
      </c>
      <c r="M9" s="86">
        <v>0.08</v>
      </c>
      <c r="N9" s="85" cm="1">
        <f t="array" ref="N9">_xlfn.IFS(Tabla28[[#This Row],[%cover]]&lt;=15%,0,Tabla28[[#This Row],[%cover]]&gt;=50%,'Assumptions Calculat'!$P$11*44/12,Tabla28[[#This Row],[%cover]],44/12*Tabla28[[#This Row],[%cover]]*'Assumptions Calculat'!$P$11)</f>
        <v>0</v>
      </c>
      <c r="O9" s="84">
        <f>Tabla28[[#This Row],[NET Tree Biomass Carbol pool (t CO2)]]+(N9*'Assumptions Calculat'!$L$5)</f>
        <v>0.32592269487982473</v>
      </c>
      <c r="P9" s="84">
        <f>IF('Assumptions Calculat'!$L$5="",0,Tabla28[[#This Row],[Net VCU (t CO2)]]*(1-'Assumptions Calculat'!$P$6))</f>
        <v>0.28355274454544749</v>
      </c>
      <c r="Q9" s="13"/>
      <c r="R9" s="81">
        <v>2</v>
      </c>
      <c r="S9" s="84">
        <f>S8+1</f>
        <v>2024</v>
      </c>
      <c r="T9" s="82">
        <f>'Assumptions Calculat'!C17</f>
        <v>5.5336239660259924E-3</v>
      </c>
      <c r="U9" s="83">
        <f>(EXP(5.5344244+(2.40477*LN(Tabla26[[#This Row],[DBH (cm)]]))))/1000</f>
        <v>9.462965964437238E-7</v>
      </c>
      <c r="V9" s="83">
        <f>Tabla26[[#This Row],[AGB (Kg d.m.)/tree]]*'Assumptions Calculat'!$N$9</f>
        <v>2.7442601296867989E-7</v>
      </c>
      <c r="W9" s="83">
        <f>Tabla26[[#This Row],[BGB (Kg d.m.)/tree]]+Tabla26[[#This Row],[AGB (Kg d.m.)/tree]]</f>
        <v>1.2207226094124036E-6</v>
      </c>
      <c r="X9" s="84">
        <f>'Assumptions Calculat'!$L$10*(1-'Assumptions Calculat'!$P$7)</f>
        <v>2750</v>
      </c>
      <c r="Y9" s="85">
        <f>(Tabla26[[#This Row],[Btree (kg d.m.)/tree]]/1000)*Tabla26[[#This Row],[Density (trees/ha)]]</f>
        <v>3.3569871758841097E-6</v>
      </c>
      <c r="Z9" s="85">
        <f>Tabla26[[#This Row],[Btree (t d.m./ha)]]*'Assumptions Calculat'!$N$10</f>
        <v>1.5777839726655314E-6</v>
      </c>
      <c r="AA9" s="84">
        <f>Tabla26[[#This Row],[Btree (t C/ha)]]*(44/12)*'Assumptions Calculat'!$L$6</f>
        <v>1.1471943916354071E-2</v>
      </c>
      <c r="AB9" s="84">
        <f>Tabla26[[#This Row],[Tree Biomass Carbol pool (t CO2)]]-AA8</f>
        <v>1.1463404993429646E-2</v>
      </c>
      <c r="AC9" s="86">
        <v>0.02</v>
      </c>
      <c r="AD9" s="85" cm="1">
        <f t="array" ref="AD9">_xlfn.IFS(Tabla26[[#This Row],[%COVER]]&lt;15%,0,Tabla26[[#This Row],[%COVER]]&gt;=50%,'Assumptions Calculat'!$P$11*44/12,Tabla26[[#This Row],[%COVER]],44/12*Tabla26[[#This Row],[%COVER]]*'Assumptions Calculat'!$P$11)</f>
        <v>0</v>
      </c>
      <c r="AE9" s="84">
        <f>Tabla26[[#This Row],[NET Tree Biomass Carbol pool (t CO2)]]+(AD9*'Assumptions Calculat'!$L$6)</f>
        <v>1.1463404993429646E-2</v>
      </c>
      <c r="AF9" s="84">
        <f>IF('Assumptions Calculat'!$L$6="",0,Tabla26[[#This Row],[Net VCU (t CO2)]]*(1-'Assumptions Calculat'!$P$6))</f>
        <v>9.9731623442837914E-3</v>
      </c>
      <c r="AG9" s="13"/>
      <c r="AH9" s="81">
        <v>1</v>
      </c>
      <c r="AI9" s="84">
        <f>AI4</f>
        <v>2024</v>
      </c>
      <c r="AJ9" s="82">
        <f>'Assumptions Calculat'!C16</f>
        <v>2.7679884465390468E-4</v>
      </c>
      <c r="AK9" s="83">
        <f>(EXP(5.5344244+(2.40477*LN(Tabla265[[#This Row],[DBH (cm)]]))))/1000</f>
        <v>7.0435784550512968E-10</v>
      </c>
      <c r="AL9" s="83">
        <f>Tabla265[[#This Row],[AGB (Kg d.m.)/tree]]*'Assumptions Calculat'!$N$9</f>
        <v>2.0426377519648759E-10</v>
      </c>
      <c r="AM9" s="83">
        <f>Tabla265[[#This Row],[BGB (Kg d.m.)/tree]]+Tabla265[[#This Row],[AGB (Kg d.m.)/tree]]</f>
        <v>9.0862162070161727E-10</v>
      </c>
      <c r="AN9" s="84">
        <f>'Assumptions Calculat'!$L$10*(1-'Assumptions Calculat'!$P$7)</f>
        <v>2750</v>
      </c>
      <c r="AO9" s="85">
        <f>(Tabla265[[#This Row],[Btree (kg d.m.)/tree]]/1000)*Tabla265[[#This Row],[Density (trees/ha)]]</f>
        <v>2.4987094569294477E-9</v>
      </c>
      <c r="AP9" s="85">
        <f>Tabla265[[#This Row],[Btree (t d.m./ha)]]*'Assumptions Calculat'!$N$10</f>
        <v>1.1743934447568404E-9</v>
      </c>
      <c r="AQ9" s="84">
        <f>Tabla265[[#This Row],[Btree (t C/ha)]]*(44/12)*'Assumptions Calculat'!$L$7</f>
        <v>9.5718103039930972E-6</v>
      </c>
      <c r="AR9" s="84">
        <f>Tabla265[[#This Row],[Tree Biomass Carbol pool (t CO2)]]-AQ8</f>
        <v>9.5718103039930972E-6</v>
      </c>
      <c r="AS9" s="86">
        <v>0</v>
      </c>
      <c r="AT9" s="85" cm="1">
        <f t="array" ref="AT9">_xlfn.IFS(Tabla265[[#This Row],[%COVER]]&lt;=15%,0,Tabla265[[#This Row],[%COVER]]&gt;=50%,'Assumptions Calculat'!$P$11*44/12,Tabla265[[#This Row],[%COVER]],44/12*Tabla265[[#This Row],[%COVER]]*'Assumptions Calculat'!$P$11)</f>
        <v>0</v>
      </c>
      <c r="AU9" s="84">
        <f>Tabla265[[#This Row],[NET Tree Biomass Carbol pool (t CO2)]]+(AT9*'Assumptions Calculat'!$L$7)</f>
        <v>9.5718103039930972E-6</v>
      </c>
      <c r="AV9" s="84">
        <f>IF('Assumptions Calculat'!$L$7="",0,Tabla265[[#This Row],[Net VCU (t CO2)]]*(1-'Assumptions Calculat'!$P$6))</f>
        <v>8.3274749644739943E-6</v>
      </c>
      <c r="AX9" s="87"/>
      <c r="AY9" s="84"/>
      <c r="AZ9" s="82"/>
      <c r="BA9" s="83"/>
      <c r="BB9" s="83"/>
      <c r="BC9" s="83"/>
      <c r="BD9" s="84"/>
      <c r="BE9" s="85"/>
      <c r="BF9" s="85"/>
      <c r="BG9" s="84"/>
      <c r="BH9" s="84"/>
      <c r="BI9" s="84"/>
      <c r="BJ9" s="85"/>
      <c r="BK9" s="84"/>
      <c r="BL9" s="84"/>
    </row>
    <row r="10" spans="2:64" s="12" customFormat="1" ht="14.25" customHeight="1" x14ac:dyDescent="0.2">
      <c r="B10" s="81">
        <v>4</v>
      </c>
      <c r="C10" s="81">
        <f t="shared" si="0"/>
        <v>2025</v>
      </c>
      <c r="D10" s="88">
        <f>'Assumptions Calculat'!C19</f>
        <v>8.6413608206960674E-2</v>
      </c>
      <c r="E10" s="83">
        <f>(EXP(5.5344244+(2.40477*LN(Tabla28[[#This Row],[DBH (cm)]]))))/1000</f>
        <v>7.0193130078880785E-4</v>
      </c>
      <c r="F10" s="83">
        <f>Tabla28[[#This Row],[AGB (Kg d.m.)/tree]]*'Assumptions Calculat'!$N$9</f>
        <v>2.0356007722875427E-4</v>
      </c>
      <c r="G10" s="83">
        <f>Tabla28[[#This Row],[BGB (Kg d.m.)/tree]]+Tabla28[[#This Row],[AGB (Kg d.m.)/tree]]</f>
        <v>9.0549137801756215E-4</v>
      </c>
      <c r="H10" s="84">
        <f>'Assumptions Calculat'!$L$10*(1-'Assumptions Calculat'!$P$7)</f>
        <v>2750</v>
      </c>
      <c r="I10" s="85">
        <f>(Tabla28[[#This Row],[Btree (kg d.m.)/tree]]/1000)*Tabla28[[#This Row],[Density (trees/ha)]]</f>
        <v>2.4901012895482961E-3</v>
      </c>
      <c r="J10" s="85">
        <f>Tabla28[[#This Row],[Btree (t d.m./ha)]]*'Assumptions Calculat'!$N$10</f>
        <v>1.1703476060876991E-3</v>
      </c>
      <c r="K10" s="84">
        <f>Tabla28[[#This Row],[Btree (t C/ha)]]*(44/12)*'Assumptions Calculat'!$L$5</f>
        <v>4.6793861622772424</v>
      </c>
      <c r="L10" s="84">
        <f>Tabla28[[#This Row],[Tree Biomass Carbol pool (t CO2)]]-K9</f>
        <v>4.3471550335181579</v>
      </c>
      <c r="M10" s="86">
        <v>0.14000000000000001</v>
      </c>
      <c r="N10" s="85" cm="1">
        <f t="array" ref="N10">_xlfn.IFS(Tabla28[[#This Row],[%cover]]&lt;=15%,0,Tabla28[[#This Row],[%cover]]&gt;=50%,'Assumptions Calculat'!$P$11*44/12,Tabla28[[#This Row],[%cover]],44/12*Tabla28[[#This Row],[%cover]]*'Assumptions Calculat'!$P$11)</f>
        <v>0</v>
      </c>
      <c r="O10" s="84">
        <f>Tabla28[[#This Row],[NET Tree Biomass Carbol pool (t CO2)]]+(N10*'Assumptions Calculat'!$L$5)</f>
        <v>4.3471550335181579</v>
      </c>
      <c r="P10" s="84">
        <f>IF('Assumptions Calculat'!$L$5="",0,Tabla28[[#This Row],[Net VCU (t CO2)]]*(1-'Assumptions Calculat'!$P$6))</f>
        <v>3.7820248791607973</v>
      </c>
      <c r="Q10" s="13"/>
      <c r="R10" s="81">
        <v>3</v>
      </c>
      <c r="S10" s="84">
        <f t="shared" ref="S10:S46" si="1">S9+1</f>
        <v>2025</v>
      </c>
      <c r="T10" s="82">
        <f>'Assumptions Calculat'!C18</f>
        <v>2.8766453623657557E-2</v>
      </c>
      <c r="U10" s="83">
        <f>(EXP(5.5344244+(2.40477*LN(Tabla26[[#This Row],[DBH (cm)]]))))/1000</f>
        <v>4.9836329015194702E-5</v>
      </c>
      <c r="V10" s="83">
        <f>Tabla26[[#This Row],[AGB (Kg d.m.)/tree]]*'Assumptions Calculat'!$N$9</f>
        <v>1.4452535414406463E-5</v>
      </c>
      <c r="W10" s="83">
        <f>Tabla26[[#This Row],[BGB (Kg d.m.)/tree]]+Tabla26[[#This Row],[AGB (Kg d.m.)/tree]]</f>
        <v>6.428886442960116E-5</v>
      </c>
      <c r="X10" s="84">
        <f>'Assumptions Calculat'!$L$10*(1-'Assumptions Calculat'!$P$7)</f>
        <v>2750</v>
      </c>
      <c r="Y10" s="85">
        <f>(Tabla26[[#This Row],[Btree (kg d.m.)/tree]]/1000)*Tabla26[[#This Row],[Density (trees/ha)]]</f>
        <v>1.7679437718140319E-4</v>
      </c>
      <c r="Z10" s="85">
        <f>Tabla26[[#This Row],[Btree (t d.m./ha)]]*'Assumptions Calculat'!$N$10</f>
        <v>8.3093357275259493E-5</v>
      </c>
      <c r="AA10" s="84">
        <f>Tabla26[[#This Row],[Btree (t C/ha)]]*(44/12)*'Assumptions Calculat'!$L$6</f>
        <v>0.60416530462844475</v>
      </c>
      <c r="AB10" s="84">
        <f>Tabla26[[#This Row],[Tree Biomass Carbol pool (t CO2)]]-AA9</f>
        <v>0.59269336071209067</v>
      </c>
      <c r="AC10" s="86">
        <v>0.08</v>
      </c>
      <c r="AD10" s="85" cm="1">
        <f t="array" ref="AD10">_xlfn.IFS(Tabla26[[#This Row],[%COVER]]&lt;15%,0,Tabla26[[#This Row],[%COVER]]&gt;=50%,'Assumptions Calculat'!$P$11*44/12,Tabla26[[#This Row],[%COVER]],44/12*Tabla26[[#This Row],[%COVER]]*'Assumptions Calculat'!$P$11)</f>
        <v>0</v>
      </c>
      <c r="AE10" s="84">
        <f>Tabla26[[#This Row],[NET Tree Biomass Carbol pool (t CO2)]]+(AD10*'Assumptions Calculat'!$L$6)</f>
        <v>0.59269336071209067</v>
      </c>
      <c r="AF10" s="84">
        <f>IF('Assumptions Calculat'!$L$6="",0,Tabla26[[#This Row],[Net VCU (t CO2)]]*(1-'Assumptions Calculat'!$P$6))</f>
        <v>0.51564322381951888</v>
      </c>
      <c r="AG10" s="13"/>
      <c r="AH10" s="81">
        <v>2</v>
      </c>
      <c r="AI10" s="84">
        <f t="shared" ref="AI10:AI46" si="2">AI9+1</f>
        <v>2025</v>
      </c>
      <c r="AJ10" s="82">
        <f>'Assumptions Calculat'!C17</f>
        <v>5.5336239660259924E-3</v>
      </c>
      <c r="AK10" s="83">
        <f>(EXP(5.5344244+(2.40477*LN(Tabla265[[#This Row],[DBH (cm)]]))))/1000</f>
        <v>9.462965964437238E-7</v>
      </c>
      <c r="AL10" s="83">
        <f>Tabla265[[#This Row],[AGB (Kg d.m.)/tree]]*'Assumptions Calculat'!$N$9</f>
        <v>2.7442601296867989E-7</v>
      </c>
      <c r="AM10" s="83">
        <f>Tabla265[[#This Row],[BGB (Kg d.m.)/tree]]+Tabla265[[#This Row],[AGB (Kg d.m.)/tree]]</f>
        <v>1.2207226094124036E-6</v>
      </c>
      <c r="AN10" s="84">
        <f>'Assumptions Calculat'!$L$10*(1-'Assumptions Calculat'!$P$7)</f>
        <v>2750</v>
      </c>
      <c r="AO10" s="85">
        <f>(Tabla265[[#This Row],[Btree (kg d.m.)/tree]]/1000)*Tabla265[[#This Row],[Density (trees/ha)]]</f>
        <v>3.3569871758841097E-6</v>
      </c>
      <c r="AP10" s="85">
        <f>Tabla265[[#This Row],[Btree (t d.m./ha)]]*'Assumptions Calculat'!$N$10</f>
        <v>1.5777839726655314E-6</v>
      </c>
      <c r="AQ10" s="84">
        <f>Tabla265[[#This Row],[Btree (t C/ha)]]*(44/12)*'Assumptions Calculat'!$L$7</f>
        <v>1.285961613159552E-2</v>
      </c>
      <c r="AR10" s="84">
        <f>Tabla265[[#This Row],[Tree Biomass Carbol pool (t CO2)]]-AQ9</f>
        <v>1.2850044321291526E-2</v>
      </c>
      <c r="AS10" s="86">
        <v>0.02</v>
      </c>
      <c r="AT10" s="85" cm="1">
        <f t="array" ref="AT10">_xlfn.IFS(Tabla265[[#This Row],[%COVER]]&lt;=15%,0,Tabla265[[#This Row],[%COVER]]&gt;=50%,'Assumptions Calculat'!$P$11*44/12,Tabla265[[#This Row],[%COVER]],44/12*Tabla265[[#This Row],[%COVER]]*'Assumptions Calculat'!$P$11)</f>
        <v>0</v>
      </c>
      <c r="AU10" s="84">
        <f>Tabla265[[#This Row],[NET Tree Biomass Carbol pool (t CO2)]]+(AT10*'Assumptions Calculat'!$L$7)</f>
        <v>1.2850044321291526E-2</v>
      </c>
      <c r="AV10" s="84">
        <f>IF('Assumptions Calculat'!$L$7="",0,Tabla265[[#This Row],[Net VCU (t CO2)]]*(1-'Assumptions Calculat'!$P$6))</f>
        <v>1.1179538559523628E-2</v>
      </c>
      <c r="AX10" s="81">
        <v>1</v>
      </c>
      <c r="AY10" s="84">
        <f>AY4</f>
        <v>2025</v>
      </c>
      <c r="AZ10" s="82">
        <f>'Assumptions Calculat'!C16</f>
        <v>2.7679884465390468E-4</v>
      </c>
      <c r="BA10" s="83">
        <f>(EXP(5.5344244+(2.40477*LN(Tabla2657[[#This Row],[DBH (cm)]]))))/1000</f>
        <v>7.0435784550512968E-10</v>
      </c>
      <c r="BB10" s="83">
        <f>Tabla2657[[#This Row],[AGB (Kg d.m.)/tree]]*'Assumptions Calculat'!$N$9</f>
        <v>2.0426377519648759E-10</v>
      </c>
      <c r="BC10" s="83">
        <f>Tabla2657[[#This Row],[BGB (Kg d.m.)/tree]]+Tabla2657[[#This Row],[AGB (Kg d.m.)/tree]]</f>
        <v>9.0862162070161727E-10</v>
      </c>
      <c r="BD10" s="84">
        <f>'Assumptions Calculat'!$L$10*(1-'Assumptions Calculat'!$P$7)</f>
        <v>2750</v>
      </c>
      <c r="BE10" s="85">
        <f>(Tabla2657[[#This Row],[Btree (kg d.m.)/tree]]/1000)*Tabla2657[[#This Row],[Density (trees/ha)]]</f>
        <v>2.4987094569294477E-9</v>
      </c>
      <c r="BF10" s="85">
        <f>Tabla2657[[#This Row],[Btree (t d.m./ha)]]*'Assumptions Calculat'!$N$10</f>
        <v>1.1743934447568404E-9</v>
      </c>
      <c r="BG10" s="84">
        <f>Tabla2657[[#This Row],[Btree (t C/ha)]]*(44/12)*'Assumptions Calculat'!$L$8</f>
        <v>5.2868839577444855E-6</v>
      </c>
      <c r="BH10" s="84">
        <f>Tabla2657[[#This Row],[Tree Biomass Carbol pool (t CO2)]]-BG9</f>
        <v>5.2868839577444855E-6</v>
      </c>
      <c r="BI10" s="86">
        <v>0</v>
      </c>
      <c r="BJ10" s="85" cm="1">
        <f t="array" ref="BJ10">_xlfn.IFS(Tabla2657[[#This Row],[%cover]]&lt;=15%,0,Tabla2657[[#This Row],[%cover]]&gt;=50%,'Assumptions Calculat'!$P$11*44/12,Tabla2657[[#This Row],[%cover]],44/12*Tabla2657[[#This Row],[%cover]]*'Assumptions Calculat'!$P$11)</f>
        <v>0</v>
      </c>
      <c r="BK10" s="84">
        <f>IF('Assumptions Calculat'!$L$8="",0,Tabla2657[[#This Row],[NET Tree Biomass Carbol pool (t CO2)]]+(BJ10*'Assumptions Calculat'!$L$8))</f>
        <v>5.2868839577444855E-6</v>
      </c>
      <c r="BL10" s="84">
        <f>IF('Assumptions Calculat'!$L$8="",0,Tabla2657[[#This Row],[Net VCU (t CO2)]]*(1-'Assumptions Calculat'!$P$6))</f>
        <v>4.5995890432377022E-6</v>
      </c>
    </row>
    <row r="11" spans="2:64" s="12" customFormat="1" ht="14.25" customHeight="1" x14ac:dyDescent="0.2">
      <c r="B11" s="81">
        <v>5</v>
      </c>
      <c r="C11" s="81">
        <f t="shared" si="0"/>
        <v>2026</v>
      </c>
      <c r="D11" s="88">
        <f>'Assumptions Calculat'!C20</f>
        <v>0.192649848081656</v>
      </c>
      <c r="E11" s="83">
        <f>(EXP(5.5344244+(2.40477*LN(Tabla28[[#This Row],[DBH (cm)]]))))/1000</f>
        <v>4.8261757607496797E-3</v>
      </c>
      <c r="F11" s="83">
        <f>Tabla28[[#This Row],[AGB (Kg d.m.)/tree]]*'Assumptions Calculat'!$N$9</f>
        <v>1.399590970617407E-3</v>
      </c>
      <c r="G11" s="83">
        <f>Tabla28[[#This Row],[BGB (Kg d.m.)/tree]]+Tabla28[[#This Row],[AGB (Kg d.m.)/tree]]</f>
        <v>6.2257667313670864E-3</v>
      </c>
      <c r="H11" s="84">
        <f>'Assumptions Calculat'!$L$10*(1-'Assumptions Calculat'!$P$7)</f>
        <v>2750</v>
      </c>
      <c r="I11" s="85">
        <f>(Tabla28[[#This Row],[Btree (kg d.m.)/tree]]/1000)*Tabla28[[#This Row],[Density (trees/ha)]]</f>
        <v>1.7120858511259489E-2</v>
      </c>
      <c r="J11" s="85">
        <f>Tabla28[[#This Row],[Btree (t d.m./ha)]]*'Assumptions Calculat'!$N$10</f>
        <v>8.0468035002919588E-3</v>
      </c>
      <c r="K11" s="84">
        <f>Tabla28[[#This Row],[Btree (t C/ha)]]*(44/12)*'Assumptions Calculat'!$L$5</f>
        <v>32.17343356278775</v>
      </c>
      <c r="L11" s="84">
        <f>Tabla28[[#This Row],[Tree Biomass Carbol pool (t CO2)]]-K10</f>
        <v>27.494047400510507</v>
      </c>
      <c r="M11" s="86">
        <v>0.2</v>
      </c>
      <c r="N11" s="85" cm="1">
        <f t="array" ref="N11">_xlfn.IFS(Tabla28[[#This Row],[%cover]]&lt;=15%,0,Tabla28[[#This Row],[%cover]]&gt;=50%,'Assumptions Calculat'!$P$11*44/12,Tabla28[[#This Row],[%cover]],44/12*Tabla28[[#This Row],[%cover]]*'Assumptions Calculat'!$P$11)</f>
        <v>1.3453163001300528</v>
      </c>
      <c r="O11" s="84">
        <f>Tabla28[[#This Row],[NET Tree Biomass Carbol pool (t CO2)]]+(N11*'Assumptions Calculat'!$L$5)</f>
        <v>1494.4834923939363</v>
      </c>
      <c r="P11" s="84">
        <f>IF('Assumptions Calculat'!$L$5="",0,Tabla28[[#This Row],[Net VCU (t CO2)]]*(1-'Assumptions Calculat'!$P$6))</f>
        <v>1300.2006383827245</v>
      </c>
      <c r="Q11" s="13"/>
      <c r="R11" s="81">
        <v>4</v>
      </c>
      <c r="S11" s="84">
        <f t="shared" si="1"/>
        <v>2026</v>
      </c>
      <c r="T11" s="82">
        <f>'Assumptions Calculat'!C19</f>
        <v>8.6413608206960674E-2</v>
      </c>
      <c r="U11" s="83">
        <f>(EXP(5.5344244+(2.40477*LN(Tabla26[[#This Row],[DBH (cm)]]))))/1000</f>
        <v>7.0193130078880785E-4</v>
      </c>
      <c r="V11" s="83">
        <f>Tabla26[[#This Row],[AGB (Kg d.m.)/tree]]*'Assumptions Calculat'!$N$9</f>
        <v>2.0356007722875427E-4</v>
      </c>
      <c r="W11" s="83">
        <f>Tabla26[[#This Row],[BGB (Kg d.m.)/tree]]+Tabla26[[#This Row],[AGB (Kg d.m.)/tree]]</f>
        <v>9.0549137801756215E-4</v>
      </c>
      <c r="X11" s="84">
        <f>'Assumptions Calculat'!$L$10*(1-'Assumptions Calculat'!$P$7)</f>
        <v>2750</v>
      </c>
      <c r="Y11" s="85">
        <f>(Tabla26[[#This Row],[Btree (kg d.m.)/tree]]/1000)*Tabla26[[#This Row],[Density (trees/ha)]]</f>
        <v>2.4901012895482961E-3</v>
      </c>
      <c r="Z11" s="85">
        <f>Tabla26[[#This Row],[Btree (t d.m./ha)]]*'Assumptions Calculat'!$N$10</f>
        <v>1.1703476060876991E-3</v>
      </c>
      <c r="AA11" s="84">
        <f>Tabla26[[#This Row],[Btree (t C/ha)]]*(44/12)*'Assumptions Calculat'!$L$6</f>
        <v>8.5095059477597399</v>
      </c>
      <c r="AB11" s="84">
        <f>Tabla26[[#This Row],[Tree Biomass Carbol pool (t CO2)]]-AA10</f>
        <v>7.9053406431312947</v>
      </c>
      <c r="AC11" s="86">
        <v>0.14000000000000001</v>
      </c>
      <c r="AD11" s="85" cm="1">
        <f t="array" ref="AD11">_xlfn.IFS(Tabla26[[#This Row],[%COVER]]&lt;15%,0,Tabla26[[#This Row],[%COVER]]&gt;=50%,'Assumptions Calculat'!$P$11*44/12,Tabla26[[#This Row],[%COVER]],44/12*Tabla26[[#This Row],[%COVER]]*'Assumptions Calculat'!$P$11)</f>
        <v>0</v>
      </c>
      <c r="AE11" s="84">
        <f>Tabla26[[#This Row],[NET Tree Biomass Carbol pool (t CO2)]]+(AD11*'Assumptions Calculat'!$L$6)</f>
        <v>7.9053406431312947</v>
      </c>
      <c r="AF11" s="84">
        <f>IF('Assumptions Calculat'!$L$6="",0,Tabla26[[#This Row],[Net VCU (t CO2)]]*(1-'Assumptions Calculat'!$P$6))</f>
        <v>6.8776463595242268</v>
      </c>
      <c r="AG11" s="13"/>
      <c r="AH11" s="81">
        <v>3</v>
      </c>
      <c r="AI11" s="84">
        <f t="shared" si="2"/>
        <v>2026</v>
      </c>
      <c r="AJ11" s="82">
        <f>'Assumptions Calculat'!C18</f>
        <v>2.8766453623657557E-2</v>
      </c>
      <c r="AK11" s="83">
        <f>(EXP(5.5344244+(2.40477*LN(Tabla265[[#This Row],[DBH (cm)]]))))/1000</f>
        <v>4.9836329015194702E-5</v>
      </c>
      <c r="AL11" s="83">
        <f>Tabla265[[#This Row],[AGB (Kg d.m.)/tree]]*'Assumptions Calculat'!$N$9</f>
        <v>1.4452535414406463E-5</v>
      </c>
      <c r="AM11" s="83">
        <f>Tabla265[[#This Row],[BGB (Kg d.m.)/tree]]+Tabla265[[#This Row],[AGB (Kg d.m.)/tree]]</f>
        <v>6.428886442960116E-5</v>
      </c>
      <c r="AN11" s="84">
        <f>'Assumptions Calculat'!$L$10*(1-'Assumptions Calculat'!$P$7)</f>
        <v>2750</v>
      </c>
      <c r="AO11" s="85">
        <f>(Tabla265[[#This Row],[Btree (kg d.m.)/tree]]/1000)*Tabla265[[#This Row],[Density (trees/ha)]]</f>
        <v>1.7679437718140319E-4</v>
      </c>
      <c r="AP11" s="85">
        <f>Tabla265[[#This Row],[Btree (t d.m./ha)]]*'Assumptions Calculat'!$N$10</f>
        <v>8.3093357275259493E-5</v>
      </c>
      <c r="AQ11" s="84">
        <f>Tabla265[[#This Row],[Btree (t C/ha)]]*(44/12)*'Assumptions Calculat'!$L$7</f>
        <v>0.67724650278969123</v>
      </c>
      <c r="AR11" s="84">
        <f>Tabla265[[#This Row],[Tree Biomass Carbol pool (t CO2)]]-AQ10</f>
        <v>0.66438688665809575</v>
      </c>
      <c r="AS11" s="86">
        <v>0.08</v>
      </c>
      <c r="AT11" s="85" cm="1">
        <f t="array" ref="AT11">_xlfn.IFS(Tabla265[[#This Row],[%COVER]]&lt;=15%,0,Tabla265[[#This Row],[%COVER]]&gt;=50%,'Assumptions Calculat'!$P$11*44/12,Tabla265[[#This Row],[%COVER]],44/12*Tabla265[[#This Row],[%COVER]]*'Assumptions Calculat'!$P$11)</f>
        <v>0</v>
      </c>
      <c r="AU11" s="84">
        <f>Tabla265[[#This Row],[NET Tree Biomass Carbol pool (t CO2)]]+(AT11*'Assumptions Calculat'!$L$7)</f>
        <v>0.66438688665809575</v>
      </c>
      <c r="AV11" s="84">
        <f>IF('Assumptions Calculat'!$L$7="",0,Tabla265[[#This Row],[Net VCU (t CO2)]]*(1-'Assumptions Calculat'!$P$6))</f>
        <v>0.57801659139254336</v>
      </c>
      <c r="AX11" s="81">
        <v>2</v>
      </c>
      <c r="AY11" s="84">
        <f t="shared" ref="AY11:AY46" si="3">AY10+1</f>
        <v>2026</v>
      </c>
      <c r="AZ11" s="82">
        <f>'Assumptions Calculat'!C17</f>
        <v>5.5336239660259924E-3</v>
      </c>
      <c r="BA11" s="83">
        <f>(EXP(5.5344244+(2.40477*LN(Tabla2657[[#This Row],[DBH (cm)]]))))/1000</f>
        <v>9.462965964437238E-7</v>
      </c>
      <c r="BB11" s="83">
        <f>Tabla2657[[#This Row],[AGB (Kg d.m.)/tree]]*'Assumptions Calculat'!$N$9</f>
        <v>2.7442601296867989E-7</v>
      </c>
      <c r="BC11" s="83">
        <f>Tabla2657[[#This Row],[BGB (Kg d.m.)/tree]]+Tabla2657[[#This Row],[AGB (Kg d.m.)/tree]]</f>
        <v>1.2207226094124036E-6</v>
      </c>
      <c r="BD11" s="84">
        <f>'Assumptions Calculat'!$L$10*(1-'Assumptions Calculat'!$P$7)</f>
        <v>2750</v>
      </c>
      <c r="BE11" s="85">
        <f>(Tabla2657[[#This Row],[Btree (kg d.m.)/tree]]/1000)*Tabla2657[[#This Row],[Density (trees/ha)]]</f>
        <v>3.3569871758841097E-6</v>
      </c>
      <c r="BF11" s="85">
        <f>Tabla2657[[#This Row],[Btree (t d.m./ha)]]*'Assumptions Calculat'!$N$10</f>
        <v>1.5777839726655314E-6</v>
      </c>
      <c r="BG11" s="84">
        <f>Tabla2657[[#This Row],[Btree (t C/ha)]]*(44/12)*'Assumptions Calculat'!$L$8</f>
        <v>7.1028672810745227E-3</v>
      </c>
      <c r="BH11" s="84">
        <f>Tabla2657[[#This Row],[Tree Biomass Carbol pool (t CO2)]]-BG10</f>
        <v>7.0975803971167779E-3</v>
      </c>
      <c r="BI11" s="86">
        <v>0.02</v>
      </c>
      <c r="BJ11" s="85" cm="1">
        <f t="array" ref="BJ11">_xlfn.IFS(Tabla2657[[#This Row],[%cover]]&lt;=15%,0,Tabla2657[[#This Row],[%cover]]&gt;=50%,'Assumptions Calculat'!$P$11*44/12,Tabla2657[[#This Row],[%cover]],44/12*Tabla2657[[#This Row],[%cover]]*'Assumptions Calculat'!$P$11)</f>
        <v>0</v>
      </c>
      <c r="BK11" s="84">
        <f>IF('Assumptions Calculat'!$L$8="",0,Tabla2657[[#This Row],[NET Tree Biomass Carbol pool (t CO2)]]+(BJ11*'Assumptions Calculat'!$L$8))</f>
        <v>7.0975803971167779E-3</v>
      </c>
      <c r="BL11" s="84">
        <f>IF('Assumptions Calculat'!$L$8="",0,Tabla2657[[#This Row],[Net VCU (t CO2)]]*(1-'Assumptions Calculat'!$P$6))</f>
        <v>6.1748949454915967E-3</v>
      </c>
    </row>
    <row r="12" spans="2:64" s="12" customFormat="1" ht="14.25" customHeight="1" x14ac:dyDescent="0.2">
      <c r="B12" s="81">
        <v>6</v>
      </c>
      <c r="C12" s="81">
        <f t="shared" si="0"/>
        <v>2027</v>
      </c>
      <c r="D12" s="88">
        <f>'Assumptions Calculat'!C21</f>
        <v>0.3563219840565609</v>
      </c>
      <c r="E12" s="83">
        <f>(EXP(5.5344244+(2.40477*LN(Tabla28[[#This Row],[DBH (cm)]]))))/1000</f>
        <v>2.117651790210506E-2</v>
      </c>
      <c r="F12" s="83">
        <f>Tabla28[[#This Row],[AGB (Kg d.m.)/tree]]*'Assumptions Calculat'!$N$9</f>
        <v>6.1411901916104666E-3</v>
      </c>
      <c r="G12" s="83">
        <f>Tabla28[[#This Row],[BGB (Kg d.m.)/tree]]+Tabla28[[#This Row],[AGB (Kg d.m.)/tree]]</f>
        <v>2.7317708093715524E-2</v>
      </c>
      <c r="H12" s="84">
        <f>'Assumptions Calculat'!$L$10*(1-'Assumptions Calculat'!$P$7)</f>
        <v>2750</v>
      </c>
      <c r="I12" s="85">
        <f>(Tabla28[[#This Row],[Btree (kg d.m.)/tree]]/1000)*Tabla28[[#This Row],[Density (trees/ha)]]</f>
        <v>7.5123697257717698E-2</v>
      </c>
      <c r="J12" s="85">
        <f>Tabla28[[#This Row],[Btree (t d.m./ha)]]*'Assumptions Calculat'!$N$10</f>
        <v>3.5308137711127313E-2</v>
      </c>
      <c r="K12" s="84">
        <f>Tabla28[[#This Row],[Btree (t C/ha)]]*(44/12)*'Assumptions Calculat'!$L$5</f>
        <v>141.17208439767404</v>
      </c>
      <c r="L12" s="84">
        <f>Tabla28[[#This Row],[Tree Biomass Carbol pool (t CO2)]]-K11</f>
        <v>108.99865083488629</v>
      </c>
      <c r="M12" s="86">
        <v>0.26</v>
      </c>
      <c r="N12" s="85" cm="1">
        <f t="array" ref="N12">_xlfn.IFS(Tabla28[[#This Row],[%cover]]&lt;=15%,0,Tabla28[[#This Row],[%cover]]&gt;=50%,'Assumptions Calculat'!$P$11*44/12,Tabla28[[#This Row],[%cover]],44/12*Tabla28[[#This Row],[%cover]]*'Assumptions Calculat'!$P$11)</f>
        <v>1.7489111901690686</v>
      </c>
      <c r="O12" s="84">
        <f>Tabla28[[#This Row],[NET Tree Biomass Carbol pool (t CO2)]]+(N12*'Assumptions Calculat'!$L$5)</f>
        <v>2016.08492932634</v>
      </c>
      <c r="P12" s="84">
        <f>IF('Assumptions Calculat'!$L$5="",0,Tabla28[[#This Row],[Net VCU (t CO2)]]*(1-'Assumptions Calculat'!$P$6))</f>
        <v>1753.9938885139159</v>
      </c>
      <c r="Q12" s="13"/>
      <c r="R12" s="81">
        <v>5</v>
      </c>
      <c r="S12" s="84">
        <f t="shared" si="1"/>
        <v>2027</v>
      </c>
      <c r="T12" s="82">
        <f>'Assumptions Calculat'!C20</f>
        <v>0.192649848081656</v>
      </c>
      <c r="U12" s="83">
        <f>(EXP(5.5344244+(2.40477*LN(Tabla26[[#This Row],[DBH (cm)]]))))/1000</f>
        <v>4.8261757607496797E-3</v>
      </c>
      <c r="V12" s="83">
        <f>Tabla26[[#This Row],[AGB (Kg d.m.)/tree]]*'Assumptions Calculat'!$N$9</f>
        <v>1.399590970617407E-3</v>
      </c>
      <c r="W12" s="83">
        <f>Tabla26[[#This Row],[BGB (Kg d.m.)/tree]]+Tabla26[[#This Row],[AGB (Kg d.m.)/tree]]</f>
        <v>6.2257667313670864E-3</v>
      </c>
      <c r="X12" s="84">
        <f>'Assumptions Calculat'!$L$10*(1-'Assumptions Calculat'!$P$7)</f>
        <v>2750</v>
      </c>
      <c r="Y12" s="85">
        <f>(Tabla26[[#This Row],[Btree (kg d.m.)/tree]]/1000)*Tabla26[[#This Row],[Density (trees/ha)]]</f>
        <v>1.7120858511259489E-2</v>
      </c>
      <c r="Z12" s="85">
        <f>Tabla26[[#This Row],[Btree (t d.m./ha)]]*'Assumptions Calculat'!$N$10</f>
        <v>8.0468035002919588E-3</v>
      </c>
      <c r="AA12" s="84">
        <f>Tabla26[[#This Row],[Btree (t C/ha)]]*(44/12)*'Assumptions Calculat'!$L$6</f>
        <v>58.507679163020612</v>
      </c>
      <c r="AB12" s="84">
        <f>Tabla26[[#This Row],[Tree Biomass Carbol pool (t CO2)]]-AA11</f>
        <v>49.99817321526087</v>
      </c>
      <c r="AC12" s="86">
        <v>0.2</v>
      </c>
      <c r="AD12" s="85" cm="1">
        <f t="array" ref="AD12">_xlfn.IFS(Tabla26[[#This Row],[%COVER]]&lt;15%,0,Tabla26[[#This Row],[%COVER]]&gt;=50%,'Assumptions Calculat'!$P$11*44/12,Tabla26[[#This Row],[%COVER]],44/12*Tabla26[[#This Row],[%COVER]]*'Assumptions Calculat'!$P$11)</f>
        <v>1.3453163001300528</v>
      </c>
      <c r="AE12" s="84">
        <f>Tabla26[[#This Row],[NET Tree Biomass Carbol pool (t CO2)]]+(AD12*'Assumptions Calculat'!$L$6)</f>
        <v>2717.7317123077564</v>
      </c>
      <c r="AF12" s="84">
        <f>IF('Assumptions Calculat'!$L$6="",0,Tabla26[[#This Row],[Net VCU (t CO2)]]*(1-'Assumptions Calculat'!$P$6))</f>
        <v>2364.426589707748</v>
      </c>
      <c r="AG12" s="13"/>
      <c r="AH12" s="81">
        <v>4</v>
      </c>
      <c r="AI12" s="84">
        <f t="shared" si="2"/>
        <v>2027</v>
      </c>
      <c r="AJ12" s="82">
        <f>'Assumptions Calculat'!C19</f>
        <v>8.6413608206960674E-2</v>
      </c>
      <c r="AK12" s="83">
        <f>(EXP(5.5344244+(2.40477*LN(Tabla265[[#This Row],[DBH (cm)]]))))/1000</f>
        <v>7.0193130078880785E-4</v>
      </c>
      <c r="AL12" s="83">
        <f>Tabla265[[#This Row],[AGB (Kg d.m.)/tree]]*'Assumptions Calculat'!$N$9</f>
        <v>2.0356007722875427E-4</v>
      </c>
      <c r="AM12" s="83">
        <f>Tabla265[[#This Row],[BGB (Kg d.m.)/tree]]+Tabla265[[#This Row],[AGB (Kg d.m.)/tree]]</f>
        <v>9.0549137801756215E-4</v>
      </c>
      <c r="AN12" s="84">
        <f>'Assumptions Calculat'!$L$10*(1-'Assumptions Calculat'!$P$7)</f>
        <v>2750</v>
      </c>
      <c r="AO12" s="85">
        <f>(Tabla265[[#This Row],[Btree (kg d.m.)/tree]]/1000)*Tabla265[[#This Row],[Density (trees/ha)]]</f>
        <v>2.4901012895482961E-3</v>
      </c>
      <c r="AP12" s="85">
        <f>Tabla265[[#This Row],[Btree (t d.m./ha)]]*'Assumptions Calculat'!$N$10</f>
        <v>1.1703476060876991E-3</v>
      </c>
      <c r="AQ12" s="84">
        <f>Tabla265[[#This Row],[Btree (t C/ha)]]*(44/12)*'Assumptions Calculat'!$L$7</f>
        <v>9.5388349834695756</v>
      </c>
      <c r="AR12" s="84">
        <f>Tabla265[[#This Row],[Tree Biomass Carbol pool (t CO2)]]-AQ11</f>
        <v>8.8615884806798846</v>
      </c>
      <c r="AS12" s="86">
        <v>0.14000000000000001</v>
      </c>
      <c r="AT12" s="85" cm="1">
        <f t="array" ref="AT12">_xlfn.IFS(Tabla265[[#This Row],[%COVER]]&lt;=15%,0,Tabla265[[#This Row],[%COVER]]&gt;=50%,'Assumptions Calculat'!$P$11*44/12,Tabla265[[#This Row],[%COVER]],44/12*Tabla265[[#This Row],[%COVER]]*'Assumptions Calculat'!$P$11)</f>
        <v>0</v>
      </c>
      <c r="AU12" s="84">
        <f>Tabla265[[#This Row],[NET Tree Biomass Carbol pool (t CO2)]]+(AT12*'Assumptions Calculat'!$L$7)</f>
        <v>8.8615884806798846</v>
      </c>
      <c r="AV12" s="84">
        <f>IF('Assumptions Calculat'!$L$7="",0,Tabla265[[#This Row],[Net VCU (t CO2)]]*(1-'Assumptions Calculat'!$P$6))</f>
        <v>7.7095819781914994</v>
      </c>
      <c r="AX12" s="81">
        <v>3</v>
      </c>
      <c r="AY12" s="84">
        <f t="shared" si="3"/>
        <v>2027</v>
      </c>
      <c r="AZ12" s="82">
        <f>'Assumptions Calculat'!C18</f>
        <v>2.8766453623657557E-2</v>
      </c>
      <c r="BA12" s="83">
        <f>(EXP(5.5344244+(2.40477*LN(Tabla2657[[#This Row],[DBH (cm)]]))))/1000</f>
        <v>4.9836329015194702E-5</v>
      </c>
      <c r="BB12" s="83">
        <f>Tabla2657[[#This Row],[AGB (Kg d.m.)/tree]]*'Assumptions Calculat'!$N$9</f>
        <v>1.4452535414406463E-5</v>
      </c>
      <c r="BC12" s="83">
        <f>Tabla2657[[#This Row],[BGB (Kg d.m.)/tree]]+Tabla2657[[#This Row],[AGB (Kg d.m.)/tree]]</f>
        <v>6.428886442960116E-5</v>
      </c>
      <c r="BD12" s="84">
        <f>'Assumptions Calculat'!$L$10*(1-'Assumptions Calculat'!$P$7)</f>
        <v>2750</v>
      </c>
      <c r="BE12" s="85">
        <f>(Tabla2657[[#This Row],[Btree (kg d.m.)/tree]]/1000)*Tabla2657[[#This Row],[Density (trees/ha)]]</f>
        <v>1.7679437718140319E-4</v>
      </c>
      <c r="BF12" s="85">
        <f>Tabla2657[[#This Row],[Btree (t d.m./ha)]]*'Assumptions Calculat'!$N$10</f>
        <v>8.3093357275259493E-5</v>
      </c>
      <c r="BG12" s="84">
        <f>Tabla2657[[#This Row],[Btree (t C/ha)]]*(44/12)*'Assumptions Calculat'!$L$8</f>
        <v>0.37406964381060476</v>
      </c>
      <c r="BH12" s="84">
        <f>Tabla2657[[#This Row],[Tree Biomass Carbol pool (t CO2)]]-BG11</f>
        <v>0.36696677652953025</v>
      </c>
      <c r="BI12" s="86">
        <v>0.08</v>
      </c>
      <c r="BJ12" s="85" cm="1">
        <f t="array" ref="BJ12">_xlfn.IFS(Tabla2657[[#This Row],[%cover]]&lt;=15%,0,Tabla2657[[#This Row],[%cover]]&gt;=50%,'Assumptions Calculat'!$P$11*44/12,Tabla2657[[#This Row],[%cover]],44/12*Tabla2657[[#This Row],[%cover]]*'Assumptions Calculat'!$P$11)</f>
        <v>0</v>
      </c>
      <c r="BK12" s="84">
        <f>IF('Assumptions Calculat'!$L$8="",0,Tabla2657[[#This Row],[NET Tree Biomass Carbol pool (t CO2)]]+(BJ12*'Assumptions Calculat'!$L$8))</f>
        <v>0.36696677652953025</v>
      </c>
      <c r="BL12" s="84">
        <f>IF('Assumptions Calculat'!$L$8="",0,Tabla2657[[#This Row],[Net VCU (t CO2)]]*(1-'Assumptions Calculat'!$P$6))</f>
        <v>0.31926109558069132</v>
      </c>
    </row>
    <row r="13" spans="2:64" s="12" customFormat="1" ht="14.25" customHeight="1" x14ac:dyDescent="0.2">
      <c r="B13" s="81">
        <v>7</v>
      </c>
      <c r="C13" s="81">
        <f t="shared" si="0"/>
        <v>2028</v>
      </c>
      <c r="D13" s="88">
        <f>'Assumptions Calculat'!C22</f>
        <v>0.58024498861795248</v>
      </c>
      <c r="E13" s="83">
        <f>(EXP(5.5344244+(2.40477*LN(Tabla28[[#This Row],[DBH (cm)]]))))/1000</f>
        <v>6.8408451481952307E-2</v>
      </c>
      <c r="F13" s="83">
        <f>Tabla28[[#This Row],[AGB (Kg d.m.)/tree]]*'Assumptions Calculat'!$N$9</f>
        <v>1.9838450929766167E-2</v>
      </c>
      <c r="G13" s="83">
        <f>Tabla28[[#This Row],[BGB (Kg d.m.)/tree]]+Tabla28[[#This Row],[AGB (Kg d.m.)/tree]]</f>
        <v>8.8246902411718481E-2</v>
      </c>
      <c r="H13" s="84">
        <f>'Assumptions Calculat'!$L$10*(1-'Assumptions Calculat'!$P$7)</f>
        <v>2750</v>
      </c>
      <c r="I13" s="85">
        <f>(Tabla28[[#This Row],[Btree (kg d.m.)/tree]]/1000)*Tabla28[[#This Row],[Density (trees/ha)]]</f>
        <v>0.24267898163222582</v>
      </c>
      <c r="J13" s="85">
        <f>Tabla28[[#This Row],[Btree (t d.m./ha)]]*'Assumptions Calculat'!$N$10</f>
        <v>0.11405912136714613</v>
      </c>
      <c r="K13" s="84">
        <f>Tabla28[[#This Row],[Btree (t C/ha)]]*(44/12)*'Assumptions Calculat'!$L$5</f>
        <v>456.04115514970323</v>
      </c>
      <c r="L13" s="84">
        <f>Tabla28[[#This Row],[Tree Biomass Carbol pool (t CO2)]]-K12</f>
        <v>314.86907075202919</v>
      </c>
      <c r="M13" s="86">
        <v>0.32</v>
      </c>
      <c r="N13" s="85" cm="1">
        <f t="array" ref="N13">_xlfn.IFS(Tabla28[[#This Row],[%cover]]&lt;=15%,0,Tabla28[[#This Row],[%cover]]&gt;=50%,'Assumptions Calculat'!$P$11*44/12,Tabla28[[#This Row],[%cover]],44/12*Tabla28[[#This Row],[%cover]]*'Assumptions Calculat'!$P$11)</f>
        <v>2.1525060802080844</v>
      </c>
      <c r="O13" s="84">
        <f>Tabla28[[#This Row],[NET Tree Biomass Carbol pool (t CO2)]]+(N13*'Assumptions Calculat'!$L$5)</f>
        <v>2662.0521827415105</v>
      </c>
      <c r="P13" s="84">
        <f>IF('Assumptions Calculat'!$L$5="",0,Tabla28[[#This Row],[Net VCU (t CO2)]]*(1-'Assumptions Calculat'!$P$6))</f>
        <v>2315.985398985114</v>
      </c>
      <c r="Q13" s="13"/>
      <c r="R13" s="81">
        <v>6</v>
      </c>
      <c r="S13" s="84">
        <f t="shared" si="1"/>
        <v>2028</v>
      </c>
      <c r="T13" s="82">
        <f>'Assumptions Calculat'!C21</f>
        <v>0.3563219840565609</v>
      </c>
      <c r="U13" s="83">
        <f>(EXP(5.5344244+(2.40477*LN(Tabla26[[#This Row],[DBH (cm)]]))))/1000</f>
        <v>2.117651790210506E-2</v>
      </c>
      <c r="V13" s="83">
        <f>Tabla26[[#This Row],[AGB (Kg d.m.)/tree]]*'Assumptions Calculat'!$N$9</f>
        <v>6.1411901916104666E-3</v>
      </c>
      <c r="W13" s="83">
        <f>Tabla26[[#This Row],[BGB (Kg d.m.)/tree]]+Tabla26[[#This Row],[AGB (Kg d.m.)/tree]]</f>
        <v>2.7317708093715524E-2</v>
      </c>
      <c r="X13" s="84">
        <f>'Assumptions Calculat'!$L$10*(1-'Assumptions Calculat'!$P$7)</f>
        <v>2750</v>
      </c>
      <c r="Y13" s="85">
        <f>(Tabla26[[#This Row],[Btree (kg d.m.)/tree]]/1000)*Tabla26[[#This Row],[Density (trees/ha)]]</f>
        <v>7.5123697257717698E-2</v>
      </c>
      <c r="Z13" s="85">
        <f>Tabla26[[#This Row],[Btree (t d.m./ha)]]*'Assumptions Calculat'!$N$10</f>
        <v>3.5308137711127313E-2</v>
      </c>
      <c r="AA13" s="84">
        <f>Tabla26[[#This Row],[Btree (t C/ha)]]*(44/12)*'Assumptions Calculat'!$L$6</f>
        <v>256.72270895784061</v>
      </c>
      <c r="AB13" s="84">
        <f>Tabla26[[#This Row],[Tree Biomass Carbol pool (t CO2)]]-AA12</f>
        <v>198.21502979482</v>
      </c>
      <c r="AC13" s="86">
        <v>0.26</v>
      </c>
      <c r="AD13" s="85" cm="1">
        <f t="array" ref="AD13">_xlfn.IFS(Tabla26[[#This Row],[%COVER]]&lt;15%,0,Tabla26[[#This Row],[%COVER]]&gt;=50%,'Assumptions Calculat'!$P$11*44/12,Tabla26[[#This Row],[%COVER]],44/12*Tabla26[[#This Row],[%COVER]]*'Assumptions Calculat'!$P$11)</f>
        <v>1.7489111901690686</v>
      </c>
      <c r="AE13" s="84">
        <f>Tabla26[[#This Row],[NET Tree Biomass Carbol pool (t CO2)]]+(AD13*'Assumptions Calculat'!$L$6)</f>
        <v>3666.268630615064</v>
      </c>
      <c r="AF13" s="84">
        <f>IF('Assumptions Calculat'!$L$6="",0,Tabla26[[#This Row],[Net VCU (t CO2)]]*(1-'Assumptions Calculat'!$P$6))</f>
        <v>3189.6537086351059</v>
      </c>
      <c r="AG13" s="13"/>
      <c r="AH13" s="81">
        <v>5</v>
      </c>
      <c r="AI13" s="84">
        <f t="shared" si="2"/>
        <v>2028</v>
      </c>
      <c r="AJ13" s="82">
        <f>'Assumptions Calculat'!C20</f>
        <v>0.192649848081656</v>
      </c>
      <c r="AK13" s="83">
        <f>(EXP(5.5344244+(2.40477*LN(Tabla265[[#This Row],[DBH (cm)]]))))/1000</f>
        <v>4.8261757607496797E-3</v>
      </c>
      <c r="AL13" s="83">
        <f>Tabla265[[#This Row],[AGB (Kg d.m.)/tree]]*'Assumptions Calculat'!$N$9</f>
        <v>1.399590970617407E-3</v>
      </c>
      <c r="AM13" s="83">
        <f>Tabla265[[#This Row],[BGB (Kg d.m.)/tree]]+Tabla265[[#This Row],[AGB (Kg d.m.)/tree]]</f>
        <v>6.2257667313670864E-3</v>
      </c>
      <c r="AN13" s="84">
        <f>'Assumptions Calculat'!$L$10*(1-'Assumptions Calculat'!$P$7)</f>
        <v>2750</v>
      </c>
      <c r="AO13" s="85">
        <f>(Tabla265[[#This Row],[Btree (kg d.m.)/tree]]/1000)*Tabla265[[#This Row],[Density (trees/ha)]]</f>
        <v>1.7120858511259489E-2</v>
      </c>
      <c r="AP13" s="85">
        <f>Tabla265[[#This Row],[Btree (t d.m./ha)]]*'Assumptions Calculat'!$N$10</f>
        <v>8.0468035002919588E-3</v>
      </c>
      <c r="AQ13" s="84">
        <f>Tabla265[[#This Row],[Btree (t C/ha)]]*(44/12)*'Assumptions Calculat'!$L$7</f>
        <v>65.584900019813972</v>
      </c>
      <c r="AR13" s="84">
        <f>Tabla265[[#This Row],[Tree Biomass Carbol pool (t CO2)]]-AQ12</f>
        <v>56.046065036344395</v>
      </c>
      <c r="AS13" s="86">
        <v>0.2</v>
      </c>
      <c r="AT13" s="85" cm="1">
        <f t="array" ref="AT13">_xlfn.IFS(Tabla265[[#This Row],[%COVER]]&lt;=15%,0,Tabla265[[#This Row],[%COVER]]&gt;=50%,'Assumptions Calculat'!$P$11*44/12,Tabla265[[#This Row],[%COVER]],44/12*Tabla265[[#This Row],[%COVER]]*'Assumptions Calculat'!$P$11)</f>
        <v>1.3453163001300528</v>
      </c>
      <c r="AU13" s="84">
        <f>Tabla265[[#This Row],[NET Tree Biomass Carbol pool (t CO2)]]+(AT13*'Assumptions Calculat'!$L$7)</f>
        <v>3046.4746710554668</v>
      </c>
      <c r="AV13" s="84">
        <f>IF('Assumptions Calculat'!$L$7="",0,Tabla265[[#This Row],[Net VCU (t CO2)]]*(1-'Assumptions Calculat'!$P$6))</f>
        <v>2650.4329638182562</v>
      </c>
      <c r="AX13" s="81">
        <v>4</v>
      </c>
      <c r="AY13" s="84">
        <f t="shared" si="3"/>
        <v>2028</v>
      </c>
      <c r="AZ13" s="82">
        <f>'Assumptions Calculat'!C19</f>
        <v>8.6413608206960674E-2</v>
      </c>
      <c r="BA13" s="83">
        <f>(EXP(5.5344244+(2.40477*LN(Tabla2657[[#This Row],[DBH (cm)]]))))/1000</f>
        <v>7.0193130078880785E-4</v>
      </c>
      <c r="BB13" s="83">
        <f>Tabla2657[[#This Row],[AGB (Kg d.m.)/tree]]*'Assumptions Calculat'!$N$9</f>
        <v>2.0356007722875427E-4</v>
      </c>
      <c r="BC13" s="83">
        <f>Tabla2657[[#This Row],[BGB (Kg d.m.)/tree]]+Tabla2657[[#This Row],[AGB (Kg d.m.)/tree]]</f>
        <v>9.0549137801756215E-4</v>
      </c>
      <c r="BD13" s="84">
        <f>'Assumptions Calculat'!$L$10*(1-'Assumptions Calculat'!$P$7)</f>
        <v>2750</v>
      </c>
      <c r="BE13" s="85">
        <f>(Tabla2657[[#This Row],[Btree (kg d.m.)/tree]]/1000)*Tabla2657[[#This Row],[Density (trees/ha)]]</f>
        <v>2.4901012895482961E-3</v>
      </c>
      <c r="BF13" s="85">
        <f>Tabla2657[[#This Row],[Btree (t d.m./ha)]]*'Assumptions Calculat'!$N$10</f>
        <v>1.1703476060876991E-3</v>
      </c>
      <c r="BG13" s="84">
        <f>Tabla2657[[#This Row],[Btree (t C/ha)]]*(44/12)*'Assumptions Calculat'!$L$8</f>
        <v>5.2686704027804296</v>
      </c>
      <c r="BH13" s="84">
        <f>Tabla2657[[#This Row],[Tree Biomass Carbol pool (t CO2)]]-BG12</f>
        <v>4.8946007589698253</v>
      </c>
      <c r="BI13" s="86">
        <v>0.14000000000000001</v>
      </c>
      <c r="BJ13" s="85" cm="1">
        <f t="array" ref="BJ13">_xlfn.IFS(Tabla2657[[#This Row],[%cover]]&lt;=15%,0,Tabla2657[[#This Row],[%cover]]&gt;=50%,'Assumptions Calculat'!$P$11*44/12,Tabla2657[[#This Row],[%cover]],44/12*Tabla2657[[#This Row],[%cover]]*'Assumptions Calculat'!$P$11)</f>
        <v>0</v>
      </c>
      <c r="BK13" s="84">
        <f>IF('Assumptions Calculat'!$L$8="",0,Tabla2657[[#This Row],[NET Tree Biomass Carbol pool (t CO2)]]+(BJ13*'Assumptions Calculat'!$L$8))</f>
        <v>4.8946007589698253</v>
      </c>
      <c r="BL13" s="84">
        <f>IF('Assumptions Calculat'!$L$8="",0,Tabla2657[[#This Row],[Net VCU (t CO2)]]*(1-'Assumptions Calculat'!$P$6))</f>
        <v>4.2583026603037482</v>
      </c>
    </row>
    <row r="14" spans="2:64" s="12" customFormat="1" ht="14.25" customHeight="1" x14ac:dyDescent="0.2">
      <c r="B14" s="81">
        <v>8</v>
      </c>
      <c r="C14" s="81">
        <f t="shared" si="0"/>
        <v>2029</v>
      </c>
      <c r="D14" s="88">
        <f>'Assumptions Calculat'!C23</f>
        <v>0.86192743753982781</v>
      </c>
      <c r="E14" s="83">
        <f>(EXP(5.5344244+(2.40477*LN(Tabla28[[#This Row],[DBH (cm)]]))))/1000</f>
        <v>0.17717068587542351</v>
      </c>
      <c r="F14" s="83">
        <f>Tabla28[[#This Row],[AGB (Kg d.m.)/tree]]*'Assumptions Calculat'!$N$9</f>
        <v>5.1379498903872813E-2</v>
      </c>
      <c r="G14" s="83">
        <f>Tabla28[[#This Row],[BGB (Kg d.m.)/tree]]+Tabla28[[#This Row],[AGB (Kg d.m.)/tree]]</f>
        <v>0.22855018477929631</v>
      </c>
      <c r="H14" s="84">
        <f>'Assumptions Calculat'!$L$10*(1-'Assumptions Calculat'!$P$7)</f>
        <v>2750</v>
      </c>
      <c r="I14" s="85">
        <f>(Tabla28[[#This Row],[Btree (kg d.m.)/tree]]/1000)*Tabla28[[#This Row],[Density (trees/ha)]]</f>
        <v>0.62851300814306488</v>
      </c>
      <c r="J14" s="85">
        <f>Tabla28[[#This Row],[Btree (t d.m./ha)]]*'Assumptions Calculat'!$N$10</f>
        <v>0.29540111382724049</v>
      </c>
      <c r="K14" s="84">
        <f>Tabla28[[#This Row],[Btree (t C/ha)]]*(44/12)*'Assumptions Calculat'!$L$5</f>
        <v>1181.0985703514932</v>
      </c>
      <c r="L14" s="84">
        <f>Tabla28[[#This Row],[Tree Biomass Carbol pool (t CO2)]]-K13</f>
        <v>725.05741520179004</v>
      </c>
      <c r="M14" s="86">
        <v>0.38</v>
      </c>
      <c r="N14" s="85" cm="1">
        <f t="array" ref="N14">_xlfn.IFS(Tabla28[[#This Row],[%cover]]&lt;=15%,0,Tabla28[[#This Row],[%cover]]&gt;=50%,'Assumptions Calculat'!$P$11*44/12,Tabla28[[#This Row],[%cover]],44/12*Tabla28[[#This Row],[%cover]]*'Assumptions Calculat'!$P$11)</f>
        <v>2.5561009702471003</v>
      </c>
      <c r="O14" s="84">
        <f>Tabla28[[#This Row],[NET Tree Biomass Carbol pool (t CO2)]]+(N14*'Assumptions Calculat'!$L$5)</f>
        <v>3512.3373606892992</v>
      </c>
      <c r="P14" s="84">
        <f>IF('Assumptions Calculat'!$L$5="",0,Tabla28[[#This Row],[Net VCU (t CO2)]]*(1-'Assumptions Calculat'!$P$6))</f>
        <v>3055.7335037996904</v>
      </c>
      <c r="Q14" s="13"/>
      <c r="R14" s="81">
        <v>7</v>
      </c>
      <c r="S14" s="84">
        <f t="shared" si="1"/>
        <v>2029</v>
      </c>
      <c r="T14" s="82">
        <f>'Assumptions Calculat'!C22</f>
        <v>0.58024498861795248</v>
      </c>
      <c r="U14" s="83">
        <f>(EXP(5.5344244+(2.40477*LN(Tabla26[[#This Row],[DBH (cm)]]))))/1000</f>
        <v>6.8408451481952307E-2</v>
      </c>
      <c r="V14" s="83">
        <f>Tabla26[[#This Row],[AGB (Kg d.m.)/tree]]*'Assumptions Calculat'!$N$9</f>
        <v>1.9838450929766167E-2</v>
      </c>
      <c r="W14" s="83">
        <f>Tabla26[[#This Row],[BGB (Kg d.m.)/tree]]+Tabla26[[#This Row],[AGB (Kg d.m.)/tree]]</f>
        <v>8.8246902411718481E-2</v>
      </c>
      <c r="X14" s="84">
        <f>'Assumptions Calculat'!$L$10*(1-'Assumptions Calculat'!$P$7)</f>
        <v>2750</v>
      </c>
      <c r="Y14" s="85">
        <f>(Tabla26[[#This Row],[Btree (kg d.m.)/tree]]/1000)*Tabla26[[#This Row],[Density (trees/ha)]]</f>
        <v>0.24267898163222582</v>
      </c>
      <c r="Z14" s="85">
        <f>Tabla26[[#This Row],[Btree (t d.m./ha)]]*'Assumptions Calculat'!$N$10</f>
        <v>0.11405912136714613</v>
      </c>
      <c r="AA14" s="84">
        <f>Tabla26[[#This Row],[Btree (t C/ha)]]*(44/12)*'Assumptions Calculat'!$L$6</f>
        <v>829.31495448135252</v>
      </c>
      <c r="AB14" s="84">
        <f>Tabla26[[#This Row],[Tree Biomass Carbol pool (t CO2)]]-AA13</f>
        <v>572.59224552351191</v>
      </c>
      <c r="AC14" s="86">
        <v>0.32</v>
      </c>
      <c r="AD14" s="85" cm="1">
        <f t="array" ref="AD14">_xlfn.IFS(Tabla26[[#This Row],[%COVER]]&lt;15%,0,Tabla26[[#This Row],[%COVER]]&gt;=50%,'Assumptions Calculat'!$P$11*44/12,Tabla26[[#This Row],[%COVER]],44/12*Tabla26[[#This Row],[%COVER]]*'Assumptions Calculat'!$P$11)</f>
        <v>2.1525060802080844</v>
      </c>
      <c r="AE14" s="84">
        <f>Tabla26[[#This Row],[NET Tree Biomass Carbol pool (t CO2)]]+(AD14*'Assumptions Calculat'!$L$6)</f>
        <v>4840.9659080715046</v>
      </c>
      <c r="AF14" s="84">
        <f>IF('Assumptions Calculat'!$L$6="",0,Tabla26[[#This Row],[Net VCU (t CO2)]]*(1-'Assumptions Calculat'!$P$6))</f>
        <v>4211.6403400222089</v>
      </c>
      <c r="AG14" s="13"/>
      <c r="AH14" s="81">
        <v>6</v>
      </c>
      <c r="AI14" s="84">
        <f t="shared" si="2"/>
        <v>2029</v>
      </c>
      <c r="AJ14" s="82">
        <f>'Assumptions Calculat'!C21</f>
        <v>0.3563219840565609</v>
      </c>
      <c r="AK14" s="83">
        <f>(EXP(5.5344244+(2.40477*LN(Tabla265[[#This Row],[DBH (cm)]]))))/1000</f>
        <v>2.117651790210506E-2</v>
      </c>
      <c r="AL14" s="83">
        <f>Tabla265[[#This Row],[AGB (Kg d.m.)/tree]]*'Assumptions Calculat'!$N$9</f>
        <v>6.1411901916104666E-3</v>
      </c>
      <c r="AM14" s="83">
        <f>Tabla265[[#This Row],[BGB (Kg d.m.)/tree]]+Tabla265[[#This Row],[AGB (Kg d.m.)/tree]]</f>
        <v>2.7317708093715524E-2</v>
      </c>
      <c r="AN14" s="84">
        <f>'Assumptions Calculat'!$L$10*(1-'Assumptions Calculat'!$P$7)</f>
        <v>2750</v>
      </c>
      <c r="AO14" s="85">
        <f>(Tabla265[[#This Row],[Btree (kg d.m.)/tree]]/1000)*Tabla265[[#This Row],[Density (trees/ha)]]</f>
        <v>7.5123697257717698E-2</v>
      </c>
      <c r="AP14" s="85">
        <f>Tabla265[[#This Row],[Btree (t d.m./ha)]]*'Assumptions Calculat'!$N$10</f>
        <v>3.5308137711127313E-2</v>
      </c>
      <c r="AQ14" s="84">
        <f>Tabla265[[#This Row],[Btree (t C/ha)]]*(44/12)*'Assumptions Calculat'!$L$7</f>
        <v>287.7764669643156</v>
      </c>
      <c r="AR14" s="84">
        <f>Tabla265[[#This Row],[Tree Biomass Carbol pool (t CO2)]]-AQ13</f>
        <v>222.19156694450163</v>
      </c>
      <c r="AS14" s="86">
        <v>0.26</v>
      </c>
      <c r="AT14" s="85" cm="1">
        <f t="array" ref="AT14">_xlfn.IFS(Tabla265[[#This Row],[%COVER]]&lt;=15%,0,Tabla265[[#This Row],[%COVER]]&gt;=50%,'Assumptions Calculat'!$P$11*44/12,Tabla265[[#This Row],[%COVER]],44/12*Tabla265[[#This Row],[%COVER]]*'Assumptions Calculat'!$P$11)</f>
        <v>1.7489111901690686</v>
      </c>
      <c r="AU14" s="84">
        <f>Tabla265[[#This Row],[NET Tree Biomass Carbol pool (t CO2)]]+(AT14*'Assumptions Calculat'!$L$7)</f>
        <v>4109.7487547693609</v>
      </c>
      <c r="AV14" s="84">
        <f>IF('Assumptions Calculat'!$L$7="",0,Tabla265[[#This Row],[Net VCU (t CO2)]]*(1-'Assumptions Calculat'!$P$6))</f>
        <v>3575.4814166493438</v>
      </c>
      <c r="AX14" s="81">
        <v>5</v>
      </c>
      <c r="AY14" s="84">
        <f t="shared" si="3"/>
        <v>2029</v>
      </c>
      <c r="AZ14" s="82">
        <f>'Assumptions Calculat'!C20</f>
        <v>0.192649848081656</v>
      </c>
      <c r="BA14" s="83">
        <f>(EXP(5.5344244+(2.40477*LN(Tabla2657[[#This Row],[DBH (cm)]]))))/1000</f>
        <v>4.8261757607496797E-3</v>
      </c>
      <c r="BB14" s="83">
        <f>Tabla2657[[#This Row],[AGB (Kg d.m.)/tree]]*'Assumptions Calculat'!$N$9</f>
        <v>1.399590970617407E-3</v>
      </c>
      <c r="BC14" s="83">
        <f>Tabla2657[[#This Row],[BGB (Kg d.m.)/tree]]+Tabla2657[[#This Row],[AGB (Kg d.m.)/tree]]</f>
        <v>6.2257667313670864E-3</v>
      </c>
      <c r="BD14" s="84">
        <f>'Assumptions Calculat'!$L$10*(1-'Assumptions Calculat'!$P$7)</f>
        <v>2750</v>
      </c>
      <c r="BE14" s="85">
        <f>(Tabla2657[[#This Row],[Btree (kg d.m.)/tree]]/1000)*Tabla2657[[#This Row],[Density (trees/ha)]]</f>
        <v>1.7120858511259489E-2</v>
      </c>
      <c r="BF14" s="85">
        <f>Tabla2657[[#This Row],[Btree (t d.m./ha)]]*'Assumptions Calculat'!$N$10</f>
        <v>8.0468035002919588E-3</v>
      </c>
      <c r="BG14" s="84">
        <f>Tabla2657[[#This Row],[Btree (t C/ha)]]*(44/12)*'Assumptions Calculat'!$L$8</f>
        <v>36.225096901510902</v>
      </c>
      <c r="BH14" s="84">
        <f>Tabla2657[[#This Row],[Tree Biomass Carbol pool (t CO2)]]-BG13</f>
        <v>30.956426498730472</v>
      </c>
      <c r="BI14" s="86">
        <v>0.2</v>
      </c>
      <c r="BJ14" s="85" cm="1">
        <f t="array" ref="BJ14">_xlfn.IFS(Tabla2657[[#This Row],[%cover]]&lt;=15%,0,Tabla2657[[#This Row],[%cover]]&gt;=50%,'Assumptions Calculat'!$P$11*44/12,Tabla2657[[#This Row],[%cover]],44/12*Tabla2657[[#This Row],[%cover]]*'Assumptions Calculat'!$P$11)</f>
        <v>1.3453163001300528</v>
      </c>
      <c r="BK14" s="84">
        <f>IF('Assumptions Calculat'!$L$8="",0,Tabla2657[[#This Row],[NET Tree Biomass Carbol pool (t CO2)]]+(BJ14*'Assumptions Calculat'!$L$8))</f>
        <v>1682.686718034824</v>
      </c>
      <c r="BL14" s="84">
        <f>IF('Assumptions Calculat'!$L$8="",0,Tabla2657[[#This Row],[Net VCU (t CO2)]]*(1-'Assumptions Calculat'!$P$6))</f>
        <v>1463.9374446902968</v>
      </c>
    </row>
    <row r="15" spans="2:64" s="12" customFormat="1" ht="14.25" customHeight="1" x14ac:dyDescent="0.2">
      <c r="B15" s="81">
        <v>9</v>
      </c>
      <c r="C15" s="81">
        <f t="shared" si="0"/>
        <v>2030</v>
      </c>
      <c r="D15" s="88">
        <f>'Assumptions Calculat'!C24</f>
        <v>1.1949286542065627</v>
      </c>
      <c r="E15" s="83">
        <f>(EXP(5.5344244+(2.40477*LN(Tabla28[[#This Row],[DBH (cm)]]))))/1000</f>
        <v>0.38865086624482081</v>
      </c>
      <c r="F15" s="83">
        <f>Tabla28[[#This Row],[AGB (Kg d.m.)/tree]]*'Assumptions Calculat'!$N$9</f>
        <v>0.11270875121099803</v>
      </c>
      <c r="G15" s="83">
        <f>Tabla28[[#This Row],[BGB (Kg d.m.)/tree]]+Tabla28[[#This Row],[AGB (Kg d.m.)/tree]]</f>
        <v>0.50135961745581881</v>
      </c>
      <c r="H15" s="84">
        <f>'Assumptions Calculat'!$L$10*(1-'Assumptions Calculat'!$P$7)</f>
        <v>2750</v>
      </c>
      <c r="I15" s="85">
        <f>(Tabla28[[#This Row],[Btree (kg d.m.)/tree]]/1000)*Tabla28[[#This Row],[Density (trees/ha)]]</f>
        <v>1.3787389480035017</v>
      </c>
      <c r="J15" s="85">
        <f>Tabla28[[#This Row],[Btree (t d.m./ha)]]*'Assumptions Calculat'!$N$10</f>
        <v>0.64800730556164576</v>
      </c>
      <c r="K15" s="84">
        <f>Tabla28[[#This Row],[Btree (t C/ha)]]*(44/12)*'Assumptions Calculat'!$L$5</f>
        <v>2590.9194865926911</v>
      </c>
      <c r="L15" s="84">
        <f>Tabla28[[#This Row],[Tree Biomass Carbol pool (t CO2)]]-K14</f>
        <v>1409.8209162411979</v>
      </c>
      <c r="M15" s="86">
        <v>0.44</v>
      </c>
      <c r="N15" s="85" cm="1">
        <f t="array" ref="N15">_xlfn.IFS(Tabla28[[#This Row],[%cover]]&lt;=15%,0,Tabla28[[#This Row],[%cover]]&gt;=50%,'Assumptions Calculat'!$P$11*44/12,Tabla28[[#This Row],[%cover]],44/12*Tabla28[[#This Row],[%cover]]*'Assumptions Calculat'!$P$11)</f>
        <v>2.9596958602861161</v>
      </c>
      <c r="O15" s="84">
        <f>Tabla28[[#This Row],[NET Tree Biomass Carbol pool (t CO2)]]+(N15*'Assumptions Calculat'!$L$5)</f>
        <v>4637.197695226735</v>
      </c>
      <c r="P15" s="84">
        <f>IF('Assumptions Calculat'!$L$5="",0,Tabla28[[#This Row],[Net VCU (t CO2)]]*(1-'Assumptions Calculat'!$P$6))</f>
        <v>4034.3619948472597</v>
      </c>
      <c r="Q15" s="13"/>
      <c r="R15" s="81">
        <v>8</v>
      </c>
      <c r="S15" s="84">
        <f t="shared" si="1"/>
        <v>2030</v>
      </c>
      <c r="T15" s="82">
        <f>'Assumptions Calculat'!C23</f>
        <v>0.86192743753982781</v>
      </c>
      <c r="U15" s="83">
        <f>(EXP(5.5344244+(2.40477*LN(Tabla26[[#This Row],[DBH (cm)]]))))/1000</f>
        <v>0.17717068587542351</v>
      </c>
      <c r="V15" s="83">
        <f>Tabla26[[#This Row],[AGB (Kg d.m.)/tree]]*'Assumptions Calculat'!$N$9</f>
        <v>5.1379498903872813E-2</v>
      </c>
      <c r="W15" s="83">
        <f>Tabla26[[#This Row],[BGB (Kg d.m.)/tree]]+Tabla26[[#This Row],[AGB (Kg d.m.)/tree]]</f>
        <v>0.22855018477929631</v>
      </c>
      <c r="X15" s="84">
        <f>'Assumptions Calculat'!$L$10*(1-'Assumptions Calculat'!$P$7)</f>
        <v>2750</v>
      </c>
      <c r="Y15" s="85">
        <f>(Tabla26[[#This Row],[Btree (kg d.m.)/tree]]/1000)*Tabla26[[#This Row],[Density (trees/ha)]]</f>
        <v>0.62851300814306488</v>
      </c>
      <c r="Z15" s="85">
        <f>Tabla26[[#This Row],[Btree (t d.m./ha)]]*'Assumptions Calculat'!$N$10</f>
        <v>0.29540111382724049</v>
      </c>
      <c r="AA15" s="84">
        <f>Tabla26[[#This Row],[Btree (t C/ha)]]*(44/12)*'Assumptions Calculat'!$L$6</f>
        <v>2147.8384046007882</v>
      </c>
      <c r="AB15" s="84">
        <f>Tabla26[[#This Row],[Tree Biomass Carbol pool (t CO2)]]-AA14</f>
        <v>1318.5234501194357</v>
      </c>
      <c r="AC15" s="86">
        <v>0.38</v>
      </c>
      <c r="AD15" s="85" cm="1">
        <f t="array" ref="AD15">_xlfn.IFS(Tabla26[[#This Row],[%COVER]]&lt;15%,0,Tabla26[[#This Row],[%COVER]]&gt;=50%,'Assumptions Calculat'!$P$11*44/12,Tabla26[[#This Row],[%COVER]],44/12*Tabla26[[#This Row],[%COVER]]*'Assumptions Calculat'!$P$11)</f>
        <v>2.5561009702471003</v>
      </c>
      <c r="AE15" s="84">
        <f>Tabla26[[#This Row],[NET Tree Biomass Carbol pool (t CO2)]]+(AD15*'Assumptions Calculat'!$L$6)</f>
        <v>6387.2171743951767</v>
      </c>
      <c r="AF15" s="84">
        <f>IF('Assumptions Calculat'!$L$6="",0,Tabla26[[#This Row],[Net VCU (t CO2)]]*(1-'Assumptions Calculat'!$P$6))</f>
        <v>5556.878941723804</v>
      </c>
      <c r="AG15" s="13"/>
      <c r="AH15" s="81">
        <v>7</v>
      </c>
      <c r="AI15" s="84">
        <f t="shared" si="2"/>
        <v>2030</v>
      </c>
      <c r="AJ15" s="82">
        <f>'Assumptions Calculat'!C22</f>
        <v>0.58024498861795248</v>
      </c>
      <c r="AK15" s="83">
        <f>(EXP(5.5344244+(2.40477*LN(Tabla265[[#This Row],[DBH (cm)]]))))/1000</f>
        <v>6.8408451481952307E-2</v>
      </c>
      <c r="AL15" s="83">
        <f>Tabla265[[#This Row],[AGB (Kg d.m.)/tree]]*'Assumptions Calculat'!$N$9</f>
        <v>1.9838450929766167E-2</v>
      </c>
      <c r="AM15" s="83">
        <f>Tabla265[[#This Row],[BGB (Kg d.m.)/tree]]+Tabla265[[#This Row],[AGB (Kg d.m.)/tree]]</f>
        <v>8.8246902411718481E-2</v>
      </c>
      <c r="AN15" s="84">
        <f>'Assumptions Calculat'!$L$10*(1-'Assumptions Calculat'!$P$7)</f>
        <v>2750</v>
      </c>
      <c r="AO15" s="85">
        <f>(Tabla265[[#This Row],[Btree (kg d.m.)/tree]]/1000)*Tabla265[[#This Row],[Density (trees/ha)]]</f>
        <v>0.24267898163222582</v>
      </c>
      <c r="AP15" s="85">
        <f>Tabla265[[#This Row],[Btree (t d.m./ha)]]*'Assumptions Calculat'!$N$10</f>
        <v>0.11405912136714613</v>
      </c>
      <c r="AQ15" s="84">
        <f>Tabla265[[#This Row],[Btree (t C/ha)]]*(44/12)*'Assumptions Calculat'!$L$7</f>
        <v>929.63076219528568</v>
      </c>
      <c r="AR15" s="84">
        <f>Tabla265[[#This Row],[Tree Biomass Carbol pool (t CO2)]]-AQ14</f>
        <v>641.85429523097014</v>
      </c>
      <c r="AS15" s="86">
        <v>0.32</v>
      </c>
      <c r="AT15" s="85" cm="1">
        <f t="array" ref="AT15">_xlfn.IFS(Tabla265[[#This Row],[%COVER]]&lt;=15%,0,Tabla265[[#This Row],[%COVER]]&gt;=50%,'Assumptions Calculat'!$P$11*44/12,Tabla265[[#This Row],[%COVER]],44/12*Tabla265[[#This Row],[%COVER]]*'Assumptions Calculat'!$P$11)</f>
        <v>2.1525060802080844</v>
      </c>
      <c r="AU15" s="84">
        <f>Tabla265[[#This Row],[NET Tree Biomass Carbol pool (t CO2)]]+(AT15*'Assumptions Calculat'!$L$7)</f>
        <v>5426.540064861566</v>
      </c>
      <c r="AV15" s="84">
        <f>IF('Assumptions Calculat'!$L$7="",0,Tabla265[[#This Row],[Net VCU (t CO2)]]*(1-'Assumptions Calculat'!$P$6))</f>
        <v>4721.0898564295621</v>
      </c>
      <c r="AX15" s="81">
        <v>6</v>
      </c>
      <c r="AY15" s="84">
        <f t="shared" si="3"/>
        <v>2030</v>
      </c>
      <c r="AZ15" s="82">
        <f>'Assumptions Calculat'!C21</f>
        <v>0.3563219840565609</v>
      </c>
      <c r="BA15" s="83">
        <f>(EXP(5.5344244+(2.40477*LN(Tabla2657[[#This Row],[DBH (cm)]]))))/1000</f>
        <v>2.117651790210506E-2</v>
      </c>
      <c r="BB15" s="83">
        <f>Tabla2657[[#This Row],[AGB (Kg d.m.)/tree]]*'Assumptions Calculat'!$N$9</f>
        <v>6.1411901916104666E-3</v>
      </c>
      <c r="BC15" s="83">
        <f>Tabla2657[[#This Row],[BGB (Kg d.m.)/tree]]+Tabla2657[[#This Row],[AGB (Kg d.m.)/tree]]</f>
        <v>2.7317708093715524E-2</v>
      </c>
      <c r="BD15" s="84">
        <f>'Assumptions Calculat'!$L$10*(1-'Assumptions Calculat'!$P$7)</f>
        <v>2750</v>
      </c>
      <c r="BE15" s="85">
        <f>(Tabla2657[[#This Row],[Btree (kg d.m.)/tree]]/1000)*Tabla2657[[#This Row],[Density (trees/ha)]]</f>
        <v>7.5123697257717698E-2</v>
      </c>
      <c r="BF15" s="85">
        <f>Tabla2657[[#This Row],[Btree (t d.m./ha)]]*'Assumptions Calculat'!$N$10</f>
        <v>3.5308137711127313E-2</v>
      </c>
      <c r="BG15" s="84">
        <f>Tabla2657[[#This Row],[Btree (t C/ha)]]*(44/12)*'Assumptions Calculat'!$L$8</f>
        <v>158.95016076272663</v>
      </c>
      <c r="BH15" s="84">
        <f>Tabla2657[[#This Row],[Tree Biomass Carbol pool (t CO2)]]-BG14</f>
        <v>122.72506386121572</v>
      </c>
      <c r="BI15" s="86">
        <v>0.26</v>
      </c>
      <c r="BJ15" s="85" cm="1">
        <f t="array" ref="BJ15">_xlfn.IFS(Tabla2657[[#This Row],[%cover]]&lt;=15%,0,Tabla2657[[#This Row],[%cover]]&gt;=50%,'Assumptions Calculat'!$P$11*44/12,Tabla2657[[#This Row],[%cover]],44/12*Tabla2657[[#This Row],[%cover]]*'Assumptions Calculat'!$P$11)</f>
        <v>1.7489111901690686</v>
      </c>
      <c r="BK15" s="84">
        <f>IF('Assumptions Calculat'!$L$8="",0,Tabla2657[[#This Row],[NET Tree Biomass Carbol pool (t CO2)]]+(BJ15*'Assumptions Calculat'!$L$8))</f>
        <v>2269.9744428581375</v>
      </c>
      <c r="BL15" s="84">
        <f>IF('Assumptions Calculat'!$L$8="",0,Tabla2657[[#This Row],[Net VCU (t CO2)]]*(1-'Assumptions Calculat'!$P$6))</f>
        <v>1974.8777652865797</v>
      </c>
    </row>
    <row r="16" spans="2:64" s="12" customFormat="1" ht="14.25" customHeight="1" x14ac:dyDescent="0.2">
      <c r="B16" s="81">
        <v>10</v>
      </c>
      <c r="C16" s="81">
        <f t="shared" si="0"/>
        <v>2031</v>
      </c>
      <c r="D16" s="88">
        <f>'Assumptions Calculat'!C25</f>
        <v>1.5703281195162211</v>
      </c>
      <c r="E16" s="83">
        <f>(EXP(5.5344244+(2.40477*LN(Tabla28[[#This Row],[DBH (cm)]]))))/1000</f>
        <v>0.74969019325428488</v>
      </c>
      <c r="F16" s="83">
        <f>Tabla28[[#This Row],[AGB (Kg d.m.)/tree]]*'Assumptions Calculat'!$N$9</f>
        <v>0.21741015604374259</v>
      </c>
      <c r="G16" s="83">
        <f>Tabla28[[#This Row],[BGB (Kg d.m.)/tree]]+Tabla28[[#This Row],[AGB (Kg d.m.)/tree]]</f>
        <v>0.96710034929802746</v>
      </c>
      <c r="H16" s="84">
        <f>'Assumptions Calculat'!$L$10*(1-'Assumptions Calculat'!$P$7)</f>
        <v>2750</v>
      </c>
      <c r="I16" s="85">
        <f>(Tabla28[[#This Row],[Btree (kg d.m.)/tree]]/1000)*Tabla28[[#This Row],[Density (trees/ha)]]</f>
        <v>2.6595259605695758</v>
      </c>
      <c r="J16" s="85">
        <f>Tabla28[[#This Row],[Btree (t d.m./ha)]]*'Assumptions Calculat'!$N$10</f>
        <v>1.2499772014677006</v>
      </c>
      <c r="K16" s="84">
        <f>Tabla28[[#This Row],[Btree (t C/ha)]]*(44/12)*'Assumptions Calculat'!$L$5</f>
        <v>4997.768175271246</v>
      </c>
      <c r="L16" s="84">
        <f>Tabla28[[#This Row],[Tree Biomass Carbol pool (t CO2)]]-K15</f>
        <v>2406.8486886785549</v>
      </c>
      <c r="M16" s="86">
        <v>0.5</v>
      </c>
      <c r="N16" s="85" cm="1">
        <f t="array" ref="N16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16" s="84">
        <f>Tabla28[[#This Row],[NET Tree Biomass Carbol pool (t CO2)]]+(N16*'Assumptions Calculat'!$L$5)</f>
        <v>9741.795913645683</v>
      </c>
      <c r="P16" s="84">
        <f>IF('Assumptions Calculat'!$L$5="",0,Tabla28[[#This Row],[Net VCU (t CO2)]]*(1-'Assumptions Calculat'!$P$6))</f>
        <v>8475.3624448717437</v>
      </c>
      <c r="Q16" s="13"/>
      <c r="R16" s="81">
        <v>9</v>
      </c>
      <c r="S16" s="84">
        <f t="shared" si="1"/>
        <v>2031</v>
      </c>
      <c r="T16" s="82">
        <f>'Assumptions Calculat'!C24</f>
        <v>1.1949286542065627</v>
      </c>
      <c r="U16" s="83">
        <f>(EXP(5.5344244+(2.40477*LN(Tabla26[[#This Row],[DBH (cm)]]))))/1000</f>
        <v>0.38865086624482081</v>
      </c>
      <c r="V16" s="83">
        <f>Tabla26[[#This Row],[AGB (Kg d.m.)/tree]]*'Assumptions Calculat'!$N$9</f>
        <v>0.11270875121099803</v>
      </c>
      <c r="W16" s="83">
        <f>Tabla26[[#This Row],[BGB (Kg d.m.)/tree]]+Tabla26[[#This Row],[AGB (Kg d.m.)/tree]]</f>
        <v>0.50135961745581881</v>
      </c>
      <c r="X16" s="84">
        <f>'Assumptions Calculat'!$L$10*(1-'Assumptions Calculat'!$P$7)</f>
        <v>2750</v>
      </c>
      <c r="Y16" s="85">
        <f>(Tabla26[[#This Row],[Btree (kg d.m.)/tree]]/1000)*Tabla26[[#This Row],[Density (trees/ha)]]</f>
        <v>1.3787389480035017</v>
      </c>
      <c r="Z16" s="85">
        <f>Tabla26[[#This Row],[Btree (t d.m./ha)]]*'Assumptions Calculat'!$N$10</f>
        <v>0.64800730556164576</v>
      </c>
      <c r="AA16" s="84">
        <f>Tabla26[[#This Row],[Btree (t C/ha)]]*(44/12)*'Assumptions Calculat'!$L$6</f>
        <v>4711.6104584533023</v>
      </c>
      <c r="AB16" s="84">
        <f>Tabla26[[#This Row],[Tree Biomass Carbol pool (t CO2)]]-AA15</f>
        <v>2563.7720538525141</v>
      </c>
      <c r="AC16" s="86">
        <v>0.44</v>
      </c>
      <c r="AD16" s="85" cm="1">
        <f t="array" ref="AD16">_xlfn.IFS(Tabla26[[#This Row],[%COVER]]&lt;15%,0,Tabla26[[#This Row],[%COVER]]&gt;=50%,'Assumptions Calculat'!$P$11*44/12,Tabla26[[#This Row],[%COVER]],44/12*Tabla26[[#This Row],[%COVER]]*'Assumptions Calculat'!$P$11)</f>
        <v>2.9596958602861161</v>
      </c>
      <c r="AE16" s="84">
        <f>Tabla26[[#This Row],[NET Tree Biomass Carbol pool (t CO2)]]+(AD16*'Assumptions Calculat'!$L$6)</f>
        <v>8432.7858398560038</v>
      </c>
      <c r="AF16" s="84">
        <f>IF('Assumptions Calculat'!$L$6="",0,Tabla26[[#This Row],[Net VCU (t CO2)]]*(1-'Assumptions Calculat'!$P$6))</f>
        <v>7336.5236806747234</v>
      </c>
      <c r="AG16" s="13"/>
      <c r="AH16" s="81">
        <v>8</v>
      </c>
      <c r="AI16" s="84">
        <f t="shared" si="2"/>
        <v>2031</v>
      </c>
      <c r="AJ16" s="82">
        <f>'Assumptions Calculat'!C23</f>
        <v>0.86192743753982781</v>
      </c>
      <c r="AK16" s="83">
        <f>(EXP(5.5344244+(2.40477*LN(Tabla265[[#This Row],[DBH (cm)]]))))/1000</f>
        <v>0.17717068587542351</v>
      </c>
      <c r="AL16" s="83">
        <f>Tabla265[[#This Row],[AGB (Kg d.m.)/tree]]*'Assumptions Calculat'!$N$9</f>
        <v>5.1379498903872813E-2</v>
      </c>
      <c r="AM16" s="83">
        <f>Tabla265[[#This Row],[BGB (Kg d.m.)/tree]]+Tabla265[[#This Row],[AGB (Kg d.m.)/tree]]</f>
        <v>0.22855018477929631</v>
      </c>
      <c r="AN16" s="84">
        <f>'Assumptions Calculat'!$L$10*(1-'Assumptions Calculat'!$P$7)</f>
        <v>2750</v>
      </c>
      <c r="AO16" s="85">
        <f>(Tabla265[[#This Row],[Btree (kg d.m.)/tree]]/1000)*Tabla265[[#This Row],[Density (trees/ha)]]</f>
        <v>0.62851300814306488</v>
      </c>
      <c r="AP16" s="85">
        <f>Tabla265[[#This Row],[Btree (t d.m./ha)]]*'Assumptions Calculat'!$N$10</f>
        <v>0.29540111382724049</v>
      </c>
      <c r="AQ16" s="84">
        <f>Tabla265[[#This Row],[Btree (t C/ha)]]*(44/12)*'Assumptions Calculat'!$L$7</f>
        <v>2407.6457832477604</v>
      </c>
      <c r="AR16" s="84">
        <f>Tabla265[[#This Row],[Tree Biomass Carbol pool (t CO2)]]-AQ15</f>
        <v>1478.0150210524748</v>
      </c>
      <c r="AS16" s="86">
        <v>0.38</v>
      </c>
      <c r="AT16" s="85" cm="1">
        <f t="array" ref="AT16">_xlfn.IFS(Tabla265[[#This Row],[%COVER]]&lt;=15%,0,Tabla265[[#This Row],[%COVER]]&gt;=50%,'Assumptions Calculat'!$P$11*44/12,Tabla265[[#This Row],[%COVER]],44/12*Tabla265[[#This Row],[%COVER]]*'Assumptions Calculat'!$P$11)</f>
        <v>2.5561009702471003</v>
      </c>
      <c r="AU16" s="84">
        <f>Tabla265[[#This Row],[NET Tree Biomass Carbol pool (t CO2)]]+(AT16*'Assumptions Calculat'!$L$7)</f>
        <v>7159.8293724888081</v>
      </c>
      <c r="AV16" s="84">
        <f>IF('Assumptions Calculat'!$L$7="",0,Tabla265[[#This Row],[Net VCU (t CO2)]]*(1-'Assumptions Calculat'!$P$6))</f>
        <v>6229.0515540652632</v>
      </c>
      <c r="AX16" s="81">
        <v>7</v>
      </c>
      <c r="AY16" s="84">
        <f t="shared" si="3"/>
        <v>2031</v>
      </c>
      <c r="AZ16" s="82">
        <f>'Assumptions Calculat'!C22</f>
        <v>0.58024498861795248</v>
      </c>
      <c r="BA16" s="83">
        <f>(EXP(5.5344244+(2.40477*LN(Tabla2657[[#This Row],[DBH (cm)]]))))/1000</f>
        <v>6.8408451481952307E-2</v>
      </c>
      <c r="BB16" s="83">
        <f>Tabla2657[[#This Row],[AGB (Kg d.m.)/tree]]*'Assumptions Calculat'!$N$9</f>
        <v>1.9838450929766167E-2</v>
      </c>
      <c r="BC16" s="83">
        <f>Tabla2657[[#This Row],[BGB (Kg d.m.)/tree]]+Tabla2657[[#This Row],[AGB (Kg d.m.)/tree]]</f>
        <v>8.8246902411718481E-2</v>
      </c>
      <c r="BD16" s="84">
        <f>'Assumptions Calculat'!$L$10*(1-'Assumptions Calculat'!$P$7)</f>
        <v>2750</v>
      </c>
      <c r="BE16" s="85">
        <f>(Tabla2657[[#This Row],[Btree (kg d.m.)/tree]]/1000)*Tabla2657[[#This Row],[Density (trees/ha)]]</f>
        <v>0.24267898163222582</v>
      </c>
      <c r="BF16" s="85">
        <f>Tabla2657[[#This Row],[Btree (t d.m./ha)]]*'Assumptions Calculat'!$N$10</f>
        <v>0.11405912136714613</v>
      </c>
      <c r="BG16" s="84">
        <f>Tabla2657[[#This Row],[Btree (t C/ha)]]*(44/12)*'Assumptions Calculat'!$L$8</f>
        <v>513.4713086850137</v>
      </c>
      <c r="BH16" s="84">
        <f>Tabla2657[[#This Row],[Tree Biomass Carbol pool (t CO2)]]-BG15</f>
        <v>354.52114792228707</v>
      </c>
      <c r="BI16" s="86">
        <v>0.32</v>
      </c>
      <c r="BJ16" s="85" cm="1">
        <f t="array" ref="BJ16">_xlfn.IFS(Tabla2657[[#This Row],[%cover]]&lt;=15%,0,Tabla2657[[#This Row],[%cover]]&gt;=50%,'Assumptions Calculat'!$P$11*44/12,Tabla2657[[#This Row],[%cover]],44/12*Tabla2657[[#This Row],[%cover]]*'Assumptions Calculat'!$P$11)</f>
        <v>2.1525060802080844</v>
      </c>
      <c r="BK16" s="84">
        <f>IF('Assumptions Calculat'!$L$8="",0,Tabla2657[[#This Row],[NET Tree Biomass Carbol pool (t CO2)]]+(BJ16*'Assumptions Calculat'!$L$8))</f>
        <v>2997.2896143800367</v>
      </c>
      <c r="BL16" s="84">
        <f>IF('Assumptions Calculat'!$L$8="",0,Tabla2657[[#This Row],[Net VCU (t CO2)]]*(1-'Assumptions Calculat'!$P$6))</f>
        <v>2607.6419645106321</v>
      </c>
    </row>
    <row r="17" spans="2:64" s="12" customFormat="1" ht="14.25" customHeight="1" x14ac:dyDescent="0.2">
      <c r="B17" s="81">
        <v>11</v>
      </c>
      <c r="C17" s="81">
        <f t="shared" si="0"/>
        <v>2032</v>
      </c>
      <c r="D17" s="88">
        <f>'Assumptions Calculat'!C26</f>
        <v>1.9780275638081601</v>
      </c>
      <c r="E17" s="83">
        <f>(EXP(5.5344244+(2.40477*LN(Tabla28[[#This Row],[DBH (cm)]]))))/1000</f>
        <v>1.3059923101293678</v>
      </c>
      <c r="F17" s="83">
        <f>Tabla28[[#This Row],[AGB (Kg d.m.)/tree]]*'Assumptions Calculat'!$N$9</f>
        <v>0.37873776993751662</v>
      </c>
      <c r="G17" s="83">
        <f>Tabla28[[#This Row],[BGB (Kg d.m.)/tree]]+Tabla28[[#This Row],[AGB (Kg d.m.)/tree]]</f>
        <v>1.6847300800668843</v>
      </c>
      <c r="H17" s="84">
        <f>'Assumptions Calculat'!$L$10*(1-'Assumptions Calculat'!$P$7)</f>
        <v>2750</v>
      </c>
      <c r="I17" s="85">
        <f>(Tabla28[[#This Row],[Btree (kg d.m.)/tree]]/1000)*Tabla28[[#This Row],[Density (trees/ha)]]</f>
        <v>4.6330077201839321</v>
      </c>
      <c r="J17" s="85">
        <f>Tabla28[[#This Row],[Btree (t d.m./ha)]]*'Assumptions Calculat'!$N$10</f>
        <v>2.177513628486448</v>
      </c>
      <c r="K17" s="84">
        <f>Tabla28[[#This Row],[Btree (t C/ha)]]*(44/12)*'Assumptions Calculat'!$L$5</f>
        <v>8706.3254440886667</v>
      </c>
      <c r="L17" s="84">
        <f>Tabla28[[#This Row],[Tree Biomass Carbol pool (t CO2)]]-K16</f>
        <v>3708.5572688174207</v>
      </c>
      <c r="M17" s="86">
        <v>0.56000000000000005</v>
      </c>
      <c r="N17" s="85" cm="1">
        <f t="array" ref="N17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17" s="84">
        <f>Tabla28[[#This Row],[NET Tree Biomass Carbol pool (t CO2)]]+(N17*'Assumptions Calculat'!$L$5)</f>
        <v>11043.504493784549</v>
      </c>
      <c r="P17" s="84">
        <f>IF('Assumptions Calculat'!$L$5="",0,Tabla28[[#This Row],[Net VCU (t CO2)]]*(1-'Assumptions Calculat'!$P$6))</f>
        <v>9607.8489095925579</v>
      </c>
      <c r="Q17" s="13"/>
      <c r="R17" s="81">
        <v>10</v>
      </c>
      <c r="S17" s="84">
        <f t="shared" si="1"/>
        <v>2032</v>
      </c>
      <c r="T17" s="82">
        <f>'Assumptions Calculat'!C25</f>
        <v>1.5703281195162211</v>
      </c>
      <c r="U17" s="83">
        <f>(EXP(5.5344244+(2.40477*LN(Tabla26[[#This Row],[DBH (cm)]]))))/1000</f>
        <v>0.74969019325428488</v>
      </c>
      <c r="V17" s="83">
        <f>Tabla26[[#This Row],[AGB (Kg d.m.)/tree]]*'Assumptions Calculat'!$N$9</f>
        <v>0.21741015604374259</v>
      </c>
      <c r="W17" s="83">
        <f>Tabla26[[#This Row],[BGB (Kg d.m.)/tree]]+Tabla26[[#This Row],[AGB (Kg d.m.)/tree]]</f>
        <v>0.96710034929802746</v>
      </c>
      <c r="X17" s="84">
        <f>'Assumptions Calculat'!$L$10*(1-'Assumptions Calculat'!$P$7)</f>
        <v>2750</v>
      </c>
      <c r="Y17" s="85">
        <f>(Tabla26[[#This Row],[Btree (kg d.m.)/tree]]/1000)*Tabla26[[#This Row],[Density (trees/ha)]]</f>
        <v>2.6595259605695758</v>
      </c>
      <c r="Z17" s="85">
        <f>Tabla26[[#This Row],[Btree (t d.m./ha)]]*'Assumptions Calculat'!$N$10</f>
        <v>1.2499772014677006</v>
      </c>
      <c r="AA17" s="84">
        <f>Tabla26[[#This Row],[Btree (t C/ha)]]*(44/12)*'Assumptions Calculat'!$L$6</f>
        <v>9088.4865104397213</v>
      </c>
      <c r="AB17" s="84">
        <f>Tabla26[[#This Row],[Tree Biomass Carbol pool (t CO2)]]-AA16</f>
        <v>4376.876051986419</v>
      </c>
      <c r="AC17" s="86">
        <v>0.5</v>
      </c>
      <c r="AD17" s="85" cm="1">
        <f t="array" ref="AD17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17" s="84">
        <f>Tabla26[[#This Row],[NET Tree Biomass Carbol pool (t CO2)]]+(AD17*'Assumptions Calculat'!$L$6)</f>
        <v>17715.543747448894</v>
      </c>
      <c r="AF17" s="84">
        <f>IF('Assumptions Calculat'!$L$6="",0,Tabla26[[#This Row],[Net VCU (t CO2)]]*(1-'Assumptions Calculat'!$P$6))</f>
        <v>15412.523060280537</v>
      </c>
      <c r="AG17" s="13"/>
      <c r="AH17" s="81">
        <v>9</v>
      </c>
      <c r="AI17" s="84">
        <f t="shared" si="2"/>
        <v>2032</v>
      </c>
      <c r="AJ17" s="82">
        <f>'Assumptions Calculat'!C24</f>
        <v>1.1949286542065627</v>
      </c>
      <c r="AK17" s="83">
        <f>(EXP(5.5344244+(2.40477*LN(Tabla265[[#This Row],[DBH (cm)]]))))/1000</f>
        <v>0.38865086624482081</v>
      </c>
      <c r="AL17" s="83">
        <f>Tabla265[[#This Row],[AGB (Kg d.m.)/tree]]*'Assumptions Calculat'!$N$9</f>
        <v>0.11270875121099803</v>
      </c>
      <c r="AM17" s="83">
        <f>Tabla265[[#This Row],[BGB (Kg d.m.)/tree]]+Tabla265[[#This Row],[AGB (Kg d.m.)/tree]]</f>
        <v>0.50135961745581881</v>
      </c>
      <c r="AN17" s="84">
        <f>'Assumptions Calculat'!$L$10*(1-'Assumptions Calculat'!$P$7)</f>
        <v>2750</v>
      </c>
      <c r="AO17" s="85">
        <f>(Tabla265[[#This Row],[Btree (kg d.m.)/tree]]/1000)*Tabla265[[#This Row],[Density (trees/ha)]]</f>
        <v>1.3787389480035017</v>
      </c>
      <c r="AP17" s="85">
        <f>Tabla265[[#This Row],[Btree (t d.m./ha)]]*'Assumptions Calculat'!$N$10</f>
        <v>0.64800730556164576</v>
      </c>
      <c r="AQ17" s="84">
        <f>Tabla265[[#This Row],[Btree (t C/ha)]]*(44/12)*'Assumptions Calculat'!$L$7</f>
        <v>5281.537488249538</v>
      </c>
      <c r="AR17" s="84">
        <f>Tabla265[[#This Row],[Tree Biomass Carbol pool (t CO2)]]-AQ16</f>
        <v>2873.8917050017776</v>
      </c>
      <c r="AS17" s="86">
        <v>0.44</v>
      </c>
      <c r="AT17" s="85" cm="1">
        <f t="array" ref="AT17">_xlfn.IFS(Tabla265[[#This Row],[%COVER]]&lt;=15%,0,Tabla265[[#This Row],[%COVER]]&gt;=50%,'Assumptions Calculat'!$P$11*44/12,Tabla265[[#This Row],[%COVER]],44/12*Tabla265[[#This Row],[%COVER]]*'Assumptions Calculat'!$P$11)</f>
        <v>2.9596958602861161</v>
      </c>
      <c r="AU17" s="84">
        <f>Tabla265[[#This Row],[NET Tree Biomass Carbol pool (t CO2)]]+(AT17*'Assumptions Calculat'!$L$7)</f>
        <v>9452.8346382438467</v>
      </c>
      <c r="AV17" s="84">
        <f>IF('Assumptions Calculat'!$L$7="",0,Tabla265[[#This Row],[Net VCU (t CO2)]]*(1-'Assumptions Calculat'!$P$6))</f>
        <v>8223.9661352721469</v>
      </c>
      <c r="AX17" s="81">
        <v>8</v>
      </c>
      <c r="AY17" s="84">
        <f t="shared" si="3"/>
        <v>2032</v>
      </c>
      <c r="AZ17" s="82">
        <f>'Assumptions Calculat'!C23</f>
        <v>0.86192743753982781</v>
      </c>
      <c r="BA17" s="83">
        <f>(EXP(5.5344244+(2.40477*LN(Tabla2657[[#This Row],[DBH (cm)]]))))/1000</f>
        <v>0.17717068587542351</v>
      </c>
      <c r="BB17" s="83">
        <f>Tabla2657[[#This Row],[AGB (Kg d.m.)/tree]]*'Assumptions Calculat'!$N$9</f>
        <v>5.1379498903872813E-2</v>
      </c>
      <c r="BC17" s="83">
        <f>Tabla2657[[#This Row],[BGB (Kg d.m.)/tree]]+Tabla2657[[#This Row],[AGB (Kg d.m.)/tree]]</f>
        <v>0.22855018477929631</v>
      </c>
      <c r="BD17" s="84">
        <f>'Assumptions Calculat'!$L$10*(1-'Assumptions Calculat'!$P$7)</f>
        <v>2750</v>
      </c>
      <c r="BE17" s="85">
        <f>(Tabla2657[[#This Row],[Btree (kg d.m.)/tree]]/1000)*Tabla2657[[#This Row],[Density (trees/ha)]]</f>
        <v>0.62851300814306488</v>
      </c>
      <c r="BF17" s="85">
        <f>Tabla2657[[#This Row],[Btree (t d.m./ha)]]*'Assumptions Calculat'!$N$10</f>
        <v>0.29540111382724049</v>
      </c>
      <c r="BG17" s="84">
        <f>Tabla2657[[#This Row],[Btree (t C/ha)]]*(44/12)*'Assumptions Calculat'!$L$8</f>
        <v>1329.836620568376</v>
      </c>
      <c r="BH17" s="84">
        <f>Tabla2657[[#This Row],[Tree Biomass Carbol pool (t CO2)]]-BG16</f>
        <v>816.36531188336232</v>
      </c>
      <c r="BI17" s="86">
        <v>0.38</v>
      </c>
      <c r="BJ17" s="85" cm="1">
        <f t="array" ref="BJ17">_xlfn.IFS(Tabla2657[[#This Row],[%cover]]&lt;=15%,0,Tabla2657[[#This Row],[%cover]]&gt;=50%,'Assumptions Calculat'!$P$11*44/12,Tabla2657[[#This Row],[%cover]],44/12*Tabla2657[[#This Row],[%cover]]*'Assumptions Calculat'!$P$11)</f>
        <v>2.5561009702471003</v>
      </c>
      <c r="BK17" s="84">
        <f>IF('Assumptions Calculat'!$L$8="",0,Tabla2657[[#This Row],[NET Tree Biomass Carbol pool (t CO2)]]+(BJ17*'Assumptions Calculat'!$L$8))</f>
        <v>3954.6528658019397</v>
      </c>
      <c r="BL17" s="84">
        <f>IF('Assumptions Calculat'!$L$8="",0,Tabla2657[[#This Row],[Net VCU (t CO2)]]*(1-'Assumptions Calculat'!$P$6))</f>
        <v>3440.5479932476874</v>
      </c>
    </row>
    <row r="18" spans="2:64" s="12" customFormat="1" ht="14.25" customHeight="1" x14ac:dyDescent="0.2">
      <c r="B18" s="81">
        <v>12</v>
      </c>
      <c r="C18" s="81">
        <f t="shared" si="0"/>
        <v>2033</v>
      </c>
      <c r="D18" s="88">
        <f>'Assumptions Calculat'!C27</f>
        <v>2.4077706020279614</v>
      </c>
      <c r="E18" s="83">
        <f>(EXP(5.5344244+(2.40477*LN(Tabla28[[#This Row],[DBH (cm)]]))))/1000</f>
        <v>2.0953980705769357</v>
      </c>
      <c r="F18" s="83">
        <f>Tabla28[[#This Row],[AGB (Kg d.m.)/tree]]*'Assumptions Calculat'!$N$9</f>
        <v>0.6076654404673113</v>
      </c>
      <c r="G18" s="83">
        <f>Tabla28[[#This Row],[BGB (Kg d.m.)/tree]]+Tabla28[[#This Row],[AGB (Kg d.m.)/tree]]</f>
        <v>2.7030635110442471</v>
      </c>
      <c r="H18" s="84">
        <f>'Assumptions Calculat'!$L$10*(1-'Assumptions Calculat'!$P$7)</f>
        <v>2750</v>
      </c>
      <c r="I18" s="85">
        <f>(Tabla28[[#This Row],[Btree (kg d.m.)/tree]]/1000)*Tabla28[[#This Row],[Density (trees/ha)]]</f>
        <v>7.4334246553716801</v>
      </c>
      <c r="J18" s="85">
        <f>Tabla28[[#This Row],[Btree (t d.m./ha)]]*'Assumptions Calculat'!$N$10</f>
        <v>3.4937095880246893</v>
      </c>
      <c r="K18" s="84">
        <f>Tabla28[[#This Row],[Btree (t C/ha)]]*(44/12)*'Assumptions Calculat'!$L$5</f>
        <v>13968.855249653923</v>
      </c>
      <c r="L18" s="84">
        <f>Tabla28[[#This Row],[Tree Biomass Carbol pool (t CO2)]]-K17</f>
        <v>5262.5298055652565</v>
      </c>
      <c r="M18" s="86">
        <v>0.62</v>
      </c>
      <c r="N18" s="85" cm="1">
        <f t="array" ref="N18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18" s="84">
        <f>Tabla28[[#This Row],[NET Tree Biomass Carbol pool (t CO2)]]+(N18*'Assumptions Calculat'!$L$5)</f>
        <v>12597.477030532384</v>
      </c>
      <c r="P18" s="84">
        <f>IF('Assumptions Calculat'!$L$5="",0,Tabla28[[#This Row],[Net VCU (t CO2)]]*(1-'Assumptions Calculat'!$P$6))</f>
        <v>10959.805016563174</v>
      </c>
      <c r="Q18" s="13"/>
      <c r="R18" s="81">
        <v>11</v>
      </c>
      <c r="S18" s="84">
        <f t="shared" si="1"/>
        <v>2033</v>
      </c>
      <c r="T18" s="82">
        <f>'Assumptions Calculat'!C26</f>
        <v>1.9780275638081601</v>
      </c>
      <c r="U18" s="83">
        <f>(EXP(5.5344244+(2.40477*LN(Tabla26[[#This Row],[DBH (cm)]]))))/1000</f>
        <v>1.3059923101293678</v>
      </c>
      <c r="V18" s="83">
        <f>Tabla26[[#This Row],[AGB (Kg d.m.)/tree]]*'Assumptions Calculat'!$N$9</f>
        <v>0.37873776993751662</v>
      </c>
      <c r="W18" s="83">
        <f>Tabla26[[#This Row],[BGB (Kg d.m.)/tree]]+Tabla26[[#This Row],[AGB (Kg d.m.)/tree]]</f>
        <v>1.6847300800668843</v>
      </c>
      <c r="X18" s="84">
        <f>'Assumptions Calculat'!$L$10*(1-'Assumptions Calculat'!$P$7)</f>
        <v>2750</v>
      </c>
      <c r="Y18" s="85">
        <f>(Tabla26[[#This Row],[Btree (kg d.m.)/tree]]/1000)*Tabla26[[#This Row],[Density (trees/ha)]]</f>
        <v>4.6330077201839321</v>
      </c>
      <c r="Z18" s="85">
        <f>Tabla26[[#This Row],[Btree (t d.m./ha)]]*'Assumptions Calculat'!$N$10</f>
        <v>2.177513628486448</v>
      </c>
      <c r="AA18" s="84">
        <f>Tabla26[[#This Row],[Btree (t C/ha)]]*(44/12)*'Assumptions Calculat'!$L$6</f>
        <v>15832.53135782022</v>
      </c>
      <c r="AB18" s="84">
        <f>Tabla26[[#This Row],[Tree Biomass Carbol pool (t CO2)]]-AA17</f>
        <v>6744.044847380499</v>
      </c>
      <c r="AC18" s="86">
        <v>0.56000000000000005</v>
      </c>
      <c r="AD18" s="85" cm="1">
        <f t="array" ref="AD18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18" s="84">
        <f>Tabla26[[#This Row],[NET Tree Biomass Carbol pool (t CO2)]]+(AD18*'Assumptions Calculat'!$L$6)</f>
        <v>20082.712542842972</v>
      </c>
      <c r="AF18" s="84">
        <f>IF('Assumptions Calculat'!$L$6="",0,Tabla26[[#This Row],[Net VCU (t CO2)]]*(1-'Assumptions Calculat'!$P$6))</f>
        <v>17471.959912273385</v>
      </c>
      <c r="AG18" s="13"/>
      <c r="AH18" s="81">
        <v>10</v>
      </c>
      <c r="AI18" s="84">
        <f t="shared" si="2"/>
        <v>2033</v>
      </c>
      <c r="AJ18" s="82">
        <f>'Assumptions Calculat'!C25</f>
        <v>1.5703281195162211</v>
      </c>
      <c r="AK18" s="83">
        <f>(EXP(5.5344244+(2.40477*LN(Tabla265[[#This Row],[DBH (cm)]]))))/1000</f>
        <v>0.74969019325428488</v>
      </c>
      <c r="AL18" s="83">
        <f>Tabla265[[#This Row],[AGB (Kg d.m.)/tree]]*'Assumptions Calculat'!$N$9</f>
        <v>0.21741015604374259</v>
      </c>
      <c r="AM18" s="83">
        <f>Tabla265[[#This Row],[BGB (Kg d.m.)/tree]]+Tabla265[[#This Row],[AGB (Kg d.m.)/tree]]</f>
        <v>0.96710034929802746</v>
      </c>
      <c r="AN18" s="84">
        <f>'Assumptions Calculat'!$L$10*(1-'Assumptions Calculat'!$P$7)</f>
        <v>2750</v>
      </c>
      <c r="AO18" s="85">
        <f>(Tabla265[[#This Row],[Btree (kg d.m.)/tree]]/1000)*Tabla265[[#This Row],[Density (trees/ha)]]</f>
        <v>2.6595259605695758</v>
      </c>
      <c r="AP18" s="85">
        <f>Tabla265[[#This Row],[Btree (t d.m./ha)]]*'Assumptions Calculat'!$N$10</f>
        <v>1.2499772014677006</v>
      </c>
      <c r="AQ18" s="84">
        <f>Tabla265[[#This Row],[Btree (t C/ha)]]*(44/12)*'Assumptions Calculat'!$L$7</f>
        <v>10187.850341111422</v>
      </c>
      <c r="AR18" s="84">
        <f>Tabla265[[#This Row],[Tree Biomass Carbol pool (t CO2)]]-AQ17</f>
        <v>4906.3128528618836</v>
      </c>
      <c r="AS18" s="86">
        <v>0.5</v>
      </c>
      <c r="AT18" s="85" cm="1">
        <f t="array" ref="AT18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18" s="84">
        <f>Tabla265[[#This Row],[NET Tree Biomass Carbol pool (t CO2)]]+(AT18*'Assumptions Calculat'!$L$7)</f>
        <v>19858.455882957496</v>
      </c>
      <c r="AV18" s="84">
        <f>IF('Assumptions Calculat'!$L$7="",0,Tabla265[[#This Row],[Net VCU (t CO2)]]*(1-'Assumptions Calculat'!$P$6))</f>
        <v>17276.85661817302</v>
      </c>
      <c r="AX18" s="81">
        <v>9</v>
      </c>
      <c r="AY18" s="84">
        <f t="shared" si="3"/>
        <v>2033</v>
      </c>
      <c r="AZ18" s="82">
        <f>'Assumptions Calculat'!C24</f>
        <v>1.1949286542065627</v>
      </c>
      <c r="BA18" s="83">
        <f>(EXP(5.5344244+(2.40477*LN(Tabla2657[[#This Row],[DBH (cm)]]))))/1000</f>
        <v>0.38865086624482081</v>
      </c>
      <c r="BB18" s="83">
        <f>Tabla2657[[#This Row],[AGB (Kg d.m.)/tree]]*'Assumptions Calculat'!$N$9</f>
        <v>0.11270875121099803</v>
      </c>
      <c r="BC18" s="83">
        <f>Tabla2657[[#This Row],[BGB (Kg d.m.)/tree]]+Tabla2657[[#This Row],[AGB (Kg d.m.)/tree]]</f>
        <v>0.50135961745581881</v>
      </c>
      <c r="BD18" s="84">
        <f>'Assumptions Calculat'!$L$10*(1-'Assumptions Calculat'!$P$7)</f>
        <v>2750</v>
      </c>
      <c r="BE18" s="85">
        <f>(Tabla2657[[#This Row],[Btree (kg d.m.)/tree]]/1000)*Tabla2657[[#This Row],[Density (trees/ha)]]</f>
        <v>1.3787389480035017</v>
      </c>
      <c r="BF18" s="85">
        <f>Tabla2657[[#This Row],[Btree (t d.m./ha)]]*'Assumptions Calculat'!$N$10</f>
        <v>0.64800730556164576</v>
      </c>
      <c r="BG18" s="84">
        <f>Tabla2657[[#This Row],[Btree (t C/ha)]]*(44/12)*'Assumptions Calculat'!$L$8</f>
        <v>2917.1990388488921</v>
      </c>
      <c r="BH18" s="84">
        <f>Tabla2657[[#This Row],[Tree Biomass Carbol pool (t CO2)]]-BG17</f>
        <v>1587.3624182805161</v>
      </c>
      <c r="BI18" s="86">
        <v>0.44</v>
      </c>
      <c r="BJ18" s="85" cm="1">
        <f t="array" ref="BJ18">_xlfn.IFS(Tabla2657[[#This Row],[%cover]]&lt;=15%,0,Tabla2657[[#This Row],[%cover]]&gt;=50%,'Assumptions Calculat'!$P$11*44/12,Tabla2657[[#This Row],[%cover]],44/12*Tabla2657[[#This Row],[%cover]]*'Assumptions Calculat'!$P$11)</f>
        <v>2.9596958602861161</v>
      </c>
      <c r="BK18" s="84">
        <f>IF('Assumptions Calculat'!$L$8="",0,Tabla2657[[#This Row],[NET Tree Biomass Carbol pool (t CO2)]]+(BJ18*'Assumptions Calculat'!$L$8))</f>
        <v>5221.1690596599219</v>
      </c>
      <c r="BL18" s="84">
        <f>IF('Assumptions Calculat'!$L$8="",0,Tabla2657[[#This Row],[Net VCU (t CO2)]]*(1-'Assumptions Calculat'!$P$6))</f>
        <v>4542.4170819041319</v>
      </c>
    </row>
    <row r="19" spans="2:64" s="12" customFormat="1" ht="14.25" customHeight="1" x14ac:dyDescent="0.2">
      <c r="B19" s="81">
        <v>13</v>
      </c>
      <c r="C19" s="81">
        <f t="shared" si="0"/>
        <v>2034</v>
      </c>
      <c r="D19" s="88">
        <f>'Assumptions Calculat'!C28</f>
        <v>2.8498625274925025</v>
      </c>
      <c r="E19" s="83">
        <f>(EXP(5.5344244+(2.40477*LN(Tabla28[[#This Row],[DBH (cm)]]))))/1000</f>
        <v>3.1428009345715462</v>
      </c>
      <c r="F19" s="83">
        <f>Tabla28[[#This Row],[AGB (Kg d.m.)/tree]]*'Assumptions Calculat'!$N$9</f>
        <v>0.91141227102574829</v>
      </c>
      <c r="G19" s="83">
        <f>Tabla28[[#This Row],[BGB (Kg d.m.)/tree]]+Tabla28[[#This Row],[AGB (Kg d.m.)/tree]]</f>
        <v>4.0542132055972946</v>
      </c>
      <c r="H19" s="84">
        <f>'Assumptions Calculat'!$L$10*(1-'Assumptions Calculat'!$P$7)</f>
        <v>2750</v>
      </c>
      <c r="I19" s="85">
        <f>(Tabla28[[#This Row],[Btree (kg d.m.)/tree]]/1000)*Tabla28[[#This Row],[Density (trees/ha)]]</f>
        <v>11.149086315392561</v>
      </c>
      <c r="J19" s="85">
        <f>Tabla28[[#This Row],[Btree (t d.m./ha)]]*'Assumptions Calculat'!$N$10</f>
        <v>5.2400705682345032</v>
      </c>
      <c r="K19" s="84">
        <f>Tabla28[[#This Row],[Btree (t C/ha)]]*(44/12)*'Assumptions Calculat'!$L$5</f>
        <v>20951.308464944534</v>
      </c>
      <c r="L19" s="84">
        <f>Tabla28[[#This Row],[Tree Biomass Carbol pool (t CO2)]]-K18</f>
        <v>6982.4532152906104</v>
      </c>
      <c r="M19" s="86">
        <v>0.68</v>
      </c>
      <c r="N19" s="85" cm="1">
        <f t="array" ref="N19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19" s="84">
        <f>Tabla28[[#This Row],[NET Tree Biomass Carbol pool (t CO2)]]+(N19*'Assumptions Calculat'!$L$5)</f>
        <v>14317.400440257738</v>
      </c>
      <c r="P19" s="84">
        <f>IF('Assumptions Calculat'!$L$5="",0,Tabla28[[#This Row],[Net VCU (t CO2)]]*(1-'Assumptions Calculat'!$P$6))</f>
        <v>12456.138383024232</v>
      </c>
      <c r="Q19" s="13"/>
      <c r="R19" s="81">
        <v>12</v>
      </c>
      <c r="S19" s="84">
        <f t="shared" si="1"/>
        <v>2034</v>
      </c>
      <c r="T19" s="82">
        <f>'Assumptions Calculat'!C27</f>
        <v>2.4077706020279614</v>
      </c>
      <c r="U19" s="83">
        <f>(EXP(5.5344244+(2.40477*LN(Tabla26[[#This Row],[DBH (cm)]]))))/1000</f>
        <v>2.0953980705769357</v>
      </c>
      <c r="V19" s="83">
        <f>Tabla26[[#This Row],[AGB (Kg d.m.)/tree]]*'Assumptions Calculat'!$N$9</f>
        <v>0.6076654404673113</v>
      </c>
      <c r="W19" s="83">
        <f>Tabla26[[#This Row],[BGB (Kg d.m.)/tree]]+Tabla26[[#This Row],[AGB (Kg d.m.)/tree]]</f>
        <v>2.7030635110442471</v>
      </c>
      <c r="X19" s="84">
        <f>'Assumptions Calculat'!$L$10*(1-'Assumptions Calculat'!$P$7)</f>
        <v>2750</v>
      </c>
      <c r="Y19" s="85">
        <f>(Tabla26[[#This Row],[Btree (kg d.m.)/tree]]/1000)*Tabla26[[#This Row],[Density (trees/ha)]]</f>
        <v>7.4334246553716801</v>
      </c>
      <c r="Z19" s="85">
        <f>Tabla26[[#This Row],[Btree (t d.m./ha)]]*'Assumptions Calculat'!$N$10</f>
        <v>3.4937095880246893</v>
      </c>
      <c r="AA19" s="84">
        <f>Tabla26[[#This Row],[Btree (t C/ha)]]*(44/12)*'Assumptions Calculat'!$L$6</f>
        <v>25402.489281302936</v>
      </c>
      <c r="AB19" s="84">
        <f>Tabla26[[#This Row],[Tree Biomass Carbol pool (t CO2)]]-AA18</f>
        <v>9569.9579234827161</v>
      </c>
      <c r="AC19" s="86">
        <v>0.62</v>
      </c>
      <c r="AD19" s="85" cm="1">
        <f t="array" ref="AD19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19" s="84">
        <f>Tabla26[[#This Row],[NET Tree Biomass Carbol pool (t CO2)]]+(AD19*'Assumptions Calculat'!$L$6)</f>
        <v>22908.625618945189</v>
      </c>
      <c r="AF19" s="84">
        <f>IF('Assumptions Calculat'!$L$6="",0,Tabla26[[#This Row],[Net VCU (t CO2)]]*(1-'Assumptions Calculat'!$P$6))</f>
        <v>19930.504288482312</v>
      </c>
      <c r="AG19" s="13"/>
      <c r="AH19" s="81">
        <v>11</v>
      </c>
      <c r="AI19" s="84">
        <f t="shared" si="2"/>
        <v>2034</v>
      </c>
      <c r="AJ19" s="82">
        <f>'Assumptions Calculat'!C26</f>
        <v>1.9780275638081601</v>
      </c>
      <c r="AK19" s="83">
        <f>(EXP(5.5344244+(2.40477*LN(Tabla265[[#This Row],[DBH (cm)]]))))/1000</f>
        <v>1.3059923101293678</v>
      </c>
      <c r="AL19" s="83">
        <f>Tabla265[[#This Row],[AGB (Kg d.m.)/tree]]*'Assumptions Calculat'!$N$9</f>
        <v>0.37873776993751662</v>
      </c>
      <c r="AM19" s="83">
        <f>Tabla265[[#This Row],[BGB (Kg d.m.)/tree]]+Tabla265[[#This Row],[AGB (Kg d.m.)/tree]]</f>
        <v>1.6847300800668843</v>
      </c>
      <c r="AN19" s="84">
        <f>'Assumptions Calculat'!$L$10*(1-'Assumptions Calculat'!$P$7)</f>
        <v>2750</v>
      </c>
      <c r="AO19" s="85">
        <f>(Tabla265[[#This Row],[Btree (kg d.m.)/tree]]/1000)*Tabla265[[#This Row],[Density (trees/ha)]]</f>
        <v>4.6330077201839321</v>
      </c>
      <c r="AP19" s="85">
        <f>Tabla265[[#This Row],[Btree (t d.m./ha)]]*'Assumptions Calculat'!$N$10</f>
        <v>2.177513628486448</v>
      </c>
      <c r="AQ19" s="84">
        <f>Tabla265[[#This Row],[Btree (t C/ha)]]*(44/12)*'Assumptions Calculat'!$L$7</f>
        <v>17747.67006686375</v>
      </c>
      <c r="AR19" s="84">
        <f>Tabla265[[#This Row],[Tree Biomass Carbol pool (t CO2)]]-AQ18</f>
        <v>7559.8197257523279</v>
      </c>
      <c r="AS19" s="86">
        <v>0.56000000000000005</v>
      </c>
      <c r="AT19" s="85" cm="1">
        <f t="array" ref="AT19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19" s="84">
        <f>Tabla265[[#This Row],[NET Tree Biomass Carbol pool (t CO2)]]+(AT19*'Assumptions Calculat'!$L$7)</f>
        <v>22511.962755847941</v>
      </c>
      <c r="AV19" s="84">
        <f>IF('Assumptions Calculat'!$L$7="",0,Tabla265[[#This Row],[Net VCU (t CO2)]]*(1-'Assumptions Calculat'!$P$6))</f>
        <v>19585.407597587709</v>
      </c>
      <c r="AX19" s="81">
        <v>10</v>
      </c>
      <c r="AY19" s="84">
        <f t="shared" si="3"/>
        <v>2034</v>
      </c>
      <c r="AZ19" s="82">
        <f>'Assumptions Calculat'!C25</f>
        <v>1.5703281195162211</v>
      </c>
      <c r="BA19" s="83">
        <f>(EXP(5.5344244+(2.40477*LN(Tabla2657[[#This Row],[DBH (cm)]]))))/1000</f>
        <v>0.74969019325428488</v>
      </c>
      <c r="BB19" s="83">
        <f>Tabla2657[[#This Row],[AGB (Kg d.m.)/tree]]*'Assumptions Calculat'!$N$9</f>
        <v>0.21741015604374259</v>
      </c>
      <c r="BC19" s="83">
        <f>Tabla2657[[#This Row],[BGB (Kg d.m.)/tree]]+Tabla2657[[#This Row],[AGB (Kg d.m.)/tree]]</f>
        <v>0.96710034929802746</v>
      </c>
      <c r="BD19" s="84">
        <f>'Assumptions Calculat'!$L$10*(1-'Assumptions Calculat'!$P$7)</f>
        <v>2750</v>
      </c>
      <c r="BE19" s="85">
        <f>(Tabla2657[[#This Row],[Btree (kg d.m.)/tree]]/1000)*Tabla2657[[#This Row],[Density (trees/ha)]]</f>
        <v>2.6595259605695758</v>
      </c>
      <c r="BF19" s="85">
        <f>Tabla2657[[#This Row],[Btree (t d.m./ha)]]*'Assumptions Calculat'!$N$10</f>
        <v>1.2499772014677006</v>
      </c>
      <c r="BG19" s="84">
        <f>Tabla2657[[#This Row],[Btree (t C/ha)]]*(44/12)*'Assumptions Calculat'!$L$8</f>
        <v>5627.1468846236858</v>
      </c>
      <c r="BH19" s="84">
        <f>Tabla2657[[#This Row],[Tree Biomass Carbol pool (t CO2)]]-BG18</f>
        <v>2709.9478457747937</v>
      </c>
      <c r="BI19" s="86">
        <v>0.5</v>
      </c>
      <c r="BJ19" s="85" cm="1">
        <f t="array" ref="BJ19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19" s="84">
        <f>IF('Assumptions Calculat'!$L$8="",0,Tabla2657[[#This Row],[NET Tree Biomass Carbol pool (t CO2)]]+(BJ19*'Assumptions Calculat'!$L$8))</f>
        <v>10968.599303455259</v>
      </c>
      <c r="BL19" s="84">
        <f>IF('Assumptions Calculat'!$L$8="",0,Tabla2657[[#This Row],[Net VCU (t CO2)]]*(1-'Assumptions Calculat'!$P$6))</f>
        <v>9542.6813940060747</v>
      </c>
    </row>
    <row r="20" spans="2:64" s="12" customFormat="1" ht="14.25" customHeight="1" x14ac:dyDescent="0.2">
      <c r="B20" s="81">
        <v>14</v>
      </c>
      <c r="C20" s="81">
        <f t="shared" si="0"/>
        <v>2035</v>
      </c>
      <c r="D20" s="88">
        <f>'Assumptions Calculat'!C29</f>
        <v>3.2956229821931591</v>
      </c>
      <c r="E20" s="83">
        <f>(EXP(5.5344244+(2.40477*LN(Tabla28[[#This Row],[DBH (cm)]]))))/1000</f>
        <v>4.4574922222900781</v>
      </c>
      <c r="F20" s="83">
        <f>Tabla28[[#This Row],[AGB (Kg d.m.)/tree]]*'Assumptions Calculat'!$N$9</f>
        <v>1.2926727444641226</v>
      </c>
      <c r="G20" s="83">
        <f>Tabla28[[#This Row],[BGB (Kg d.m.)/tree]]+Tabla28[[#This Row],[AGB (Kg d.m.)/tree]]</f>
        <v>5.750164966754201</v>
      </c>
      <c r="H20" s="84">
        <f>'Assumptions Calculat'!$L$10*(1-'Assumptions Calculat'!$P$7)</f>
        <v>2750</v>
      </c>
      <c r="I20" s="85">
        <f>(Tabla28[[#This Row],[Btree (kg d.m.)/tree]]/1000)*Tabla28[[#This Row],[Density (trees/ha)]]</f>
        <v>15.812953658574054</v>
      </c>
      <c r="J20" s="85">
        <f>Tabla28[[#This Row],[Btree (t d.m./ha)]]*'Assumptions Calculat'!$N$10</f>
        <v>7.4320882195298053</v>
      </c>
      <c r="K20" s="84">
        <f>Tabla28[[#This Row],[Btree (t C/ha)]]*(44/12)*'Assumptions Calculat'!$L$5</f>
        <v>29715.625161611555</v>
      </c>
      <c r="L20" s="84">
        <f>Tabla28[[#This Row],[Tree Biomass Carbol pool (t CO2)]]-K19</f>
        <v>8764.3166966670215</v>
      </c>
      <c r="M20" s="86">
        <v>0.74</v>
      </c>
      <c r="N20" s="85" cm="1">
        <f t="array" ref="N20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0" s="84">
        <f>Tabla28[[#This Row],[NET Tree Biomass Carbol pool (t CO2)]]+(N20*'Assumptions Calculat'!$L$5)</f>
        <v>16099.263921634149</v>
      </c>
      <c r="P20" s="84">
        <f>IF('Assumptions Calculat'!$L$5="",0,Tabla28[[#This Row],[Net VCU (t CO2)]]*(1-'Assumptions Calculat'!$P$6))</f>
        <v>14006.359611821708</v>
      </c>
      <c r="Q20" s="13"/>
      <c r="R20" s="81">
        <v>13</v>
      </c>
      <c r="S20" s="84">
        <f t="shared" si="1"/>
        <v>2035</v>
      </c>
      <c r="T20" s="82">
        <f>'Assumptions Calculat'!C28</f>
        <v>2.8498625274925025</v>
      </c>
      <c r="U20" s="83">
        <f>(EXP(5.5344244+(2.40477*LN(Tabla26[[#This Row],[DBH (cm)]]))))/1000</f>
        <v>3.1428009345715462</v>
      </c>
      <c r="V20" s="83">
        <f>Tabla26[[#This Row],[AGB (Kg d.m.)/tree]]*'Assumptions Calculat'!$N$9</f>
        <v>0.91141227102574829</v>
      </c>
      <c r="W20" s="83">
        <f>Tabla26[[#This Row],[BGB (Kg d.m.)/tree]]+Tabla26[[#This Row],[AGB (Kg d.m.)/tree]]</f>
        <v>4.0542132055972946</v>
      </c>
      <c r="X20" s="84">
        <f>'Assumptions Calculat'!$L$10*(1-'Assumptions Calculat'!$P$7)</f>
        <v>2750</v>
      </c>
      <c r="Y20" s="85">
        <f>(Tabla26[[#This Row],[Btree (kg d.m.)/tree]]/1000)*Tabla26[[#This Row],[Density (trees/ha)]]</f>
        <v>11.149086315392561</v>
      </c>
      <c r="Z20" s="85">
        <f>Tabla26[[#This Row],[Btree (t d.m./ha)]]*'Assumptions Calculat'!$N$10</f>
        <v>5.2400705682345032</v>
      </c>
      <c r="AA20" s="84">
        <f>Tabla26[[#This Row],[Btree (t C/ha)]]*(44/12)*'Assumptions Calculat'!$L$6</f>
        <v>38100.143440401858</v>
      </c>
      <c r="AB20" s="84">
        <f>Tabla26[[#This Row],[Tree Biomass Carbol pool (t CO2)]]-AA19</f>
        <v>12697.654159098922</v>
      </c>
      <c r="AC20" s="86">
        <v>0.68</v>
      </c>
      <c r="AD20" s="85" cm="1">
        <f t="array" ref="AD20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0" s="84">
        <f>Tabla26[[#This Row],[NET Tree Biomass Carbol pool (t CO2)]]+(AD20*'Assumptions Calculat'!$L$6)</f>
        <v>26036.321854561396</v>
      </c>
      <c r="AF20" s="84">
        <f>IF('Assumptions Calculat'!$L$6="",0,Tabla26[[#This Row],[Net VCU (t CO2)]]*(1-'Assumptions Calculat'!$P$6))</f>
        <v>22651.600013468415</v>
      </c>
      <c r="AG20" s="13"/>
      <c r="AH20" s="81">
        <v>12</v>
      </c>
      <c r="AI20" s="84">
        <f t="shared" si="2"/>
        <v>2035</v>
      </c>
      <c r="AJ20" s="82">
        <f>'Assumptions Calculat'!C27</f>
        <v>2.4077706020279614</v>
      </c>
      <c r="AK20" s="83">
        <f>(EXP(5.5344244+(2.40477*LN(Tabla265[[#This Row],[DBH (cm)]]))))/1000</f>
        <v>2.0953980705769357</v>
      </c>
      <c r="AL20" s="83">
        <f>Tabla265[[#This Row],[AGB (Kg d.m.)/tree]]*'Assumptions Calculat'!$N$9</f>
        <v>0.6076654404673113</v>
      </c>
      <c r="AM20" s="83">
        <f>Tabla265[[#This Row],[BGB (Kg d.m.)/tree]]+Tabla265[[#This Row],[AGB (Kg d.m.)/tree]]</f>
        <v>2.7030635110442471</v>
      </c>
      <c r="AN20" s="84">
        <f>'Assumptions Calculat'!$L$10*(1-'Assumptions Calculat'!$P$7)</f>
        <v>2750</v>
      </c>
      <c r="AO20" s="85">
        <f>(Tabla265[[#This Row],[Btree (kg d.m.)/tree]]/1000)*Tabla265[[#This Row],[Density (trees/ha)]]</f>
        <v>7.4334246553716801</v>
      </c>
      <c r="AP20" s="85">
        <f>Tabla265[[#This Row],[Btree (t d.m./ha)]]*'Assumptions Calculat'!$N$10</f>
        <v>3.4937095880246893</v>
      </c>
      <c r="AQ20" s="84">
        <f>Tabla265[[#This Row],[Btree (t C/ha)]]*(44/12)*'Assumptions Calculat'!$L$7</f>
        <v>28475.231689272779</v>
      </c>
      <c r="AR20" s="84">
        <f>Tabla265[[#This Row],[Tree Biomass Carbol pool (t CO2)]]-AQ19</f>
        <v>10727.56162240903</v>
      </c>
      <c r="AS20" s="86">
        <v>0.62</v>
      </c>
      <c r="AT20" s="85" cm="1">
        <f t="array" ref="AT20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0" s="84">
        <f>Tabla265[[#This Row],[NET Tree Biomass Carbol pool (t CO2)]]+(AT20*'Assumptions Calculat'!$L$7)</f>
        <v>25679.704652504639</v>
      </c>
      <c r="AV20" s="84">
        <f>IF('Assumptions Calculat'!$L$7="",0,Tabla265[[#This Row],[Net VCU (t CO2)]]*(1-'Assumptions Calculat'!$P$6))</f>
        <v>22341.343047679034</v>
      </c>
      <c r="AX20" s="81">
        <v>11</v>
      </c>
      <c r="AY20" s="84">
        <f t="shared" si="3"/>
        <v>2035</v>
      </c>
      <c r="AZ20" s="82">
        <f>'Assumptions Calculat'!C26</f>
        <v>1.9780275638081601</v>
      </c>
      <c r="BA20" s="83">
        <f>(EXP(5.5344244+(2.40477*LN(Tabla2657[[#This Row],[DBH (cm)]]))))/1000</f>
        <v>1.3059923101293678</v>
      </c>
      <c r="BB20" s="83">
        <f>Tabla2657[[#This Row],[AGB (Kg d.m.)/tree]]*'Assumptions Calculat'!$N$9</f>
        <v>0.37873776993751662</v>
      </c>
      <c r="BC20" s="83">
        <f>Tabla2657[[#This Row],[BGB (Kg d.m.)/tree]]+Tabla2657[[#This Row],[AGB (Kg d.m.)/tree]]</f>
        <v>1.6847300800668843</v>
      </c>
      <c r="BD20" s="84">
        <f>'Assumptions Calculat'!$L$10*(1-'Assumptions Calculat'!$P$7)</f>
        <v>2750</v>
      </c>
      <c r="BE20" s="85">
        <f>(Tabla2657[[#This Row],[Btree (kg d.m.)/tree]]/1000)*Tabla2657[[#This Row],[Density (trees/ha)]]</f>
        <v>4.6330077201839321</v>
      </c>
      <c r="BF20" s="85">
        <f>Tabla2657[[#This Row],[Btree (t d.m./ha)]]*'Assumptions Calculat'!$N$10</f>
        <v>2.177513628486448</v>
      </c>
      <c r="BG20" s="84">
        <f>Tabla2657[[#This Row],[Btree (t C/ha)]]*(44/12)*'Assumptions Calculat'!$L$8</f>
        <v>9802.7300148960003</v>
      </c>
      <c r="BH20" s="84">
        <f>Tabla2657[[#This Row],[Tree Biomass Carbol pool (t CO2)]]-BG19</f>
        <v>4175.5831302723145</v>
      </c>
      <c r="BI20" s="86">
        <v>0.56000000000000005</v>
      </c>
      <c r="BJ20" s="85" cm="1">
        <f t="array" ref="BJ20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0" s="84">
        <f>IF('Assumptions Calculat'!$L$8="",0,Tabla2657[[#This Row],[NET Tree Biomass Carbol pool (t CO2)]]+(BJ20*'Assumptions Calculat'!$L$8))</f>
        <v>12434.23458795278</v>
      </c>
      <c r="BL20" s="84">
        <f>IF('Assumptions Calculat'!$L$8="",0,Tabla2657[[#This Row],[Net VCU (t CO2)]]*(1-'Assumptions Calculat'!$P$6))</f>
        <v>10817.784091518919</v>
      </c>
    </row>
    <row r="21" spans="2:64" s="12" customFormat="1" ht="14.25" customHeight="1" x14ac:dyDescent="0.2">
      <c r="B21" s="81">
        <v>15</v>
      </c>
      <c r="C21" s="81">
        <f t="shared" si="0"/>
        <v>2036</v>
      </c>
      <c r="D21" s="88">
        <f>'Assumptions Calculat'!C30</f>
        <v>3.737624173638022</v>
      </c>
      <c r="E21" s="83">
        <f>(EXP(5.5344244+(2.40477*LN(Tabla28[[#This Row],[DBH (cm)]]))))/1000</f>
        <v>6.0329645100482994</v>
      </c>
      <c r="F21" s="83">
        <f>Tabla28[[#This Row],[AGB (Kg d.m.)/tree]]*'Assumptions Calculat'!$N$9</f>
        <v>1.7495597079140066</v>
      </c>
      <c r="G21" s="83">
        <f>Tabla28[[#This Row],[BGB (Kg d.m.)/tree]]+Tabla28[[#This Row],[AGB (Kg d.m.)/tree]]</f>
        <v>7.7825242179623064</v>
      </c>
      <c r="H21" s="84">
        <f>'Assumptions Calculat'!$L$10*(1-'Assumptions Calculat'!$P$7)</f>
        <v>2750</v>
      </c>
      <c r="I21" s="85">
        <f>(Tabla28[[#This Row],[Btree (kg d.m.)/tree]]/1000)*Tabla28[[#This Row],[Density (trees/ha)]]</f>
        <v>21.401941599396341</v>
      </c>
      <c r="J21" s="85">
        <f>Tabla28[[#This Row],[Btree (t d.m./ha)]]*'Assumptions Calculat'!$N$10</f>
        <v>10.058912551716279</v>
      </c>
      <c r="K21" s="84">
        <f>Tabla28[[#This Row],[Btree (t C/ha)]]*(44/12)*'Assumptions Calculat'!$L$5</f>
        <v>40218.423959873428</v>
      </c>
      <c r="L21" s="84">
        <f>Tabla28[[#This Row],[Tree Biomass Carbol pool (t CO2)]]-K20</f>
        <v>10502.798798261872</v>
      </c>
      <c r="M21" s="86">
        <v>0.8</v>
      </c>
      <c r="N21" s="85" cm="1">
        <f t="array" ref="N21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1" s="84">
        <f>Tabla28[[#This Row],[NET Tree Biomass Carbol pool (t CO2)]]+(N21*'Assumptions Calculat'!$L$5)</f>
        <v>17837.746023229</v>
      </c>
      <c r="P21" s="84">
        <f>IF('Assumptions Calculat'!$L$5="",0,Tabla28[[#This Row],[Net VCU (t CO2)]]*(1-'Assumptions Calculat'!$P$6))</f>
        <v>15518.83904020923</v>
      </c>
      <c r="Q21" s="13"/>
      <c r="R21" s="81">
        <v>14</v>
      </c>
      <c r="S21" s="84">
        <f t="shared" si="1"/>
        <v>2036</v>
      </c>
      <c r="T21" s="82">
        <f>'Assumptions Calculat'!C29</f>
        <v>3.2956229821931591</v>
      </c>
      <c r="U21" s="83">
        <f>(EXP(5.5344244+(2.40477*LN(Tabla26[[#This Row],[DBH (cm)]]))))/1000</f>
        <v>4.4574922222900781</v>
      </c>
      <c r="V21" s="83">
        <f>Tabla26[[#This Row],[AGB (Kg d.m.)/tree]]*'Assumptions Calculat'!$N$9</f>
        <v>1.2926727444641226</v>
      </c>
      <c r="W21" s="83">
        <f>Tabla26[[#This Row],[BGB (Kg d.m.)/tree]]+Tabla26[[#This Row],[AGB (Kg d.m.)/tree]]</f>
        <v>5.750164966754201</v>
      </c>
      <c r="X21" s="84">
        <f>'Assumptions Calculat'!$L$10*(1-'Assumptions Calculat'!$P$7)</f>
        <v>2750</v>
      </c>
      <c r="Y21" s="85">
        <f>(Tabla26[[#This Row],[Btree (kg d.m.)/tree]]/1000)*Tabla26[[#This Row],[Density (trees/ha)]]</f>
        <v>15.812953658574054</v>
      </c>
      <c r="Z21" s="85">
        <f>Tabla26[[#This Row],[Btree (t d.m./ha)]]*'Assumptions Calculat'!$N$10</f>
        <v>7.4320882195298053</v>
      </c>
      <c r="AA21" s="84">
        <f>Tabla26[[#This Row],[Btree (t C/ha)]]*(44/12)*'Assumptions Calculat'!$L$6</f>
        <v>54038.132414161475</v>
      </c>
      <c r="AB21" s="84">
        <f>Tabla26[[#This Row],[Tree Biomass Carbol pool (t CO2)]]-AA20</f>
        <v>15937.988973759617</v>
      </c>
      <c r="AC21" s="86">
        <v>0.74</v>
      </c>
      <c r="AD21" s="85" cm="1">
        <f t="array" ref="AD21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1" s="84">
        <f>Tabla26[[#This Row],[NET Tree Biomass Carbol pool (t CO2)]]+(AD21*'Assumptions Calculat'!$L$6)</f>
        <v>29276.656669222091</v>
      </c>
      <c r="AF21" s="84">
        <f>IF('Assumptions Calculat'!$L$6="",0,Tabla26[[#This Row],[Net VCU (t CO2)]]*(1-'Assumptions Calculat'!$P$6))</f>
        <v>25470.691302223218</v>
      </c>
      <c r="AG21" s="13"/>
      <c r="AH21" s="81">
        <v>13</v>
      </c>
      <c r="AI21" s="84">
        <f t="shared" si="2"/>
        <v>2036</v>
      </c>
      <c r="AJ21" s="82">
        <f>'Assumptions Calculat'!C28</f>
        <v>2.8498625274925025</v>
      </c>
      <c r="AK21" s="83">
        <f>(EXP(5.5344244+(2.40477*LN(Tabla265[[#This Row],[DBH (cm)]]))))/1000</f>
        <v>3.1428009345715462</v>
      </c>
      <c r="AL21" s="83">
        <f>Tabla265[[#This Row],[AGB (Kg d.m.)/tree]]*'Assumptions Calculat'!$N$9</f>
        <v>0.91141227102574829</v>
      </c>
      <c r="AM21" s="83">
        <f>Tabla265[[#This Row],[BGB (Kg d.m.)/tree]]+Tabla265[[#This Row],[AGB (Kg d.m.)/tree]]</f>
        <v>4.0542132055972946</v>
      </c>
      <c r="AN21" s="84">
        <f>'Assumptions Calculat'!$L$10*(1-'Assumptions Calculat'!$P$7)</f>
        <v>2750</v>
      </c>
      <c r="AO21" s="85">
        <f>(Tabla265[[#This Row],[Btree (kg d.m.)/tree]]/1000)*Tabla265[[#This Row],[Density (trees/ha)]]</f>
        <v>11.149086315392561</v>
      </c>
      <c r="AP21" s="85">
        <f>Tabla265[[#This Row],[Btree (t d.m./ha)]]*'Assumptions Calculat'!$N$10</f>
        <v>5.2400705682345032</v>
      </c>
      <c r="AQ21" s="84">
        <f>Tabla265[[#This Row],[Btree (t C/ha)]]*(44/12)*'Assumptions Calculat'!$L$7</f>
        <v>42708.822739608397</v>
      </c>
      <c r="AR21" s="84">
        <f>Tabla265[[#This Row],[Tree Biomass Carbol pool (t CO2)]]-AQ20</f>
        <v>14233.591050335617</v>
      </c>
      <c r="AS21" s="86">
        <v>0.68</v>
      </c>
      <c r="AT21" s="85" cm="1">
        <f t="array" ref="AT21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1" s="84">
        <f>Tabla265[[#This Row],[NET Tree Biomass Carbol pool (t CO2)]]+(AT21*'Assumptions Calculat'!$L$7)</f>
        <v>29185.734080431226</v>
      </c>
      <c r="AV21" s="84">
        <f>IF('Assumptions Calculat'!$L$7="",0,Tabla265[[#This Row],[Net VCU (t CO2)]]*(1-'Assumptions Calculat'!$P$6))</f>
        <v>25391.588649975165</v>
      </c>
      <c r="AX21" s="81">
        <v>12</v>
      </c>
      <c r="AY21" s="84">
        <f t="shared" si="3"/>
        <v>2036</v>
      </c>
      <c r="AZ21" s="82">
        <f>'Assumptions Calculat'!C27</f>
        <v>2.4077706020279614</v>
      </c>
      <c r="BA21" s="83">
        <f>(EXP(5.5344244+(2.40477*LN(Tabla2657[[#This Row],[DBH (cm)]]))))/1000</f>
        <v>2.0953980705769357</v>
      </c>
      <c r="BB21" s="83">
        <f>Tabla2657[[#This Row],[AGB (Kg d.m.)/tree]]*'Assumptions Calculat'!$N$9</f>
        <v>0.6076654404673113</v>
      </c>
      <c r="BC21" s="83">
        <f>Tabla2657[[#This Row],[BGB (Kg d.m.)/tree]]+Tabla2657[[#This Row],[AGB (Kg d.m.)/tree]]</f>
        <v>2.7030635110442471</v>
      </c>
      <c r="BD21" s="84">
        <f>'Assumptions Calculat'!$L$10*(1-'Assumptions Calculat'!$P$7)</f>
        <v>2750</v>
      </c>
      <c r="BE21" s="85">
        <f>(Tabla2657[[#This Row],[Btree (kg d.m.)/tree]]/1000)*Tabla2657[[#This Row],[Density (trees/ha)]]</f>
        <v>7.4334246553716801</v>
      </c>
      <c r="BF21" s="85">
        <f>Tabla2657[[#This Row],[Btree (t d.m./ha)]]*'Assumptions Calculat'!$N$10</f>
        <v>3.4937095880246893</v>
      </c>
      <c r="BG21" s="84">
        <f>Tabla2657[[#This Row],[Btree (t C/ha)]]*(44/12)*'Assumptions Calculat'!$L$8</f>
        <v>15727.980479123191</v>
      </c>
      <c r="BH21" s="84">
        <f>Tabla2657[[#This Row],[Tree Biomass Carbol pool (t CO2)]]-BG20</f>
        <v>5925.2504642271906</v>
      </c>
      <c r="BI21" s="86">
        <v>0.62</v>
      </c>
      <c r="BJ21" s="85" cm="1">
        <f t="array" ref="BJ21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1" s="84">
        <f>IF('Assumptions Calculat'!$L$8="",0,Tabla2657[[#This Row],[NET Tree Biomass Carbol pool (t CO2)]]+(BJ21*'Assumptions Calculat'!$L$8))</f>
        <v>14183.901921907656</v>
      </c>
      <c r="BL21" s="84">
        <f>IF('Assumptions Calculat'!$L$8="",0,Tabla2657[[#This Row],[Net VCU (t CO2)]]*(1-'Assumptions Calculat'!$P$6))</f>
        <v>12339.994672059662</v>
      </c>
    </row>
    <row r="22" spans="2:64" s="12" customFormat="1" ht="14.25" customHeight="1" x14ac:dyDescent="0.2">
      <c r="B22" s="81">
        <v>16</v>
      </c>
      <c r="C22" s="81">
        <f t="shared" si="0"/>
        <v>2037</v>
      </c>
      <c r="D22" s="88">
        <f>'Assumptions Calculat'!C31</f>
        <v>4.1697700855037159</v>
      </c>
      <c r="E22" s="83">
        <f>(EXP(5.5344244+(2.40477*LN(Tabla28[[#This Row],[DBH (cm)]]))))/1000</f>
        <v>7.8486863584116806</v>
      </c>
      <c r="F22" s="83">
        <f>Tabla28[[#This Row],[AGB (Kg d.m.)/tree]]*'Assumptions Calculat'!$N$9</f>
        <v>2.2761190439393872</v>
      </c>
      <c r="G22" s="83">
        <f>Tabla28[[#This Row],[BGB (Kg d.m.)/tree]]+Tabla28[[#This Row],[AGB (Kg d.m.)/tree]]</f>
        <v>10.124805402351068</v>
      </c>
      <c r="H22" s="84">
        <f>'Assumptions Calculat'!$L$10*(1-'Assumptions Calculat'!$P$7)</f>
        <v>2750</v>
      </c>
      <c r="I22" s="85">
        <f>(Tabla28[[#This Row],[Btree (kg d.m.)/tree]]/1000)*Tabla28[[#This Row],[Density (trees/ha)]]</f>
        <v>27.843214856465437</v>
      </c>
      <c r="J22" s="85">
        <f>Tabla28[[#This Row],[Btree (t d.m./ha)]]*'Assumptions Calculat'!$N$10</f>
        <v>13.086310982538755</v>
      </c>
      <c r="K22" s="84">
        <f>Tabla28[[#This Row],[Btree (t C/ha)]]*(44/12)*'Assumptions Calculat'!$L$5</f>
        <v>52322.833155229178</v>
      </c>
      <c r="L22" s="84">
        <f>Tabla28[[#This Row],[Tree Biomass Carbol pool (t CO2)]]-K21</f>
        <v>12104.409195355751</v>
      </c>
      <c r="M22" s="86">
        <v>0.86</v>
      </c>
      <c r="N22" s="85" cm="1">
        <f t="array" ref="N22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2" s="84">
        <f>Tabla28[[#This Row],[NET Tree Biomass Carbol pool (t CO2)]]+(N22*'Assumptions Calculat'!$L$5)</f>
        <v>19439.356420322878</v>
      </c>
      <c r="P22" s="84">
        <f>IF('Assumptions Calculat'!$L$5="",0,Tabla28[[#This Row],[Net VCU (t CO2)]]*(1-'Assumptions Calculat'!$P$6))</f>
        <v>16912.240085680904</v>
      </c>
      <c r="Q22" s="13"/>
      <c r="R22" s="81">
        <v>15</v>
      </c>
      <c r="S22" s="84">
        <f t="shared" si="1"/>
        <v>2037</v>
      </c>
      <c r="T22" s="82">
        <f>'Assumptions Calculat'!C30</f>
        <v>3.737624173638022</v>
      </c>
      <c r="U22" s="83">
        <f>(EXP(5.5344244+(2.40477*LN(Tabla26[[#This Row],[DBH (cm)]]))))/1000</f>
        <v>6.0329645100482994</v>
      </c>
      <c r="V22" s="83">
        <f>Tabla26[[#This Row],[AGB (Kg d.m.)/tree]]*'Assumptions Calculat'!$N$9</f>
        <v>1.7495597079140066</v>
      </c>
      <c r="W22" s="83">
        <f>Tabla26[[#This Row],[BGB (Kg d.m.)/tree]]+Tabla26[[#This Row],[AGB (Kg d.m.)/tree]]</f>
        <v>7.7825242179623064</v>
      </c>
      <c r="X22" s="84">
        <f>'Assumptions Calculat'!$L$10*(1-'Assumptions Calculat'!$P$7)</f>
        <v>2750</v>
      </c>
      <c r="Y22" s="85">
        <f>(Tabla26[[#This Row],[Btree (kg d.m.)/tree]]/1000)*Tabla26[[#This Row],[Density (trees/ha)]]</f>
        <v>21.401941599396341</v>
      </c>
      <c r="Z22" s="85">
        <f>Tabla26[[#This Row],[Btree (t d.m./ha)]]*'Assumptions Calculat'!$N$10</f>
        <v>10.058912551716279</v>
      </c>
      <c r="AA22" s="84">
        <f>Tabla26[[#This Row],[Btree (t C/ha)]]*(44/12)*'Assumptions Calculat'!$L$6</f>
        <v>73137.56677211565</v>
      </c>
      <c r="AB22" s="84">
        <f>Tabla26[[#This Row],[Tree Biomass Carbol pool (t CO2)]]-AA21</f>
        <v>19099.434357954175</v>
      </c>
      <c r="AC22" s="86">
        <v>0.8</v>
      </c>
      <c r="AD22" s="85" cm="1">
        <f t="array" ref="AD22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2" s="84">
        <f>Tabla26[[#This Row],[NET Tree Biomass Carbol pool (t CO2)]]+(AD22*'Assumptions Calculat'!$L$6)</f>
        <v>32438.102053416649</v>
      </c>
      <c r="AF22" s="84">
        <f>IF('Assumptions Calculat'!$L$6="",0,Tabla26[[#This Row],[Net VCU (t CO2)]]*(1-'Assumptions Calculat'!$P$6))</f>
        <v>28221.148786472484</v>
      </c>
      <c r="AG22" s="13"/>
      <c r="AH22" s="81">
        <v>14</v>
      </c>
      <c r="AI22" s="84">
        <f t="shared" si="2"/>
        <v>2037</v>
      </c>
      <c r="AJ22" s="82">
        <f>'Assumptions Calculat'!C29</f>
        <v>3.2956229821931591</v>
      </c>
      <c r="AK22" s="83">
        <f>(EXP(5.5344244+(2.40477*LN(Tabla265[[#This Row],[DBH (cm)]]))))/1000</f>
        <v>4.4574922222900781</v>
      </c>
      <c r="AL22" s="83">
        <f>Tabla265[[#This Row],[AGB (Kg d.m.)/tree]]*'Assumptions Calculat'!$N$9</f>
        <v>1.2926727444641226</v>
      </c>
      <c r="AM22" s="83">
        <f>Tabla265[[#This Row],[BGB (Kg d.m.)/tree]]+Tabla265[[#This Row],[AGB (Kg d.m.)/tree]]</f>
        <v>5.750164966754201</v>
      </c>
      <c r="AN22" s="84">
        <f>'Assumptions Calculat'!$L$10*(1-'Assumptions Calculat'!$P$7)</f>
        <v>2750</v>
      </c>
      <c r="AO22" s="85">
        <f>(Tabla265[[#This Row],[Btree (kg d.m.)/tree]]/1000)*Tabla265[[#This Row],[Density (trees/ha)]]</f>
        <v>15.812953658574054</v>
      </c>
      <c r="AP22" s="85">
        <f>Tabla265[[#This Row],[Btree (t d.m./ha)]]*'Assumptions Calculat'!$N$10</f>
        <v>7.4320882195298053</v>
      </c>
      <c r="AQ22" s="84">
        <f>Tabla265[[#This Row],[Btree (t C/ha)]]*(44/12)*'Assumptions Calculat'!$L$7</f>
        <v>60574.706813533376</v>
      </c>
      <c r="AR22" s="84">
        <f>Tabla265[[#This Row],[Tree Biomass Carbol pool (t CO2)]]-AQ21</f>
        <v>17865.884073924979</v>
      </c>
      <c r="AS22" s="86">
        <v>0.74</v>
      </c>
      <c r="AT22" s="85" cm="1">
        <f t="array" ref="AT22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2" s="84">
        <f>Tabla265[[#This Row],[NET Tree Biomass Carbol pool (t CO2)]]+(AT22*'Assumptions Calculat'!$L$7)</f>
        <v>32818.027104020592</v>
      </c>
      <c r="AV22" s="84">
        <f>IF('Assumptions Calculat'!$L$7="",0,Tabla265[[#This Row],[Net VCU (t CO2)]]*(1-'Assumptions Calculat'!$P$6))</f>
        <v>28551.683580497913</v>
      </c>
      <c r="AX22" s="81">
        <v>13</v>
      </c>
      <c r="AY22" s="84">
        <f t="shared" si="3"/>
        <v>2037</v>
      </c>
      <c r="AZ22" s="82">
        <f>'Assumptions Calculat'!C28</f>
        <v>2.8498625274925025</v>
      </c>
      <c r="BA22" s="83">
        <f>(EXP(5.5344244+(2.40477*LN(Tabla2657[[#This Row],[DBH (cm)]]))))/1000</f>
        <v>3.1428009345715462</v>
      </c>
      <c r="BB22" s="83">
        <f>Tabla2657[[#This Row],[AGB (Kg d.m.)/tree]]*'Assumptions Calculat'!$N$9</f>
        <v>0.91141227102574829</v>
      </c>
      <c r="BC22" s="83">
        <f>Tabla2657[[#This Row],[BGB (Kg d.m.)/tree]]+Tabla2657[[#This Row],[AGB (Kg d.m.)/tree]]</f>
        <v>4.0542132055972946</v>
      </c>
      <c r="BD22" s="84">
        <f>'Assumptions Calculat'!$L$10*(1-'Assumptions Calculat'!$P$7)</f>
        <v>2750</v>
      </c>
      <c r="BE22" s="85">
        <f>(Tabla2657[[#This Row],[Btree (kg d.m.)/tree]]/1000)*Tabla2657[[#This Row],[Density (trees/ha)]]</f>
        <v>11.149086315392561</v>
      </c>
      <c r="BF22" s="85">
        <f>Tabla2657[[#This Row],[Btree (t d.m./ha)]]*'Assumptions Calculat'!$N$10</f>
        <v>5.2400705682345032</v>
      </c>
      <c r="BG22" s="84">
        <f>Tabla2657[[#This Row],[Btree (t C/ha)]]*(44/12)*'Assumptions Calculat'!$L$8</f>
        <v>23589.747667898551</v>
      </c>
      <c r="BH22" s="84">
        <f>Tabla2657[[#This Row],[Tree Biomass Carbol pool (t CO2)]]-BG21</f>
        <v>7861.7671887753604</v>
      </c>
      <c r="BI22" s="86">
        <v>0.68</v>
      </c>
      <c r="BJ22" s="85" cm="1">
        <f t="array" ref="BJ22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2" s="84">
        <f>IF('Assumptions Calculat'!$L$8="",0,Tabla2657[[#This Row],[NET Tree Biomass Carbol pool (t CO2)]]+(BJ22*'Assumptions Calculat'!$L$8))</f>
        <v>16120.418646455826</v>
      </c>
      <c r="BL22" s="84">
        <f>IF('Assumptions Calculat'!$L$8="",0,Tabla2657[[#This Row],[Net VCU (t CO2)]]*(1-'Assumptions Calculat'!$P$6))</f>
        <v>14024.764222416568</v>
      </c>
    </row>
    <row r="23" spans="2:64" s="12" customFormat="1" ht="14.25" customHeight="1" x14ac:dyDescent="0.2">
      <c r="B23" s="81">
        <v>17</v>
      </c>
      <c r="C23" s="81">
        <f t="shared" si="0"/>
        <v>2038</v>
      </c>
      <c r="D23" s="88">
        <f>'Assumptions Calculat'!C32</f>
        <v>4.5872663219200716</v>
      </c>
      <c r="E23" s="83">
        <f>(EXP(5.5344244+(2.40477*LN(Tabla28[[#This Row],[DBH (cm)]]))))/1000</f>
        <v>9.8731351245134196</v>
      </c>
      <c r="F23" s="83">
        <f>Tabla28[[#This Row],[AGB (Kg d.m.)/tree]]*'Assumptions Calculat'!$N$9</f>
        <v>2.8632091861088913</v>
      </c>
      <c r="G23" s="83">
        <f>Tabla28[[#This Row],[BGB (Kg d.m.)/tree]]+Tabla28[[#This Row],[AGB (Kg d.m.)/tree]]</f>
        <v>12.736344310622311</v>
      </c>
      <c r="H23" s="84">
        <f>'Assumptions Calculat'!$L$10*(1-'Assumptions Calculat'!$P$7)</f>
        <v>2750</v>
      </c>
      <c r="I23" s="85">
        <f>(Tabla28[[#This Row],[Btree (kg d.m.)/tree]]/1000)*Tabla28[[#This Row],[Density (trees/ha)]]</f>
        <v>35.024946854211358</v>
      </c>
      <c r="J23" s="85">
        <f>Tabla28[[#This Row],[Btree (t d.m./ha)]]*'Assumptions Calculat'!$N$10</f>
        <v>16.461725021479339</v>
      </c>
      <c r="K23" s="84">
        <f>Tabla28[[#This Row],[Btree (t C/ha)]]*(44/12)*'Assumptions Calculat'!$L$5</f>
        <v>65818.708793899321</v>
      </c>
      <c r="L23" s="84">
        <f>Tabla28[[#This Row],[Tree Biomass Carbol pool (t CO2)]]-K22</f>
        <v>13495.875638670143</v>
      </c>
      <c r="M23" s="86">
        <v>0.92</v>
      </c>
      <c r="N23" s="85" cm="1">
        <f t="array" ref="N23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3" s="84">
        <f>Tabla28[[#This Row],[NET Tree Biomass Carbol pool (t CO2)]]+(N23*'Assumptions Calculat'!$L$5)</f>
        <v>20830.82286363727</v>
      </c>
      <c r="P23" s="84">
        <f>IF('Assumptions Calculat'!$L$5="",0,Tabla28[[#This Row],[Net VCU (t CO2)]]*(1-'Assumptions Calculat'!$P$6))</f>
        <v>18122.815891364426</v>
      </c>
      <c r="Q23" s="13"/>
      <c r="R23" s="81">
        <v>16</v>
      </c>
      <c r="S23" s="84">
        <f t="shared" si="1"/>
        <v>2038</v>
      </c>
      <c r="T23" s="82">
        <f>'Assumptions Calculat'!C31</f>
        <v>4.1697700855037159</v>
      </c>
      <c r="U23" s="83">
        <f>(EXP(5.5344244+(2.40477*LN(Tabla26[[#This Row],[DBH (cm)]]))))/1000</f>
        <v>7.8486863584116806</v>
      </c>
      <c r="V23" s="83">
        <f>Tabla26[[#This Row],[AGB (Kg d.m.)/tree]]*'Assumptions Calculat'!$N$9</f>
        <v>2.2761190439393872</v>
      </c>
      <c r="W23" s="83">
        <f>Tabla26[[#This Row],[BGB (Kg d.m.)/tree]]+Tabla26[[#This Row],[AGB (Kg d.m.)/tree]]</f>
        <v>10.124805402351068</v>
      </c>
      <c r="X23" s="84">
        <f>'Assumptions Calculat'!$L$10*(1-'Assumptions Calculat'!$P$7)</f>
        <v>2750</v>
      </c>
      <c r="Y23" s="85">
        <f>(Tabla26[[#This Row],[Btree (kg d.m.)/tree]]/1000)*Tabla26[[#This Row],[Density (trees/ha)]]</f>
        <v>27.843214856465437</v>
      </c>
      <c r="Z23" s="85">
        <f>Tabla26[[#This Row],[Btree (t d.m./ha)]]*'Assumptions Calculat'!$N$10</f>
        <v>13.086310982538755</v>
      </c>
      <c r="AA23" s="84">
        <f>Tabla26[[#This Row],[Btree (t C/ha)]]*(44/12)*'Assumptions Calculat'!$L$6</f>
        <v>95149.544084941401</v>
      </c>
      <c r="AB23" s="84">
        <f>Tabla26[[#This Row],[Tree Biomass Carbol pool (t CO2)]]-AA22</f>
        <v>22011.977312825751</v>
      </c>
      <c r="AC23" s="86">
        <v>0.86</v>
      </c>
      <c r="AD23" s="85" cm="1">
        <f t="array" ref="AD23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3" s="84">
        <f>Tabla26[[#This Row],[NET Tree Biomass Carbol pool (t CO2)]]+(AD23*'Assumptions Calculat'!$L$6)</f>
        <v>35350.645008288222</v>
      </c>
      <c r="AF23" s="84">
        <f>IF('Assumptions Calculat'!$L$6="",0,Tabla26[[#This Row],[Net VCU (t CO2)]]*(1-'Assumptions Calculat'!$P$6))</f>
        <v>30755.061157210752</v>
      </c>
      <c r="AG23" s="13"/>
      <c r="AH23" s="81">
        <v>15</v>
      </c>
      <c r="AI23" s="84">
        <f t="shared" si="2"/>
        <v>2038</v>
      </c>
      <c r="AJ23" s="82">
        <f>'Assumptions Calculat'!C30</f>
        <v>3.737624173638022</v>
      </c>
      <c r="AK23" s="83">
        <f>(EXP(5.5344244+(2.40477*LN(Tabla265[[#This Row],[DBH (cm)]]))))/1000</f>
        <v>6.0329645100482994</v>
      </c>
      <c r="AL23" s="83">
        <f>Tabla265[[#This Row],[AGB (Kg d.m.)/tree]]*'Assumptions Calculat'!$N$9</f>
        <v>1.7495597079140066</v>
      </c>
      <c r="AM23" s="83">
        <f>Tabla265[[#This Row],[BGB (Kg d.m.)/tree]]+Tabla265[[#This Row],[AGB (Kg d.m.)/tree]]</f>
        <v>7.7825242179623064</v>
      </c>
      <c r="AN23" s="84">
        <f>'Assumptions Calculat'!$L$10*(1-'Assumptions Calculat'!$P$7)</f>
        <v>2750</v>
      </c>
      <c r="AO23" s="85">
        <f>(Tabla265[[#This Row],[Btree (kg d.m.)/tree]]/1000)*Tabla265[[#This Row],[Density (trees/ha)]]</f>
        <v>21.401941599396341</v>
      </c>
      <c r="AP23" s="85">
        <f>Tabla265[[#This Row],[Btree (t d.m./ha)]]*'Assumptions Calculat'!$N$10</f>
        <v>10.058912551716279</v>
      </c>
      <c r="AQ23" s="84">
        <f>Tabla265[[#This Row],[Btree (t C/ha)]]*(44/12)*'Assumptions Calculat'!$L$7</f>
        <v>81984.451837108732</v>
      </c>
      <c r="AR23" s="84">
        <f>Tabla265[[#This Row],[Tree Biomass Carbol pool (t CO2)]]-AQ22</f>
        <v>21409.745023575357</v>
      </c>
      <c r="AS23" s="86">
        <v>0.8</v>
      </c>
      <c r="AT23" s="85" cm="1">
        <f t="array" ref="AT23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3" s="84">
        <f>Tabla265[[#This Row],[NET Tree Biomass Carbol pool (t CO2)]]+(AT23*'Assumptions Calculat'!$L$7)</f>
        <v>36361.888053670969</v>
      </c>
      <c r="AV23" s="84">
        <f>IF('Assumptions Calculat'!$L$7="",0,Tabla265[[#This Row],[Net VCU (t CO2)]]*(1-'Assumptions Calculat'!$P$6))</f>
        <v>31634.842606693743</v>
      </c>
      <c r="AX23" s="81">
        <v>14</v>
      </c>
      <c r="AY23" s="84">
        <f t="shared" si="3"/>
        <v>2038</v>
      </c>
      <c r="AZ23" s="82">
        <f>'Assumptions Calculat'!C29</f>
        <v>3.2956229821931591</v>
      </c>
      <c r="BA23" s="83">
        <f>(EXP(5.5344244+(2.40477*LN(Tabla2657[[#This Row],[DBH (cm)]]))))/1000</f>
        <v>4.4574922222900781</v>
      </c>
      <c r="BB23" s="83">
        <f>Tabla2657[[#This Row],[AGB (Kg d.m.)/tree]]*'Assumptions Calculat'!$N$9</f>
        <v>1.2926727444641226</v>
      </c>
      <c r="BC23" s="83">
        <f>Tabla2657[[#This Row],[BGB (Kg d.m.)/tree]]+Tabla2657[[#This Row],[AGB (Kg d.m.)/tree]]</f>
        <v>5.750164966754201</v>
      </c>
      <c r="BD23" s="84">
        <f>'Assumptions Calculat'!$L$10*(1-'Assumptions Calculat'!$P$7)</f>
        <v>2750</v>
      </c>
      <c r="BE23" s="85">
        <f>(Tabla2657[[#This Row],[Btree (kg d.m.)/tree]]/1000)*Tabla2657[[#This Row],[Density (trees/ha)]]</f>
        <v>15.812953658574054</v>
      </c>
      <c r="BF23" s="85">
        <f>Tabla2657[[#This Row],[Btree (t d.m./ha)]]*'Assumptions Calculat'!$N$10</f>
        <v>7.4320882195298053</v>
      </c>
      <c r="BG23" s="84">
        <f>Tabla2657[[#This Row],[Btree (t C/ha)]]*(44/12)*'Assumptions Calculat'!$L$8</f>
        <v>33457.771887094859</v>
      </c>
      <c r="BH23" s="84">
        <f>Tabla2657[[#This Row],[Tree Biomass Carbol pool (t CO2)]]-BG22</f>
        <v>9868.024219196308</v>
      </c>
      <c r="BI23" s="86">
        <v>0.74</v>
      </c>
      <c r="BJ23" s="85" cm="1">
        <f t="array" ref="BJ23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3" s="84">
        <f>IF('Assumptions Calculat'!$L$8="",0,Tabla2657[[#This Row],[NET Tree Biomass Carbol pool (t CO2)]]+(BJ23*'Assumptions Calculat'!$L$8))</f>
        <v>18126.675676876774</v>
      </c>
      <c r="BL23" s="84">
        <f>IF('Assumptions Calculat'!$L$8="",0,Tabla2657[[#This Row],[Net VCU (t CO2)]]*(1-'Assumptions Calculat'!$P$6))</f>
        <v>15770.207838882792</v>
      </c>
    </row>
    <row r="24" spans="2:64" s="12" customFormat="1" ht="14.25" customHeight="1" x14ac:dyDescent="0.2">
      <c r="B24" s="81">
        <v>18</v>
      </c>
      <c r="C24" s="81">
        <f t="shared" si="0"/>
        <v>2039</v>
      </c>
      <c r="D24" s="88">
        <f>'Assumptions Calculat'!C33</f>
        <v>4.9865210512948641</v>
      </c>
      <c r="E24" s="83">
        <f>(EXP(5.5344244+(2.40477*LN(Tabla28[[#This Row],[DBH (cm)]]))))/1000</f>
        <v>12.067376104179372</v>
      </c>
      <c r="F24" s="83">
        <f>Tabla28[[#This Row],[AGB (Kg d.m.)/tree]]*'Assumptions Calculat'!$N$9</f>
        <v>3.4995390702120175</v>
      </c>
      <c r="G24" s="83">
        <f>Tabla28[[#This Row],[BGB (Kg d.m.)/tree]]+Tabla28[[#This Row],[AGB (Kg d.m.)/tree]]</f>
        <v>15.56691517439139</v>
      </c>
      <c r="H24" s="84">
        <f>'Assumptions Calculat'!$L$10*(1-'Assumptions Calculat'!$P$7)</f>
        <v>2750</v>
      </c>
      <c r="I24" s="85">
        <f>(Tabla28[[#This Row],[Btree (kg d.m.)/tree]]/1000)*Tabla28[[#This Row],[Density (trees/ha)]]</f>
        <v>42.809016729576328</v>
      </c>
      <c r="J24" s="85">
        <f>Tabla28[[#This Row],[Btree (t d.m./ha)]]*'Assumptions Calculat'!$N$10</f>
        <v>20.120237862900872</v>
      </c>
      <c r="K24" s="84">
        <f>Tabla28[[#This Row],[Btree (t C/ha)]]*(44/12)*'Assumptions Calculat'!$L$5</f>
        <v>80446.49482568336</v>
      </c>
      <c r="L24" s="84">
        <f>Tabla28[[#This Row],[Tree Biomass Carbol pool (t CO2)]]-K23</f>
        <v>14627.786031784039</v>
      </c>
      <c r="M24" s="86">
        <v>0.98</v>
      </c>
      <c r="N24" s="85" cm="1">
        <f t="array" ref="N24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4" s="84">
        <f>Tabla28[[#This Row],[NET Tree Biomass Carbol pool (t CO2)]]+(N24*'Assumptions Calculat'!$L$5)</f>
        <v>21962.733256751166</v>
      </c>
      <c r="P24" s="84">
        <f>IF('Assumptions Calculat'!$L$5="",0,Tabla28[[#This Row],[Net VCU (t CO2)]]*(1-'Assumptions Calculat'!$P$6))</f>
        <v>19107.577933373515</v>
      </c>
      <c r="Q24" s="13"/>
      <c r="R24" s="81">
        <v>17</v>
      </c>
      <c r="S24" s="84">
        <f t="shared" si="1"/>
        <v>2039</v>
      </c>
      <c r="T24" s="82">
        <f>'Assumptions Calculat'!C32</f>
        <v>4.5872663219200716</v>
      </c>
      <c r="U24" s="83">
        <f>(EXP(5.5344244+(2.40477*LN(Tabla26[[#This Row],[DBH (cm)]]))))/1000</f>
        <v>9.8731351245134196</v>
      </c>
      <c r="V24" s="83">
        <f>Tabla26[[#This Row],[AGB (Kg d.m.)/tree]]*'Assumptions Calculat'!$N$9</f>
        <v>2.8632091861088913</v>
      </c>
      <c r="W24" s="83">
        <f>Tabla26[[#This Row],[BGB (Kg d.m.)/tree]]+Tabla26[[#This Row],[AGB (Kg d.m.)/tree]]</f>
        <v>12.736344310622311</v>
      </c>
      <c r="X24" s="84">
        <f>'Assumptions Calculat'!$L$10*(1-'Assumptions Calculat'!$P$7)</f>
        <v>2750</v>
      </c>
      <c r="Y24" s="85">
        <f>(Tabla26[[#This Row],[Btree (kg d.m.)/tree]]/1000)*Tabla26[[#This Row],[Density (trees/ha)]]</f>
        <v>35.024946854211358</v>
      </c>
      <c r="Z24" s="85">
        <f>Tabla26[[#This Row],[Btree (t d.m./ha)]]*'Assumptions Calculat'!$N$10</f>
        <v>16.461725021479339</v>
      </c>
      <c r="AA24" s="84">
        <f>Tabla26[[#This Row],[Btree (t C/ha)]]*(44/12)*'Assumptions Calculat'!$L$6</f>
        <v>119691.91567703083</v>
      </c>
      <c r="AB24" s="84">
        <f>Tabla26[[#This Row],[Tree Biomass Carbol pool (t CO2)]]-AA23</f>
        <v>24542.371592089432</v>
      </c>
      <c r="AC24" s="86">
        <v>0.92</v>
      </c>
      <c r="AD24" s="85" cm="1">
        <f t="array" ref="AD24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4" s="84">
        <f>Tabla26[[#This Row],[NET Tree Biomass Carbol pool (t CO2)]]+(AD24*'Assumptions Calculat'!$L$6)</f>
        <v>37881.039287551903</v>
      </c>
      <c r="AF24" s="84">
        <f>IF('Assumptions Calculat'!$L$6="",0,Tabla26[[#This Row],[Net VCU (t CO2)]]*(1-'Assumptions Calculat'!$P$6))</f>
        <v>32956.504180170152</v>
      </c>
      <c r="AG24" s="13"/>
      <c r="AH24" s="81">
        <v>16</v>
      </c>
      <c r="AI24" s="84">
        <f t="shared" si="2"/>
        <v>2039</v>
      </c>
      <c r="AJ24" s="82">
        <f>'Assumptions Calculat'!C31</f>
        <v>4.1697700855037159</v>
      </c>
      <c r="AK24" s="83">
        <f>(EXP(5.5344244+(2.40477*LN(Tabla265[[#This Row],[DBH (cm)]]))))/1000</f>
        <v>7.8486863584116806</v>
      </c>
      <c r="AL24" s="83">
        <f>Tabla265[[#This Row],[AGB (Kg d.m.)/tree]]*'Assumptions Calculat'!$N$9</f>
        <v>2.2761190439393872</v>
      </c>
      <c r="AM24" s="83">
        <f>Tabla265[[#This Row],[BGB (Kg d.m.)/tree]]+Tabla265[[#This Row],[AGB (Kg d.m.)/tree]]</f>
        <v>10.124805402351068</v>
      </c>
      <c r="AN24" s="84">
        <f>'Assumptions Calculat'!$L$10*(1-'Assumptions Calculat'!$P$7)</f>
        <v>2750</v>
      </c>
      <c r="AO24" s="85">
        <f>(Tabla265[[#This Row],[Btree (kg d.m.)/tree]]/1000)*Tabla265[[#This Row],[Density (trees/ha)]]</f>
        <v>27.843214856465437</v>
      </c>
      <c r="AP24" s="85">
        <f>Tabla265[[#This Row],[Btree (t d.m./ha)]]*'Assumptions Calculat'!$N$10</f>
        <v>13.086310982538755</v>
      </c>
      <c r="AQ24" s="84">
        <f>Tabla265[[#This Row],[Btree (t C/ha)]]*(44/12)*'Assumptions Calculat'!$L$7</f>
        <v>106659.04758167113</v>
      </c>
      <c r="AR24" s="84">
        <f>Tabla265[[#This Row],[Tree Biomass Carbol pool (t CO2)]]-AQ23</f>
        <v>24674.595744562394</v>
      </c>
      <c r="AS24" s="86">
        <v>0.86</v>
      </c>
      <c r="AT24" s="85" cm="1">
        <f t="array" ref="AT24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4" s="84">
        <f>Tabla265[[#This Row],[NET Tree Biomass Carbol pool (t CO2)]]+(AT24*'Assumptions Calculat'!$L$7)</f>
        <v>39626.738774658006</v>
      </c>
      <c r="AV24" s="84">
        <f>IF('Assumptions Calculat'!$L$7="",0,Tabla265[[#This Row],[Net VCU (t CO2)]]*(1-'Assumptions Calculat'!$P$6))</f>
        <v>34475.262733952462</v>
      </c>
      <c r="AX24" s="81">
        <v>15</v>
      </c>
      <c r="AY24" s="84">
        <f t="shared" si="3"/>
        <v>2039</v>
      </c>
      <c r="AZ24" s="82">
        <f>'Assumptions Calculat'!C30</f>
        <v>3.737624173638022</v>
      </c>
      <c r="BA24" s="83">
        <f>(EXP(5.5344244+(2.40477*LN(Tabla2657[[#This Row],[DBH (cm)]]))))/1000</f>
        <v>6.0329645100482994</v>
      </c>
      <c r="BB24" s="83">
        <f>Tabla2657[[#This Row],[AGB (Kg d.m.)/tree]]*'Assumptions Calculat'!$N$9</f>
        <v>1.7495597079140066</v>
      </c>
      <c r="BC24" s="83">
        <f>Tabla2657[[#This Row],[BGB (Kg d.m.)/tree]]+Tabla2657[[#This Row],[AGB (Kg d.m.)/tree]]</f>
        <v>7.7825242179623064</v>
      </c>
      <c r="BD24" s="84">
        <f>'Assumptions Calculat'!$L$10*(1-'Assumptions Calculat'!$P$7)</f>
        <v>2750</v>
      </c>
      <c r="BE24" s="85">
        <f>(Tabla2657[[#This Row],[Btree (kg d.m.)/tree]]/1000)*Tabla2657[[#This Row],[Density (trees/ha)]]</f>
        <v>21.401941599396341</v>
      </c>
      <c r="BF24" s="85">
        <f>Tabla2657[[#This Row],[Btree (t d.m./ha)]]*'Assumptions Calculat'!$N$10</f>
        <v>10.058912551716279</v>
      </c>
      <c r="BG24" s="84">
        <f>Tabla2657[[#This Row],[Btree (t C/ha)]]*(44/12)*'Assumptions Calculat'!$L$8</f>
        <v>45283.208655029994</v>
      </c>
      <c r="BH24" s="84">
        <f>Tabla2657[[#This Row],[Tree Biomass Carbol pool (t CO2)]]-BG23</f>
        <v>11825.436767935134</v>
      </c>
      <c r="BI24" s="86">
        <v>0.8</v>
      </c>
      <c r="BJ24" s="85" cm="1">
        <f t="array" ref="BJ24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4" s="84">
        <f>IF('Assumptions Calculat'!$L$8="",0,Tabla2657[[#This Row],[NET Tree Biomass Carbol pool (t CO2)]]+(BJ24*'Assumptions Calculat'!$L$8))</f>
        <v>20084.0882256156</v>
      </c>
      <c r="BL24" s="84">
        <f>IF('Assumptions Calculat'!$L$8="",0,Tabla2657[[#This Row],[Net VCU (t CO2)]]*(1-'Assumptions Calculat'!$P$6))</f>
        <v>17473.156756285571</v>
      </c>
    </row>
    <row r="25" spans="2:64" s="12" customFormat="1" ht="14.25" customHeight="1" x14ac:dyDescent="0.2">
      <c r="B25" s="81">
        <v>19</v>
      </c>
      <c r="C25" s="81">
        <f t="shared" si="0"/>
        <v>2040</v>
      </c>
      <c r="D25" s="88">
        <f>'Assumptions Calculat'!C34</f>
        <v>5.3650078779190302</v>
      </c>
      <c r="E25" s="83">
        <f>(EXP(5.5344244+(2.40477*LN(Tabla28[[#This Row],[DBH (cm)]]))))/1000</f>
        <v>14.38861200137859</v>
      </c>
      <c r="F25" s="83">
        <f>Tabla28[[#This Row],[AGB (Kg d.m.)/tree]]*'Assumptions Calculat'!$N$9</f>
        <v>4.1726974803997905</v>
      </c>
      <c r="G25" s="83">
        <f>Tabla28[[#This Row],[BGB (Kg d.m.)/tree]]+Tabla28[[#This Row],[AGB (Kg d.m.)/tree]]</f>
        <v>18.56130948177838</v>
      </c>
      <c r="H25" s="84">
        <f>'Assumptions Calculat'!$L$10*(1-'Assumptions Calculat'!$P$7)</f>
        <v>2750</v>
      </c>
      <c r="I25" s="85">
        <f>(Tabla28[[#This Row],[Btree (kg d.m.)/tree]]/1000)*Tabla28[[#This Row],[Density (trees/ha)]]</f>
        <v>51.043601074890546</v>
      </c>
      <c r="J25" s="85">
        <f>Tabla28[[#This Row],[Btree (t d.m./ha)]]*'Assumptions Calculat'!$N$10</f>
        <v>23.990492505198556</v>
      </c>
      <c r="K25" s="84">
        <f>Tabla28[[#This Row],[Btree (t C/ha)]]*(44/12)*'Assumptions Calculat'!$L$5</f>
        <v>95920.885445575768</v>
      </c>
      <c r="L25" s="84">
        <f>Tabla28[[#This Row],[Tree Biomass Carbol pool (t CO2)]]-K24</f>
        <v>15474.390619892409</v>
      </c>
      <c r="M25" s="86">
        <v>0.99</v>
      </c>
      <c r="N25" s="85" cm="1">
        <f t="array" ref="N25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5" s="84">
        <f>Tabla28[[#This Row],[NET Tree Biomass Carbol pool (t CO2)]]+(N25*'Assumptions Calculat'!$L$5)</f>
        <v>22809.337844859536</v>
      </c>
      <c r="P25" s="84">
        <f>IF('Assumptions Calculat'!$L$5="",0,Tabla28[[#This Row],[Net VCU (t CO2)]]*(1-'Assumptions Calculat'!$P$6))</f>
        <v>19844.123925027798</v>
      </c>
      <c r="Q25" s="13"/>
      <c r="R25" s="81">
        <v>18</v>
      </c>
      <c r="S25" s="84">
        <f t="shared" si="1"/>
        <v>2040</v>
      </c>
      <c r="T25" s="82">
        <f>'Assumptions Calculat'!C33</f>
        <v>4.9865210512948641</v>
      </c>
      <c r="U25" s="83">
        <f>(EXP(5.5344244+(2.40477*LN(Tabla26[[#This Row],[DBH (cm)]]))))/1000</f>
        <v>12.067376104179372</v>
      </c>
      <c r="V25" s="83">
        <f>Tabla26[[#This Row],[AGB (Kg d.m.)/tree]]*'Assumptions Calculat'!$N$9</f>
        <v>3.4995390702120175</v>
      </c>
      <c r="W25" s="83">
        <f>Tabla26[[#This Row],[BGB (Kg d.m.)/tree]]+Tabla26[[#This Row],[AGB (Kg d.m.)/tree]]</f>
        <v>15.56691517439139</v>
      </c>
      <c r="X25" s="84">
        <f>'Assumptions Calculat'!$L$10*(1-'Assumptions Calculat'!$P$7)</f>
        <v>2750</v>
      </c>
      <c r="Y25" s="85">
        <f>(Tabla26[[#This Row],[Btree (kg d.m.)/tree]]/1000)*Tabla26[[#This Row],[Density (trees/ha)]]</f>
        <v>42.809016729576328</v>
      </c>
      <c r="Z25" s="85">
        <f>Tabla26[[#This Row],[Btree (t d.m./ha)]]*'Assumptions Calculat'!$N$10</f>
        <v>20.120237862900872</v>
      </c>
      <c r="AA25" s="84">
        <f>Tabla26[[#This Row],[Btree (t C/ha)]]*(44/12)*'Assumptions Calculat'!$L$6</f>
        <v>146292.6765296993</v>
      </c>
      <c r="AB25" s="84">
        <f>Tabla26[[#This Row],[Tree Biomass Carbol pool (t CO2)]]-AA24</f>
        <v>26600.760852668463</v>
      </c>
      <c r="AC25" s="86">
        <v>0.98</v>
      </c>
      <c r="AD25" s="85" cm="1">
        <f t="array" ref="AD25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5" s="84">
        <f>Tabla26[[#This Row],[NET Tree Biomass Carbol pool (t CO2)]]+(AD25*'Assumptions Calculat'!$L$6)</f>
        <v>39939.428548130934</v>
      </c>
      <c r="AF25" s="84">
        <f>IF('Assumptions Calculat'!$L$6="",0,Tabla26[[#This Row],[Net VCU (t CO2)]]*(1-'Assumptions Calculat'!$P$6))</f>
        <v>34747.302836873911</v>
      </c>
      <c r="AG25" s="13"/>
      <c r="AH25" s="81">
        <v>17</v>
      </c>
      <c r="AI25" s="84">
        <f t="shared" si="2"/>
        <v>2040</v>
      </c>
      <c r="AJ25" s="82">
        <f>'Assumptions Calculat'!C32</f>
        <v>4.5872663219200716</v>
      </c>
      <c r="AK25" s="83">
        <f>(EXP(5.5344244+(2.40477*LN(Tabla265[[#This Row],[DBH (cm)]]))))/1000</f>
        <v>9.8731351245134196</v>
      </c>
      <c r="AL25" s="83">
        <f>Tabla265[[#This Row],[AGB (Kg d.m.)/tree]]*'Assumptions Calculat'!$N$9</f>
        <v>2.8632091861088913</v>
      </c>
      <c r="AM25" s="83">
        <f>Tabla265[[#This Row],[BGB (Kg d.m.)/tree]]+Tabla265[[#This Row],[AGB (Kg d.m.)/tree]]</f>
        <v>12.736344310622311</v>
      </c>
      <c r="AN25" s="84">
        <f>'Assumptions Calculat'!$L$10*(1-'Assumptions Calculat'!$P$7)</f>
        <v>2750</v>
      </c>
      <c r="AO25" s="85">
        <f>(Tabla265[[#This Row],[Btree (kg d.m.)/tree]]/1000)*Tabla265[[#This Row],[Density (trees/ha)]]</f>
        <v>35.024946854211358</v>
      </c>
      <c r="AP25" s="85">
        <f>Tabla265[[#This Row],[Btree (t d.m./ha)]]*'Assumptions Calculat'!$N$10</f>
        <v>16.461725021479339</v>
      </c>
      <c r="AQ25" s="84">
        <f>Tabla265[[#This Row],[Btree (t C/ha)]]*(44/12)*'Assumptions Calculat'!$L$7</f>
        <v>134170.11980573655</v>
      </c>
      <c r="AR25" s="84">
        <f>Tabla265[[#This Row],[Tree Biomass Carbol pool (t CO2)]]-AQ24</f>
        <v>27511.072224065429</v>
      </c>
      <c r="AS25" s="86">
        <v>0.92</v>
      </c>
      <c r="AT25" s="85" cm="1">
        <f t="array" ref="AT25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5" s="84">
        <f>Tabla265[[#This Row],[NET Tree Biomass Carbol pool (t CO2)]]+(AT25*'Assumptions Calculat'!$L$7)</f>
        <v>42463.215254161041</v>
      </c>
      <c r="AV25" s="84">
        <f>IF('Assumptions Calculat'!$L$7="",0,Tabla265[[#This Row],[Net VCU (t CO2)]]*(1-'Assumptions Calculat'!$P$6))</f>
        <v>36942.997271120104</v>
      </c>
      <c r="AX25" s="81">
        <v>16</v>
      </c>
      <c r="AY25" s="84">
        <f t="shared" si="3"/>
        <v>2040</v>
      </c>
      <c r="AZ25" s="82">
        <f>'Assumptions Calculat'!C31</f>
        <v>4.1697700855037159</v>
      </c>
      <c r="BA25" s="83">
        <f>(EXP(5.5344244+(2.40477*LN(Tabla2657[[#This Row],[DBH (cm)]]))))/1000</f>
        <v>7.8486863584116806</v>
      </c>
      <c r="BB25" s="83">
        <f>Tabla2657[[#This Row],[AGB (Kg d.m.)/tree]]*'Assumptions Calculat'!$N$9</f>
        <v>2.2761190439393872</v>
      </c>
      <c r="BC25" s="83">
        <f>Tabla2657[[#This Row],[BGB (Kg d.m.)/tree]]+Tabla2657[[#This Row],[AGB (Kg d.m.)/tree]]</f>
        <v>10.124805402351068</v>
      </c>
      <c r="BD25" s="84">
        <f>'Assumptions Calculat'!$L$10*(1-'Assumptions Calculat'!$P$7)</f>
        <v>2750</v>
      </c>
      <c r="BE25" s="85">
        <f>(Tabla2657[[#This Row],[Btree (kg d.m.)/tree]]/1000)*Tabla2657[[#This Row],[Density (trees/ha)]]</f>
        <v>27.843214856465437</v>
      </c>
      <c r="BF25" s="85">
        <f>Tabla2657[[#This Row],[Btree (t d.m./ha)]]*'Assumptions Calculat'!$N$10</f>
        <v>13.086310982538755</v>
      </c>
      <c r="BG25" s="84">
        <f>Tabla2657[[#This Row],[Btree (t C/ha)]]*(44/12)*'Assumptions Calculat'!$L$8</f>
        <v>58911.94974607903</v>
      </c>
      <c r="BH25" s="84">
        <f>Tabla2657[[#This Row],[Tree Biomass Carbol pool (t CO2)]]-BG24</f>
        <v>13628.741091049036</v>
      </c>
      <c r="BI25" s="86">
        <v>0.86</v>
      </c>
      <c r="BJ25" s="85" cm="1">
        <f t="array" ref="BJ25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5" s="84">
        <f>IF('Assumptions Calculat'!$L$8="",0,Tabla2657[[#This Row],[NET Tree Biomass Carbol pool (t CO2)]]+(BJ25*'Assumptions Calculat'!$L$8))</f>
        <v>21887.392548729502</v>
      </c>
      <c r="BL25" s="84">
        <f>IF('Assumptions Calculat'!$L$8="",0,Tabla2657[[#This Row],[Net VCU (t CO2)]]*(1-'Assumptions Calculat'!$P$6))</f>
        <v>19042.031517394666</v>
      </c>
    </row>
    <row r="26" spans="2:64" s="12" customFormat="1" ht="14.25" customHeight="1" x14ac:dyDescent="0.2">
      <c r="B26" s="81">
        <v>20</v>
      </c>
      <c r="C26" s="81">
        <f t="shared" si="0"/>
        <v>2041</v>
      </c>
      <c r="D26" s="88">
        <f>'Assumptions Calculat'!C35</f>
        <v>5.7211127994159989</v>
      </c>
      <c r="E26" s="83">
        <f>(EXP(5.5344244+(2.40477*LN(Tabla28[[#This Row],[DBH (cm)]]))))/1000</f>
        <v>16.793313084425993</v>
      </c>
      <c r="F26" s="83">
        <f>Tabla28[[#This Row],[AGB (Kg d.m.)/tree]]*'Assumptions Calculat'!$N$9</f>
        <v>4.8700607944835372</v>
      </c>
      <c r="G26" s="83">
        <f>Tabla28[[#This Row],[BGB (Kg d.m.)/tree]]+Tabla28[[#This Row],[AGB (Kg d.m.)/tree]]</f>
        <v>21.663373878909532</v>
      </c>
      <c r="H26" s="84">
        <f>'Assumptions Calculat'!$L$10*(1-'Assumptions Calculat'!$P$7)</f>
        <v>2750</v>
      </c>
      <c r="I26" s="85">
        <f>(Tabla28[[#This Row],[Btree (kg d.m.)/tree]]/1000)*Tabla28[[#This Row],[Density (trees/ha)]]</f>
        <v>59.574278167001211</v>
      </c>
      <c r="J26" s="85">
        <f>Tabla28[[#This Row],[Btree (t d.m./ha)]]*'Assumptions Calculat'!$N$10</f>
        <v>27.999910738490566</v>
      </c>
      <c r="K26" s="84">
        <f>Tabla28[[#This Row],[Btree (t C/ha)]]*(44/12)*'Assumptions Calculat'!$L$5</f>
        <v>111951.69210682579</v>
      </c>
      <c r="L26" s="84">
        <f>Tabla28[[#This Row],[Tree Biomass Carbol pool (t CO2)]]-K25</f>
        <v>16030.806661250026</v>
      </c>
      <c r="M26" s="86">
        <v>1</v>
      </c>
      <c r="N26" s="85" cm="1">
        <f t="array" ref="N26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6" s="84">
        <f>Tabla28[[#This Row],[NET Tree Biomass Carbol pool (t CO2)]]+(N26*'Assumptions Calculat'!$L$5)</f>
        <v>23365.753886217153</v>
      </c>
      <c r="P26" s="84">
        <f>IF('Assumptions Calculat'!$L$5="",0,Tabla28[[#This Row],[Net VCU (t CO2)]]*(1-'Assumptions Calculat'!$P$6))</f>
        <v>20328.205881008922</v>
      </c>
      <c r="Q26" s="13"/>
      <c r="R26" s="81">
        <v>19</v>
      </c>
      <c r="S26" s="84">
        <f t="shared" si="1"/>
        <v>2041</v>
      </c>
      <c r="T26" s="82">
        <f>'Assumptions Calculat'!C34</f>
        <v>5.3650078779190302</v>
      </c>
      <c r="U26" s="83">
        <f>(EXP(5.5344244+(2.40477*LN(Tabla26[[#This Row],[DBH (cm)]]))))/1000</f>
        <v>14.38861200137859</v>
      </c>
      <c r="V26" s="83">
        <f>Tabla26[[#This Row],[AGB (Kg d.m.)/tree]]*'Assumptions Calculat'!$N$9</f>
        <v>4.1726974803997905</v>
      </c>
      <c r="W26" s="83">
        <f>Tabla26[[#This Row],[BGB (Kg d.m.)/tree]]+Tabla26[[#This Row],[AGB (Kg d.m.)/tree]]</f>
        <v>18.56130948177838</v>
      </c>
      <c r="X26" s="84">
        <f>'Assumptions Calculat'!$L$10*(1-'Assumptions Calculat'!$P$7)</f>
        <v>2750</v>
      </c>
      <c r="Y26" s="85">
        <f>(Tabla26[[#This Row],[Btree (kg d.m.)/tree]]/1000)*Tabla26[[#This Row],[Density (trees/ha)]]</f>
        <v>51.043601074890546</v>
      </c>
      <c r="Z26" s="85">
        <f>Tabla26[[#This Row],[Btree (t d.m./ha)]]*'Assumptions Calculat'!$N$10</f>
        <v>23.990492505198556</v>
      </c>
      <c r="AA26" s="84">
        <f>Tabla26[[#This Row],[Btree (t C/ha)]]*(44/12)*'Assumptions Calculat'!$L$6</f>
        <v>174432.99546286676</v>
      </c>
      <c r="AB26" s="84">
        <f>Tabla26[[#This Row],[Tree Biomass Carbol pool (t CO2)]]-AA25</f>
        <v>28140.318933167466</v>
      </c>
      <c r="AC26" s="86">
        <v>0.99</v>
      </c>
      <c r="AD26" s="85" cm="1">
        <f t="array" ref="AD26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6" s="84">
        <f>Tabla26[[#This Row],[NET Tree Biomass Carbol pool (t CO2)]]+(AD26*'Assumptions Calculat'!$L$6)</f>
        <v>41478.986628629937</v>
      </c>
      <c r="AF26" s="84">
        <f>IF('Assumptions Calculat'!$L$6="",0,Tabla26[[#This Row],[Net VCU (t CO2)]]*(1-'Assumptions Calculat'!$P$6))</f>
        <v>36086.718366908048</v>
      </c>
      <c r="AG26" s="13"/>
      <c r="AH26" s="81">
        <v>18</v>
      </c>
      <c r="AI26" s="84">
        <f t="shared" si="2"/>
        <v>2041</v>
      </c>
      <c r="AJ26" s="82">
        <f>'Assumptions Calculat'!C33</f>
        <v>4.9865210512948641</v>
      </c>
      <c r="AK26" s="83">
        <f>(EXP(5.5344244+(2.40477*LN(Tabla265[[#This Row],[DBH (cm)]]))))/1000</f>
        <v>12.067376104179372</v>
      </c>
      <c r="AL26" s="83">
        <f>Tabla265[[#This Row],[AGB (Kg d.m.)/tree]]*'Assumptions Calculat'!$N$9</f>
        <v>3.4995390702120175</v>
      </c>
      <c r="AM26" s="83">
        <f>Tabla265[[#This Row],[BGB (Kg d.m.)/tree]]+Tabla265[[#This Row],[AGB (Kg d.m.)/tree]]</f>
        <v>15.56691517439139</v>
      </c>
      <c r="AN26" s="84">
        <f>'Assumptions Calculat'!$L$10*(1-'Assumptions Calculat'!$P$7)</f>
        <v>2750</v>
      </c>
      <c r="AO26" s="85">
        <f>(Tabla265[[#This Row],[Btree (kg d.m.)/tree]]/1000)*Tabla265[[#This Row],[Density (trees/ha)]]</f>
        <v>42.809016729576328</v>
      </c>
      <c r="AP26" s="85">
        <f>Tabla265[[#This Row],[Btree (t d.m./ha)]]*'Assumptions Calculat'!$N$10</f>
        <v>20.120237862900872</v>
      </c>
      <c r="AQ26" s="84">
        <f>Tabla265[[#This Row],[Btree (t C/ha)]]*(44/12)*'Assumptions Calculat'!$L$7</f>
        <v>163988.56869878224</v>
      </c>
      <c r="AR26" s="84">
        <f>Tabla265[[#This Row],[Tree Biomass Carbol pool (t CO2)]]-AQ25</f>
        <v>29818.448893045686</v>
      </c>
      <c r="AS26" s="86">
        <v>0.98</v>
      </c>
      <c r="AT26" s="85" cm="1">
        <f t="array" ref="AT26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6" s="84">
        <f>Tabla265[[#This Row],[NET Tree Biomass Carbol pool (t CO2)]]+(AT26*'Assumptions Calculat'!$L$7)</f>
        <v>44770.591923141299</v>
      </c>
      <c r="AV26" s="84">
        <f>IF('Assumptions Calculat'!$L$7="",0,Tabla265[[#This Row],[Net VCU (t CO2)]]*(1-'Assumptions Calculat'!$P$6))</f>
        <v>38950.414973132931</v>
      </c>
      <c r="AX26" s="81">
        <v>17</v>
      </c>
      <c r="AY26" s="84">
        <f t="shared" si="3"/>
        <v>2041</v>
      </c>
      <c r="AZ26" s="82">
        <f>'Assumptions Calculat'!C32</f>
        <v>4.5872663219200716</v>
      </c>
      <c r="BA26" s="83">
        <f>(EXP(5.5344244+(2.40477*LN(Tabla2657[[#This Row],[DBH (cm)]]))))/1000</f>
        <v>9.8731351245134196</v>
      </c>
      <c r="BB26" s="83">
        <f>Tabla2657[[#This Row],[AGB (Kg d.m.)/tree]]*'Assumptions Calculat'!$N$9</f>
        <v>2.8632091861088913</v>
      </c>
      <c r="BC26" s="83">
        <f>Tabla2657[[#This Row],[BGB (Kg d.m.)/tree]]+Tabla2657[[#This Row],[AGB (Kg d.m.)/tree]]</f>
        <v>12.736344310622311</v>
      </c>
      <c r="BD26" s="84">
        <f>'Assumptions Calculat'!$L$10*(1-'Assumptions Calculat'!$P$7)</f>
        <v>2750</v>
      </c>
      <c r="BE26" s="85">
        <f>(Tabla2657[[#This Row],[Btree (kg d.m.)/tree]]/1000)*Tabla2657[[#This Row],[Density (trees/ha)]]</f>
        <v>35.024946854211358</v>
      </c>
      <c r="BF26" s="85">
        <f>Tabla2657[[#This Row],[Btree (t d.m./ha)]]*'Assumptions Calculat'!$N$10</f>
        <v>16.461725021479339</v>
      </c>
      <c r="BG26" s="84">
        <f>Tabla2657[[#This Row],[Btree (t C/ha)]]*(44/12)*'Assumptions Calculat'!$L$8</f>
        <v>74107.387367851014</v>
      </c>
      <c r="BH26" s="84">
        <f>Tabla2657[[#This Row],[Tree Biomass Carbol pool (t CO2)]]-BG25</f>
        <v>15195.437621771984</v>
      </c>
      <c r="BI26" s="86">
        <v>0.92</v>
      </c>
      <c r="BJ26" s="85" cm="1">
        <f t="array" ref="BJ26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6" s="84">
        <f>IF('Assumptions Calculat'!$L$8="",0,Tabla2657[[#This Row],[NET Tree Biomass Carbol pool (t CO2)]]+(BJ26*'Assumptions Calculat'!$L$8))</f>
        <v>23454.089079452449</v>
      </c>
      <c r="BL26" s="84">
        <f>IF('Assumptions Calculat'!$L$8="",0,Tabla2657[[#This Row],[Net VCU (t CO2)]]*(1-'Assumptions Calculat'!$P$6))</f>
        <v>20405.057499123632</v>
      </c>
    </row>
    <row r="27" spans="2:64" s="72" customFormat="1" ht="14.25" customHeight="1" x14ac:dyDescent="0.2">
      <c r="B27" s="81">
        <v>21</v>
      </c>
      <c r="C27" s="81">
        <f t="shared" si="0"/>
        <v>2042</v>
      </c>
      <c r="D27" s="88">
        <f>'Assumptions Calculat'!C36</f>
        <v>6.0539802640259532</v>
      </c>
      <c r="E27" s="83">
        <f>(EXP(5.5344244+(2.40477*LN(Tabla28[[#This Row],[DBH (cm)]]))))/1000</f>
        <v>19.239718565436416</v>
      </c>
      <c r="F27" s="83">
        <f>Tabla28[[#This Row],[AGB (Kg d.m.)/tree]]*'Assumptions Calculat'!$N$9</f>
        <v>5.5795183839765601</v>
      </c>
      <c r="G27" s="83">
        <f>Tabla28[[#This Row],[BGB (Kg d.m.)/tree]]+Tabla28[[#This Row],[AGB (Kg d.m.)/tree]]</f>
        <v>24.819236949412975</v>
      </c>
      <c r="H27" s="84">
        <f>'Assumptions Calculat'!$L$10*(1-'Assumptions Calculat'!$P$7)</f>
        <v>2750</v>
      </c>
      <c r="I27" s="85">
        <f>(Tabla28[[#This Row],[Btree (kg d.m.)/tree]]/1000)*Tabla28[[#This Row],[Density (trees/ha)]]</f>
        <v>68.252901610885672</v>
      </c>
      <c r="J27" s="85">
        <f>Tabla28[[#This Row],[Btree (t d.m./ha)]]*'Assumptions Calculat'!$N$10</f>
        <v>32.078863757116267</v>
      </c>
      <c r="K27" s="84">
        <f>Tabla28[[#This Row],[Btree (t C/ha)]]*(44/12)*'Assumptions Calculat'!$L$5</f>
        <v>128260.51882860731</v>
      </c>
      <c r="L27" s="84">
        <f>Tabla28[[#This Row],[Tree Biomass Carbol pool (t CO2)]]-K26</f>
        <v>16308.826721781516</v>
      </c>
      <c r="M27" s="86">
        <v>1</v>
      </c>
      <c r="N27" s="85" cm="1">
        <f t="array" ref="N27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7" s="84">
        <f>Tabla28[[#This Row],[NET Tree Biomass Carbol pool (t CO2)]]+(N27*'Assumptions Calculat'!$L$5)</f>
        <v>23643.773946748643</v>
      </c>
      <c r="P27" s="84">
        <f>IF('Assumptions Calculat'!$L$5="",0,Tabla28[[#This Row],[Net VCU (t CO2)]]*(1-'Assumptions Calculat'!$P$6))</f>
        <v>20570.083333671319</v>
      </c>
      <c r="Q27" s="71"/>
      <c r="R27" s="81">
        <v>20</v>
      </c>
      <c r="S27" s="84">
        <f t="shared" si="1"/>
        <v>2042</v>
      </c>
      <c r="T27" s="82">
        <f>'Assumptions Calculat'!C35</f>
        <v>5.7211127994159989</v>
      </c>
      <c r="U27" s="83">
        <f>(EXP(5.5344244+(2.40477*LN(Tabla26[[#This Row],[DBH (cm)]]))))/1000</f>
        <v>16.793313084425993</v>
      </c>
      <c r="V27" s="83">
        <f>Tabla26[[#This Row],[AGB (Kg d.m.)/tree]]*'Assumptions Calculat'!$N$9</f>
        <v>4.8700607944835372</v>
      </c>
      <c r="W27" s="83">
        <f>Tabla26[[#This Row],[BGB (Kg d.m.)/tree]]+Tabla26[[#This Row],[AGB (Kg d.m.)/tree]]</f>
        <v>21.663373878909532</v>
      </c>
      <c r="X27" s="84">
        <f>'Assumptions Calculat'!$L$10*(1-'Assumptions Calculat'!$P$7)</f>
        <v>2750</v>
      </c>
      <c r="Y27" s="85">
        <f>(Tabla26[[#This Row],[Btree (kg d.m.)/tree]]/1000)*Tabla26[[#This Row],[Density (trees/ha)]]</f>
        <v>59.574278167001211</v>
      </c>
      <c r="Z27" s="85">
        <f>Tabla26[[#This Row],[Btree (t d.m./ha)]]*'Assumptions Calculat'!$N$10</f>
        <v>27.999910738490566</v>
      </c>
      <c r="AA27" s="84">
        <f>Tabla26[[#This Row],[Btree (t C/ha)]]*(44/12)*'Assumptions Calculat'!$L$6</f>
        <v>203585.16198654321</v>
      </c>
      <c r="AB27" s="84">
        <f>Tabla26[[#This Row],[Tree Biomass Carbol pool (t CO2)]]-AA26</f>
        <v>29152.166523676453</v>
      </c>
      <c r="AC27" s="86">
        <v>1</v>
      </c>
      <c r="AD27" s="85" cm="1">
        <f t="array" ref="AD27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7" s="84">
        <f>Tabla26[[#This Row],[NET Tree Biomass Carbol pool (t CO2)]]+(AD27*'Assumptions Calculat'!$L$6)</f>
        <v>42490.834219138924</v>
      </c>
      <c r="AF27" s="84">
        <f>IF('Assumptions Calculat'!$L$6="",0,Tabla26[[#This Row],[Net VCU (t CO2)]]*(1-'Assumptions Calculat'!$P$6))</f>
        <v>36967.025770650864</v>
      </c>
      <c r="AG27" s="71"/>
      <c r="AH27" s="81">
        <v>19</v>
      </c>
      <c r="AI27" s="84">
        <f t="shared" si="2"/>
        <v>2042</v>
      </c>
      <c r="AJ27" s="82">
        <f>'Assumptions Calculat'!C34</f>
        <v>5.3650078779190302</v>
      </c>
      <c r="AK27" s="83">
        <f>(EXP(5.5344244+(2.40477*LN(Tabla265[[#This Row],[DBH (cm)]]))))/1000</f>
        <v>14.38861200137859</v>
      </c>
      <c r="AL27" s="83">
        <f>Tabla265[[#This Row],[AGB (Kg d.m.)/tree]]*'Assumptions Calculat'!$N$9</f>
        <v>4.1726974803997905</v>
      </c>
      <c r="AM27" s="83">
        <f>Tabla265[[#This Row],[BGB (Kg d.m.)/tree]]+Tabla265[[#This Row],[AGB (Kg d.m.)/tree]]</f>
        <v>18.56130948177838</v>
      </c>
      <c r="AN27" s="84">
        <f>'Assumptions Calculat'!$L$10*(1-'Assumptions Calculat'!$P$7)</f>
        <v>2750</v>
      </c>
      <c r="AO27" s="85">
        <f>(Tabla265[[#This Row],[Btree (kg d.m.)/tree]]/1000)*Tabla265[[#This Row],[Density (trees/ha)]]</f>
        <v>51.043601074890546</v>
      </c>
      <c r="AP27" s="85">
        <f>Tabla265[[#This Row],[Btree (t d.m./ha)]]*'Assumptions Calculat'!$N$10</f>
        <v>23.990492505198556</v>
      </c>
      <c r="AQ27" s="84">
        <f>Tabla265[[#This Row],[Btree (t C/ha)]]*(44/12)*'Assumptions Calculat'!$L$7</f>
        <v>195532.80409077421</v>
      </c>
      <c r="AR27" s="84">
        <f>Tabla265[[#This Row],[Tree Biomass Carbol pool (t CO2)]]-AQ26</f>
        <v>31544.23539199197</v>
      </c>
      <c r="AS27" s="86">
        <v>0.99</v>
      </c>
      <c r="AT27" s="85" cm="1">
        <f t="array" ref="AT27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7" s="84">
        <f>Tabla265[[#This Row],[NET Tree Biomass Carbol pool (t CO2)]]+(AT27*'Assumptions Calculat'!$L$7)</f>
        <v>46496.378422087582</v>
      </c>
      <c r="AV27" s="84">
        <f>IF('Assumptions Calculat'!$L$7="",0,Tabla265[[#This Row],[Net VCU (t CO2)]]*(1-'Assumptions Calculat'!$P$6))</f>
        <v>40451.849227216197</v>
      </c>
      <c r="AX27" s="81">
        <v>18</v>
      </c>
      <c r="AY27" s="84">
        <f t="shared" si="3"/>
        <v>2042</v>
      </c>
      <c r="AZ27" s="82">
        <f>'Assumptions Calculat'!C33</f>
        <v>4.9865210512948641</v>
      </c>
      <c r="BA27" s="83">
        <f>(EXP(5.5344244+(2.40477*LN(Tabla2657[[#This Row],[DBH (cm)]]))))/1000</f>
        <v>12.067376104179372</v>
      </c>
      <c r="BB27" s="83">
        <f>Tabla2657[[#This Row],[AGB (Kg d.m.)/tree]]*'Assumptions Calculat'!$N$9</f>
        <v>3.4995390702120175</v>
      </c>
      <c r="BC27" s="83">
        <f>Tabla2657[[#This Row],[BGB (Kg d.m.)/tree]]+Tabla2657[[#This Row],[AGB (Kg d.m.)/tree]]</f>
        <v>15.56691517439139</v>
      </c>
      <c r="BD27" s="84">
        <f>'Assumptions Calculat'!$L$10*(1-'Assumptions Calculat'!$P$7)</f>
        <v>2750</v>
      </c>
      <c r="BE27" s="85">
        <f>(Tabla2657[[#This Row],[Btree (kg d.m.)/tree]]/1000)*Tabla2657[[#This Row],[Density (trees/ha)]]</f>
        <v>42.809016729576328</v>
      </c>
      <c r="BF27" s="85">
        <f>Tabla2657[[#This Row],[Btree (t d.m./ha)]]*'Assumptions Calculat'!$N$10</f>
        <v>20.120237862900872</v>
      </c>
      <c r="BG27" s="84">
        <f>Tabla2657[[#This Row],[Btree (t C/ha)]]*(44/12)*'Assumptions Calculat'!$L$8</f>
        <v>90577.279069706114</v>
      </c>
      <c r="BH27" s="84">
        <f>Tabla2657[[#This Row],[Tree Biomass Carbol pool (t CO2)]]-BG26</f>
        <v>16469.8917018551</v>
      </c>
      <c r="BI27" s="86">
        <v>0.98</v>
      </c>
      <c r="BJ27" s="85" cm="1">
        <f t="array" ref="BJ27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7" s="84">
        <f>IF('Assumptions Calculat'!$L$8="",0,Tabla2657[[#This Row],[NET Tree Biomass Carbol pool (t CO2)]]+(BJ27*'Assumptions Calculat'!$L$8))</f>
        <v>24728.543159535566</v>
      </c>
      <c r="BL27" s="84">
        <f>IF('Assumptions Calculat'!$L$8="",0,Tabla2657[[#This Row],[Net VCU (t CO2)]]*(1-'Assumptions Calculat'!$P$6))</f>
        <v>21513.832548795941</v>
      </c>
    </row>
    <row r="28" spans="2:64" s="72" customFormat="1" ht="14.25" customHeight="1" x14ac:dyDescent="0.2">
      <c r="B28" s="81">
        <v>22</v>
      </c>
      <c r="C28" s="81">
        <f t="shared" si="0"/>
        <v>2043</v>
      </c>
      <c r="D28" s="88">
        <f>'Assumptions Calculat'!C37</f>
        <v>6.3633678038821149</v>
      </c>
      <c r="E28" s="83">
        <f>(EXP(5.5344244+(2.40477*LN(Tabla28[[#This Row],[DBH (cm)]]))))/1000</f>
        <v>21.689644187046582</v>
      </c>
      <c r="F28" s="83">
        <f>Tabla28[[#This Row],[AGB (Kg d.m.)/tree]]*'Assumptions Calculat'!$N$9</f>
        <v>6.2899968142435085</v>
      </c>
      <c r="G28" s="83">
        <f>Tabla28[[#This Row],[BGB (Kg d.m.)/tree]]+Tabla28[[#This Row],[AGB (Kg d.m.)/tree]]</f>
        <v>27.979641001290091</v>
      </c>
      <c r="H28" s="84">
        <f>'Assumptions Calculat'!$L$10*(1-'Assumptions Calculat'!$P$7)</f>
        <v>2750</v>
      </c>
      <c r="I28" s="85">
        <f>(Tabla28[[#This Row],[Btree (kg d.m.)/tree]]/1000)*Tabla28[[#This Row],[Density (trees/ha)]]</f>
        <v>76.944012753547739</v>
      </c>
      <c r="J28" s="85">
        <f>Tabla28[[#This Row],[Btree (t d.m./ha)]]*'Assumptions Calculat'!$N$10</f>
        <v>36.163685994167437</v>
      </c>
      <c r="K28" s="84">
        <f>Tabla28[[#This Row],[Btree (t C/ha)]]*(44/12)*'Assumptions Calculat'!$L$5</f>
        <v>144592.81237284452</v>
      </c>
      <c r="L28" s="84">
        <f>Tabla28[[#This Row],[Tree Biomass Carbol pool (t CO2)]]-K27</f>
        <v>16332.293544237211</v>
      </c>
      <c r="M28" s="86">
        <v>1</v>
      </c>
      <c r="N28" s="85" cm="1">
        <f t="array" ref="N28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8" s="84">
        <f>Tabla28[[#This Row],[NET Tree Biomass Carbol pool (t CO2)]]+(N28*'Assumptions Calculat'!$L$5)</f>
        <v>23667.240769204338</v>
      </c>
      <c r="P28" s="84">
        <f>IF('Assumptions Calculat'!$L$5="",0,Tabla28[[#This Row],[Net VCU (t CO2)]]*(1-'Assumptions Calculat'!$P$6))</f>
        <v>20590.499469207774</v>
      </c>
      <c r="Q28" s="71"/>
      <c r="R28" s="81">
        <v>21</v>
      </c>
      <c r="S28" s="84">
        <f t="shared" si="1"/>
        <v>2043</v>
      </c>
      <c r="T28" s="82">
        <f>'Assumptions Calculat'!C36</f>
        <v>6.0539802640259532</v>
      </c>
      <c r="U28" s="83">
        <f>(EXP(5.5344244+(2.40477*LN(Tabla26[[#This Row],[DBH (cm)]]))))/1000</f>
        <v>19.239718565436416</v>
      </c>
      <c r="V28" s="83">
        <f>Tabla26[[#This Row],[AGB (Kg d.m.)/tree]]*'Assumptions Calculat'!$N$9</f>
        <v>5.5795183839765601</v>
      </c>
      <c r="W28" s="83">
        <f>Tabla26[[#This Row],[BGB (Kg d.m.)/tree]]+Tabla26[[#This Row],[AGB (Kg d.m.)/tree]]</f>
        <v>24.819236949412975</v>
      </c>
      <c r="X28" s="84">
        <f>'Assumptions Calculat'!$L$10*(1-'Assumptions Calculat'!$P$7)</f>
        <v>2750</v>
      </c>
      <c r="Y28" s="85">
        <f>(Tabla26[[#This Row],[Btree (kg d.m.)/tree]]/1000)*Tabla26[[#This Row],[Density (trees/ha)]]</f>
        <v>68.252901610885672</v>
      </c>
      <c r="Z28" s="85">
        <f>Tabla26[[#This Row],[Btree (t d.m./ha)]]*'Assumptions Calculat'!$N$10</f>
        <v>32.078863757116267</v>
      </c>
      <c r="AA28" s="84">
        <f>Tabla26[[#This Row],[Btree (t C/ha)]]*(44/12)*'Assumptions Calculat'!$L$6</f>
        <v>233242.91049825077</v>
      </c>
      <c r="AB28" s="84">
        <f>Tabla26[[#This Row],[Tree Biomass Carbol pool (t CO2)]]-AA27</f>
        <v>29657.748511707556</v>
      </c>
      <c r="AC28" s="86">
        <v>1</v>
      </c>
      <c r="AD28" s="85" cm="1">
        <f t="array" ref="AD28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8" s="84">
        <f>Tabla26[[#This Row],[NET Tree Biomass Carbol pool (t CO2)]]+(AD28*'Assumptions Calculat'!$L$6)</f>
        <v>42996.416207170027</v>
      </c>
      <c r="AF28" s="84">
        <f>IF('Assumptions Calculat'!$L$6="",0,Tabla26[[#This Row],[Net VCU (t CO2)]]*(1-'Assumptions Calculat'!$P$6))</f>
        <v>37406.882100237926</v>
      </c>
      <c r="AG28" s="71"/>
      <c r="AH28" s="81">
        <v>20</v>
      </c>
      <c r="AI28" s="84">
        <f t="shared" si="2"/>
        <v>2043</v>
      </c>
      <c r="AJ28" s="82">
        <f>'Assumptions Calculat'!C35</f>
        <v>5.7211127994159989</v>
      </c>
      <c r="AK28" s="83">
        <f>(EXP(5.5344244+(2.40477*LN(Tabla265[[#This Row],[DBH (cm)]]))))/1000</f>
        <v>16.793313084425993</v>
      </c>
      <c r="AL28" s="83">
        <f>Tabla265[[#This Row],[AGB (Kg d.m.)/tree]]*'Assumptions Calculat'!$N$9</f>
        <v>4.8700607944835372</v>
      </c>
      <c r="AM28" s="83">
        <f>Tabla265[[#This Row],[BGB (Kg d.m.)/tree]]+Tabla265[[#This Row],[AGB (Kg d.m.)/tree]]</f>
        <v>21.663373878909532</v>
      </c>
      <c r="AN28" s="84">
        <f>'Assumptions Calculat'!$L$10*(1-'Assumptions Calculat'!$P$7)</f>
        <v>2750</v>
      </c>
      <c r="AO28" s="85">
        <f>(Tabla265[[#This Row],[Btree (kg d.m.)/tree]]/1000)*Tabla265[[#This Row],[Density (trees/ha)]]</f>
        <v>59.574278167001211</v>
      </c>
      <c r="AP28" s="85">
        <f>Tabla265[[#This Row],[Btree (t d.m./ha)]]*'Assumptions Calculat'!$N$10</f>
        <v>27.999910738490566</v>
      </c>
      <c r="AQ28" s="84">
        <f>Tabla265[[#This Row],[Btree (t C/ha)]]*(44/12)*'Assumptions Calculat'!$L$7</f>
        <v>228211.28244041142</v>
      </c>
      <c r="AR28" s="84">
        <f>Tabla265[[#This Row],[Tree Biomass Carbol pool (t CO2)]]-AQ27</f>
        <v>32678.478349637211</v>
      </c>
      <c r="AS28" s="86">
        <v>1</v>
      </c>
      <c r="AT28" s="85" cm="1">
        <f t="array" ref="AT28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8" s="84">
        <f>Tabla265[[#This Row],[NET Tree Biomass Carbol pool (t CO2)]]+(AT28*'Assumptions Calculat'!$L$7)</f>
        <v>47630.621379732824</v>
      </c>
      <c r="AV28" s="84">
        <f>IF('Assumptions Calculat'!$L$7="",0,Tabla265[[#This Row],[Net VCU (t CO2)]]*(1-'Assumptions Calculat'!$P$6))</f>
        <v>41438.640600367558</v>
      </c>
      <c r="AX28" s="81">
        <v>19</v>
      </c>
      <c r="AY28" s="84">
        <f t="shared" si="3"/>
        <v>2043</v>
      </c>
      <c r="AZ28" s="82">
        <f>'Assumptions Calculat'!C34</f>
        <v>5.3650078779190302</v>
      </c>
      <c r="BA28" s="83">
        <f>(EXP(5.5344244+(2.40477*LN(Tabla2657[[#This Row],[DBH (cm)]]))))/1000</f>
        <v>14.38861200137859</v>
      </c>
      <c r="BB28" s="83">
        <f>Tabla2657[[#This Row],[AGB (Kg d.m.)/tree]]*'Assumptions Calculat'!$N$9</f>
        <v>4.1726974803997905</v>
      </c>
      <c r="BC28" s="83">
        <f>Tabla2657[[#This Row],[BGB (Kg d.m.)/tree]]+Tabla2657[[#This Row],[AGB (Kg d.m.)/tree]]</f>
        <v>18.56130948177838</v>
      </c>
      <c r="BD28" s="84">
        <f>'Assumptions Calculat'!$L$10*(1-'Assumptions Calculat'!$P$7)</f>
        <v>2750</v>
      </c>
      <c r="BE28" s="85">
        <f>(Tabla2657[[#This Row],[Btree (kg d.m.)/tree]]/1000)*Tabla2657[[#This Row],[Density (trees/ha)]]</f>
        <v>51.043601074890546</v>
      </c>
      <c r="BF28" s="85">
        <f>Tabla2657[[#This Row],[Btree (t d.m./ha)]]*'Assumptions Calculat'!$N$10</f>
        <v>23.990492505198556</v>
      </c>
      <c r="BG28" s="84">
        <f>Tabla2657[[#This Row],[Btree (t C/ha)]]*(44/12)*'Assumptions Calculat'!$L$8</f>
        <v>108000.38992927526</v>
      </c>
      <c r="BH28" s="84">
        <f>Tabla2657[[#This Row],[Tree Biomass Carbol pool (t CO2)]]-BG27</f>
        <v>17423.110859569148</v>
      </c>
      <c r="BI28" s="86">
        <v>0.99</v>
      </c>
      <c r="BJ28" s="85" cm="1">
        <f t="array" ref="BJ28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8" s="84">
        <f>IF('Assumptions Calculat'!$L$8="",0,Tabla2657[[#This Row],[NET Tree Biomass Carbol pool (t CO2)]]+(BJ28*'Assumptions Calculat'!$L$8))</f>
        <v>25681.762317249613</v>
      </c>
      <c r="BL28" s="84">
        <f>IF('Assumptions Calculat'!$L$8="",0,Tabla2657[[#This Row],[Net VCU (t CO2)]]*(1-'Assumptions Calculat'!$P$6))</f>
        <v>22343.133216007165</v>
      </c>
    </row>
    <row r="29" spans="2:64" s="72" customFormat="1" ht="14.25" customHeight="1" x14ac:dyDescent="0.2">
      <c r="B29" s="81">
        <v>23</v>
      </c>
      <c r="C29" s="81">
        <f t="shared" si="0"/>
        <v>2044</v>
      </c>
      <c r="D29" s="88">
        <f>'Assumptions Calculat'!C38</f>
        <v>6.6495146347531353</v>
      </c>
      <c r="E29" s="83">
        <f>(EXP(5.5344244+(2.40477*LN(Tabla28[[#This Row],[DBH (cm)]]))))/1000</f>
        <v>24.109630600427803</v>
      </c>
      <c r="F29" s="83">
        <f>Tabla28[[#This Row],[AGB (Kg d.m.)/tree]]*'Assumptions Calculat'!$N$9</f>
        <v>6.9917928741240623</v>
      </c>
      <c r="G29" s="83">
        <f>Tabla28[[#This Row],[BGB (Kg d.m.)/tree]]+Tabla28[[#This Row],[AGB (Kg d.m.)/tree]]</f>
        <v>31.101423474551865</v>
      </c>
      <c r="H29" s="84">
        <f>'Assumptions Calculat'!$L$10*(1-'Assumptions Calculat'!$P$7)</f>
        <v>2750</v>
      </c>
      <c r="I29" s="85">
        <f>(Tabla28[[#This Row],[Btree (kg d.m.)/tree]]/1000)*Tabla28[[#This Row],[Density (trees/ha)]]</f>
        <v>85.528914555017636</v>
      </c>
      <c r="J29" s="85">
        <f>Tabla28[[#This Row],[Btree (t d.m./ha)]]*'Assumptions Calculat'!$N$10</f>
        <v>40.19858984085829</v>
      </c>
      <c r="K29" s="84">
        <f>Tabla28[[#This Row],[Btree (t C/ha)]]*(44/12)*'Assumptions Calculat'!$L$5</f>
        <v>160725.51784266677</v>
      </c>
      <c r="L29" s="84">
        <f>Tabla28[[#This Row],[Tree Biomass Carbol pool (t CO2)]]-K28</f>
        <v>16132.705469822249</v>
      </c>
      <c r="M29" s="86">
        <v>1</v>
      </c>
      <c r="N29" s="85" cm="1">
        <f t="array" ref="N29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29" s="84">
        <f>Tabla28[[#This Row],[NET Tree Biomass Carbol pool (t CO2)]]+(N29*'Assumptions Calculat'!$L$5)</f>
        <v>23467.652694789376</v>
      </c>
      <c r="P29" s="84">
        <f>IF('Assumptions Calculat'!$L$5="",0,Tabla28[[#This Row],[Net VCU (t CO2)]]*(1-'Assumptions Calculat'!$P$6))</f>
        <v>20416.857844466758</v>
      </c>
      <c r="Q29" s="71"/>
      <c r="R29" s="81">
        <v>22</v>
      </c>
      <c r="S29" s="84">
        <f t="shared" si="1"/>
        <v>2044</v>
      </c>
      <c r="T29" s="82">
        <f>'Assumptions Calculat'!C37</f>
        <v>6.3633678038821149</v>
      </c>
      <c r="U29" s="83">
        <f>(EXP(5.5344244+(2.40477*LN(Tabla26[[#This Row],[DBH (cm)]]))))/1000</f>
        <v>21.689644187046582</v>
      </c>
      <c r="V29" s="83">
        <f>Tabla26[[#This Row],[AGB (Kg d.m.)/tree]]*'Assumptions Calculat'!$N$9</f>
        <v>6.2899968142435085</v>
      </c>
      <c r="W29" s="83">
        <f>Tabla26[[#This Row],[BGB (Kg d.m.)/tree]]+Tabla26[[#This Row],[AGB (Kg d.m.)/tree]]</f>
        <v>27.979641001290091</v>
      </c>
      <c r="X29" s="84">
        <f>'Assumptions Calculat'!$L$10*(1-'Assumptions Calculat'!$P$7)</f>
        <v>2750</v>
      </c>
      <c r="Y29" s="85">
        <f>(Tabla26[[#This Row],[Btree (kg d.m.)/tree]]/1000)*Tabla26[[#This Row],[Density (trees/ha)]]</f>
        <v>76.944012753547739</v>
      </c>
      <c r="Z29" s="85">
        <f>Tabla26[[#This Row],[Btree (t d.m./ha)]]*'Assumptions Calculat'!$N$10</f>
        <v>36.163685994167437</v>
      </c>
      <c r="AA29" s="84">
        <f>Tabla26[[#This Row],[Btree (t C/ha)]]*(44/12)*'Assumptions Calculat'!$L$6</f>
        <v>262943.33363828278</v>
      </c>
      <c r="AB29" s="84">
        <f>Tabla26[[#This Row],[Tree Biomass Carbol pool (t CO2)]]-AA28</f>
        <v>29700.423140032013</v>
      </c>
      <c r="AC29" s="86">
        <v>1</v>
      </c>
      <c r="AD29" s="85" cm="1">
        <f t="array" ref="AD29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29" s="84">
        <f>Tabla26[[#This Row],[NET Tree Biomass Carbol pool (t CO2)]]+(AD29*'Assumptions Calculat'!$L$6)</f>
        <v>43039.090835494484</v>
      </c>
      <c r="AF29" s="84">
        <f>IF('Assumptions Calculat'!$L$6="",0,Tabla26[[#This Row],[Net VCU (t CO2)]]*(1-'Assumptions Calculat'!$P$6))</f>
        <v>37444.009026880201</v>
      </c>
      <c r="AG29" s="71"/>
      <c r="AH29" s="81">
        <v>21</v>
      </c>
      <c r="AI29" s="84">
        <f t="shared" si="2"/>
        <v>2044</v>
      </c>
      <c r="AJ29" s="82">
        <f>'Assumptions Calculat'!C36</f>
        <v>6.0539802640259532</v>
      </c>
      <c r="AK29" s="83">
        <f>(EXP(5.5344244+(2.40477*LN(Tabla265[[#This Row],[DBH (cm)]]))))/1000</f>
        <v>19.239718565436416</v>
      </c>
      <c r="AL29" s="83">
        <f>Tabla265[[#This Row],[AGB (Kg d.m.)/tree]]*'Assumptions Calculat'!$N$9</f>
        <v>5.5795183839765601</v>
      </c>
      <c r="AM29" s="83">
        <f>Tabla265[[#This Row],[BGB (Kg d.m.)/tree]]+Tabla265[[#This Row],[AGB (Kg d.m.)/tree]]</f>
        <v>24.819236949412975</v>
      </c>
      <c r="AN29" s="84">
        <f>'Assumptions Calculat'!$L$10*(1-'Assumptions Calculat'!$P$7)</f>
        <v>2750</v>
      </c>
      <c r="AO29" s="85">
        <f>(Tabla265[[#This Row],[Btree (kg d.m.)/tree]]/1000)*Tabla265[[#This Row],[Density (trees/ha)]]</f>
        <v>68.252901610885672</v>
      </c>
      <c r="AP29" s="85">
        <f>Tabla265[[#This Row],[Btree (t d.m./ha)]]*'Assumptions Calculat'!$N$10</f>
        <v>32.078863757116267</v>
      </c>
      <c r="AQ29" s="84">
        <f>Tabla265[[#This Row],[Btree (t C/ha)]]*(44/12)*'Assumptions Calculat'!$L$7</f>
        <v>261456.49911587499</v>
      </c>
      <c r="AR29" s="84">
        <f>Tabla265[[#This Row],[Tree Biomass Carbol pool (t CO2)]]-AQ28</f>
        <v>33245.216675463569</v>
      </c>
      <c r="AS29" s="86">
        <v>1</v>
      </c>
      <c r="AT29" s="85" cm="1">
        <f t="array" ref="AT29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29" s="84">
        <f>Tabla265[[#This Row],[NET Tree Biomass Carbol pool (t CO2)]]+(AT29*'Assumptions Calculat'!$L$7)</f>
        <v>48197.359705559182</v>
      </c>
      <c r="AV29" s="84">
        <f>IF('Assumptions Calculat'!$L$7="",0,Tabla265[[#This Row],[Net VCU (t CO2)]]*(1-'Assumptions Calculat'!$P$6))</f>
        <v>41931.702943836484</v>
      </c>
      <c r="AX29" s="81">
        <v>20</v>
      </c>
      <c r="AY29" s="84">
        <f t="shared" si="3"/>
        <v>2044</v>
      </c>
      <c r="AZ29" s="82">
        <f>'Assumptions Calculat'!C35</f>
        <v>5.7211127994159989</v>
      </c>
      <c r="BA29" s="83">
        <f>(EXP(5.5344244+(2.40477*LN(Tabla2657[[#This Row],[DBH (cm)]]))))/1000</f>
        <v>16.793313084425993</v>
      </c>
      <c r="BB29" s="83">
        <f>Tabla2657[[#This Row],[AGB (Kg d.m.)/tree]]*'Assumptions Calculat'!$N$9</f>
        <v>4.8700607944835372</v>
      </c>
      <c r="BC29" s="83">
        <f>Tabla2657[[#This Row],[BGB (Kg d.m.)/tree]]+Tabla2657[[#This Row],[AGB (Kg d.m.)/tree]]</f>
        <v>21.663373878909532</v>
      </c>
      <c r="BD29" s="84">
        <f>'Assumptions Calculat'!$L$10*(1-'Assumptions Calculat'!$P$7)</f>
        <v>2750</v>
      </c>
      <c r="BE29" s="85">
        <f>(Tabla2657[[#This Row],[Btree (kg d.m.)/tree]]/1000)*Tabla2657[[#This Row],[Density (trees/ha)]]</f>
        <v>59.574278167001211</v>
      </c>
      <c r="BF29" s="85">
        <f>Tabla2657[[#This Row],[Btree (t d.m./ha)]]*'Assumptions Calculat'!$N$10</f>
        <v>27.999910738490566</v>
      </c>
      <c r="BG29" s="84">
        <f>Tabla2657[[#This Row],[Btree (t C/ha)]]*(44/12)*'Assumptions Calculat'!$L$8</f>
        <v>126049.98738923784</v>
      </c>
      <c r="BH29" s="84">
        <f>Tabla2657[[#This Row],[Tree Biomass Carbol pool (t CO2)]]-BG28</f>
        <v>18049.597459962577</v>
      </c>
      <c r="BI29" s="86">
        <v>1</v>
      </c>
      <c r="BJ29" s="85" cm="1">
        <f t="array" ref="BJ29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29" s="84">
        <f>IF('Assumptions Calculat'!$L$8="",0,Tabla2657[[#This Row],[NET Tree Biomass Carbol pool (t CO2)]]+(BJ29*'Assumptions Calculat'!$L$8))</f>
        <v>26308.248917643043</v>
      </c>
      <c r="BL29" s="84">
        <f>IF('Assumptions Calculat'!$L$8="",0,Tabla2657[[#This Row],[Net VCU (t CO2)]]*(1-'Assumptions Calculat'!$P$6))</f>
        <v>22888.176558349445</v>
      </c>
    </row>
    <row r="30" spans="2:64" s="72" customFormat="1" ht="14.25" customHeight="1" x14ac:dyDescent="0.2">
      <c r="B30" s="81">
        <v>24</v>
      </c>
      <c r="C30" s="81">
        <f t="shared" si="0"/>
        <v>2045</v>
      </c>
      <c r="D30" s="88">
        <f>'Assumptions Calculat'!C39</f>
        <v>6.9130267335117193</v>
      </c>
      <c r="E30" s="83">
        <f>(EXP(5.5344244+(2.40477*LN(Tabla28[[#This Row],[DBH (cm)]]))))/1000</f>
        <v>26.471525051563013</v>
      </c>
      <c r="F30" s="83">
        <f>Tabla28[[#This Row],[AGB (Kg d.m.)/tree]]*'Assumptions Calculat'!$N$9</f>
        <v>7.6767422649532735</v>
      </c>
      <c r="G30" s="83">
        <f>Tabla28[[#This Row],[BGB (Kg d.m.)/tree]]+Tabla28[[#This Row],[AGB (Kg d.m.)/tree]]</f>
        <v>34.148267316516289</v>
      </c>
      <c r="H30" s="84">
        <f>'Assumptions Calculat'!$L$10*(1-'Assumptions Calculat'!$P$7)</f>
        <v>2750</v>
      </c>
      <c r="I30" s="85">
        <f>(Tabla28[[#This Row],[Btree (kg d.m.)/tree]]/1000)*Tabla28[[#This Row],[Density (trees/ha)]]</f>
        <v>93.907735120419787</v>
      </c>
      <c r="J30" s="85">
        <f>Tabla28[[#This Row],[Btree (t d.m./ha)]]*'Assumptions Calculat'!$N$10</f>
        <v>44.136635506597294</v>
      </c>
      <c r="K30" s="84">
        <f>Tabla28[[#This Row],[Btree (t C/ha)]]*(44/12)*'Assumptions Calculat'!$L$5</f>
        <v>176470.95646177573</v>
      </c>
      <c r="L30" s="84">
        <f>Tabla28[[#This Row],[Tree Biomass Carbol pool (t CO2)]]-K29</f>
        <v>15745.438619108958</v>
      </c>
      <c r="M30" s="86">
        <v>1</v>
      </c>
      <c r="N30" s="85" cm="1">
        <f t="array" ref="N30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0" s="84">
        <f>Tabla28[[#This Row],[NET Tree Biomass Carbol pool (t CO2)]]+(N30*'Assumptions Calculat'!$L$5)</f>
        <v>23080.385844076085</v>
      </c>
      <c r="P30" s="84">
        <f>IF('Assumptions Calculat'!$L$5="",0,Tabla28[[#This Row],[Net VCU (t CO2)]]*(1-'Assumptions Calculat'!$P$6))</f>
        <v>20079.935684346194</v>
      </c>
      <c r="Q30" s="71"/>
      <c r="R30" s="81">
        <v>23</v>
      </c>
      <c r="S30" s="84">
        <f t="shared" si="1"/>
        <v>2045</v>
      </c>
      <c r="T30" s="82">
        <f>'Assumptions Calculat'!C38</f>
        <v>6.6495146347531353</v>
      </c>
      <c r="U30" s="83">
        <f>(EXP(5.5344244+(2.40477*LN(Tabla26[[#This Row],[DBH (cm)]]))))/1000</f>
        <v>24.109630600427803</v>
      </c>
      <c r="V30" s="83">
        <f>Tabla26[[#This Row],[AGB (Kg d.m.)/tree]]*'Assumptions Calculat'!$N$9</f>
        <v>6.9917928741240623</v>
      </c>
      <c r="W30" s="83">
        <f>Tabla26[[#This Row],[BGB (Kg d.m.)/tree]]+Tabla26[[#This Row],[AGB (Kg d.m.)/tree]]</f>
        <v>31.101423474551865</v>
      </c>
      <c r="X30" s="84">
        <f>'Assumptions Calculat'!$L$10*(1-'Assumptions Calculat'!$P$7)</f>
        <v>2750</v>
      </c>
      <c r="Y30" s="85">
        <f>(Tabla26[[#This Row],[Btree (kg d.m.)/tree]]/1000)*Tabla26[[#This Row],[Density (trees/ha)]]</f>
        <v>85.528914555017636</v>
      </c>
      <c r="Z30" s="85">
        <f>Tabla26[[#This Row],[Btree (t d.m./ha)]]*'Assumptions Calculat'!$N$10</f>
        <v>40.19858984085829</v>
      </c>
      <c r="AA30" s="84">
        <f>Tabla26[[#This Row],[Btree (t C/ha)]]*(44/12)*'Assumptions Calculat'!$L$6</f>
        <v>292280.80406455335</v>
      </c>
      <c r="AB30" s="84">
        <f>Tabla26[[#This Row],[Tree Biomass Carbol pool (t CO2)]]-AA29</f>
        <v>29337.470426270564</v>
      </c>
      <c r="AC30" s="86">
        <v>1</v>
      </c>
      <c r="AD30" s="85" cm="1">
        <f t="array" ref="AD30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0" s="84">
        <f>Tabla26[[#This Row],[NET Tree Biomass Carbol pool (t CO2)]]+(AD30*'Assumptions Calculat'!$L$6)</f>
        <v>42676.138121733034</v>
      </c>
      <c r="AF30" s="84">
        <f>IF('Assumptions Calculat'!$L$6="",0,Tabla26[[#This Row],[Net VCU (t CO2)]]*(1-'Assumptions Calculat'!$P$6))</f>
        <v>37128.240165907737</v>
      </c>
      <c r="AG30" s="71"/>
      <c r="AH30" s="81">
        <v>22</v>
      </c>
      <c r="AI30" s="84">
        <f t="shared" si="2"/>
        <v>2045</v>
      </c>
      <c r="AJ30" s="82">
        <f>'Assumptions Calculat'!C37</f>
        <v>6.3633678038821149</v>
      </c>
      <c r="AK30" s="83">
        <f>(EXP(5.5344244+(2.40477*LN(Tabla265[[#This Row],[DBH (cm)]]))))/1000</f>
        <v>21.689644187046582</v>
      </c>
      <c r="AL30" s="83">
        <f>Tabla265[[#This Row],[AGB (Kg d.m.)/tree]]*'Assumptions Calculat'!$N$9</f>
        <v>6.2899968142435085</v>
      </c>
      <c r="AM30" s="83">
        <f>Tabla265[[#This Row],[BGB (Kg d.m.)/tree]]+Tabla265[[#This Row],[AGB (Kg d.m.)/tree]]</f>
        <v>27.979641001290091</v>
      </c>
      <c r="AN30" s="84">
        <f>'Assumptions Calculat'!$L$10*(1-'Assumptions Calculat'!$P$7)</f>
        <v>2750</v>
      </c>
      <c r="AO30" s="85">
        <f>(Tabla265[[#This Row],[Btree (kg d.m.)/tree]]/1000)*Tabla265[[#This Row],[Density (trees/ha)]]</f>
        <v>76.944012753547739</v>
      </c>
      <c r="AP30" s="85">
        <f>Tabla265[[#This Row],[Btree (t d.m./ha)]]*'Assumptions Calculat'!$N$10</f>
        <v>36.163685994167437</v>
      </c>
      <c r="AQ30" s="84">
        <f>Tabla265[[#This Row],[Btree (t C/ha)]]*(44/12)*'Assumptions Calculat'!$L$7</f>
        <v>294749.55243897322</v>
      </c>
      <c r="AR30" s="84">
        <f>Tabla265[[#This Row],[Tree Biomass Carbol pool (t CO2)]]-AQ29</f>
        <v>33293.053323098226</v>
      </c>
      <c r="AS30" s="86">
        <v>1</v>
      </c>
      <c r="AT30" s="85" cm="1">
        <f t="array" ref="AT30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0" s="84">
        <f>Tabla265[[#This Row],[NET Tree Biomass Carbol pool (t CO2)]]+(AT30*'Assumptions Calculat'!$L$7)</f>
        <v>48245.196353193838</v>
      </c>
      <c r="AV30" s="84">
        <f>IF('Assumptions Calculat'!$L$7="",0,Tabla265[[#This Row],[Net VCU (t CO2)]]*(1-'Assumptions Calculat'!$P$6))</f>
        <v>41973.320827278636</v>
      </c>
      <c r="AX30" s="81">
        <v>21</v>
      </c>
      <c r="AY30" s="84">
        <f t="shared" si="3"/>
        <v>2045</v>
      </c>
      <c r="AZ30" s="82">
        <f>'Assumptions Calculat'!C36</f>
        <v>6.0539802640259532</v>
      </c>
      <c r="BA30" s="83">
        <f>(EXP(5.5344244+(2.40477*LN(Tabla2657[[#This Row],[DBH (cm)]]))))/1000</f>
        <v>19.239718565436416</v>
      </c>
      <c r="BB30" s="83">
        <f>Tabla2657[[#This Row],[AGB (Kg d.m.)/tree]]*'Assumptions Calculat'!$N$9</f>
        <v>5.5795183839765601</v>
      </c>
      <c r="BC30" s="83">
        <f>Tabla2657[[#This Row],[BGB (Kg d.m.)/tree]]+Tabla2657[[#This Row],[AGB (Kg d.m.)/tree]]</f>
        <v>24.819236949412975</v>
      </c>
      <c r="BD30" s="84">
        <f>'Assumptions Calculat'!$L$10*(1-'Assumptions Calculat'!$P$7)</f>
        <v>2750</v>
      </c>
      <c r="BE30" s="85">
        <f>(Tabla2657[[#This Row],[Btree (kg d.m.)/tree]]/1000)*Tabla2657[[#This Row],[Density (trees/ha)]]</f>
        <v>68.252901610885672</v>
      </c>
      <c r="BF30" s="85">
        <f>Tabla2657[[#This Row],[Btree (t d.m./ha)]]*'Assumptions Calculat'!$N$10</f>
        <v>32.078863757116267</v>
      </c>
      <c r="BG30" s="84">
        <f>Tabla2657[[#This Row],[Btree (t C/ha)]]*(44/12)*'Assumptions Calculat'!$L$8</f>
        <v>144412.6165190613</v>
      </c>
      <c r="BH30" s="84">
        <f>Tabla2657[[#This Row],[Tree Biomass Carbol pool (t CO2)]]-BG29</f>
        <v>18362.629129823457</v>
      </c>
      <c r="BI30" s="86">
        <v>1</v>
      </c>
      <c r="BJ30" s="85" cm="1">
        <f t="array" ref="BJ30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0" s="84">
        <f>IF('Assumptions Calculat'!$L$8="",0,Tabla2657[[#This Row],[NET Tree Biomass Carbol pool (t CO2)]]+(BJ30*'Assumptions Calculat'!$L$8))</f>
        <v>26621.280587503923</v>
      </c>
      <c r="BL30" s="84">
        <f>IF('Assumptions Calculat'!$L$8="",0,Tabla2657[[#This Row],[Net VCU (t CO2)]]*(1-'Assumptions Calculat'!$P$6))</f>
        <v>23160.514111128414</v>
      </c>
    </row>
    <row r="31" spans="2:64" s="72" customFormat="1" ht="14.25" customHeight="1" x14ac:dyDescent="0.2">
      <c r="B31" s="81">
        <v>25</v>
      </c>
      <c r="C31" s="81">
        <f t="shared" si="0"/>
        <v>2046</v>
      </c>
      <c r="D31" s="88">
        <f>'Assumptions Calculat'!C40</f>
        <v>7.1547789720689883</v>
      </c>
      <c r="E31" s="83">
        <f>(EXP(5.5344244+(2.40477*LN(Tabla28[[#This Row],[DBH (cm)]]))))/1000</f>
        <v>28.752613999466096</v>
      </c>
      <c r="F31" s="83">
        <f>Tabla28[[#This Row],[AGB (Kg d.m.)/tree]]*'Assumptions Calculat'!$N$9</f>
        <v>8.3382580598451668</v>
      </c>
      <c r="G31" s="83">
        <f>Tabla28[[#This Row],[BGB (Kg d.m.)/tree]]+Tabla28[[#This Row],[AGB (Kg d.m.)/tree]]</f>
        <v>37.090872059311266</v>
      </c>
      <c r="H31" s="84">
        <f>'Assumptions Calculat'!$L$10*(1-'Assumptions Calculat'!$P$7)</f>
        <v>2750</v>
      </c>
      <c r="I31" s="85">
        <f>(Tabla28[[#This Row],[Btree (kg d.m.)/tree]]/1000)*Tabla28[[#This Row],[Density (trees/ha)]]</f>
        <v>101.99989816310598</v>
      </c>
      <c r="J31" s="85">
        <f>Tabla28[[#This Row],[Btree (t d.m./ha)]]*'Assumptions Calculat'!$N$10</f>
        <v>47.939952136659812</v>
      </c>
      <c r="K31" s="84">
        <f>Tabla28[[#This Row],[Btree (t C/ha)]]*(44/12)*'Assumptions Calculat'!$L$5</f>
        <v>191677.7096664641</v>
      </c>
      <c r="L31" s="84">
        <f>Tabla28[[#This Row],[Tree Biomass Carbol pool (t CO2)]]-K30</f>
        <v>15206.753204688372</v>
      </c>
      <c r="M31" s="86">
        <v>1</v>
      </c>
      <c r="N31" s="85" cm="1">
        <f t="array" ref="N31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1" s="84">
        <f>Tabla28[[#This Row],[NET Tree Biomass Carbol pool (t CO2)]]+(N31*'Assumptions Calculat'!$L$5)</f>
        <v>22541.700429655499</v>
      </c>
      <c r="P31" s="84">
        <f>IF('Assumptions Calculat'!$L$5="",0,Tabla28[[#This Row],[Net VCU (t CO2)]]*(1-'Assumptions Calculat'!$P$6))</f>
        <v>19611.279373800284</v>
      </c>
      <c r="Q31" s="71"/>
      <c r="R31" s="81">
        <v>24</v>
      </c>
      <c r="S31" s="84">
        <f t="shared" si="1"/>
        <v>2046</v>
      </c>
      <c r="T31" s="82">
        <f>'Assumptions Calculat'!C39</f>
        <v>6.9130267335117193</v>
      </c>
      <c r="U31" s="83">
        <f>(EXP(5.5344244+(2.40477*LN(Tabla26[[#This Row],[DBH (cm)]]))))/1000</f>
        <v>26.471525051563013</v>
      </c>
      <c r="V31" s="83">
        <f>Tabla26[[#This Row],[AGB (Kg d.m.)/tree]]*'Assumptions Calculat'!$N$9</f>
        <v>7.6767422649532735</v>
      </c>
      <c r="W31" s="83">
        <f>Tabla26[[#This Row],[BGB (Kg d.m.)/tree]]+Tabla26[[#This Row],[AGB (Kg d.m.)/tree]]</f>
        <v>34.148267316516289</v>
      </c>
      <c r="X31" s="84">
        <f>'Assumptions Calculat'!$L$10*(1-'Assumptions Calculat'!$P$7)</f>
        <v>2750</v>
      </c>
      <c r="Y31" s="85">
        <f>(Tabla26[[#This Row],[Btree (kg d.m.)/tree]]/1000)*Tabla26[[#This Row],[Density (trees/ha)]]</f>
        <v>93.907735120419787</v>
      </c>
      <c r="Z31" s="85">
        <f>Tabla26[[#This Row],[Btree (t d.m./ha)]]*'Assumptions Calculat'!$N$10</f>
        <v>44.136635506597294</v>
      </c>
      <c r="AA31" s="84">
        <f>Tabla26[[#This Row],[Btree (t C/ha)]]*(44/12)*'Assumptions Calculat'!$L$6</f>
        <v>320914.02622935735</v>
      </c>
      <c r="AB31" s="84">
        <f>Tabla26[[#This Row],[Tree Biomass Carbol pool (t CO2)]]-AA30</f>
        <v>28633.222164803999</v>
      </c>
      <c r="AC31" s="86">
        <v>1</v>
      </c>
      <c r="AD31" s="85" cm="1">
        <f t="array" ref="AD31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1" s="84">
        <f>Tabla26[[#This Row],[NET Tree Biomass Carbol pool (t CO2)]]+(AD31*'Assumptions Calculat'!$L$6)</f>
        <v>41971.88986026647</v>
      </c>
      <c r="AF31" s="84">
        <f>IF('Assumptions Calculat'!$L$6="",0,Tabla26[[#This Row],[Net VCU (t CO2)]]*(1-'Assumptions Calculat'!$P$6))</f>
        <v>36515.544178431832</v>
      </c>
      <c r="AG31" s="71"/>
      <c r="AH31" s="81">
        <v>23</v>
      </c>
      <c r="AI31" s="84">
        <f t="shared" si="2"/>
        <v>2046</v>
      </c>
      <c r="AJ31" s="82">
        <f>'Assumptions Calculat'!C38</f>
        <v>6.6495146347531353</v>
      </c>
      <c r="AK31" s="83">
        <f>(EXP(5.5344244+(2.40477*LN(Tabla265[[#This Row],[DBH (cm)]]))))/1000</f>
        <v>24.109630600427803</v>
      </c>
      <c r="AL31" s="83">
        <f>Tabla265[[#This Row],[AGB (Kg d.m.)/tree]]*'Assumptions Calculat'!$N$9</f>
        <v>6.9917928741240623</v>
      </c>
      <c r="AM31" s="83">
        <f>Tabla265[[#This Row],[BGB (Kg d.m.)/tree]]+Tabla265[[#This Row],[AGB (Kg d.m.)/tree]]</f>
        <v>31.101423474551865</v>
      </c>
      <c r="AN31" s="84">
        <f>'Assumptions Calculat'!$L$10*(1-'Assumptions Calculat'!$P$7)</f>
        <v>2750</v>
      </c>
      <c r="AO31" s="85">
        <f>(Tabla265[[#This Row],[Btree (kg d.m.)/tree]]/1000)*Tabla265[[#This Row],[Density (trees/ha)]]</f>
        <v>85.528914555017636</v>
      </c>
      <c r="AP31" s="85">
        <f>Tabla265[[#This Row],[Btree (t d.m./ha)]]*'Assumptions Calculat'!$N$10</f>
        <v>40.19858984085829</v>
      </c>
      <c r="AQ31" s="84">
        <f>Tabla265[[#This Row],[Btree (t C/ha)]]*(44/12)*'Assumptions Calculat'!$L$7</f>
        <v>327635.74946928234</v>
      </c>
      <c r="AR31" s="84">
        <f>Tabla265[[#This Row],[Tree Biomass Carbol pool (t CO2)]]-AQ30</f>
        <v>32886.197030309122</v>
      </c>
      <c r="AS31" s="86">
        <v>1</v>
      </c>
      <c r="AT31" s="85" cm="1">
        <f t="array" ref="AT31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1" s="84">
        <f>Tabla265[[#This Row],[NET Tree Biomass Carbol pool (t CO2)]]+(AT31*'Assumptions Calculat'!$L$7)</f>
        <v>47838.340060404735</v>
      </c>
      <c r="AV31" s="84">
        <f>IF('Assumptions Calculat'!$L$7="",0,Tabla265[[#This Row],[Net VCU (t CO2)]]*(1-'Assumptions Calculat'!$P$6))</f>
        <v>41619.355852552122</v>
      </c>
      <c r="AX31" s="81">
        <v>22</v>
      </c>
      <c r="AY31" s="84">
        <f t="shared" si="3"/>
        <v>2046</v>
      </c>
      <c r="AZ31" s="82">
        <f>'Assumptions Calculat'!C37</f>
        <v>6.3633678038821149</v>
      </c>
      <c r="BA31" s="83">
        <f>(EXP(5.5344244+(2.40477*LN(Tabla2657[[#This Row],[DBH (cm)]]))))/1000</f>
        <v>21.689644187046582</v>
      </c>
      <c r="BB31" s="83">
        <f>Tabla2657[[#This Row],[AGB (Kg d.m.)/tree]]*'Assumptions Calculat'!$N$9</f>
        <v>6.2899968142435085</v>
      </c>
      <c r="BC31" s="83">
        <f>Tabla2657[[#This Row],[BGB (Kg d.m.)/tree]]+Tabla2657[[#This Row],[AGB (Kg d.m.)/tree]]</f>
        <v>27.979641001290091</v>
      </c>
      <c r="BD31" s="84">
        <f>'Assumptions Calculat'!$L$10*(1-'Assumptions Calculat'!$P$7)</f>
        <v>2750</v>
      </c>
      <c r="BE31" s="85">
        <f>(Tabla2657[[#This Row],[Btree (kg d.m.)/tree]]/1000)*Tabla2657[[#This Row],[Density (trees/ha)]]</f>
        <v>76.944012753547739</v>
      </c>
      <c r="BF31" s="85">
        <f>Tabla2657[[#This Row],[Btree (t d.m./ha)]]*'Assumptions Calculat'!$N$10</f>
        <v>36.163685994167437</v>
      </c>
      <c r="BG31" s="84">
        <f>Tabla2657[[#This Row],[Btree (t C/ha)]]*(44/12)*'Assumptions Calculat'!$L$8</f>
        <v>162801.66769413426</v>
      </c>
      <c r="BH31" s="84">
        <f>Tabla2657[[#This Row],[Tree Biomass Carbol pool (t CO2)]]-BG30</f>
        <v>18389.051175072964</v>
      </c>
      <c r="BI31" s="86">
        <v>1</v>
      </c>
      <c r="BJ31" s="85" cm="1">
        <f t="array" ref="BJ31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1" s="84">
        <f>IF('Assumptions Calculat'!$L$8="",0,Tabla2657[[#This Row],[NET Tree Biomass Carbol pool (t CO2)]]+(BJ31*'Assumptions Calculat'!$L$8))</f>
        <v>26647.702632753429</v>
      </c>
      <c r="BL31" s="84">
        <f>IF('Assumptions Calculat'!$L$8="",0,Tabla2657[[#This Row],[Net VCU (t CO2)]]*(1-'Assumptions Calculat'!$P$6))</f>
        <v>23183.501290495482</v>
      </c>
    </row>
    <row r="32" spans="2:64" s="72" customFormat="1" ht="14.25" customHeight="1" x14ac:dyDescent="0.2">
      <c r="B32" s="81">
        <v>26</v>
      </c>
      <c r="C32" s="81">
        <f t="shared" si="0"/>
        <v>2047</v>
      </c>
      <c r="D32" s="88">
        <f>'Assumptions Calculat'!C41</f>
        <v>7.3758336646326192</v>
      </c>
      <c r="E32" s="83">
        <f>(EXP(5.5344244+(2.40477*LN(Tabla28[[#This Row],[DBH (cm)]]))))/1000</f>
        <v>30.935426686877456</v>
      </c>
      <c r="F32" s="83">
        <f>Tabla28[[#This Row],[AGB (Kg d.m.)/tree]]*'Assumptions Calculat'!$N$9</f>
        <v>8.9712737391944621</v>
      </c>
      <c r="G32" s="83">
        <f>Tabla28[[#This Row],[BGB (Kg d.m.)/tree]]+Tabla28[[#This Row],[AGB (Kg d.m.)/tree]]</f>
        <v>39.906700426071922</v>
      </c>
      <c r="H32" s="84">
        <f>'Assumptions Calculat'!$L$10*(1-'Assumptions Calculat'!$P$7)</f>
        <v>2750</v>
      </c>
      <c r="I32" s="85">
        <f>(Tabla28[[#This Row],[Btree (kg d.m.)/tree]]/1000)*Tabla28[[#This Row],[Density (trees/ha)]]</f>
        <v>109.74342617169779</v>
      </c>
      <c r="J32" s="85">
        <f>Tabla28[[#This Row],[Btree (t d.m./ha)]]*'Assumptions Calculat'!$N$10</f>
        <v>51.579410300697958</v>
      </c>
      <c r="K32" s="84">
        <f>Tabla28[[#This Row],[Btree (t C/ha)]]*(44/12)*'Assumptions Calculat'!$L$5</f>
        <v>206229.30962053008</v>
      </c>
      <c r="L32" s="84">
        <f>Tabla28[[#This Row],[Tree Biomass Carbol pool (t CO2)]]-K31</f>
        <v>14551.599954065983</v>
      </c>
      <c r="M32" s="86">
        <v>1</v>
      </c>
      <c r="N32" s="85" cm="1">
        <f t="array" ref="N32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2" s="84">
        <f>Tabla28[[#This Row],[NET Tree Biomass Carbol pool (t CO2)]]+(N32*'Assumptions Calculat'!$L$5)</f>
        <v>21886.54717903311</v>
      </c>
      <c r="P32" s="84">
        <f>IF('Assumptions Calculat'!$L$5="",0,Tabla28[[#This Row],[Net VCU (t CO2)]]*(1-'Assumptions Calculat'!$P$6))</f>
        <v>19041.296045758805</v>
      </c>
      <c r="Q32" s="71"/>
      <c r="R32" s="81">
        <v>25</v>
      </c>
      <c r="S32" s="84">
        <f t="shared" si="1"/>
        <v>2047</v>
      </c>
      <c r="T32" s="82">
        <f>'Assumptions Calculat'!C40</f>
        <v>7.1547789720689883</v>
      </c>
      <c r="U32" s="83">
        <f>(EXP(5.5344244+(2.40477*LN(Tabla26[[#This Row],[DBH (cm)]]))))/1000</f>
        <v>28.752613999466096</v>
      </c>
      <c r="V32" s="83">
        <f>Tabla26[[#This Row],[AGB (Kg d.m.)/tree]]*'Assumptions Calculat'!$N$9</f>
        <v>8.3382580598451668</v>
      </c>
      <c r="W32" s="83">
        <f>Tabla26[[#This Row],[BGB (Kg d.m.)/tree]]+Tabla26[[#This Row],[AGB (Kg d.m.)/tree]]</f>
        <v>37.090872059311266</v>
      </c>
      <c r="X32" s="84">
        <f>'Assumptions Calculat'!$L$10*(1-'Assumptions Calculat'!$P$7)</f>
        <v>2750</v>
      </c>
      <c r="Y32" s="85">
        <f>(Tabla26[[#This Row],[Btree (kg d.m.)/tree]]/1000)*Tabla26[[#This Row],[Density (trees/ha)]]</f>
        <v>101.99989816310598</v>
      </c>
      <c r="Z32" s="85">
        <f>Tabla26[[#This Row],[Btree (t d.m./ha)]]*'Assumptions Calculat'!$N$10</f>
        <v>47.939952136659812</v>
      </c>
      <c r="AA32" s="84">
        <f>Tabla26[[#This Row],[Btree (t C/ha)]]*(44/12)*'Assumptions Calculat'!$L$6</f>
        <v>348567.64410868107</v>
      </c>
      <c r="AB32" s="84">
        <f>Tabla26[[#This Row],[Tree Biomass Carbol pool (t CO2)]]-AA31</f>
        <v>27653.61787932372</v>
      </c>
      <c r="AC32" s="86">
        <v>1</v>
      </c>
      <c r="AD32" s="85" cm="1">
        <f t="array" ref="AD32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2" s="84">
        <f>Tabla26[[#This Row],[NET Tree Biomass Carbol pool (t CO2)]]+(AD32*'Assumptions Calculat'!$L$6)</f>
        <v>40992.28557478619</v>
      </c>
      <c r="AF32" s="84">
        <f>IF('Assumptions Calculat'!$L$6="",0,Tabla26[[#This Row],[Net VCU (t CO2)]]*(1-'Assumptions Calculat'!$P$6))</f>
        <v>35663.288450063985</v>
      </c>
      <c r="AG32" s="71"/>
      <c r="AH32" s="81">
        <v>24</v>
      </c>
      <c r="AI32" s="84">
        <f t="shared" si="2"/>
        <v>2047</v>
      </c>
      <c r="AJ32" s="82">
        <f>'Assumptions Calculat'!C39</f>
        <v>6.9130267335117193</v>
      </c>
      <c r="AK32" s="83">
        <f>(EXP(5.5344244+(2.40477*LN(Tabla265[[#This Row],[DBH (cm)]]))))/1000</f>
        <v>26.471525051563013</v>
      </c>
      <c r="AL32" s="83">
        <f>Tabla265[[#This Row],[AGB (Kg d.m.)/tree]]*'Assumptions Calculat'!$N$9</f>
        <v>7.6767422649532735</v>
      </c>
      <c r="AM32" s="83">
        <f>Tabla265[[#This Row],[BGB (Kg d.m.)/tree]]+Tabla265[[#This Row],[AGB (Kg d.m.)/tree]]</f>
        <v>34.148267316516289</v>
      </c>
      <c r="AN32" s="84">
        <f>'Assumptions Calculat'!$L$10*(1-'Assumptions Calculat'!$P$7)</f>
        <v>2750</v>
      </c>
      <c r="AO32" s="85">
        <f>(Tabla265[[#This Row],[Btree (kg d.m.)/tree]]/1000)*Tabla265[[#This Row],[Density (trees/ha)]]</f>
        <v>93.907735120419787</v>
      </c>
      <c r="AP32" s="85">
        <f>Tabla265[[#This Row],[Btree (t d.m./ha)]]*'Assumptions Calculat'!$N$10</f>
        <v>44.136635506597294</v>
      </c>
      <c r="AQ32" s="84">
        <f>Tabla265[[#This Row],[Btree (t C/ha)]]*(44/12)*'Assumptions Calculat'!$L$7</f>
        <v>359732.51077973109</v>
      </c>
      <c r="AR32" s="84">
        <f>Tabla265[[#This Row],[Tree Biomass Carbol pool (t CO2)]]-AQ31</f>
        <v>32096.761310448754</v>
      </c>
      <c r="AS32" s="86">
        <v>1</v>
      </c>
      <c r="AT32" s="85" cm="1">
        <f t="array" ref="AT32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2" s="84">
        <f>Tabla265[[#This Row],[NET Tree Biomass Carbol pool (t CO2)]]+(AT32*'Assumptions Calculat'!$L$7)</f>
        <v>47048.904340544366</v>
      </c>
      <c r="AV32" s="84">
        <f>IF('Assumptions Calculat'!$L$7="",0,Tabla265[[#This Row],[Net VCU (t CO2)]]*(1-'Assumptions Calculat'!$P$6))</f>
        <v>40932.546776273601</v>
      </c>
      <c r="AX32" s="81">
        <v>23</v>
      </c>
      <c r="AY32" s="84">
        <f t="shared" si="3"/>
        <v>2047</v>
      </c>
      <c r="AZ32" s="82">
        <f>'Assumptions Calculat'!C38</f>
        <v>6.6495146347531353</v>
      </c>
      <c r="BA32" s="83">
        <f>(EXP(5.5344244+(2.40477*LN(Tabla2657[[#This Row],[DBH (cm)]]))))/1000</f>
        <v>24.109630600427803</v>
      </c>
      <c r="BB32" s="83">
        <f>Tabla2657[[#This Row],[AGB (Kg d.m.)/tree]]*'Assumptions Calculat'!$N$9</f>
        <v>6.9917928741240623</v>
      </c>
      <c r="BC32" s="83">
        <f>Tabla2657[[#This Row],[BGB (Kg d.m.)/tree]]+Tabla2657[[#This Row],[AGB (Kg d.m.)/tree]]</f>
        <v>31.101423474551865</v>
      </c>
      <c r="BD32" s="84">
        <f>'Assumptions Calculat'!$L$10*(1-'Assumptions Calculat'!$P$7)</f>
        <v>2750</v>
      </c>
      <c r="BE32" s="85">
        <f>(Tabla2657[[#This Row],[Btree (kg d.m.)/tree]]/1000)*Tabla2657[[#This Row],[Density (trees/ha)]]</f>
        <v>85.528914555017636</v>
      </c>
      <c r="BF32" s="85">
        <f>Tabla2657[[#This Row],[Btree (t d.m./ha)]]*'Assumptions Calculat'!$N$10</f>
        <v>40.19858984085829</v>
      </c>
      <c r="BG32" s="84">
        <f>Tabla2657[[#This Row],[Btree (t C/ha)]]*(44/12)*'Assumptions Calculat'!$L$8</f>
        <v>180965.99627868982</v>
      </c>
      <c r="BH32" s="84">
        <f>Tabla2657[[#This Row],[Tree Biomass Carbol pool (t CO2)]]-BG31</f>
        <v>18164.328584555566</v>
      </c>
      <c r="BI32" s="86">
        <v>1</v>
      </c>
      <c r="BJ32" s="85" cm="1">
        <f t="array" ref="BJ32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2" s="84">
        <f>IF('Assumptions Calculat'!$L$8="",0,Tabla2657[[#This Row],[NET Tree Biomass Carbol pool (t CO2)]]+(BJ32*'Assumptions Calculat'!$L$8))</f>
        <v>26422.980042236031</v>
      </c>
      <c r="BL32" s="84">
        <f>IF('Assumptions Calculat'!$L$8="",0,Tabla2657[[#This Row],[Net VCU (t CO2)]]*(1-'Assumptions Calculat'!$P$6))</f>
        <v>22987.992636745348</v>
      </c>
    </row>
    <row r="33" spans="2:64" s="72" customFormat="1" ht="14.25" customHeight="1" x14ac:dyDescent="0.2">
      <c r="B33" s="81">
        <v>27</v>
      </c>
      <c r="C33" s="81">
        <f t="shared" si="0"/>
        <v>2048</v>
      </c>
      <c r="D33" s="88">
        <f>'Assumptions Calculat'!C42</f>
        <v>7.5773741764465843</v>
      </c>
      <c r="E33" s="83">
        <f>(EXP(5.5344244+(2.40477*LN(Tabla28[[#This Row],[DBH (cm)]]))))/1000</f>
        <v>33.007318384566879</v>
      </c>
      <c r="F33" s="83">
        <f>Tabla28[[#This Row],[AGB (Kg d.m.)/tree]]*'Assumptions Calculat'!$N$9</f>
        <v>9.572122331524394</v>
      </c>
      <c r="G33" s="83">
        <f>Tabla28[[#This Row],[BGB (Kg d.m.)/tree]]+Tabla28[[#This Row],[AGB (Kg d.m.)/tree]]</f>
        <v>42.57944071609127</v>
      </c>
      <c r="H33" s="84">
        <f>'Assumptions Calculat'!$L$10*(1-'Assumptions Calculat'!$P$7)</f>
        <v>2750</v>
      </c>
      <c r="I33" s="85">
        <f>(Tabla28[[#This Row],[Btree (kg d.m.)/tree]]/1000)*Tabla28[[#This Row],[Density (trees/ha)]]</f>
        <v>117.093461969251</v>
      </c>
      <c r="J33" s="85">
        <f>Tabla28[[#This Row],[Btree (t d.m./ha)]]*'Assumptions Calculat'!$N$10</f>
        <v>55.033927125547962</v>
      </c>
      <c r="K33" s="84">
        <f>Tabla28[[#This Row],[Btree (t C/ha)]]*(44/12)*'Assumptions Calculat'!$L$5</f>
        <v>220041.46093649193</v>
      </c>
      <c r="L33" s="84">
        <f>Tabla28[[#This Row],[Tree Biomass Carbol pool (t CO2)]]-K32</f>
        <v>13812.151315961848</v>
      </c>
      <c r="M33" s="86">
        <v>1</v>
      </c>
      <c r="N33" s="85" cm="1">
        <f t="array" ref="N33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3" s="84">
        <f>Tabla28[[#This Row],[NET Tree Biomass Carbol pool (t CO2)]]+(N33*'Assumptions Calculat'!$L$5)</f>
        <v>21147.098540928975</v>
      </c>
      <c r="P33" s="84">
        <f>IF('Assumptions Calculat'!$L$5="",0,Tabla28[[#This Row],[Net VCU (t CO2)]]*(1-'Assumptions Calculat'!$P$6))</f>
        <v>18397.975730608207</v>
      </c>
      <c r="Q33" s="71"/>
      <c r="R33" s="81">
        <v>26</v>
      </c>
      <c r="S33" s="84">
        <f t="shared" si="1"/>
        <v>2048</v>
      </c>
      <c r="T33" s="82">
        <f>'Assumptions Calculat'!C41</f>
        <v>7.3758336646326192</v>
      </c>
      <c r="U33" s="83">
        <f>(EXP(5.5344244+(2.40477*LN(Tabla26[[#This Row],[DBH (cm)]]))))/1000</f>
        <v>30.935426686877456</v>
      </c>
      <c r="V33" s="83">
        <f>Tabla26[[#This Row],[AGB (Kg d.m.)/tree]]*'Assumptions Calculat'!$N$9</f>
        <v>8.9712737391944621</v>
      </c>
      <c r="W33" s="83">
        <f>Tabla26[[#This Row],[BGB (Kg d.m.)/tree]]+Tabla26[[#This Row],[AGB (Kg d.m.)/tree]]</f>
        <v>39.906700426071922</v>
      </c>
      <c r="X33" s="84">
        <f>'Assumptions Calculat'!$L$10*(1-'Assumptions Calculat'!$P$7)</f>
        <v>2750</v>
      </c>
      <c r="Y33" s="85">
        <f>(Tabla26[[#This Row],[Btree (kg d.m.)/tree]]/1000)*Tabla26[[#This Row],[Density (trees/ha)]]</f>
        <v>109.74342617169779</v>
      </c>
      <c r="Z33" s="85">
        <f>Tabla26[[#This Row],[Btree (t d.m./ha)]]*'Assumptions Calculat'!$N$10</f>
        <v>51.579410300697958</v>
      </c>
      <c r="AA33" s="84">
        <f>Tabla26[[#This Row],[Btree (t C/ha)]]*(44/12)*'Assumptions Calculat'!$L$6</f>
        <v>375029.85989176237</v>
      </c>
      <c r="AB33" s="84">
        <f>Tabla26[[#This Row],[Tree Biomass Carbol pool (t CO2)]]-AA32</f>
        <v>26462.215783081308</v>
      </c>
      <c r="AC33" s="86">
        <v>1</v>
      </c>
      <c r="AD33" s="85" cm="1">
        <f t="array" ref="AD33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3" s="84">
        <f>Tabla26[[#This Row],[NET Tree Biomass Carbol pool (t CO2)]]+(AD33*'Assumptions Calculat'!$L$6)</f>
        <v>39800.883478543779</v>
      </c>
      <c r="AF33" s="84">
        <f>IF('Assumptions Calculat'!$L$6="",0,Tabla26[[#This Row],[Net VCU (t CO2)]]*(1-'Assumptions Calculat'!$P$6))</f>
        <v>34626.768626333091</v>
      </c>
      <c r="AG33" s="71"/>
      <c r="AH33" s="81">
        <v>25</v>
      </c>
      <c r="AI33" s="84">
        <f t="shared" si="2"/>
        <v>2048</v>
      </c>
      <c r="AJ33" s="82">
        <f>'Assumptions Calculat'!C40</f>
        <v>7.1547789720689883</v>
      </c>
      <c r="AK33" s="83">
        <f>(EXP(5.5344244+(2.40477*LN(Tabla265[[#This Row],[DBH (cm)]]))))/1000</f>
        <v>28.752613999466096</v>
      </c>
      <c r="AL33" s="83">
        <f>Tabla265[[#This Row],[AGB (Kg d.m.)/tree]]*'Assumptions Calculat'!$N$9</f>
        <v>8.3382580598451668</v>
      </c>
      <c r="AM33" s="83">
        <f>Tabla265[[#This Row],[BGB (Kg d.m.)/tree]]+Tabla265[[#This Row],[AGB (Kg d.m.)/tree]]</f>
        <v>37.090872059311266</v>
      </c>
      <c r="AN33" s="84">
        <f>'Assumptions Calculat'!$L$10*(1-'Assumptions Calculat'!$P$7)</f>
        <v>2750</v>
      </c>
      <c r="AO33" s="85">
        <f>(Tabla265[[#This Row],[Btree (kg d.m.)/tree]]/1000)*Tabla265[[#This Row],[Density (trees/ha)]]</f>
        <v>101.99989816310598</v>
      </c>
      <c r="AP33" s="85">
        <f>Tabla265[[#This Row],[Btree (t d.m./ha)]]*'Assumptions Calculat'!$N$10</f>
        <v>47.939952136659812</v>
      </c>
      <c r="AQ33" s="84">
        <f>Tabla265[[#This Row],[Btree (t C/ha)]]*(44/12)*'Assumptions Calculat'!$L$7</f>
        <v>390731.17266047612</v>
      </c>
      <c r="AR33" s="84">
        <f>Tabla265[[#This Row],[Tree Biomass Carbol pool (t CO2)]]-AQ32</f>
        <v>30998.661880745029</v>
      </c>
      <c r="AS33" s="86">
        <v>1</v>
      </c>
      <c r="AT33" s="85" cm="1">
        <f t="array" ref="AT33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3" s="84">
        <f>Tabla265[[#This Row],[NET Tree Biomass Carbol pool (t CO2)]]+(AT33*'Assumptions Calculat'!$L$7)</f>
        <v>45950.804910840641</v>
      </c>
      <c r="AV33" s="84">
        <f>IF('Assumptions Calculat'!$L$7="",0,Tabla265[[#This Row],[Net VCU (t CO2)]]*(1-'Assumptions Calculat'!$P$6))</f>
        <v>39977.200272431357</v>
      </c>
      <c r="AX33" s="81">
        <v>24</v>
      </c>
      <c r="AY33" s="84">
        <f t="shared" si="3"/>
        <v>2048</v>
      </c>
      <c r="AZ33" s="82">
        <f>'Assumptions Calculat'!C39</f>
        <v>6.9130267335117193</v>
      </c>
      <c r="BA33" s="83">
        <f>(EXP(5.5344244+(2.40477*LN(Tabla2657[[#This Row],[DBH (cm)]]))))/1000</f>
        <v>26.471525051563013</v>
      </c>
      <c r="BB33" s="83">
        <f>Tabla2657[[#This Row],[AGB (Kg d.m.)/tree]]*'Assumptions Calculat'!$N$9</f>
        <v>7.6767422649532735</v>
      </c>
      <c r="BC33" s="83">
        <f>Tabla2657[[#This Row],[BGB (Kg d.m.)/tree]]+Tabla2657[[#This Row],[AGB (Kg d.m.)/tree]]</f>
        <v>34.148267316516289</v>
      </c>
      <c r="BD33" s="84">
        <f>'Assumptions Calculat'!$L$10*(1-'Assumptions Calculat'!$P$7)</f>
        <v>2750</v>
      </c>
      <c r="BE33" s="85">
        <f>(Tabla2657[[#This Row],[Btree (kg d.m.)/tree]]/1000)*Tabla2657[[#This Row],[Density (trees/ha)]]</f>
        <v>93.907735120419787</v>
      </c>
      <c r="BF33" s="85">
        <f>Tabla2657[[#This Row],[Btree (t d.m./ha)]]*'Assumptions Calculat'!$N$10</f>
        <v>44.136635506597294</v>
      </c>
      <c r="BG33" s="84">
        <f>Tabla2657[[#This Row],[Btree (t C/ha)]]*(44/12)*'Assumptions Calculat'!$L$8</f>
        <v>198694.28874150375</v>
      </c>
      <c r="BH33" s="84">
        <f>Tabla2657[[#This Row],[Tree Biomass Carbol pool (t CO2)]]-BG32</f>
        <v>17728.29246281393</v>
      </c>
      <c r="BI33" s="86">
        <v>1</v>
      </c>
      <c r="BJ33" s="85" cm="1">
        <f t="array" ref="BJ33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3" s="84">
        <f>IF('Assumptions Calculat'!$L$8="",0,Tabla2657[[#This Row],[NET Tree Biomass Carbol pool (t CO2)]]+(BJ33*'Assumptions Calculat'!$L$8))</f>
        <v>25986.943920494396</v>
      </c>
      <c r="BL33" s="84">
        <f>IF('Assumptions Calculat'!$L$8="",0,Tabla2657[[#This Row],[Net VCU (t CO2)]]*(1-'Assumptions Calculat'!$P$6))</f>
        <v>22608.641210830123</v>
      </c>
    </row>
    <row r="34" spans="2:64" s="72" customFormat="1" ht="14.25" customHeight="1" x14ac:dyDescent="0.2">
      <c r="B34" s="81">
        <v>28</v>
      </c>
      <c r="C34" s="81">
        <f t="shared" si="0"/>
        <v>2049</v>
      </c>
      <c r="D34" s="88">
        <f>'Assumptions Calculat'!C43</f>
        <v>7.7606518902807267</v>
      </c>
      <c r="E34" s="83">
        <f>(EXP(5.5344244+(2.40477*LN(Tabla28[[#This Row],[DBH (cm)]]))))/1000</f>
        <v>34.959923990390777</v>
      </c>
      <c r="F34" s="83">
        <f>Tabla28[[#This Row],[AGB (Kg d.m.)/tree]]*'Assumptions Calculat'!$N$9</f>
        <v>10.138377957213324</v>
      </c>
      <c r="G34" s="83">
        <f>Tabla28[[#This Row],[BGB (Kg d.m.)/tree]]+Tabla28[[#This Row],[AGB (Kg d.m.)/tree]]</f>
        <v>45.098301947604099</v>
      </c>
      <c r="H34" s="84">
        <f>'Assumptions Calculat'!$L$10*(1-'Assumptions Calculat'!$P$7)</f>
        <v>2750</v>
      </c>
      <c r="I34" s="85">
        <f>(Tabla28[[#This Row],[Btree (kg d.m.)/tree]]/1000)*Tabla28[[#This Row],[Density (trees/ha)]]</f>
        <v>124.02033035591127</v>
      </c>
      <c r="J34" s="85">
        <f>Tabla28[[#This Row],[Btree (t d.m./ha)]]*'Assumptions Calculat'!$N$10</f>
        <v>58.289555267278296</v>
      </c>
      <c r="K34" s="84">
        <f>Tabla28[[#This Row],[Btree (t C/ha)]]*(44/12)*'Assumptions Calculat'!$L$5</f>
        <v>233058.39812394814</v>
      </c>
      <c r="L34" s="84">
        <f>Tabla28[[#This Row],[Tree Biomass Carbol pool (t CO2)]]-K33</f>
        <v>13016.937187456206</v>
      </c>
      <c r="M34" s="86">
        <v>1</v>
      </c>
      <c r="N34" s="85" cm="1">
        <f t="array" ref="N34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4" s="84">
        <f>Tabla28[[#This Row],[NET Tree Biomass Carbol pool (t CO2)]]+(N34*'Assumptions Calculat'!$L$5)</f>
        <v>20351.884412423333</v>
      </c>
      <c r="P34" s="84">
        <f>IF('Assumptions Calculat'!$L$5="",0,Tabla28[[#This Row],[Net VCU (t CO2)]]*(1-'Assumptions Calculat'!$P$6))</f>
        <v>17706.139438808299</v>
      </c>
      <c r="Q34" s="71"/>
      <c r="R34" s="81">
        <v>27</v>
      </c>
      <c r="S34" s="84">
        <f t="shared" si="1"/>
        <v>2049</v>
      </c>
      <c r="T34" s="82">
        <f>'Assumptions Calculat'!C42</f>
        <v>7.5773741764465843</v>
      </c>
      <c r="U34" s="83">
        <f>(EXP(5.5344244+(2.40477*LN(Tabla26[[#This Row],[DBH (cm)]]))))/1000</f>
        <v>33.007318384566879</v>
      </c>
      <c r="V34" s="83">
        <f>Tabla26[[#This Row],[AGB (Kg d.m.)/tree]]*'Assumptions Calculat'!$N$9</f>
        <v>9.572122331524394</v>
      </c>
      <c r="W34" s="83">
        <f>Tabla26[[#This Row],[BGB (Kg d.m.)/tree]]+Tabla26[[#This Row],[AGB (Kg d.m.)/tree]]</f>
        <v>42.57944071609127</v>
      </c>
      <c r="X34" s="84">
        <f>'Assumptions Calculat'!$L$10*(1-'Assumptions Calculat'!$P$7)</f>
        <v>2750</v>
      </c>
      <c r="Y34" s="85">
        <f>(Tabla26[[#This Row],[Btree (kg d.m.)/tree]]/1000)*Tabla26[[#This Row],[Density (trees/ha)]]</f>
        <v>117.093461969251</v>
      </c>
      <c r="Z34" s="85">
        <f>Tabla26[[#This Row],[Btree (t d.m./ha)]]*'Assumptions Calculat'!$N$10</f>
        <v>55.033927125547962</v>
      </c>
      <c r="AA34" s="84">
        <f>Tabla26[[#This Row],[Btree (t C/ha)]]*(44/12)*'Assumptions Calculat'!$L$6</f>
        <v>400147.38165605639</v>
      </c>
      <c r="AB34" s="84">
        <f>Tabla26[[#This Row],[Tree Biomass Carbol pool (t CO2)]]-AA33</f>
        <v>25117.521764294012</v>
      </c>
      <c r="AC34" s="86">
        <v>1</v>
      </c>
      <c r="AD34" s="85" cm="1">
        <f t="array" ref="AD34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4" s="84">
        <f>Tabla26[[#This Row],[NET Tree Biomass Carbol pool (t CO2)]]+(AD34*'Assumptions Calculat'!$L$6)</f>
        <v>38456.189459756482</v>
      </c>
      <c r="AF34" s="84">
        <f>IF('Assumptions Calculat'!$L$6="",0,Tabla26[[#This Row],[Net VCU (t CO2)]]*(1-'Assumptions Calculat'!$P$6))</f>
        <v>33456.884829988143</v>
      </c>
      <c r="AG34" s="71"/>
      <c r="AH34" s="81">
        <v>26</v>
      </c>
      <c r="AI34" s="84">
        <f t="shared" si="2"/>
        <v>2049</v>
      </c>
      <c r="AJ34" s="82">
        <f>'Assumptions Calculat'!C41</f>
        <v>7.3758336646326192</v>
      </c>
      <c r="AK34" s="83">
        <f>(EXP(5.5344244+(2.40477*LN(Tabla265[[#This Row],[DBH (cm)]]))))/1000</f>
        <v>30.935426686877456</v>
      </c>
      <c r="AL34" s="83">
        <f>Tabla265[[#This Row],[AGB (Kg d.m.)/tree]]*'Assumptions Calculat'!$N$9</f>
        <v>8.9712737391944621</v>
      </c>
      <c r="AM34" s="83">
        <f>Tabla265[[#This Row],[BGB (Kg d.m.)/tree]]+Tabla265[[#This Row],[AGB (Kg d.m.)/tree]]</f>
        <v>39.906700426071922</v>
      </c>
      <c r="AN34" s="84">
        <f>'Assumptions Calculat'!$L$10*(1-'Assumptions Calculat'!$P$7)</f>
        <v>2750</v>
      </c>
      <c r="AO34" s="85">
        <f>(Tabla265[[#This Row],[Btree (kg d.m.)/tree]]/1000)*Tabla265[[#This Row],[Density (trees/ha)]]</f>
        <v>109.74342617169779</v>
      </c>
      <c r="AP34" s="85">
        <f>Tabla265[[#This Row],[Btree (t d.m./ha)]]*'Assumptions Calculat'!$N$10</f>
        <v>51.579410300697958</v>
      </c>
      <c r="AQ34" s="84">
        <f>Tabla265[[#This Row],[Btree (t C/ha)]]*(44/12)*'Assumptions Calculat'!$L$7</f>
        <v>420394.31775977882</v>
      </c>
      <c r="AR34" s="84">
        <f>Tabla265[[#This Row],[Tree Biomass Carbol pool (t CO2)]]-AQ33</f>
        <v>29663.145099302696</v>
      </c>
      <c r="AS34" s="86">
        <v>1</v>
      </c>
      <c r="AT34" s="85" cm="1">
        <f t="array" ref="AT34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4" s="84">
        <f>Tabla265[[#This Row],[NET Tree Biomass Carbol pool (t CO2)]]+(AT34*'Assumptions Calculat'!$L$7)</f>
        <v>44615.288129398308</v>
      </c>
      <c r="AV34" s="84">
        <f>IF('Assumptions Calculat'!$L$7="",0,Tabla265[[#This Row],[Net VCU (t CO2)]]*(1-'Assumptions Calculat'!$P$6))</f>
        <v>38815.30067257653</v>
      </c>
      <c r="AX34" s="81">
        <v>25</v>
      </c>
      <c r="AY34" s="84">
        <f t="shared" si="3"/>
        <v>2049</v>
      </c>
      <c r="AZ34" s="82">
        <f>'Assumptions Calculat'!C40</f>
        <v>7.1547789720689883</v>
      </c>
      <c r="BA34" s="83">
        <f>(EXP(5.5344244+(2.40477*LN(Tabla2657[[#This Row],[DBH (cm)]]))))/1000</f>
        <v>28.752613999466096</v>
      </c>
      <c r="BB34" s="83">
        <f>Tabla2657[[#This Row],[AGB (Kg d.m.)/tree]]*'Assumptions Calculat'!$N$9</f>
        <v>8.3382580598451668</v>
      </c>
      <c r="BC34" s="83">
        <f>Tabla2657[[#This Row],[BGB (Kg d.m.)/tree]]+Tabla2657[[#This Row],[AGB (Kg d.m.)/tree]]</f>
        <v>37.090872059311266</v>
      </c>
      <c r="BD34" s="84">
        <f>'Assumptions Calculat'!$L$10*(1-'Assumptions Calculat'!$P$7)</f>
        <v>2750</v>
      </c>
      <c r="BE34" s="85">
        <f>(Tabla2657[[#This Row],[Btree (kg d.m.)/tree]]/1000)*Tabla2657[[#This Row],[Density (trees/ha)]]</f>
        <v>101.99989816310598</v>
      </c>
      <c r="BF34" s="85">
        <f>Tabla2657[[#This Row],[Btree (t d.m./ha)]]*'Assumptions Calculat'!$N$10</f>
        <v>47.939952136659812</v>
      </c>
      <c r="BG34" s="84">
        <f>Tabla2657[[#This Row],[Btree (t C/ha)]]*(44/12)*'Assumptions Calculat'!$L$8</f>
        <v>215816.05808334786</v>
      </c>
      <c r="BH34" s="84">
        <f>Tabla2657[[#This Row],[Tree Biomass Carbol pool (t CO2)]]-BG33</f>
        <v>17121.769341844105</v>
      </c>
      <c r="BI34" s="86">
        <v>1</v>
      </c>
      <c r="BJ34" s="85" cm="1">
        <f t="array" ref="BJ34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4" s="84">
        <f>IF('Assumptions Calculat'!$L$8="",0,Tabla2657[[#This Row],[NET Tree Biomass Carbol pool (t CO2)]]+(BJ34*'Assumptions Calculat'!$L$8))</f>
        <v>25380.420799524571</v>
      </c>
      <c r="BL34" s="84">
        <f>IF('Assumptions Calculat'!$L$8="",0,Tabla2657[[#This Row],[Net VCU (t CO2)]]*(1-'Assumptions Calculat'!$P$6))</f>
        <v>22080.966095586376</v>
      </c>
    </row>
    <row r="35" spans="2:64" s="72" customFormat="1" ht="14.25" customHeight="1" x14ac:dyDescent="0.2">
      <c r="B35" s="81">
        <v>29</v>
      </c>
      <c r="C35" s="81">
        <f t="shared" si="0"/>
        <v>2050</v>
      </c>
      <c r="D35" s="88">
        <f>'Assumptions Calculat'!C44</f>
        <v>7.926944713018929</v>
      </c>
      <c r="E35" s="83">
        <f>(EXP(5.5344244+(2.40477*LN(Tabla28[[#This Row],[DBH (cm)]]))))/1000</f>
        <v>36.788552676353518</v>
      </c>
      <c r="F35" s="83">
        <f>Tabla28[[#This Row],[AGB (Kg d.m.)/tree]]*'Assumptions Calculat'!$N$9</f>
        <v>10.668680276142519</v>
      </c>
      <c r="G35" s="83">
        <f>Tabla28[[#This Row],[BGB (Kg d.m.)/tree]]+Tabla28[[#This Row],[AGB (Kg d.m.)/tree]]</f>
        <v>47.457232952496035</v>
      </c>
      <c r="H35" s="84">
        <f>'Assumptions Calculat'!$L$10*(1-'Assumptions Calculat'!$P$7)</f>
        <v>2750</v>
      </c>
      <c r="I35" s="85">
        <f>(Tabla28[[#This Row],[Btree (kg d.m.)/tree]]/1000)*Tabla28[[#This Row],[Density (trees/ha)]]</f>
        <v>130.50739061936409</v>
      </c>
      <c r="J35" s="85">
        <f>Tabla28[[#This Row],[Btree (t d.m./ha)]]*'Assumptions Calculat'!$N$10</f>
        <v>61.338473591101121</v>
      </c>
      <c r="K35" s="84">
        <f>Tabla28[[#This Row],[Btree (t C/ha)]]*(44/12)*'Assumptions Calculat'!$L$5</f>
        <v>245248.85003771994</v>
      </c>
      <c r="L35" s="84">
        <f>Tabla28[[#This Row],[Tree Biomass Carbol pool (t CO2)]]-K34</f>
        <v>12190.451913771802</v>
      </c>
      <c r="M35" s="86">
        <v>1</v>
      </c>
      <c r="N35" s="85" cm="1">
        <f t="array" ref="N35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5" s="84">
        <f>Tabla28[[#This Row],[NET Tree Biomass Carbol pool (t CO2)]]+(N35*'Assumptions Calculat'!$L$5)</f>
        <v>19525.399138738929</v>
      </c>
      <c r="P35" s="84">
        <f>IF('Assumptions Calculat'!$L$5="",0,Tabla28[[#This Row],[Net VCU (t CO2)]]*(1-'Assumptions Calculat'!$P$6))</f>
        <v>16987.097250702867</v>
      </c>
      <c r="Q35" s="71"/>
      <c r="R35" s="81">
        <v>28</v>
      </c>
      <c r="S35" s="84">
        <f t="shared" si="1"/>
        <v>2050</v>
      </c>
      <c r="T35" s="82">
        <f>'Assumptions Calculat'!C43</f>
        <v>7.7606518902807267</v>
      </c>
      <c r="U35" s="83">
        <f>(EXP(5.5344244+(2.40477*LN(Tabla26[[#This Row],[DBH (cm)]]))))/1000</f>
        <v>34.959923990390777</v>
      </c>
      <c r="V35" s="83">
        <f>Tabla26[[#This Row],[AGB (Kg d.m.)/tree]]*'Assumptions Calculat'!$N$9</f>
        <v>10.138377957213324</v>
      </c>
      <c r="W35" s="83">
        <f>Tabla26[[#This Row],[BGB (Kg d.m.)/tree]]+Tabla26[[#This Row],[AGB (Kg d.m.)/tree]]</f>
        <v>45.098301947604099</v>
      </c>
      <c r="X35" s="84">
        <f>'Assumptions Calculat'!$L$10*(1-'Assumptions Calculat'!$P$7)</f>
        <v>2750</v>
      </c>
      <c r="Y35" s="85">
        <f>(Tabla26[[#This Row],[Btree (kg d.m.)/tree]]/1000)*Tabla26[[#This Row],[Density (trees/ha)]]</f>
        <v>124.02033035591127</v>
      </c>
      <c r="Z35" s="85">
        <f>Tabla26[[#This Row],[Btree (t d.m./ha)]]*'Assumptions Calculat'!$N$10</f>
        <v>58.289555267278296</v>
      </c>
      <c r="AA35" s="84">
        <f>Tabla26[[#This Row],[Btree (t C/ha)]]*(44/12)*'Assumptions Calculat'!$L$6</f>
        <v>423818.79935422045</v>
      </c>
      <c r="AB35" s="84">
        <f>Tabla26[[#This Row],[Tree Biomass Carbol pool (t CO2)]]-AA34</f>
        <v>23671.417698164063</v>
      </c>
      <c r="AC35" s="86">
        <v>1</v>
      </c>
      <c r="AD35" s="85" cm="1">
        <f t="array" ref="AD35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5" s="84">
        <f>Tabla26[[#This Row],[NET Tree Biomass Carbol pool (t CO2)]]+(AD35*'Assumptions Calculat'!$L$6)</f>
        <v>37010.085393626534</v>
      </c>
      <c r="AF35" s="84">
        <f>IF('Assumptions Calculat'!$L$6="",0,Tabla26[[#This Row],[Net VCU (t CO2)]]*(1-'Assumptions Calculat'!$P$6))</f>
        <v>32198.774292455084</v>
      </c>
      <c r="AG35" s="71"/>
      <c r="AH35" s="81">
        <v>27</v>
      </c>
      <c r="AI35" s="84">
        <f t="shared" si="2"/>
        <v>2050</v>
      </c>
      <c r="AJ35" s="82">
        <f>'Assumptions Calculat'!C42</f>
        <v>7.5773741764465843</v>
      </c>
      <c r="AK35" s="83">
        <f>(EXP(5.5344244+(2.40477*LN(Tabla265[[#This Row],[DBH (cm)]]))))/1000</f>
        <v>33.007318384566879</v>
      </c>
      <c r="AL35" s="83">
        <f>Tabla265[[#This Row],[AGB (Kg d.m.)/tree]]*'Assumptions Calculat'!$N$9</f>
        <v>9.572122331524394</v>
      </c>
      <c r="AM35" s="83">
        <f>Tabla265[[#This Row],[BGB (Kg d.m.)/tree]]+Tabla265[[#This Row],[AGB (Kg d.m.)/tree]]</f>
        <v>42.57944071609127</v>
      </c>
      <c r="AN35" s="84">
        <f>'Assumptions Calculat'!$L$10*(1-'Assumptions Calculat'!$P$7)</f>
        <v>2750</v>
      </c>
      <c r="AO35" s="85">
        <f>(Tabla265[[#This Row],[Btree (kg d.m.)/tree]]/1000)*Tabla265[[#This Row],[Density (trees/ha)]]</f>
        <v>117.093461969251</v>
      </c>
      <c r="AP35" s="85">
        <f>Tabla265[[#This Row],[Btree (t d.m./ha)]]*'Assumptions Calculat'!$N$10</f>
        <v>55.033927125547962</v>
      </c>
      <c r="AQ35" s="84">
        <f>Tabla265[[#This Row],[Btree (t C/ha)]]*(44/12)*'Assumptions Calculat'!$L$7</f>
        <v>448550.11161833798</v>
      </c>
      <c r="AR35" s="84">
        <f>Tabla265[[#This Row],[Tree Biomass Carbol pool (t CO2)]]-AQ34</f>
        <v>28155.793858559162</v>
      </c>
      <c r="AS35" s="86">
        <v>1</v>
      </c>
      <c r="AT35" s="85" cm="1">
        <f t="array" ref="AT35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5" s="84">
        <f>Tabla265[[#This Row],[NET Tree Biomass Carbol pool (t CO2)]]+(AT35*'Assumptions Calculat'!$L$7)</f>
        <v>43107.936888654775</v>
      </c>
      <c r="AV35" s="84">
        <f>IF('Assumptions Calculat'!$L$7="",0,Tabla265[[#This Row],[Net VCU (t CO2)]]*(1-'Assumptions Calculat'!$P$6))</f>
        <v>37503.905093129652</v>
      </c>
      <c r="AX35" s="81">
        <v>26</v>
      </c>
      <c r="AY35" s="84">
        <f t="shared" si="3"/>
        <v>2050</v>
      </c>
      <c r="AZ35" s="82">
        <f>'Assumptions Calculat'!C41</f>
        <v>7.3758336646326192</v>
      </c>
      <c r="BA35" s="83">
        <f>(EXP(5.5344244+(2.40477*LN(Tabla2657[[#This Row],[DBH (cm)]]))))/1000</f>
        <v>30.935426686877456</v>
      </c>
      <c r="BB35" s="83">
        <f>Tabla2657[[#This Row],[AGB (Kg d.m.)/tree]]*'Assumptions Calculat'!$N$9</f>
        <v>8.9712737391944621</v>
      </c>
      <c r="BC35" s="83">
        <f>Tabla2657[[#This Row],[BGB (Kg d.m.)/tree]]+Tabla2657[[#This Row],[AGB (Kg d.m.)/tree]]</f>
        <v>39.906700426071922</v>
      </c>
      <c r="BD35" s="84">
        <f>'Assumptions Calculat'!$L$10*(1-'Assumptions Calculat'!$P$7)</f>
        <v>2750</v>
      </c>
      <c r="BE35" s="85">
        <f>(Tabla2657[[#This Row],[Btree (kg d.m.)/tree]]/1000)*Tabla2657[[#This Row],[Density (trees/ha)]]</f>
        <v>109.74342617169779</v>
      </c>
      <c r="BF35" s="85">
        <f>Tabla2657[[#This Row],[Btree (t d.m./ha)]]*'Assumptions Calculat'!$N$10</f>
        <v>51.579410300697958</v>
      </c>
      <c r="BG35" s="84">
        <f>Tabla2657[[#This Row],[Btree (t C/ha)]]*(44/12)*'Assumptions Calculat'!$L$8</f>
        <v>232200.16944588991</v>
      </c>
      <c r="BH35" s="84">
        <f>Tabla2657[[#This Row],[Tree Biomass Carbol pool (t CO2)]]-BG34</f>
        <v>16384.111362542055</v>
      </c>
      <c r="BI35" s="86">
        <v>1</v>
      </c>
      <c r="BJ35" s="85" cm="1">
        <f t="array" ref="BJ35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5" s="84">
        <f>IF('Assumptions Calculat'!$L$8="",0,Tabla2657[[#This Row],[NET Tree Biomass Carbol pool (t CO2)]]+(BJ35*'Assumptions Calculat'!$L$8))</f>
        <v>24642.762820222521</v>
      </c>
      <c r="BL35" s="84">
        <f>IF('Assumptions Calculat'!$L$8="",0,Tabla2657[[#This Row],[Net VCU (t CO2)]]*(1-'Assumptions Calculat'!$P$6))</f>
        <v>21439.203653593591</v>
      </c>
    </row>
    <row r="36" spans="2:64" s="72" customFormat="1" ht="14.25" customHeight="1" x14ac:dyDescent="0.2">
      <c r="B36" s="81">
        <v>30</v>
      </c>
      <c r="C36" s="81">
        <f t="shared" si="0"/>
        <v>2051</v>
      </c>
      <c r="D36" s="88">
        <f>'Assumptions Calculat'!C45</f>
        <v>8.0775253414867567</v>
      </c>
      <c r="E36" s="83">
        <f>(EXP(5.5344244+(2.40477*LN(Tabla28[[#This Row],[DBH (cm)]]))))/1000</f>
        <v>38.491575283063845</v>
      </c>
      <c r="F36" s="83">
        <f>Tabla28[[#This Row],[AGB (Kg d.m.)/tree]]*'Assumptions Calculat'!$N$9</f>
        <v>11.162556832088514</v>
      </c>
      <c r="G36" s="83">
        <f>Tabla28[[#This Row],[BGB (Kg d.m.)/tree]]+Tabla28[[#This Row],[AGB (Kg d.m.)/tree]]</f>
        <v>49.654132115152358</v>
      </c>
      <c r="H36" s="84">
        <f>'Assumptions Calculat'!$L$10*(1-'Assumptions Calculat'!$P$7)</f>
        <v>2750</v>
      </c>
      <c r="I36" s="85">
        <f>(Tabla28[[#This Row],[Btree (kg d.m.)/tree]]/1000)*Tabla28[[#This Row],[Density (trees/ha)]]</f>
        <v>136.54886331666899</v>
      </c>
      <c r="J36" s="85">
        <f>Tabla28[[#This Row],[Btree (t d.m./ha)]]*'Assumptions Calculat'!$N$10</f>
        <v>64.177965758834418</v>
      </c>
      <c r="K36" s="84">
        <f>Tabla28[[#This Row],[Btree (t C/ha)]]*(44/12)*'Assumptions Calculat'!$L$5</f>
        <v>256601.95597690548</v>
      </c>
      <c r="L36" s="84">
        <f>Tabla28[[#This Row],[Tree Biomass Carbol pool (t CO2)]]-K35</f>
        <v>11353.105939185538</v>
      </c>
      <c r="M36" s="86">
        <v>1</v>
      </c>
      <c r="N36" s="85" cm="1">
        <f t="array" ref="N36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6" s="84">
        <f>Tabla28[[#This Row],[NET Tree Biomass Carbol pool (t CO2)]]+(N36*'Assumptions Calculat'!$L$5)</f>
        <v>18688.053164152665</v>
      </c>
      <c r="P36" s="84">
        <f>IF('Assumptions Calculat'!$L$5="",0,Tabla28[[#This Row],[Net VCU (t CO2)]]*(1-'Assumptions Calculat'!$P$6))</f>
        <v>16258.606252812819</v>
      </c>
      <c r="Q36" s="71"/>
      <c r="R36" s="81">
        <v>29</v>
      </c>
      <c r="S36" s="84">
        <f t="shared" si="1"/>
        <v>2051</v>
      </c>
      <c r="T36" s="82">
        <f>'Assumptions Calculat'!C44</f>
        <v>7.926944713018929</v>
      </c>
      <c r="U36" s="83">
        <f>(EXP(5.5344244+(2.40477*LN(Tabla26[[#This Row],[DBH (cm)]]))))/1000</f>
        <v>36.788552676353518</v>
      </c>
      <c r="V36" s="83">
        <f>Tabla26[[#This Row],[AGB (Kg d.m.)/tree]]*'Assumptions Calculat'!$N$9</f>
        <v>10.668680276142519</v>
      </c>
      <c r="W36" s="83">
        <f>Tabla26[[#This Row],[BGB (Kg d.m.)/tree]]+Tabla26[[#This Row],[AGB (Kg d.m.)/tree]]</f>
        <v>47.457232952496035</v>
      </c>
      <c r="X36" s="84">
        <f>'Assumptions Calculat'!$L$10*(1-'Assumptions Calculat'!$P$7)</f>
        <v>2750</v>
      </c>
      <c r="Y36" s="85">
        <f>(Tabla26[[#This Row],[Btree (kg d.m.)/tree]]/1000)*Tabla26[[#This Row],[Density (trees/ha)]]</f>
        <v>130.50739061936409</v>
      </c>
      <c r="Z36" s="85">
        <f>Tabla26[[#This Row],[Btree (t d.m./ha)]]*'Assumptions Calculat'!$N$10</f>
        <v>61.338473591101121</v>
      </c>
      <c r="AA36" s="84">
        <f>Tabla26[[#This Row],[Btree (t C/ha)]]*(44/12)*'Assumptions Calculat'!$L$6</f>
        <v>445987.24612665724</v>
      </c>
      <c r="AB36" s="84">
        <f>Tabla26[[#This Row],[Tree Biomass Carbol pool (t CO2)]]-AA35</f>
        <v>22168.446772436786</v>
      </c>
      <c r="AC36" s="86">
        <v>1</v>
      </c>
      <c r="AD36" s="85" cm="1">
        <f t="array" ref="AD36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6" s="84">
        <f>Tabla26[[#This Row],[NET Tree Biomass Carbol pool (t CO2)]]+(AD36*'Assumptions Calculat'!$L$6)</f>
        <v>35507.114467899257</v>
      </c>
      <c r="AF36" s="84">
        <f>IF('Assumptions Calculat'!$L$6="",0,Tabla26[[#This Row],[Net VCU (t CO2)]]*(1-'Assumptions Calculat'!$P$6))</f>
        <v>30891.189587072353</v>
      </c>
      <c r="AG36" s="71"/>
      <c r="AH36" s="81">
        <v>28</v>
      </c>
      <c r="AI36" s="84">
        <f t="shared" si="2"/>
        <v>2051</v>
      </c>
      <c r="AJ36" s="82">
        <f>'Assumptions Calculat'!C43</f>
        <v>7.7606518902807267</v>
      </c>
      <c r="AK36" s="83">
        <f>(EXP(5.5344244+(2.40477*LN(Tabla265[[#This Row],[DBH (cm)]]))))/1000</f>
        <v>34.959923990390777</v>
      </c>
      <c r="AL36" s="83">
        <f>Tabla265[[#This Row],[AGB (Kg d.m.)/tree]]*'Assumptions Calculat'!$N$9</f>
        <v>10.138377957213324</v>
      </c>
      <c r="AM36" s="83">
        <f>Tabla265[[#This Row],[BGB (Kg d.m.)/tree]]+Tabla265[[#This Row],[AGB (Kg d.m.)/tree]]</f>
        <v>45.098301947604099</v>
      </c>
      <c r="AN36" s="84">
        <f>'Assumptions Calculat'!$L$10*(1-'Assumptions Calculat'!$P$7)</f>
        <v>2750</v>
      </c>
      <c r="AO36" s="85">
        <f>(Tabla265[[#This Row],[Btree (kg d.m.)/tree]]/1000)*Tabla265[[#This Row],[Density (trees/ha)]]</f>
        <v>124.02033035591127</v>
      </c>
      <c r="AP36" s="85">
        <f>Tabla265[[#This Row],[Btree (t d.m./ha)]]*'Assumptions Calculat'!$N$10</f>
        <v>58.289555267278296</v>
      </c>
      <c r="AQ36" s="84">
        <f>Tabla265[[#This Row],[Btree (t C/ha)]]*(44/12)*'Assumptions Calculat'!$L$7</f>
        <v>475084.87740071723</v>
      </c>
      <c r="AR36" s="84">
        <f>Tabla265[[#This Row],[Tree Biomass Carbol pool (t CO2)]]-AQ35</f>
        <v>26534.765782379254</v>
      </c>
      <c r="AS36" s="86">
        <v>1</v>
      </c>
      <c r="AT36" s="85" cm="1">
        <f t="array" ref="AT36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6" s="84">
        <f>Tabla265[[#This Row],[NET Tree Biomass Carbol pool (t CO2)]]+(AT36*'Assumptions Calculat'!$L$7)</f>
        <v>41486.908812474867</v>
      </c>
      <c r="AV36" s="84">
        <f>IF('Assumptions Calculat'!$L$7="",0,Tabla265[[#This Row],[Net VCU (t CO2)]]*(1-'Assumptions Calculat'!$P$6))</f>
        <v>36093.610666853136</v>
      </c>
      <c r="AX36" s="81">
        <v>27</v>
      </c>
      <c r="AY36" s="84">
        <f t="shared" si="3"/>
        <v>2051</v>
      </c>
      <c r="AZ36" s="82">
        <f>'Assumptions Calculat'!C42</f>
        <v>7.5773741764465843</v>
      </c>
      <c r="BA36" s="83">
        <f>(EXP(5.5344244+(2.40477*LN(Tabla2657[[#This Row],[DBH (cm)]]))))/1000</f>
        <v>33.007318384566879</v>
      </c>
      <c r="BB36" s="83">
        <f>Tabla2657[[#This Row],[AGB (Kg d.m.)/tree]]*'Assumptions Calculat'!$N$9</f>
        <v>9.572122331524394</v>
      </c>
      <c r="BC36" s="83">
        <f>Tabla2657[[#This Row],[BGB (Kg d.m.)/tree]]+Tabla2657[[#This Row],[AGB (Kg d.m.)/tree]]</f>
        <v>42.57944071609127</v>
      </c>
      <c r="BD36" s="84">
        <f>'Assumptions Calculat'!$L$10*(1-'Assumptions Calculat'!$P$7)</f>
        <v>2750</v>
      </c>
      <c r="BE36" s="85">
        <f>(Tabla2657[[#This Row],[Btree (kg d.m.)/tree]]/1000)*Tabla2657[[#This Row],[Density (trees/ha)]]</f>
        <v>117.093461969251</v>
      </c>
      <c r="BF36" s="85">
        <f>Tabla2657[[#This Row],[Btree (t d.m./ha)]]*'Assumptions Calculat'!$N$10</f>
        <v>55.033927125547962</v>
      </c>
      <c r="BG36" s="84">
        <f>Tabla2657[[#This Row],[Btree (t C/ha)]]*(44/12)*'Assumptions Calculat'!$L$8</f>
        <v>247751.71195883318</v>
      </c>
      <c r="BH36" s="84">
        <f>Tabla2657[[#This Row],[Tree Biomass Carbol pool (t CO2)]]-BG35</f>
        <v>15551.54251294327</v>
      </c>
      <c r="BI36" s="86">
        <v>1</v>
      </c>
      <c r="BJ36" s="85" cm="1">
        <f t="array" ref="BJ36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6" s="84">
        <f>IF('Assumptions Calculat'!$L$8="",0,Tabla2657[[#This Row],[NET Tree Biomass Carbol pool (t CO2)]]+(BJ36*'Assumptions Calculat'!$L$8))</f>
        <v>23810.193970623735</v>
      </c>
      <c r="BL36" s="84">
        <f>IF('Assumptions Calculat'!$L$8="",0,Tabla2657[[#This Row],[Net VCU (t CO2)]]*(1-'Assumptions Calculat'!$P$6))</f>
        <v>20714.86875444265</v>
      </c>
    </row>
    <row r="37" spans="2:64" x14ac:dyDescent="0.2">
      <c r="B37" s="81">
        <v>31</v>
      </c>
      <c r="C37" s="81">
        <f t="shared" si="0"/>
        <v>2052</v>
      </c>
      <c r="D37" s="28">
        <f>'Assumptions Calculat'!C46</f>
        <v>8.2136376320972051</v>
      </c>
      <c r="E37" s="91">
        <f>(EXP(5.5344244+(2.40477*LN(Tabla28[[#This Row],[DBH (cm)]]))))/1000</f>
        <v>40.069839705198198</v>
      </c>
      <c r="F37" s="83">
        <f>Tabla28[[#This Row],[AGB (Kg d.m.)/tree]]*'Assumptions Calculat'!$N$9</f>
        <v>11.620253514507477</v>
      </c>
      <c r="G37" s="83">
        <f>Tabla28[[#This Row],[BGB (Kg d.m.)/tree]]+Tabla28[[#This Row],[AGB (Kg d.m.)/tree]]</f>
        <v>51.690093219705673</v>
      </c>
      <c r="H37" s="84">
        <f>'Assumptions Calculat'!$L$10*(1-'Assumptions Calculat'!$P$7)</f>
        <v>2750</v>
      </c>
      <c r="I37" s="85">
        <f>(Tabla28[[#This Row],[Btree (kg d.m.)/tree]]/1000)*Tabla28[[#This Row],[Density (trees/ha)]]</f>
        <v>142.14775635419062</v>
      </c>
      <c r="J37" s="85">
        <f>Tabla28[[#This Row],[Btree (t d.m./ha)]]*'Assumptions Calculat'!$N$10</f>
        <v>66.809445486469585</v>
      </c>
      <c r="K37" s="84">
        <f>Tabla28[[#This Row],[Btree (t C/ha)]]*(44/12)*'Assumptions Calculat'!$L$5</f>
        <v>267123.36838443117</v>
      </c>
      <c r="L37" s="84">
        <f>Tabla28[[#This Row],[Tree Biomass Carbol pool (t CO2)]]-K36</f>
        <v>10521.412407525699</v>
      </c>
      <c r="M37" s="86">
        <v>1</v>
      </c>
      <c r="N37" s="85" cm="1">
        <f t="array" ref="N37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7" s="84">
        <f>Tabla28[[#This Row],[NET Tree Biomass Carbol pool (t CO2)]]+(N37*'Assumptions Calculat'!$L$5)</f>
        <v>17856.359632492826</v>
      </c>
      <c r="P37" s="84">
        <f>IF('Assumptions Calculat'!$L$5="",0,Tabla28[[#This Row],[Net VCU (t CO2)]]*(1-'Assumptions Calculat'!$P$6))</f>
        <v>15535.032880268758</v>
      </c>
      <c r="R37" s="81">
        <v>30</v>
      </c>
      <c r="S37" s="84">
        <f t="shared" si="1"/>
        <v>2052</v>
      </c>
      <c r="T37" s="82">
        <f>'Assumptions Calculat'!C45</f>
        <v>8.0775253414867567</v>
      </c>
      <c r="U37" s="83">
        <f>(EXP(5.5344244+(2.40477*LN(Tabla26[[#This Row],[DBH (cm)]]))))/1000</f>
        <v>38.491575283063845</v>
      </c>
      <c r="V37" s="83">
        <f>Tabla26[[#This Row],[AGB (Kg d.m.)/tree]]*'Assumptions Calculat'!$N$9</f>
        <v>11.162556832088514</v>
      </c>
      <c r="W37" s="83">
        <f>Tabla26[[#This Row],[BGB (Kg d.m.)/tree]]+Tabla26[[#This Row],[AGB (Kg d.m.)/tree]]</f>
        <v>49.654132115152358</v>
      </c>
      <c r="X37" s="84">
        <f>'Assumptions Calculat'!$L$10*(1-'Assumptions Calculat'!$P$7)</f>
        <v>2750</v>
      </c>
      <c r="Y37" s="85">
        <f>(Tabla26[[#This Row],[Btree (kg d.m.)/tree]]/1000)*Tabla26[[#This Row],[Density (trees/ha)]]</f>
        <v>136.54886331666899</v>
      </c>
      <c r="Z37" s="85">
        <f>Tabla26[[#This Row],[Btree (t d.m./ha)]]*'Assumptions Calculat'!$N$10</f>
        <v>64.177965758834418</v>
      </c>
      <c r="AA37" s="84">
        <f>Tabla26[[#This Row],[Btree (t C/ha)]]*(44/12)*'Assumptions Calculat'!$L$6</f>
        <v>466632.97169080476</v>
      </c>
      <c r="AB37" s="85">
        <f>Tabla26[[#This Row],[Tree Biomass Carbol pool (t CO2)]]-AA36</f>
        <v>20645.72556414752</v>
      </c>
      <c r="AC37" s="86">
        <v>1</v>
      </c>
      <c r="AD37" s="85" cm="1">
        <f t="array" ref="AD37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7" s="84">
        <f>Tabla26[[#This Row],[NET Tree Biomass Carbol pool (t CO2)]]+(AD37*'Assumptions Calculat'!$L$6)</f>
        <v>33984.393259609991</v>
      </c>
      <c r="AF37" s="84">
        <f>IF('Assumptions Calculat'!$L$6="",0,Tabla26[[#This Row],[Net VCU (t CO2)]]*(1-'Assumptions Calculat'!$P$6))</f>
        <v>29566.422135860692</v>
      </c>
      <c r="AH37" s="81">
        <v>29</v>
      </c>
      <c r="AI37" s="84">
        <f t="shared" si="2"/>
        <v>2052</v>
      </c>
      <c r="AJ37" s="82">
        <f>'Assumptions Calculat'!C44</f>
        <v>7.926944713018929</v>
      </c>
      <c r="AK37" s="83">
        <f>(EXP(5.5344244+(2.40477*LN(Tabla265[[#This Row],[DBH (cm)]]))))/1000</f>
        <v>36.788552676353518</v>
      </c>
      <c r="AL37" s="83">
        <f>Tabla265[[#This Row],[AGB (Kg d.m.)/tree]]*'Assumptions Calculat'!$N$9</f>
        <v>10.668680276142519</v>
      </c>
      <c r="AM37" s="83">
        <f>Tabla265[[#This Row],[BGB (Kg d.m.)/tree]]+Tabla265[[#This Row],[AGB (Kg d.m.)/tree]]</f>
        <v>47.457232952496035</v>
      </c>
      <c r="AN37" s="84">
        <f>'Assumptions Calculat'!$L$10*(1-'Assumptions Calculat'!$P$7)</f>
        <v>2750</v>
      </c>
      <c r="AO37" s="85">
        <f>(Tabla265[[#This Row],[Btree (kg d.m.)/tree]]/1000)*Tabla265[[#This Row],[Density (trees/ha)]]</f>
        <v>130.50739061936409</v>
      </c>
      <c r="AP37" s="85">
        <f>Tabla265[[#This Row],[Btree (t d.m./ha)]]*'Assumptions Calculat'!$N$10</f>
        <v>61.338473591101121</v>
      </c>
      <c r="AQ37" s="84">
        <f>Tabla265[[#This Row],[Btree (t C/ha)]]*(44/12)*'Assumptions Calculat'!$L$7</f>
        <v>499934.86950369872</v>
      </c>
      <c r="AR37" s="85">
        <f>Tabla265[[#This Row],[Tree Biomass Carbol pool (t CO2)]]-AQ36</f>
        <v>24849.992102981487</v>
      </c>
      <c r="AS37" s="86">
        <v>1</v>
      </c>
      <c r="AT37" s="85" cm="1">
        <f t="array" ref="AT37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7" s="84">
        <f>Tabla265[[#This Row],[NET Tree Biomass Carbol pool (t CO2)]]+(AT37*'Assumptions Calculat'!$L$7)</f>
        <v>39802.135133077099</v>
      </c>
      <c r="AV37" s="84">
        <f>IF('Assumptions Calculat'!$L$7="",0,Tabla265[[#This Row],[Net VCU (t CO2)]]*(1-'Assumptions Calculat'!$P$6))</f>
        <v>34627.857565777078</v>
      </c>
      <c r="AX37" s="81">
        <v>28</v>
      </c>
      <c r="AY37" s="84">
        <f t="shared" si="3"/>
        <v>2052</v>
      </c>
      <c r="AZ37" s="82">
        <f>'Assumptions Calculat'!C43</f>
        <v>7.7606518902807267</v>
      </c>
      <c r="BA37" s="83">
        <f>(EXP(5.5344244+(2.40477*LN(Tabla2657[[#This Row],[DBH (cm)]]))))/1000</f>
        <v>34.959923990390777</v>
      </c>
      <c r="BB37" s="83">
        <f>Tabla2657[[#This Row],[AGB (Kg d.m.)/tree]]*'Assumptions Calculat'!$N$9</f>
        <v>10.138377957213324</v>
      </c>
      <c r="BC37" s="83">
        <f>Tabla2657[[#This Row],[BGB (Kg d.m.)/tree]]+Tabla2657[[#This Row],[AGB (Kg d.m.)/tree]]</f>
        <v>45.098301947604099</v>
      </c>
      <c r="BD37" s="84">
        <f>'Assumptions Calculat'!$L$10*(1-'Assumptions Calculat'!$P$7)</f>
        <v>2750</v>
      </c>
      <c r="BE37" s="85">
        <f>(Tabla2657[[#This Row],[Btree (kg d.m.)/tree]]/1000)*Tabla2657[[#This Row],[Density (trees/ha)]]</f>
        <v>124.02033035591127</v>
      </c>
      <c r="BF37" s="85">
        <f>Tabla2657[[#This Row],[Btree (t d.m./ha)]]*'Assumptions Calculat'!$N$10</f>
        <v>58.289555267278296</v>
      </c>
      <c r="BG37" s="84">
        <f>Tabla2657[[#This Row],[Btree (t C/ha)]]*(44/12)*'Assumptions Calculat'!$L$8</f>
        <v>262407.89747463312</v>
      </c>
      <c r="BH37" s="85">
        <f>Tabla2657[[#This Row],[Tree Biomass Carbol pool (t CO2)]]-BG36</f>
        <v>14656.185515799938</v>
      </c>
      <c r="BI37" s="86">
        <v>1</v>
      </c>
      <c r="BJ37" s="85" cm="1">
        <f t="array" ref="BJ37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7" s="84">
        <f>IF('Assumptions Calculat'!$L$8="",0,Tabla2657[[#This Row],[NET Tree Biomass Carbol pool (t CO2)]]+(BJ37*'Assumptions Calculat'!$L$8))</f>
        <v>22914.836973480404</v>
      </c>
      <c r="BL37" s="84">
        <f>IF('Assumptions Calculat'!$L$8="",0,Tabla2657[[#This Row],[Net VCU (t CO2)]]*(1-'Assumptions Calculat'!$P$6))</f>
        <v>19935.908166927951</v>
      </c>
    </row>
    <row r="38" spans="2:64" s="12" customFormat="1" ht="14.25" customHeight="1" x14ac:dyDescent="0.2">
      <c r="B38" s="81">
        <v>32</v>
      </c>
      <c r="C38" s="81">
        <f t="shared" si="0"/>
        <v>2053</v>
      </c>
      <c r="D38" s="88">
        <f>'Assumptions Calculat'!C47</f>
        <v>8.3364795902354754</v>
      </c>
      <c r="E38" s="83">
        <f>(EXP(5.5344244+(2.40477*LN(Tabla28[[#This Row],[DBH (cm)]]))))/1000</f>
        <v>41.526136181951728</v>
      </c>
      <c r="F38" s="83">
        <f>Tabla28[[#This Row],[AGB (Kg d.m.)/tree]]*'Assumptions Calculat'!$N$9</f>
        <v>12.042579492766</v>
      </c>
      <c r="G38" s="83">
        <f>Tabla28[[#This Row],[BGB (Kg d.m.)/tree]]+Tabla28[[#This Row],[AGB (Kg d.m.)/tree]]</f>
        <v>53.56871567471773</v>
      </c>
      <c r="H38" s="84">
        <f>'Assumptions Calculat'!$L$10*(1-'Assumptions Calculat'!$P$7)</f>
        <v>2750</v>
      </c>
      <c r="I38" s="85">
        <f>(Tabla28[[#This Row],[Btree (kg d.m.)/tree]]/1000)*Tabla28[[#This Row],[Density (trees/ha)]]</f>
        <v>147.31396810547375</v>
      </c>
      <c r="J38" s="85">
        <f>Tabla28[[#This Row],[Btree (t d.m./ha)]]*'Assumptions Calculat'!$N$10</f>
        <v>69.237565009572663</v>
      </c>
      <c r="K38" s="84">
        <f>Tabla28[[#This Row],[Btree (t C/ha)]]*(44/12)*'Assumptions Calculat'!$L$5</f>
        <v>276831.68823544157</v>
      </c>
      <c r="L38" s="84">
        <f>Tabla28[[#This Row],[Tree Biomass Carbol pool (t CO2)]]-K37</f>
        <v>9708.3198510103975</v>
      </c>
      <c r="M38" s="86">
        <v>1</v>
      </c>
      <c r="N38" s="85" cm="1">
        <f t="array" ref="N38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8" s="84">
        <f>Tabla28[[#This Row],[NET Tree Biomass Carbol pool (t CO2)]]+(N38*'Assumptions Calculat'!$L$5)</f>
        <v>17043.267075977525</v>
      </c>
      <c r="P38" s="84">
        <f>IF('Assumptions Calculat'!$L$5="",0,Tabla28[[#This Row],[Net VCU (t CO2)]]*(1-'Assumptions Calculat'!$P$6))</f>
        <v>14827.642356100447</v>
      </c>
      <c r="Q38" s="13"/>
      <c r="R38" s="81">
        <v>31</v>
      </c>
      <c r="S38" s="84">
        <f t="shared" si="1"/>
        <v>2053</v>
      </c>
      <c r="T38" s="82">
        <f>'Assumptions Calculat'!C46</f>
        <v>8.2136376320972051</v>
      </c>
      <c r="U38" s="83">
        <f>(EXP(5.5344244+(2.40477*LN(Tabla26[[#This Row],[DBH (cm)]]))))/1000</f>
        <v>40.069839705198198</v>
      </c>
      <c r="V38" s="83">
        <f>Tabla26[[#This Row],[AGB (Kg d.m.)/tree]]*'Assumptions Calculat'!$N$9</f>
        <v>11.620253514507477</v>
      </c>
      <c r="W38" s="83">
        <f>Tabla26[[#This Row],[BGB (Kg d.m.)/tree]]+Tabla26[[#This Row],[AGB (Kg d.m.)/tree]]</f>
        <v>51.690093219705673</v>
      </c>
      <c r="X38" s="84">
        <f>'Assumptions Calculat'!$L$10*(1-'Assumptions Calculat'!$P$7)</f>
        <v>2750</v>
      </c>
      <c r="Y38" s="85">
        <f>(Tabla26[[#This Row],[Btree (kg d.m.)/tree]]/1000)*Tabla26[[#This Row],[Density (trees/ha)]]</f>
        <v>142.14775635419062</v>
      </c>
      <c r="Z38" s="85">
        <f>Tabla26[[#This Row],[Btree (t d.m./ha)]]*'Assumptions Calculat'!$N$10</f>
        <v>66.809445486469585</v>
      </c>
      <c r="AA38" s="84">
        <f>Tabla26[[#This Row],[Btree (t C/ha)]]*(44/12)*'Assumptions Calculat'!$L$6</f>
        <v>485766.25506511424</v>
      </c>
      <c r="AB38" s="85">
        <f>Tabla26[[#This Row],[Tree Biomass Carbol pool (t CO2)]]-AA37</f>
        <v>19133.283374309482</v>
      </c>
      <c r="AC38" s="86">
        <v>1</v>
      </c>
      <c r="AD38" s="85" cm="1">
        <f t="array" ref="AD38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8" s="84">
        <f>Tabla26[[#This Row],[NET Tree Biomass Carbol pool (t CO2)]]+(AD38*'Assumptions Calculat'!$L$6)</f>
        <v>32471.951069771956</v>
      </c>
      <c r="AF38" s="84">
        <f>IF('Assumptions Calculat'!$L$6="",0,Tabla26[[#This Row],[Net VCU (t CO2)]]*(1-'Assumptions Calculat'!$P$6))</f>
        <v>28250.5974307016</v>
      </c>
      <c r="AH38" s="81">
        <v>30</v>
      </c>
      <c r="AI38" s="84">
        <f t="shared" si="2"/>
        <v>2053</v>
      </c>
      <c r="AJ38" s="82">
        <f>'Assumptions Calculat'!C45</f>
        <v>8.0775253414867567</v>
      </c>
      <c r="AK38" s="83">
        <f>(EXP(5.5344244+(2.40477*LN(Tabla265[[#This Row],[DBH (cm)]]))))/1000</f>
        <v>38.491575283063845</v>
      </c>
      <c r="AL38" s="83">
        <f>Tabla265[[#This Row],[AGB (Kg d.m.)/tree]]*'Assumptions Calculat'!$N$9</f>
        <v>11.162556832088514</v>
      </c>
      <c r="AM38" s="83">
        <f>Tabla265[[#This Row],[BGB (Kg d.m.)/tree]]+Tabla265[[#This Row],[AGB (Kg d.m.)/tree]]</f>
        <v>49.654132115152358</v>
      </c>
      <c r="AN38" s="84">
        <f>'Assumptions Calculat'!$L$10*(1-'Assumptions Calculat'!$P$7)</f>
        <v>2750</v>
      </c>
      <c r="AO38" s="85">
        <f>(Tabla265[[#This Row],[Btree (kg d.m.)/tree]]/1000)*Tabla265[[#This Row],[Density (trees/ha)]]</f>
        <v>136.54886331666899</v>
      </c>
      <c r="AP38" s="85">
        <f>Tabla265[[#This Row],[Btree (t d.m./ha)]]*'Assumptions Calculat'!$N$10</f>
        <v>64.177965758834418</v>
      </c>
      <c r="AQ38" s="84">
        <f>Tabla265[[#This Row],[Btree (t C/ha)]]*(44/12)*'Assumptions Calculat'!$L$7</f>
        <v>523077.94860598777</v>
      </c>
      <c r="AR38" s="85">
        <f>Tabla265[[#This Row],[Tree Biomass Carbol pool (t CO2)]]-AQ37</f>
        <v>23143.079102289048</v>
      </c>
      <c r="AS38" s="86">
        <v>1</v>
      </c>
      <c r="AT38" s="85" cm="1">
        <f t="array" ref="AT38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8" s="84">
        <f>Tabla265[[#This Row],[NET Tree Biomass Carbol pool (t CO2)]]+(AT38*'Assumptions Calculat'!$L$7)</f>
        <v>38095.222132384661</v>
      </c>
      <c r="AV38" s="84">
        <f>IF('Assumptions Calculat'!$L$7="",0,Tabla265[[#This Row],[Net VCU (t CO2)]]*(1-'Assumptions Calculat'!$P$6))</f>
        <v>33142.843255174652</v>
      </c>
      <c r="AX38" s="81">
        <v>29</v>
      </c>
      <c r="AY38" s="84">
        <f t="shared" si="3"/>
        <v>2053</v>
      </c>
      <c r="AZ38" s="82">
        <f>'Assumptions Calculat'!C44</f>
        <v>7.926944713018929</v>
      </c>
      <c r="BA38" s="83">
        <f>(EXP(5.5344244+(2.40477*LN(Tabla2657[[#This Row],[DBH (cm)]]))))/1000</f>
        <v>36.788552676353518</v>
      </c>
      <c r="BB38" s="83">
        <f>Tabla2657[[#This Row],[AGB (Kg d.m.)/tree]]*'Assumptions Calculat'!$N$9</f>
        <v>10.668680276142519</v>
      </c>
      <c r="BC38" s="83">
        <f>Tabla2657[[#This Row],[BGB (Kg d.m.)/tree]]+Tabla2657[[#This Row],[AGB (Kg d.m.)/tree]]</f>
        <v>47.457232952496035</v>
      </c>
      <c r="BD38" s="84">
        <f>'Assumptions Calculat'!$L$10*(1-'Assumptions Calculat'!$P$7)</f>
        <v>2750</v>
      </c>
      <c r="BE38" s="85">
        <f>(Tabla2657[[#This Row],[Btree (kg d.m.)/tree]]/1000)*Tabla2657[[#This Row],[Density (trees/ha)]]</f>
        <v>130.50739061936409</v>
      </c>
      <c r="BF38" s="85">
        <f>Tabla2657[[#This Row],[Btree (t d.m./ha)]]*'Assumptions Calculat'!$N$10</f>
        <v>61.338473591101121</v>
      </c>
      <c r="BG38" s="84">
        <f>Tabla2657[[#This Row],[Btree (t C/ha)]]*(44/12)*'Assumptions Calculat'!$L$8</f>
        <v>276133.51681171107</v>
      </c>
      <c r="BH38" s="85">
        <f>Tabla2657[[#This Row],[Tree Biomass Carbol pool (t CO2)]]-BG37</f>
        <v>13725.619337077951</v>
      </c>
      <c r="BI38" s="86">
        <v>1</v>
      </c>
      <c r="BJ38" s="85" cm="1">
        <f t="array" ref="BJ38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8" s="84">
        <f>IF('Assumptions Calculat'!$L$8="",0,Tabla2657[[#This Row],[NET Tree Biomass Carbol pool (t CO2)]]+(BJ38*'Assumptions Calculat'!$L$8))</f>
        <v>21984.270794758417</v>
      </c>
      <c r="BL38" s="84">
        <f>IF('Assumptions Calculat'!$L$8="",0,Tabla2657[[#This Row],[Net VCU (t CO2)]]*(1-'Assumptions Calculat'!$P$6))</f>
        <v>19126.315591439823</v>
      </c>
    </row>
    <row r="39" spans="2:64" s="12" customFormat="1" ht="14.25" customHeight="1" x14ac:dyDescent="0.2">
      <c r="B39" s="81">
        <v>33</v>
      </c>
      <c r="C39" s="81">
        <f t="shared" si="0"/>
        <v>2054</v>
      </c>
      <c r="D39" s="88">
        <f>'Assumptions Calculat'!C48</f>
        <v>8.4471916841727843</v>
      </c>
      <c r="E39" s="83">
        <f>(EXP(5.5344244+(2.40477*LN(Tabla28[[#This Row],[DBH (cm)]]))))/1000</f>
        <v>42.864724199401344</v>
      </c>
      <c r="F39" s="83">
        <f>Tabla28[[#This Row],[AGB (Kg d.m.)/tree]]*'Assumptions Calculat'!$N$9</f>
        <v>12.430770017826388</v>
      </c>
      <c r="G39" s="83">
        <f>Tabla28[[#This Row],[BGB (Kg d.m.)/tree]]+Tabla28[[#This Row],[AGB (Kg d.m.)/tree]]</f>
        <v>55.295494217227734</v>
      </c>
      <c r="H39" s="84">
        <f>'Assumptions Calculat'!$L$10*(1-'Assumptions Calculat'!$P$7)</f>
        <v>2750</v>
      </c>
      <c r="I39" s="85">
        <f>(Tabla28[[#This Row],[Btree (kg d.m.)/tree]]/1000)*Tabla28[[#This Row],[Density (trees/ha)]]</f>
        <v>152.06260909737628</v>
      </c>
      <c r="J39" s="85">
        <f>Tabla28[[#This Row],[Btree (t d.m./ha)]]*'Assumptions Calculat'!$N$10</f>
        <v>71.46942627576685</v>
      </c>
      <c r="K39" s="84">
        <f>Tabla28[[#This Row],[Btree (t C/ha)]]*(44/12)*'Assumptions Calculat'!$L$5</f>
        <v>285755.31115809066</v>
      </c>
      <c r="L39" s="84">
        <f>Tabla28[[#This Row],[Tree Biomass Carbol pool (t CO2)]]-K38</f>
        <v>8923.6229226490832</v>
      </c>
      <c r="M39" s="86">
        <v>1</v>
      </c>
      <c r="N39" s="85" cm="1">
        <f t="array" ref="N39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39" s="84">
        <f>Tabla28[[#This Row],[NET Tree Biomass Carbol pool (t CO2)]]+(N39*'Assumptions Calculat'!$L$5)</f>
        <v>16258.57014761621</v>
      </c>
      <c r="P39" s="84">
        <f>IF('Assumptions Calculat'!$L$5="",0,Tabla28[[#This Row],[Net VCU (t CO2)]]*(1-'Assumptions Calculat'!$P$6))</f>
        <v>14144.956028426102</v>
      </c>
      <c r="Q39" s="13"/>
      <c r="R39" s="81">
        <v>32</v>
      </c>
      <c r="S39" s="84">
        <f t="shared" si="1"/>
        <v>2054</v>
      </c>
      <c r="T39" s="82">
        <f>'Assumptions Calculat'!C47</f>
        <v>8.3364795902354754</v>
      </c>
      <c r="U39" s="83">
        <f>(EXP(5.5344244+(2.40477*LN(Tabla26[[#This Row],[DBH (cm)]]))))/1000</f>
        <v>41.526136181951728</v>
      </c>
      <c r="V39" s="83">
        <f>Tabla26[[#This Row],[AGB (Kg d.m.)/tree]]*'Assumptions Calculat'!$N$9</f>
        <v>12.042579492766</v>
      </c>
      <c r="W39" s="83">
        <f>Tabla26[[#This Row],[BGB (Kg d.m.)/tree]]+Tabla26[[#This Row],[AGB (Kg d.m.)/tree]]</f>
        <v>53.56871567471773</v>
      </c>
      <c r="X39" s="84">
        <f>'Assumptions Calculat'!$L$10*(1-'Assumptions Calculat'!$P$7)</f>
        <v>2750</v>
      </c>
      <c r="Y39" s="85">
        <f>(Tabla26[[#This Row],[Btree (kg d.m.)/tree]]/1000)*Tabla26[[#This Row],[Density (trees/ha)]]</f>
        <v>147.31396810547375</v>
      </c>
      <c r="Z39" s="85">
        <f>Tabla26[[#This Row],[Btree (t d.m./ha)]]*'Assumptions Calculat'!$N$10</f>
        <v>69.237565009572663</v>
      </c>
      <c r="AA39" s="84">
        <f>Tabla26[[#This Row],[Btree (t C/ha)]]*(44/12)*'Assumptions Calculat'!$L$6</f>
        <v>503420.92229068116</v>
      </c>
      <c r="AB39" s="85">
        <f>Tabla26[[#This Row],[Tree Biomass Carbol pool (t CO2)]]-AA38</f>
        <v>17654.667225566925</v>
      </c>
      <c r="AC39" s="86">
        <v>1</v>
      </c>
      <c r="AD39" s="85" cm="1">
        <f t="array" ref="AD39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39" s="84">
        <f>Tabla26[[#This Row],[NET Tree Biomass Carbol pool (t CO2)]]+(AD39*'Assumptions Calculat'!$L$6)</f>
        <v>30993.3349210294</v>
      </c>
      <c r="AF39" s="84">
        <f>IF('Assumptions Calculat'!$L$6="",0,Tabla26[[#This Row],[Net VCU (t CO2)]]*(1-'Assumptions Calculat'!$P$6))</f>
        <v>26964.201381295577</v>
      </c>
      <c r="AH39" s="81">
        <v>31</v>
      </c>
      <c r="AI39" s="84">
        <f t="shared" si="2"/>
        <v>2054</v>
      </c>
      <c r="AJ39" s="82">
        <f>'Assumptions Calculat'!C46</f>
        <v>8.2136376320972051</v>
      </c>
      <c r="AK39" s="83">
        <f>(EXP(5.5344244+(2.40477*LN(Tabla265[[#This Row],[DBH (cm)]]))))/1000</f>
        <v>40.069839705198198</v>
      </c>
      <c r="AL39" s="83">
        <f>Tabla265[[#This Row],[AGB (Kg d.m.)/tree]]*'Assumptions Calculat'!$N$9</f>
        <v>11.620253514507477</v>
      </c>
      <c r="AM39" s="83">
        <f>Tabla265[[#This Row],[BGB (Kg d.m.)/tree]]+Tabla265[[#This Row],[AGB (Kg d.m.)/tree]]</f>
        <v>51.690093219705673</v>
      </c>
      <c r="AN39" s="84">
        <f>'Assumptions Calculat'!$L$10*(1-'Assumptions Calculat'!$P$7)</f>
        <v>2750</v>
      </c>
      <c r="AO39" s="85">
        <f>(Tabla265[[#This Row],[Btree (kg d.m.)/tree]]/1000)*Tabla265[[#This Row],[Density (trees/ha)]]</f>
        <v>142.14775635419062</v>
      </c>
      <c r="AP39" s="85">
        <f>Tabla265[[#This Row],[Btree (t d.m./ha)]]*'Assumptions Calculat'!$N$10</f>
        <v>66.809445486469585</v>
      </c>
      <c r="AQ39" s="84">
        <f>Tabla265[[#This Row],[Btree (t C/ha)]]*(44/12)*'Assumptions Calculat'!$L$7</f>
        <v>544525.63709929539</v>
      </c>
      <c r="AR39" s="85">
        <f>Tabla265[[#This Row],[Tree Biomass Carbol pool (t CO2)]]-AQ38</f>
        <v>21447.688493307622</v>
      </c>
      <c r="AS39" s="86">
        <v>1</v>
      </c>
      <c r="AT39" s="85" cm="1">
        <f t="array" ref="AT39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39" s="84">
        <f>Tabla265[[#This Row],[NET Tree Biomass Carbol pool (t CO2)]]+(AT39*'Assumptions Calculat'!$L$7)</f>
        <v>36399.831523403234</v>
      </c>
      <c r="AV39" s="84">
        <f>IF('Assumptions Calculat'!$L$7="",0,Tabla265[[#This Row],[Net VCU (t CO2)]]*(1-'Assumptions Calculat'!$P$6))</f>
        <v>31667.853425360812</v>
      </c>
      <c r="AX39" s="81">
        <v>30</v>
      </c>
      <c r="AY39" s="84">
        <f t="shared" si="3"/>
        <v>2054</v>
      </c>
      <c r="AZ39" s="82">
        <f>'Assumptions Calculat'!C45</f>
        <v>8.0775253414867567</v>
      </c>
      <c r="BA39" s="83">
        <f>(EXP(5.5344244+(2.40477*LN(Tabla2657[[#This Row],[DBH (cm)]]))))/1000</f>
        <v>38.491575283063845</v>
      </c>
      <c r="BB39" s="83">
        <f>Tabla2657[[#This Row],[AGB (Kg d.m.)/tree]]*'Assumptions Calculat'!$N$9</f>
        <v>11.162556832088514</v>
      </c>
      <c r="BC39" s="83">
        <f>Tabla2657[[#This Row],[BGB (Kg d.m.)/tree]]+Tabla2657[[#This Row],[AGB (Kg d.m.)/tree]]</f>
        <v>49.654132115152358</v>
      </c>
      <c r="BD39" s="84">
        <f>'Assumptions Calculat'!$L$10*(1-'Assumptions Calculat'!$P$7)</f>
        <v>2750</v>
      </c>
      <c r="BE39" s="85">
        <f>(Tabla2657[[#This Row],[Btree (kg d.m.)/tree]]/1000)*Tabla2657[[#This Row],[Density (trees/ha)]]</f>
        <v>136.54886331666899</v>
      </c>
      <c r="BF39" s="85">
        <f>Tabla2657[[#This Row],[Btree (t d.m./ha)]]*'Assumptions Calculat'!$N$10</f>
        <v>64.177965758834418</v>
      </c>
      <c r="BG39" s="84">
        <f>Tabla2657[[#This Row],[Btree (t C/ha)]]*(44/12)*'Assumptions Calculat'!$L$8</f>
        <v>288916.34155988443</v>
      </c>
      <c r="BH39" s="85">
        <f>Tabla2657[[#This Row],[Tree Biomass Carbol pool (t CO2)]]-BG38</f>
        <v>12782.824748173356</v>
      </c>
      <c r="BI39" s="86">
        <v>1</v>
      </c>
      <c r="BJ39" s="85" cm="1">
        <f t="array" ref="BJ39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39" s="84">
        <f>IF('Assumptions Calculat'!$L$8="",0,Tabla2657[[#This Row],[NET Tree Biomass Carbol pool (t CO2)]]+(BJ39*'Assumptions Calculat'!$L$8))</f>
        <v>21041.476205853822</v>
      </c>
      <c r="BL39" s="84">
        <f>IF('Assumptions Calculat'!$L$8="",0,Tabla2657[[#This Row],[Net VCU (t CO2)]]*(1-'Assumptions Calculat'!$P$6))</f>
        <v>18306.084299092825</v>
      </c>
    </row>
    <row r="40" spans="2:64" s="12" customFormat="1" ht="14.25" customHeight="1" x14ac:dyDescent="0.2">
      <c r="B40" s="81">
        <v>34</v>
      </c>
      <c r="C40" s="81">
        <f t="shared" si="0"/>
        <v>2055</v>
      </c>
      <c r="D40" s="88">
        <f>'Assumptions Calculat'!C49</f>
        <v>8.5468493766937907</v>
      </c>
      <c r="E40" s="83">
        <f>(EXP(5.5344244+(2.40477*LN(Tabla28[[#This Row],[DBH (cm)]]))))/1000</f>
        <v>44.090925301387649</v>
      </c>
      <c r="F40" s="83">
        <f>Tabla28[[#This Row],[AGB (Kg d.m.)/tree]]*'Assumptions Calculat'!$N$9</f>
        <v>12.786368337402417</v>
      </c>
      <c r="G40" s="83">
        <f>Tabla28[[#This Row],[BGB (Kg d.m.)/tree]]+Tabla28[[#This Row],[AGB (Kg d.m.)/tree]]</f>
        <v>56.877293638790064</v>
      </c>
      <c r="H40" s="84">
        <f>'Assumptions Calculat'!$L$10*(1-'Assumptions Calculat'!$P$7)</f>
        <v>2750</v>
      </c>
      <c r="I40" s="85">
        <f>(Tabla28[[#This Row],[Btree (kg d.m.)/tree]]/1000)*Tabla28[[#This Row],[Density (trees/ha)]]</f>
        <v>156.41255750667267</v>
      </c>
      <c r="J40" s="85">
        <f>Tabla28[[#This Row],[Btree (t d.m./ha)]]*'Assumptions Calculat'!$N$10</f>
        <v>73.513902028136144</v>
      </c>
      <c r="K40" s="84">
        <f>Tabla28[[#This Row],[Btree (t C/ha)]]*(44/12)*'Assumptions Calculat'!$L$5</f>
        <v>293929.71292982489</v>
      </c>
      <c r="L40" s="84">
        <f>Tabla28[[#This Row],[Tree Biomass Carbol pool (t CO2)]]-K39</f>
        <v>8174.4017717342358</v>
      </c>
      <c r="M40" s="86">
        <v>1</v>
      </c>
      <c r="N40" s="85" cm="1">
        <f t="array" ref="N40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0" s="84">
        <f>Tabla28[[#This Row],[NET Tree Biomass Carbol pool (t CO2)]]+(N40*'Assumptions Calculat'!$L$5)</f>
        <v>15509.348996701363</v>
      </c>
      <c r="P40" s="84">
        <f>IF('Assumptions Calculat'!$L$5="",0,Tabla28[[#This Row],[Net VCU (t CO2)]]*(1-'Assumptions Calculat'!$P$6))</f>
        <v>13493.133627130186</v>
      </c>
      <c r="Q40" s="13"/>
      <c r="R40" s="81">
        <v>33</v>
      </c>
      <c r="S40" s="84">
        <f t="shared" si="1"/>
        <v>2055</v>
      </c>
      <c r="T40" s="82">
        <f>'Assumptions Calculat'!C48</f>
        <v>8.4471916841727843</v>
      </c>
      <c r="U40" s="83">
        <f>(EXP(5.5344244+(2.40477*LN(Tabla26[[#This Row],[DBH (cm)]]))))/1000</f>
        <v>42.864724199401344</v>
      </c>
      <c r="V40" s="83">
        <f>Tabla26[[#This Row],[AGB (Kg d.m.)/tree]]*'Assumptions Calculat'!$N$9</f>
        <v>12.430770017826388</v>
      </c>
      <c r="W40" s="83">
        <f>Tabla26[[#This Row],[BGB (Kg d.m.)/tree]]+Tabla26[[#This Row],[AGB (Kg d.m.)/tree]]</f>
        <v>55.295494217227734</v>
      </c>
      <c r="X40" s="84">
        <f>'Assumptions Calculat'!$L$10*(1-'Assumptions Calculat'!$P$7)</f>
        <v>2750</v>
      </c>
      <c r="Y40" s="85">
        <f>(Tabla26[[#This Row],[Btree (kg d.m.)/tree]]/1000)*Tabla26[[#This Row],[Density (trees/ha)]]</f>
        <v>152.06260909737628</v>
      </c>
      <c r="Z40" s="85">
        <f>Tabla26[[#This Row],[Btree (t d.m./ha)]]*'Assumptions Calculat'!$N$10</f>
        <v>71.46942627576685</v>
      </c>
      <c r="AA40" s="84">
        <f>Tabla26[[#This Row],[Btree (t C/ha)]]*(44/12)*'Assumptions Calculat'!$L$6</f>
        <v>519648.61107345362</v>
      </c>
      <c r="AB40" s="85">
        <f>Tabla26[[#This Row],[Tree Biomass Carbol pool (t CO2)]]-AA39</f>
        <v>16227.688782772457</v>
      </c>
      <c r="AC40" s="86">
        <v>1</v>
      </c>
      <c r="AD40" s="85" cm="1">
        <f t="array" ref="AD40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0" s="84">
        <f>Tabla26[[#This Row],[NET Tree Biomass Carbol pool (t CO2)]]+(AD40*'Assumptions Calculat'!$L$6)</f>
        <v>29566.356478234931</v>
      </c>
      <c r="AF40" s="84">
        <f>IF('Assumptions Calculat'!$L$6="",0,Tabla26[[#This Row],[Net VCU (t CO2)]]*(1-'Assumptions Calculat'!$P$6))</f>
        <v>25722.730136064391</v>
      </c>
      <c r="AH40" s="81">
        <v>32</v>
      </c>
      <c r="AI40" s="84">
        <f t="shared" si="2"/>
        <v>2055</v>
      </c>
      <c r="AJ40" s="82">
        <f>'Assumptions Calculat'!C47</f>
        <v>8.3364795902354754</v>
      </c>
      <c r="AK40" s="83">
        <f>(EXP(5.5344244+(2.40477*LN(Tabla265[[#This Row],[DBH (cm)]]))))/1000</f>
        <v>41.526136181951728</v>
      </c>
      <c r="AL40" s="83">
        <f>Tabla265[[#This Row],[AGB (Kg d.m.)/tree]]*'Assumptions Calculat'!$N$9</f>
        <v>12.042579492766</v>
      </c>
      <c r="AM40" s="83">
        <f>Tabla265[[#This Row],[BGB (Kg d.m.)/tree]]+Tabla265[[#This Row],[AGB (Kg d.m.)/tree]]</f>
        <v>53.56871567471773</v>
      </c>
      <c r="AN40" s="84">
        <f>'Assumptions Calculat'!$L$10*(1-'Assumptions Calculat'!$P$7)</f>
        <v>2750</v>
      </c>
      <c r="AO40" s="85">
        <f>(Tabla265[[#This Row],[Btree (kg d.m.)/tree]]/1000)*Tabla265[[#This Row],[Density (trees/ha)]]</f>
        <v>147.31396810547375</v>
      </c>
      <c r="AP40" s="85">
        <f>Tabla265[[#This Row],[Btree (t d.m./ha)]]*'Assumptions Calculat'!$N$10</f>
        <v>69.237565009572663</v>
      </c>
      <c r="AQ40" s="84">
        <f>Tabla265[[#This Row],[Btree (t C/ha)]]*(44/12)*'Assumptions Calculat'!$L$7</f>
        <v>564315.8526989551</v>
      </c>
      <c r="AR40" s="85">
        <f>Tabla265[[#This Row],[Tree Biomass Carbol pool (t CO2)]]-AQ39</f>
        <v>19790.215599659714</v>
      </c>
      <c r="AS40" s="86">
        <v>1</v>
      </c>
      <c r="AT40" s="85" cm="1">
        <f t="array" ref="AT40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0" s="84">
        <f>Tabla265[[#This Row],[NET Tree Biomass Carbol pool (t CO2)]]+(AT40*'Assumptions Calculat'!$L$7)</f>
        <v>34742.358629755327</v>
      </c>
      <c r="AV40" s="84">
        <f>IF('Assumptions Calculat'!$L$7="",0,Tabla265[[#This Row],[Net VCU (t CO2)]]*(1-'Assumptions Calculat'!$P$6))</f>
        <v>30225.852007887133</v>
      </c>
      <c r="AX40" s="81">
        <v>31</v>
      </c>
      <c r="AY40" s="84">
        <f t="shared" si="3"/>
        <v>2055</v>
      </c>
      <c r="AZ40" s="82">
        <f>'Assumptions Calculat'!C46</f>
        <v>8.2136376320972051</v>
      </c>
      <c r="BA40" s="83">
        <f>(EXP(5.5344244+(2.40477*LN(Tabla2657[[#This Row],[DBH (cm)]]))))/1000</f>
        <v>40.069839705198198</v>
      </c>
      <c r="BB40" s="83">
        <f>Tabla2657[[#This Row],[AGB (Kg d.m.)/tree]]*'Assumptions Calculat'!$N$9</f>
        <v>11.620253514507477</v>
      </c>
      <c r="BC40" s="83">
        <f>Tabla2657[[#This Row],[BGB (Kg d.m.)/tree]]+Tabla2657[[#This Row],[AGB (Kg d.m.)/tree]]</f>
        <v>51.690093219705673</v>
      </c>
      <c r="BD40" s="84">
        <f>'Assumptions Calculat'!$L$10*(1-'Assumptions Calculat'!$P$7)</f>
        <v>2750</v>
      </c>
      <c r="BE40" s="85">
        <f>(Tabla2657[[#This Row],[Btree (kg d.m.)/tree]]/1000)*Tabla2657[[#This Row],[Density (trees/ha)]]</f>
        <v>142.14775635419062</v>
      </c>
      <c r="BF40" s="85">
        <f>Tabla2657[[#This Row],[Btree (t d.m./ha)]]*'Assumptions Calculat'!$N$10</f>
        <v>66.809445486469585</v>
      </c>
      <c r="BG40" s="84">
        <f>Tabla2657[[#This Row],[Btree (t C/ha)]]*(44/12)*'Assumptions Calculat'!$L$8</f>
        <v>300762.73598525929</v>
      </c>
      <c r="BH40" s="85">
        <f>Tabla2657[[#This Row],[Tree Biomass Carbol pool (t CO2)]]-BG39</f>
        <v>11846.394425374863</v>
      </c>
      <c r="BI40" s="86">
        <v>1</v>
      </c>
      <c r="BJ40" s="85" cm="1">
        <f t="array" ref="BJ40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0" s="84">
        <f>IF('Assumptions Calculat'!$L$8="",0,Tabla2657[[#This Row],[NET Tree Biomass Carbol pool (t CO2)]]+(BJ40*'Assumptions Calculat'!$L$8))</f>
        <v>20105.045883055329</v>
      </c>
      <c r="BL40" s="84">
        <f>IF('Assumptions Calculat'!$L$8="",0,Tabla2657[[#This Row],[Net VCU (t CO2)]]*(1-'Assumptions Calculat'!$P$6))</f>
        <v>17491.389918258137</v>
      </c>
    </row>
    <row r="41" spans="2:64" s="12" customFormat="1" ht="14.25" customHeight="1" x14ac:dyDescent="0.2">
      <c r="B41" s="81">
        <v>35</v>
      </c>
      <c r="C41" s="81">
        <f t="shared" si="0"/>
        <v>2056</v>
      </c>
      <c r="D41" s="88">
        <f>'Assumptions Calculat'!C50</f>
        <v>8.6364589448429587</v>
      </c>
      <c r="E41" s="83">
        <f>(EXP(5.5344244+(2.40477*LN(Tabla28[[#This Row],[DBH (cm)]]))))/1000</f>
        <v>45.21078102653901</v>
      </c>
      <c r="F41" s="83">
        <f>Tabla28[[#This Row],[AGB (Kg d.m.)/tree]]*'Assumptions Calculat'!$N$9</f>
        <v>13.111126497696311</v>
      </c>
      <c r="G41" s="83">
        <f>Tabla28[[#This Row],[BGB (Kg d.m.)/tree]]+Tabla28[[#This Row],[AGB (Kg d.m.)/tree]]</f>
        <v>58.321907524235321</v>
      </c>
      <c r="H41" s="84">
        <f>'Assumptions Calculat'!$L$10*(1-'Assumptions Calculat'!$P$7)</f>
        <v>2750</v>
      </c>
      <c r="I41" s="85">
        <f>(Tabla28[[#This Row],[Btree (kg d.m.)/tree]]/1000)*Tabla28[[#This Row],[Density (trees/ha)]]</f>
        <v>160.38524569164713</v>
      </c>
      <c r="J41" s="85">
        <f>Tabla28[[#This Row],[Btree (t d.m./ha)]]*'Assumptions Calculat'!$N$10</f>
        <v>75.381065475074152</v>
      </c>
      <c r="K41" s="84">
        <f>Tabla28[[#This Row],[Btree (t C/ha)]]*(44/12)*'Assumptions Calculat'!$L$5</f>
        <v>301395.16913348966</v>
      </c>
      <c r="L41" s="84">
        <f>Tabla28[[#This Row],[Tree Biomass Carbol pool (t CO2)]]-K40</f>
        <v>7465.4562036647694</v>
      </c>
      <c r="M41" s="86">
        <v>1</v>
      </c>
      <c r="N41" s="85" cm="1">
        <f t="array" ref="N41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1" s="84">
        <f>Tabla28[[#This Row],[NET Tree Biomass Carbol pool (t CO2)]]+(N41*'Assumptions Calculat'!$L$5)</f>
        <v>14800.403428631897</v>
      </c>
      <c r="P41" s="84">
        <f>IF('Assumptions Calculat'!$L$5="",0,Tabla28[[#This Row],[Net VCU (t CO2)]]*(1-'Assumptions Calculat'!$P$6))</f>
        <v>12876.350982909749</v>
      </c>
      <c r="Q41" s="13"/>
      <c r="R41" s="81">
        <v>34</v>
      </c>
      <c r="S41" s="84">
        <f t="shared" si="1"/>
        <v>2056</v>
      </c>
      <c r="T41" s="82">
        <f>'Assumptions Calculat'!C49</f>
        <v>8.5468493766937907</v>
      </c>
      <c r="U41" s="83">
        <f>(EXP(5.5344244+(2.40477*LN(Tabla26[[#This Row],[DBH (cm)]]))))/1000</f>
        <v>44.090925301387649</v>
      </c>
      <c r="V41" s="83">
        <f>Tabla26[[#This Row],[AGB (Kg d.m.)/tree]]*'Assumptions Calculat'!$N$9</f>
        <v>12.786368337402417</v>
      </c>
      <c r="W41" s="83">
        <f>Tabla26[[#This Row],[BGB (Kg d.m.)/tree]]+Tabla26[[#This Row],[AGB (Kg d.m.)/tree]]</f>
        <v>56.877293638790064</v>
      </c>
      <c r="X41" s="84">
        <f>'Assumptions Calculat'!$L$10*(1-'Assumptions Calculat'!$P$7)</f>
        <v>2750</v>
      </c>
      <c r="Y41" s="85">
        <f>(Tabla26[[#This Row],[Btree (kg d.m.)/tree]]/1000)*Tabla26[[#This Row],[Density (trees/ha)]]</f>
        <v>156.41255750667267</v>
      </c>
      <c r="Z41" s="85">
        <f>Tabla26[[#This Row],[Btree (t d.m./ha)]]*'Assumptions Calculat'!$N$10</f>
        <v>73.513902028136144</v>
      </c>
      <c r="AA41" s="84">
        <f>Tabla26[[#This Row],[Btree (t C/ha)]]*(44/12)*'Assumptions Calculat'!$L$6</f>
        <v>534513.8344347371</v>
      </c>
      <c r="AB41" s="85">
        <f>Tabla26[[#This Row],[Tree Biomass Carbol pool (t CO2)]]-AA40</f>
        <v>14865.223361283483</v>
      </c>
      <c r="AC41" s="86">
        <v>1</v>
      </c>
      <c r="AD41" s="85" cm="1">
        <f t="array" ref="AD41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1" s="84">
        <f>Tabla26[[#This Row],[NET Tree Biomass Carbol pool (t CO2)]]+(AD41*'Assumptions Calculat'!$L$6)</f>
        <v>28203.891056745957</v>
      </c>
      <c r="AF41" s="84">
        <f>IF('Assumptions Calculat'!$L$6="",0,Tabla26[[#This Row],[Net VCU (t CO2)]]*(1-'Assumptions Calculat'!$P$6))</f>
        <v>24537.385219368982</v>
      </c>
      <c r="AH41" s="81">
        <v>33</v>
      </c>
      <c r="AI41" s="84">
        <f t="shared" si="2"/>
        <v>2056</v>
      </c>
      <c r="AJ41" s="82">
        <f>'Assumptions Calculat'!C48</f>
        <v>8.4471916841727843</v>
      </c>
      <c r="AK41" s="83">
        <f>(EXP(5.5344244+(2.40477*LN(Tabla265[[#This Row],[DBH (cm)]]))))/1000</f>
        <v>42.864724199401344</v>
      </c>
      <c r="AL41" s="83">
        <f>Tabla265[[#This Row],[AGB (Kg d.m.)/tree]]*'Assumptions Calculat'!$N$9</f>
        <v>12.430770017826388</v>
      </c>
      <c r="AM41" s="83">
        <f>Tabla265[[#This Row],[BGB (Kg d.m.)/tree]]+Tabla265[[#This Row],[AGB (Kg d.m.)/tree]]</f>
        <v>55.295494217227734</v>
      </c>
      <c r="AN41" s="84">
        <f>'Assumptions Calculat'!$L$10*(1-'Assumptions Calculat'!$P$7)</f>
        <v>2750</v>
      </c>
      <c r="AO41" s="85">
        <f>(Tabla265[[#This Row],[Btree (kg d.m.)/tree]]/1000)*Tabla265[[#This Row],[Density (trees/ha)]]</f>
        <v>152.06260909737628</v>
      </c>
      <c r="AP41" s="85">
        <f>Tabla265[[#This Row],[Btree (t d.m./ha)]]*'Assumptions Calculat'!$N$10</f>
        <v>71.46942627576685</v>
      </c>
      <c r="AQ41" s="84">
        <f>Tabla265[[#This Row],[Btree (t C/ha)]]*(44/12)*'Assumptions Calculat'!$L$7</f>
        <v>582506.47932431381</v>
      </c>
      <c r="AR41" s="85">
        <f>Tabla265[[#This Row],[Tree Biomass Carbol pool (t CO2)]]-AQ40</f>
        <v>18190.626625358709</v>
      </c>
      <c r="AS41" s="86">
        <v>1</v>
      </c>
      <c r="AT41" s="85" cm="1">
        <f t="array" ref="AT41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1" s="84">
        <f>Tabla265[[#This Row],[NET Tree Biomass Carbol pool (t CO2)]]+(AT41*'Assumptions Calculat'!$L$7)</f>
        <v>33142.769655454322</v>
      </c>
      <c r="AV41" s="84">
        <f>IF('Assumptions Calculat'!$L$7="",0,Tabla265[[#This Row],[Net VCU (t CO2)]]*(1-'Assumptions Calculat'!$P$6))</f>
        <v>28834.20960024526</v>
      </c>
      <c r="AX41" s="81">
        <v>32</v>
      </c>
      <c r="AY41" s="84">
        <f t="shared" si="3"/>
        <v>2056</v>
      </c>
      <c r="AZ41" s="82">
        <f>'Assumptions Calculat'!C47</f>
        <v>8.3364795902354754</v>
      </c>
      <c r="BA41" s="83">
        <f>(EXP(5.5344244+(2.40477*LN(Tabla2657[[#This Row],[DBH (cm)]]))))/1000</f>
        <v>41.526136181951728</v>
      </c>
      <c r="BB41" s="83">
        <f>Tabla2657[[#This Row],[AGB (Kg d.m.)/tree]]*'Assumptions Calculat'!$N$9</f>
        <v>12.042579492766</v>
      </c>
      <c r="BC41" s="83">
        <f>Tabla2657[[#This Row],[BGB (Kg d.m.)/tree]]+Tabla2657[[#This Row],[AGB (Kg d.m.)/tree]]</f>
        <v>53.56871567471773</v>
      </c>
      <c r="BD41" s="84">
        <f>'Assumptions Calculat'!$L$10*(1-'Assumptions Calculat'!$P$7)</f>
        <v>2750</v>
      </c>
      <c r="BE41" s="85">
        <f>(Tabla2657[[#This Row],[Btree (kg d.m.)/tree]]/1000)*Tabla2657[[#This Row],[Density (trees/ha)]]</f>
        <v>147.31396810547375</v>
      </c>
      <c r="BF41" s="85">
        <f>Tabla2657[[#This Row],[Btree (t d.m./ha)]]*'Assumptions Calculat'!$N$10</f>
        <v>69.237565009572663</v>
      </c>
      <c r="BG41" s="84">
        <f>Tabla2657[[#This Row],[Btree (t C/ha)]]*(44/12)*'Assumptions Calculat'!$L$8</f>
        <v>311693.64352011681</v>
      </c>
      <c r="BH41" s="85">
        <f>Tabla2657[[#This Row],[Tree Biomass Carbol pool (t CO2)]]-BG40</f>
        <v>10930.907534857513</v>
      </c>
      <c r="BI41" s="86">
        <v>1</v>
      </c>
      <c r="BJ41" s="85" cm="1">
        <f t="array" ref="BJ41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1" s="84">
        <f>IF('Assumptions Calculat'!$L$8="",0,Tabla2657[[#This Row],[NET Tree Biomass Carbol pool (t CO2)]]+(BJ41*'Assumptions Calculat'!$L$8))</f>
        <v>19189.558992537979</v>
      </c>
      <c r="BL41" s="84">
        <f>IF('Assumptions Calculat'!$L$8="",0,Tabla2657[[#This Row],[Net VCU (t CO2)]]*(1-'Assumptions Calculat'!$P$6))</f>
        <v>16694.916323508041</v>
      </c>
    </row>
    <row r="42" spans="2:64" s="12" customFormat="1" ht="14.25" customHeight="1" x14ac:dyDescent="0.2">
      <c r="B42" s="81">
        <v>36</v>
      </c>
      <c r="C42" s="81">
        <f t="shared" si="0"/>
        <v>2057</v>
      </c>
      <c r="D42" s="88">
        <f>'Assumptions Calculat'!C51</f>
        <v>8.7169558185326661</v>
      </c>
      <c r="E42" s="83">
        <f>(EXP(5.5344244+(2.40477*LN(Tabla28[[#This Row],[DBH (cm)]]))))/1000</f>
        <v>46.230771949750093</v>
      </c>
      <c r="F42" s="83">
        <f>Tabla28[[#This Row],[AGB (Kg d.m.)/tree]]*'Assumptions Calculat'!$N$9</f>
        <v>13.406923865427526</v>
      </c>
      <c r="G42" s="83">
        <f>Tabla28[[#This Row],[BGB (Kg d.m.)/tree]]+Tabla28[[#This Row],[AGB (Kg d.m.)/tree]]</f>
        <v>59.637695815177622</v>
      </c>
      <c r="H42" s="84">
        <f>'Assumptions Calculat'!$L$10*(1-'Assumptions Calculat'!$P$7)</f>
        <v>2750</v>
      </c>
      <c r="I42" s="85">
        <f>(Tabla28[[#This Row],[Btree (kg d.m.)/tree]]/1000)*Tabla28[[#This Row],[Density (trees/ha)]]</f>
        <v>164.00366349173848</v>
      </c>
      <c r="J42" s="85">
        <f>Tabla28[[#This Row],[Btree (t d.m./ha)]]*'Assumptions Calculat'!$N$10</f>
        <v>77.081721841117087</v>
      </c>
      <c r="K42" s="84">
        <f>Tabla28[[#This Row],[Btree (t C/ha)]]*(44/12)*'Assumptions Calculat'!$L$5</f>
        <v>308194.8821628968</v>
      </c>
      <c r="L42" s="84">
        <f>Tabla28[[#This Row],[Tree Biomass Carbol pool (t CO2)]]-K41</f>
        <v>6799.7130294071394</v>
      </c>
      <c r="M42" s="86">
        <v>1</v>
      </c>
      <c r="N42" s="85" cm="1">
        <f t="array" ref="N42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2" s="84">
        <f>Tabla28[[#This Row],[NET Tree Biomass Carbol pool (t CO2)]]+(N42*'Assumptions Calculat'!$L$5)</f>
        <v>14134.660254374267</v>
      </c>
      <c r="P42" s="84">
        <f>IF('Assumptions Calculat'!$L$5="",0,Tabla28[[#This Row],[Net VCU (t CO2)]]*(1-'Assumptions Calculat'!$P$6))</f>
        <v>12297.154421305611</v>
      </c>
      <c r="Q42" s="13"/>
      <c r="R42" s="81">
        <v>35</v>
      </c>
      <c r="S42" s="84">
        <f t="shared" si="1"/>
        <v>2057</v>
      </c>
      <c r="T42" s="82">
        <f>'Assumptions Calculat'!C50</f>
        <v>8.6364589448429587</v>
      </c>
      <c r="U42" s="83">
        <f>(EXP(5.5344244+(2.40477*LN(Tabla26[[#This Row],[DBH (cm)]]))))/1000</f>
        <v>45.21078102653901</v>
      </c>
      <c r="V42" s="83">
        <f>Tabla26[[#This Row],[AGB (Kg d.m.)/tree]]*'Assumptions Calculat'!$N$9</f>
        <v>13.111126497696311</v>
      </c>
      <c r="W42" s="83">
        <f>Tabla26[[#This Row],[BGB (Kg d.m.)/tree]]+Tabla26[[#This Row],[AGB (Kg d.m.)/tree]]</f>
        <v>58.321907524235321</v>
      </c>
      <c r="X42" s="84">
        <f>'Assumptions Calculat'!$L$10*(1-'Assumptions Calculat'!$P$7)</f>
        <v>2750</v>
      </c>
      <c r="Y42" s="85">
        <f>(Tabla26[[#This Row],[Btree (kg d.m.)/tree]]/1000)*Tabla26[[#This Row],[Density (trees/ha)]]</f>
        <v>160.38524569164713</v>
      </c>
      <c r="Z42" s="85">
        <f>Tabla26[[#This Row],[Btree (t d.m./ha)]]*'Assumptions Calculat'!$N$10</f>
        <v>75.381065475074152</v>
      </c>
      <c r="AA42" s="84">
        <f>Tabla26[[#This Row],[Btree (t C/ha)]]*(44/12)*'Assumptions Calculat'!$L$6</f>
        <v>548089.83388525248</v>
      </c>
      <c r="AB42" s="85">
        <f>Tabla26[[#This Row],[Tree Biomass Carbol pool (t CO2)]]-AA41</f>
        <v>13575.999450515374</v>
      </c>
      <c r="AC42" s="86">
        <v>1</v>
      </c>
      <c r="AD42" s="85" cm="1">
        <f t="array" ref="AD42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2" s="84">
        <f>Tabla26[[#This Row],[NET Tree Biomass Carbol pool (t CO2)]]+(AD42*'Assumptions Calculat'!$L$6)</f>
        <v>26914.667145977848</v>
      </c>
      <c r="AF42" s="84">
        <f>IF('Assumptions Calculat'!$L$6="",0,Tabla26[[#This Row],[Net VCU (t CO2)]]*(1-'Assumptions Calculat'!$P$6))</f>
        <v>23415.760417000729</v>
      </c>
      <c r="AH42" s="81">
        <v>34</v>
      </c>
      <c r="AI42" s="84">
        <f t="shared" si="2"/>
        <v>2057</v>
      </c>
      <c r="AJ42" s="82">
        <f>'Assumptions Calculat'!C49</f>
        <v>8.5468493766937907</v>
      </c>
      <c r="AK42" s="83">
        <f>(EXP(5.5344244+(2.40477*LN(Tabla265[[#This Row],[DBH (cm)]]))))/1000</f>
        <v>44.090925301387649</v>
      </c>
      <c r="AL42" s="83">
        <f>Tabla265[[#This Row],[AGB (Kg d.m.)/tree]]*'Assumptions Calculat'!$N$9</f>
        <v>12.786368337402417</v>
      </c>
      <c r="AM42" s="83">
        <f>Tabla265[[#This Row],[BGB (Kg d.m.)/tree]]+Tabla265[[#This Row],[AGB (Kg d.m.)/tree]]</f>
        <v>56.877293638790064</v>
      </c>
      <c r="AN42" s="84">
        <f>'Assumptions Calculat'!$L$10*(1-'Assumptions Calculat'!$P$7)</f>
        <v>2750</v>
      </c>
      <c r="AO42" s="85">
        <f>(Tabla265[[#This Row],[Btree (kg d.m.)/tree]]/1000)*Tabla265[[#This Row],[Density (trees/ha)]]</f>
        <v>156.41255750667267</v>
      </c>
      <c r="AP42" s="85">
        <f>Tabla265[[#This Row],[Btree (t d.m./ha)]]*'Assumptions Calculat'!$N$10</f>
        <v>73.513902028136144</v>
      </c>
      <c r="AQ42" s="84">
        <f>Tabla265[[#This Row],[Btree (t C/ha)]]*(44/12)*'Assumptions Calculat'!$L$7</f>
        <v>599169.83363726677</v>
      </c>
      <c r="AR42" s="85">
        <f>Tabla265[[#This Row],[Tree Biomass Carbol pool (t CO2)]]-AQ41</f>
        <v>16663.354312952957</v>
      </c>
      <c r="AS42" s="86">
        <v>1</v>
      </c>
      <c r="AT42" s="85" cm="1">
        <f t="array" ref="AT42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2" s="84">
        <f>Tabla265[[#This Row],[NET Tree Biomass Carbol pool (t CO2)]]+(AT42*'Assumptions Calculat'!$L$7)</f>
        <v>31615.49734304857</v>
      </c>
      <c r="AV42" s="84">
        <f>IF('Assumptions Calculat'!$L$7="",0,Tabla265[[#This Row],[Net VCU (t CO2)]]*(1-'Assumptions Calculat'!$P$6))</f>
        <v>27505.482688452255</v>
      </c>
      <c r="AX42" s="81">
        <v>33</v>
      </c>
      <c r="AY42" s="84">
        <f t="shared" si="3"/>
        <v>2057</v>
      </c>
      <c r="AZ42" s="82">
        <f>'Assumptions Calculat'!C48</f>
        <v>8.4471916841727843</v>
      </c>
      <c r="BA42" s="83">
        <f>(EXP(5.5344244+(2.40477*LN(Tabla2657[[#This Row],[DBH (cm)]]))))/1000</f>
        <v>42.864724199401344</v>
      </c>
      <c r="BB42" s="83">
        <f>Tabla2657[[#This Row],[AGB (Kg d.m.)/tree]]*'Assumptions Calculat'!$N$9</f>
        <v>12.430770017826388</v>
      </c>
      <c r="BC42" s="83">
        <f>Tabla2657[[#This Row],[BGB (Kg d.m.)/tree]]+Tabla2657[[#This Row],[AGB (Kg d.m.)/tree]]</f>
        <v>55.295494217227734</v>
      </c>
      <c r="BD42" s="84">
        <f>'Assumptions Calculat'!$L$10*(1-'Assumptions Calculat'!$P$7)</f>
        <v>2750</v>
      </c>
      <c r="BE42" s="85">
        <f>(Tabla2657[[#This Row],[Btree (kg d.m.)/tree]]/1000)*Tabla2657[[#This Row],[Density (trees/ha)]]</f>
        <v>152.06260909737628</v>
      </c>
      <c r="BF42" s="85">
        <f>Tabla2657[[#This Row],[Btree (t d.m./ha)]]*'Assumptions Calculat'!$N$10</f>
        <v>71.46942627576685</v>
      </c>
      <c r="BG42" s="84">
        <f>Tabla2657[[#This Row],[Btree (t C/ha)]]*(44/12)*'Assumptions Calculat'!$L$8</f>
        <v>321741.0357095346</v>
      </c>
      <c r="BH42" s="85">
        <f>Tabla2657[[#This Row],[Tree Biomass Carbol pool (t CO2)]]-BG41</f>
        <v>10047.392189417791</v>
      </c>
      <c r="BI42" s="86">
        <v>1</v>
      </c>
      <c r="BJ42" s="85" cm="1">
        <f t="array" ref="BJ42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2" s="84">
        <f>IF('Assumptions Calculat'!$L$8="",0,Tabla2657[[#This Row],[NET Tree Biomass Carbol pool (t CO2)]]+(BJ42*'Assumptions Calculat'!$L$8))</f>
        <v>18306.043647098257</v>
      </c>
      <c r="BL42" s="84">
        <f>IF('Assumptions Calculat'!$L$8="",0,Tabla2657[[#This Row],[Net VCU (t CO2)]]*(1-'Assumptions Calculat'!$P$6))</f>
        <v>15926.257972975483</v>
      </c>
    </row>
    <row r="43" spans="2:64" s="12" customFormat="1" ht="14.25" customHeight="1" x14ac:dyDescent="0.2">
      <c r="B43" s="81">
        <v>37</v>
      </c>
      <c r="C43" s="81">
        <f t="shared" si="0"/>
        <v>2058</v>
      </c>
      <c r="D43" s="88">
        <f>'Assumptions Calculat'!C52</f>
        <v>8.7892048098049287</v>
      </c>
      <c r="E43" s="83">
        <f>(EXP(5.5344244+(2.40477*LN(Tabla28[[#This Row],[DBH (cm)]]))))/1000</f>
        <v>47.157591952057238</v>
      </c>
      <c r="F43" s="83">
        <f>Tabla28[[#This Row],[AGB (Kg d.m.)/tree]]*'Assumptions Calculat'!$N$9</f>
        <v>13.675701666096598</v>
      </c>
      <c r="G43" s="83">
        <f>Tabla28[[#This Row],[BGB (Kg d.m.)/tree]]+Tabla28[[#This Row],[AGB (Kg d.m.)/tree]]</f>
        <v>60.833293618153839</v>
      </c>
      <c r="H43" s="84">
        <f>'Assumptions Calculat'!$L$10*(1-'Assumptions Calculat'!$P$7)</f>
        <v>2750</v>
      </c>
      <c r="I43" s="85">
        <f>(Tabla28[[#This Row],[Btree (kg d.m.)/tree]]/1000)*Tabla28[[#This Row],[Density (trees/ha)]]</f>
        <v>167.29155744992306</v>
      </c>
      <c r="J43" s="85">
        <f>Tabla28[[#This Row],[Btree (t d.m./ha)]]*'Assumptions Calculat'!$N$10</f>
        <v>78.627032001463832</v>
      </c>
      <c r="K43" s="84">
        <f>Tabla28[[#This Row],[Btree (t C/ha)]]*(44/12)*'Assumptions Calculat'!$L$5</f>
        <v>314373.4764054445</v>
      </c>
      <c r="L43" s="84">
        <f>Tabla28[[#This Row],[Tree Biomass Carbol pool (t CO2)]]-K42</f>
        <v>6178.5942425476969</v>
      </c>
      <c r="M43" s="86">
        <v>1</v>
      </c>
      <c r="N43" s="85" cm="1">
        <f t="array" ref="N43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3" s="84">
        <f>Tabla28[[#This Row],[NET Tree Biomass Carbol pool (t CO2)]]+(N43*'Assumptions Calculat'!$L$5)</f>
        <v>13513.541467514824</v>
      </c>
      <c r="P43" s="84">
        <f>IF('Assumptions Calculat'!$L$5="",0,Tabla28[[#This Row],[Net VCU (t CO2)]]*(1-'Assumptions Calculat'!$P$6))</f>
        <v>11756.781076737896</v>
      </c>
      <c r="Q43" s="13"/>
      <c r="R43" s="81">
        <v>36</v>
      </c>
      <c r="S43" s="84">
        <f t="shared" si="1"/>
        <v>2058</v>
      </c>
      <c r="T43" s="82">
        <f>'Assumptions Calculat'!C51</f>
        <v>8.7169558185326661</v>
      </c>
      <c r="U43" s="83">
        <f>(EXP(5.5344244+(2.40477*LN(Tabla26[[#This Row],[DBH (cm)]]))))/1000</f>
        <v>46.230771949750093</v>
      </c>
      <c r="V43" s="83">
        <f>Tabla26[[#This Row],[AGB (Kg d.m.)/tree]]*'Assumptions Calculat'!$N$9</f>
        <v>13.406923865427526</v>
      </c>
      <c r="W43" s="83">
        <f>Tabla26[[#This Row],[BGB (Kg d.m.)/tree]]+Tabla26[[#This Row],[AGB (Kg d.m.)/tree]]</f>
        <v>59.637695815177622</v>
      </c>
      <c r="X43" s="84">
        <f>'Assumptions Calculat'!$L$10*(1-'Assumptions Calculat'!$P$7)</f>
        <v>2750</v>
      </c>
      <c r="Y43" s="85">
        <f>(Tabla26[[#This Row],[Btree (kg d.m.)/tree]]/1000)*Tabla26[[#This Row],[Density (trees/ha)]]</f>
        <v>164.00366349173848</v>
      </c>
      <c r="Z43" s="85">
        <f>Tabla26[[#This Row],[Btree (t d.m./ha)]]*'Assumptions Calculat'!$N$10</f>
        <v>77.081721841117087</v>
      </c>
      <c r="AA43" s="84">
        <f>Tabla26[[#This Row],[Btree (t C/ha)]]*(44/12)*'Assumptions Calculat'!$L$6</f>
        <v>560455.17336786538</v>
      </c>
      <c r="AB43" s="85">
        <f>Tabla26[[#This Row],[Tree Biomass Carbol pool (t CO2)]]-AA42</f>
        <v>12365.339482612908</v>
      </c>
      <c r="AC43" s="86">
        <v>1</v>
      </c>
      <c r="AD43" s="85" cm="1">
        <f t="array" ref="AD43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3" s="84">
        <f>Tabla26[[#This Row],[NET Tree Biomass Carbol pool (t CO2)]]+(AD43*'Assumptions Calculat'!$L$6)</f>
        <v>25704.007178075382</v>
      </c>
      <c r="AF43" s="84">
        <f>IF('Assumptions Calculat'!$L$6="",0,Tabla26[[#This Row],[Net VCU (t CO2)]]*(1-'Assumptions Calculat'!$P$6))</f>
        <v>22362.486244925582</v>
      </c>
      <c r="AH43" s="81">
        <v>35</v>
      </c>
      <c r="AI43" s="84">
        <f t="shared" si="2"/>
        <v>2058</v>
      </c>
      <c r="AJ43" s="82">
        <f>'Assumptions Calculat'!C50</f>
        <v>8.6364589448429587</v>
      </c>
      <c r="AK43" s="83">
        <f>(EXP(5.5344244+(2.40477*LN(Tabla265[[#This Row],[DBH (cm)]]))))/1000</f>
        <v>45.21078102653901</v>
      </c>
      <c r="AL43" s="83">
        <f>Tabla265[[#This Row],[AGB (Kg d.m.)/tree]]*'Assumptions Calculat'!$N$9</f>
        <v>13.111126497696311</v>
      </c>
      <c r="AM43" s="83">
        <f>Tabla265[[#This Row],[BGB (Kg d.m.)/tree]]+Tabla265[[#This Row],[AGB (Kg d.m.)/tree]]</f>
        <v>58.321907524235321</v>
      </c>
      <c r="AN43" s="84">
        <f>'Assumptions Calculat'!$L$10*(1-'Assumptions Calculat'!$P$7)</f>
        <v>2750</v>
      </c>
      <c r="AO43" s="85">
        <f>(Tabla265[[#This Row],[Btree (kg d.m.)/tree]]/1000)*Tabla265[[#This Row],[Density (trees/ha)]]</f>
        <v>160.38524569164713</v>
      </c>
      <c r="AP43" s="85">
        <f>Tabla265[[#This Row],[Btree (t d.m./ha)]]*'Assumptions Calculat'!$N$10</f>
        <v>75.381065475074152</v>
      </c>
      <c r="AQ43" s="84">
        <f>Tabla265[[#This Row],[Btree (t C/ha)]]*(44/12)*'Assumptions Calculat'!$L$7</f>
        <v>614388.01660689409</v>
      </c>
      <c r="AR43" s="85">
        <f>Tabla265[[#This Row],[Tree Biomass Carbol pool (t CO2)]]-AQ42</f>
        <v>15218.18296962732</v>
      </c>
      <c r="AS43" s="86">
        <v>1</v>
      </c>
      <c r="AT43" s="85" cm="1">
        <f t="array" ref="AT43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3" s="84">
        <f>Tabla265[[#This Row],[NET Tree Biomass Carbol pool (t CO2)]]+(AT43*'Assumptions Calculat'!$L$7)</f>
        <v>30170.325999722932</v>
      </c>
      <c r="AV43" s="84">
        <f>IF('Assumptions Calculat'!$L$7="",0,Tabla265[[#This Row],[Net VCU (t CO2)]]*(1-'Assumptions Calculat'!$P$6))</f>
        <v>26248.183619758951</v>
      </c>
      <c r="AX43" s="81">
        <v>34</v>
      </c>
      <c r="AY43" s="84">
        <f t="shared" si="3"/>
        <v>2058</v>
      </c>
      <c r="AZ43" s="82">
        <f>'Assumptions Calculat'!C49</f>
        <v>8.5468493766937907</v>
      </c>
      <c r="BA43" s="83">
        <f>(EXP(5.5344244+(2.40477*LN(Tabla2657[[#This Row],[DBH (cm)]]))))/1000</f>
        <v>44.090925301387649</v>
      </c>
      <c r="BB43" s="83">
        <f>Tabla2657[[#This Row],[AGB (Kg d.m.)/tree]]*'Assumptions Calculat'!$N$9</f>
        <v>12.786368337402417</v>
      </c>
      <c r="BC43" s="83">
        <f>Tabla2657[[#This Row],[BGB (Kg d.m.)/tree]]+Tabla2657[[#This Row],[AGB (Kg d.m.)/tree]]</f>
        <v>56.877293638790064</v>
      </c>
      <c r="BD43" s="84">
        <f>'Assumptions Calculat'!$L$10*(1-'Assumptions Calculat'!$P$7)</f>
        <v>2750</v>
      </c>
      <c r="BE43" s="85">
        <f>(Tabla2657[[#This Row],[Btree (kg d.m.)/tree]]/1000)*Tabla2657[[#This Row],[Density (trees/ha)]]</f>
        <v>156.41255750667267</v>
      </c>
      <c r="BF43" s="85">
        <f>Tabla2657[[#This Row],[Btree (t d.m./ha)]]*'Assumptions Calculat'!$N$10</f>
        <v>73.513902028136144</v>
      </c>
      <c r="BG43" s="84">
        <f>Tabla2657[[#This Row],[Btree (t C/ha)]]*(44/12)*'Assumptions Calculat'!$L$8</f>
        <v>330944.85586491431</v>
      </c>
      <c r="BH43" s="85">
        <f>Tabla2657[[#This Row],[Tree Biomass Carbol pool (t CO2)]]-BG42</f>
        <v>9203.8201553797117</v>
      </c>
      <c r="BI43" s="86">
        <v>1</v>
      </c>
      <c r="BJ43" s="85" cm="1">
        <f t="array" ref="BJ43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3" s="84">
        <f>IF('Assumptions Calculat'!$L$8="",0,Tabla2657[[#This Row],[NET Tree Biomass Carbol pool (t CO2)]]+(BJ43*'Assumptions Calculat'!$L$8))</f>
        <v>17462.471613060177</v>
      </c>
      <c r="BL43" s="84">
        <f>IF('Assumptions Calculat'!$L$8="",0,Tabla2657[[#This Row],[Net VCU (t CO2)]]*(1-'Assumptions Calculat'!$P$6))</f>
        <v>15192.350303362355</v>
      </c>
    </row>
    <row r="44" spans="2:64" s="12" customFormat="1" ht="14.25" customHeight="1" x14ac:dyDescent="0.2">
      <c r="B44" s="81">
        <v>38</v>
      </c>
      <c r="C44" s="81">
        <f t="shared" si="0"/>
        <v>2059</v>
      </c>
      <c r="D44" s="88">
        <f>'Assumptions Calculat'!C53</f>
        <v>8.8540017259924149</v>
      </c>
      <c r="E44" s="83">
        <f>(EXP(5.5344244+(2.40477*LN(Tabla28[[#This Row],[DBH (cm)]]))))/1000</f>
        <v>47.997970985090575</v>
      </c>
      <c r="F44" s="83">
        <f>Tabla28[[#This Row],[AGB (Kg d.m.)/tree]]*'Assumptions Calculat'!$N$9</f>
        <v>13.919411585676265</v>
      </c>
      <c r="G44" s="83">
        <f>Tabla28[[#This Row],[BGB (Kg d.m.)/tree]]+Tabla28[[#This Row],[AGB (Kg d.m.)/tree]]</f>
        <v>61.91738257076684</v>
      </c>
      <c r="H44" s="84">
        <f>'Assumptions Calculat'!$L$10*(1-'Assumptions Calculat'!$P$7)</f>
        <v>2750</v>
      </c>
      <c r="I44" s="85">
        <f>(Tabla28[[#This Row],[Btree (kg d.m.)/tree]]/1000)*Tabla28[[#This Row],[Density (trees/ha)]]</f>
        <v>170.27280206960879</v>
      </c>
      <c r="J44" s="85">
        <f>Tabla28[[#This Row],[Btree (t d.m./ha)]]*'Assumptions Calculat'!$N$10</f>
        <v>80.028216972716123</v>
      </c>
      <c r="K44" s="84">
        <f>Tabla28[[#This Row],[Btree (t C/ha)]]*(44/12)*'Assumptions Calculat'!$L$5</f>
        <v>319975.81671114813</v>
      </c>
      <c r="L44" s="84">
        <f>Tabla28[[#This Row],[Tree Biomass Carbol pool (t CO2)]]-K43</f>
        <v>5602.3403057036339</v>
      </c>
      <c r="M44" s="86">
        <v>1</v>
      </c>
      <c r="N44" s="85" cm="1">
        <f t="array" ref="N44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4" s="84">
        <f>Tabla28[[#This Row],[NET Tree Biomass Carbol pool (t CO2)]]+(N44*'Assumptions Calculat'!$L$5)</f>
        <v>12937.287530670761</v>
      </c>
      <c r="P44" s="84">
        <f>IF('Assumptions Calculat'!$L$5="",0,Tabla28[[#This Row],[Net VCU (t CO2)]]*(1-'Assumptions Calculat'!$P$6))</f>
        <v>11255.440151683562</v>
      </c>
      <c r="Q44" s="13"/>
      <c r="R44" s="81">
        <v>37</v>
      </c>
      <c r="S44" s="84">
        <f t="shared" si="1"/>
        <v>2059</v>
      </c>
      <c r="T44" s="82">
        <f>'Assumptions Calculat'!C52</f>
        <v>8.7892048098049287</v>
      </c>
      <c r="U44" s="83">
        <f>(EXP(5.5344244+(2.40477*LN(Tabla26[[#This Row],[DBH (cm)]]))))/1000</f>
        <v>47.157591952057238</v>
      </c>
      <c r="V44" s="83">
        <f>Tabla26[[#This Row],[AGB (Kg d.m.)/tree]]*'Assumptions Calculat'!$N$9</f>
        <v>13.675701666096598</v>
      </c>
      <c r="W44" s="83">
        <f>Tabla26[[#This Row],[BGB (Kg d.m.)/tree]]+Tabla26[[#This Row],[AGB (Kg d.m.)/tree]]</f>
        <v>60.833293618153839</v>
      </c>
      <c r="X44" s="84">
        <f>'Assumptions Calculat'!$L$10*(1-'Assumptions Calculat'!$P$7)</f>
        <v>2750</v>
      </c>
      <c r="Y44" s="85">
        <f>(Tabla26[[#This Row],[Btree (kg d.m.)/tree]]/1000)*Tabla26[[#This Row],[Density (trees/ha)]]</f>
        <v>167.29155744992306</v>
      </c>
      <c r="Z44" s="85">
        <f>Tabla26[[#This Row],[Btree (t d.m./ha)]]*'Assumptions Calculat'!$N$10</f>
        <v>78.627032001463832</v>
      </c>
      <c r="AA44" s="84">
        <f>Tabla26[[#This Row],[Btree (t C/ha)]]*(44/12)*'Assumptions Calculat'!$L$6</f>
        <v>571691.00273360591</v>
      </c>
      <c r="AB44" s="85">
        <f>Tabla26[[#This Row],[Tree Biomass Carbol pool (t CO2)]]-AA43</f>
        <v>11235.82936574053</v>
      </c>
      <c r="AC44" s="86">
        <v>1</v>
      </c>
      <c r="AD44" s="85" cm="1">
        <f t="array" ref="AD44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4" s="84">
        <f>Tabla26[[#This Row],[NET Tree Biomass Carbol pool (t CO2)]]+(AD44*'Assumptions Calculat'!$L$6)</f>
        <v>24574.497061203005</v>
      </c>
      <c r="AF44" s="84">
        <f>IF('Assumptions Calculat'!$L$6="",0,Tabla26[[#This Row],[Net VCU (t CO2)]]*(1-'Assumptions Calculat'!$P$6))</f>
        <v>21379.812443246614</v>
      </c>
      <c r="AH44" s="81">
        <v>36</v>
      </c>
      <c r="AI44" s="84">
        <f t="shared" si="2"/>
        <v>2059</v>
      </c>
      <c r="AJ44" s="82">
        <f>'Assumptions Calculat'!C51</f>
        <v>8.7169558185326661</v>
      </c>
      <c r="AK44" s="83">
        <f>(EXP(5.5344244+(2.40477*LN(Tabla265[[#This Row],[DBH (cm)]]))))/1000</f>
        <v>46.230771949750093</v>
      </c>
      <c r="AL44" s="83">
        <f>Tabla265[[#This Row],[AGB (Kg d.m.)/tree]]*'Assumptions Calculat'!$N$9</f>
        <v>13.406923865427526</v>
      </c>
      <c r="AM44" s="83">
        <f>Tabla265[[#This Row],[BGB (Kg d.m.)/tree]]+Tabla265[[#This Row],[AGB (Kg d.m.)/tree]]</f>
        <v>59.637695815177622</v>
      </c>
      <c r="AN44" s="84">
        <f>'Assumptions Calculat'!$L$10*(1-'Assumptions Calculat'!$P$7)</f>
        <v>2750</v>
      </c>
      <c r="AO44" s="85">
        <f>(Tabla265[[#This Row],[Btree (kg d.m.)/tree]]/1000)*Tabla265[[#This Row],[Density (trees/ha)]]</f>
        <v>164.00366349173848</v>
      </c>
      <c r="AP44" s="85">
        <f>Tabla265[[#This Row],[Btree (t d.m./ha)]]*'Assumptions Calculat'!$N$10</f>
        <v>77.081721841117087</v>
      </c>
      <c r="AQ44" s="84">
        <f>Tabla265[[#This Row],[Btree (t C/ha)]]*(44/12)*'Assumptions Calculat'!$L$7</f>
        <v>628249.09544781991</v>
      </c>
      <c r="AR44" s="85">
        <f>Tabla265[[#This Row],[Tree Biomass Carbol pool (t CO2)]]-AQ43</f>
        <v>13861.078840925824</v>
      </c>
      <c r="AS44" s="86">
        <v>1</v>
      </c>
      <c r="AT44" s="85" cm="1">
        <f t="array" ref="AT44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4" s="84">
        <f>Tabla265[[#This Row],[NET Tree Biomass Carbol pool (t CO2)]]+(AT44*'Assumptions Calculat'!$L$7)</f>
        <v>28813.221871021437</v>
      </c>
      <c r="AV44" s="84">
        <f>IF('Assumptions Calculat'!$L$7="",0,Tabla265[[#This Row],[Net VCU (t CO2)]]*(1-'Assumptions Calculat'!$P$6))</f>
        <v>25067.503027788651</v>
      </c>
      <c r="AX44" s="81">
        <v>35</v>
      </c>
      <c r="AY44" s="84">
        <f t="shared" si="3"/>
        <v>2059</v>
      </c>
      <c r="AZ44" s="82">
        <f>'Assumptions Calculat'!C50</f>
        <v>8.6364589448429587</v>
      </c>
      <c r="BA44" s="83">
        <f>(EXP(5.5344244+(2.40477*LN(Tabla2657[[#This Row],[DBH (cm)]]))))/1000</f>
        <v>45.21078102653901</v>
      </c>
      <c r="BB44" s="83">
        <f>Tabla2657[[#This Row],[AGB (Kg d.m.)/tree]]*'Assumptions Calculat'!$N$9</f>
        <v>13.111126497696311</v>
      </c>
      <c r="BC44" s="83">
        <f>Tabla2657[[#This Row],[BGB (Kg d.m.)/tree]]+Tabla2657[[#This Row],[AGB (Kg d.m.)/tree]]</f>
        <v>58.321907524235321</v>
      </c>
      <c r="BD44" s="84">
        <f>'Assumptions Calculat'!$L$10*(1-'Assumptions Calculat'!$P$7)</f>
        <v>2750</v>
      </c>
      <c r="BE44" s="85">
        <f>(Tabla2657[[#This Row],[Btree (kg d.m.)/tree]]/1000)*Tabla2657[[#This Row],[Density (trees/ha)]]</f>
        <v>160.38524569164713</v>
      </c>
      <c r="BF44" s="85">
        <f>Tabla2657[[#This Row],[Btree (t d.m./ha)]]*'Assumptions Calculat'!$N$10</f>
        <v>75.381065475074152</v>
      </c>
      <c r="BG44" s="84">
        <f>Tabla2657[[#This Row],[Btree (t C/ha)]]*(44/12)*'Assumptions Calculat'!$L$8</f>
        <v>339350.4515519265</v>
      </c>
      <c r="BH44" s="85">
        <f>Tabla2657[[#This Row],[Tree Biomass Carbol pool (t CO2)]]-BG43</f>
        <v>8405.5956870121881</v>
      </c>
      <c r="BI44" s="86">
        <v>1</v>
      </c>
      <c r="BJ44" s="85" cm="1">
        <f t="array" ref="BJ44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4" s="84">
        <f>IF('Assumptions Calculat'!$L$8="",0,Tabla2657[[#This Row],[NET Tree Biomass Carbol pool (t CO2)]]+(BJ44*'Assumptions Calculat'!$L$8))</f>
        <v>16664.247144692654</v>
      </c>
      <c r="BL44" s="84">
        <f>IF('Assumptions Calculat'!$L$8="",0,Tabla2657[[#This Row],[Net VCU (t CO2)]]*(1-'Assumptions Calculat'!$P$6))</f>
        <v>14497.895015882608</v>
      </c>
    </row>
    <row r="45" spans="2:64" s="12" customFormat="1" ht="14.25" customHeight="1" x14ac:dyDescent="0.2">
      <c r="B45" s="81">
        <v>39</v>
      </c>
      <c r="C45" s="81">
        <f t="shared" si="0"/>
        <v>2060</v>
      </c>
      <c r="D45" s="88">
        <f>'Assumptions Calculat'!C54</f>
        <v>8.9120759628335158</v>
      </c>
      <c r="E45" s="83">
        <f>(EXP(5.5344244+(2.40477*LN(Tabla28[[#This Row],[DBH (cm)]]))))/1000</f>
        <v>48.758539421699311</v>
      </c>
      <c r="F45" s="83">
        <f>Tabla28[[#This Row],[AGB (Kg d.m.)/tree]]*'Assumptions Calculat'!$N$9</f>
        <v>14.1399764322928</v>
      </c>
      <c r="G45" s="83">
        <f>Tabla28[[#This Row],[BGB (Kg d.m.)/tree]]+Tabla28[[#This Row],[AGB (Kg d.m.)/tree]]</f>
        <v>62.898515853992109</v>
      </c>
      <c r="H45" s="84">
        <f>'Assumptions Calculat'!$L$10*(1-'Assumptions Calculat'!$P$7)</f>
        <v>2750</v>
      </c>
      <c r="I45" s="85">
        <f>(Tabla28[[#This Row],[Btree (kg d.m.)/tree]]/1000)*Tabla28[[#This Row],[Density (trees/ha)]]</f>
        <v>172.97091859847831</v>
      </c>
      <c r="J45" s="85">
        <f>Tabla28[[#This Row],[Btree (t d.m./ha)]]*'Assumptions Calculat'!$N$10</f>
        <v>81.296331741284803</v>
      </c>
      <c r="K45" s="84">
        <f>Tabla28[[#This Row],[Btree (t C/ha)]]*(44/12)*'Assumptions Calculat'!$L$5</f>
        <v>325046.1040935918</v>
      </c>
      <c r="L45" s="84">
        <f>Tabla28[[#This Row],[Tree Biomass Carbol pool (t CO2)]]-K44</f>
        <v>5070.2873824436683</v>
      </c>
      <c r="M45" s="86">
        <v>1</v>
      </c>
      <c r="N45" s="85" cm="1">
        <f t="array" ref="N45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5" s="84">
        <f>Tabla28[[#This Row],[NET Tree Biomass Carbol pool (t CO2)]]+(N45*'Assumptions Calculat'!$L$5)</f>
        <v>12405.234607410795</v>
      </c>
      <c r="P45" s="84">
        <f>IF('Assumptions Calculat'!$L$5="",0,Tabla28[[#This Row],[Net VCU (t CO2)]]*(1-'Assumptions Calculat'!$P$6))</f>
        <v>10792.554108447392</v>
      </c>
      <c r="Q45" s="13"/>
      <c r="R45" s="81">
        <v>38</v>
      </c>
      <c r="S45" s="84">
        <f t="shared" si="1"/>
        <v>2060</v>
      </c>
      <c r="T45" s="82">
        <f>'Assumptions Calculat'!C53</f>
        <v>8.8540017259924149</v>
      </c>
      <c r="U45" s="83">
        <f>(EXP(5.5344244+(2.40477*LN(Tabla26[[#This Row],[DBH (cm)]]))))/1000</f>
        <v>47.997970985090575</v>
      </c>
      <c r="V45" s="83">
        <f>Tabla26[[#This Row],[AGB (Kg d.m.)/tree]]*'Assumptions Calculat'!$N$9</f>
        <v>13.919411585676265</v>
      </c>
      <c r="W45" s="83">
        <f>Tabla26[[#This Row],[BGB (Kg d.m.)/tree]]+Tabla26[[#This Row],[AGB (Kg d.m.)/tree]]</f>
        <v>61.91738257076684</v>
      </c>
      <c r="X45" s="84">
        <f>'Assumptions Calculat'!$L$10*(1-'Assumptions Calculat'!$P$7)</f>
        <v>2750</v>
      </c>
      <c r="Y45" s="85">
        <f>(Tabla26[[#This Row],[Btree (kg d.m.)/tree]]/1000)*Tabla26[[#This Row],[Density (trees/ha)]]</f>
        <v>170.27280206960879</v>
      </c>
      <c r="Z45" s="85">
        <f>Tabla26[[#This Row],[Btree (t d.m./ha)]]*'Assumptions Calculat'!$N$10</f>
        <v>80.028216972716123</v>
      </c>
      <c r="AA45" s="84">
        <f>Tabla26[[#This Row],[Btree (t C/ha)]]*(44/12)*'Assumptions Calculat'!$L$6</f>
        <v>581878.90911694197</v>
      </c>
      <c r="AB45" s="85">
        <f>Tabla26[[#This Row],[Tree Biomass Carbol pool (t CO2)]]-AA44</f>
        <v>10187.906383336056</v>
      </c>
      <c r="AC45" s="86">
        <v>1</v>
      </c>
      <c r="AD45" s="85" cm="1">
        <f t="array" ref="AD45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5" s="84">
        <f>Tabla26[[#This Row],[NET Tree Biomass Carbol pool (t CO2)]]+(AD45*'Assumptions Calculat'!$L$6)</f>
        <v>23526.574078798531</v>
      </c>
      <c r="AF45" s="84">
        <f>IF('Assumptions Calculat'!$L$6="",0,Tabla26[[#This Row],[Net VCU (t CO2)]]*(1-'Assumptions Calculat'!$P$6))</f>
        <v>20468.11944855472</v>
      </c>
      <c r="AH45" s="81">
        <v>37</v>
      </c>
      <c r="AI45" s="84">
        <f t="shared" si="2"/>
        <v>2060</v>
      </c>
      <c r="AJ45" s="82">
        <f>'Assumptions Calculat'!C52</f>
        <v>8.7892048098049287</v>
      </c>
      <c r="AK45" s="83">
        <f>(EXP(5.5344244+(2.40477*LN(Tabla265[[#This Row],[DBH (cm)]]))))/1000</f>
        <v>47.157591952057238</v>
      </c>
      <c r="AL45" s="83">
        <f>Tabla265[[#This Row],[AGB (Kg d.m.)/tree]]*'Assumptions Calculat'!$N$9</f>
        <v>13.675701666096598</v>
      </c>
      <c r="AM45" s="83">
        <f>Tabla265[[#This Row],[BGB (Kg d.m.)/tree]]+Tabla265[[#This Row],[AGB (Kg d.m.)/tree]]</f>
        <v>60.833293618153839</v>
      </c>
      <c r="AN45" s="84">
        <f>'Assumptions Calculat'!$L$10*(1-'Assumptions Calculat'!$P$7)</f>
        <v>2750</v>
      </c>
      <c r="AO45" s="85">
        <f>(Tabla265[[#This Row],[Btree (kg d.m.)/tree]]/1000)*Tabla265[[#This Row],[Density (trees/ha)]]</f>
        <v>167.29155744992306</v>
      </c>
      <c r="AP45" s="85">
        <f>Tabla265[[#This Row],[Btree (t d.m./ha)]]*'Assumptions Calculat'!$N$10</f>
        <v>78.627032001463832</v>
      </c>
      <c r="AQ45" s="84">
        <f>Tabla265[[#This Row],[Btree (t C/ha)]]*(44/12)*'Assumptions Calculat'!$L$7</f>
        <v>640844.0360801178</v>
      </c>
      <c r="AR45" s="85">
        <f>Tabla265[[#This Row],[Tree Biomass Carbol pool (t CO2)]]-AQ44</f>
        <v>12594.94063229789</v>
      </c>
      <c r="AS45" s="86">
        <v>1</v>
      </c>
      <c r="AT45" s="85" cm="1">
        <f t="array" ref="AT45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5" s="84">
        <f>Tabla265[[#This Row],[NET Tree Biomass Carbol pool (t CO2)]]+(AT45*'Assumptions Calculat'!$L$7)</f>
        <v>27547.083662393503</v>
      </c>
      <c r="AV45" s="84">
        <f>IF('Assumptions Calculat'!$L$7="",0,Tabla265[[#This Row],[Net VCU (t CO2)]]*(1-'Assumptions Calculat'!$P$6))</f>
        <v>23965.962786282347</v>
      </c>
      <c r="AX45" s="81">
        <v>36</v>
      </c>
      <c r="AY45" s="84">
        <f t="shared" si="3"/>
        <v>2060</v>
      </c>
      <c r="AZ45" s="82">
        <f>'Assumptions Calculat'!C51</f>
        <v>8.7169558185326661</v>
      </c>
      <c r="BA45" s="83">
        <f>(EXP(5.5344244+(2.40477*LN(Tabla2657[[#This Row],[DBH (cm)]]))))/1000</f>
        <v>46.230771949750093</v>
      </c>
      <c r="BB45" s="83">
        <f>Tabla2657[[#This Row],[AGB (Kg d.m.)/tree]]*'Assumptions Calculat'!$N$9</f>
        <v>13.406923865427526</v>
      </c>
      <c r="BC45" s="83">
        <f>Tabla2657[[#This Row],[BGB (Kg d.m.)/tree]]+Tabla2657[[#This Row],[AGB (Kg d.m.)/tree]]</f>
        <v>59.637695815177622</v>
      </c>
      <c r="BD45" s="84">
        <f>'Assumptions Calculat'!$L$10*(1-'Assumptions Calculat'!$P$7)</f>
        <v>2750</v>
      </c>
      <c r="BE45" s="85">
        <f>(Tabla2657[[#This Row],[Btree (kg d.m.)/tree]]/1000)*Tabla2657[[#This Row],[Density (trees/ha)]]</f>
        <v>164.00366349173848</v>
      </c>
      <c r="BF45" s="85">
        <f>Tabla2657[[#This Row],[Btree (t d.m./ha)]]*'Assumptions Calculat'!$N$10</f>
        <v>77.081721841117087</v>
      </c>
      <c r="BG45" s="84">
        <f>Tabla2657[[#This Row],[Btree (t C/ha)]]*(44/12)*'Assumptions Calculat'!$L$8</f>
        <v>347006.46572623076</v>
      </c>
      <c r="BH45" s="85">
        <f>Tabla2657[[#This Row],[Tree Biomass Carbol pool (t CO2)]]-BG44</f>
        <v>7656.0141743042623</v>
      </c>
      <c r="BI45" s="86">
        <v>1</v>
      </c>
      <c r="BJ45" s="85" cm="1">
        <f t="array" ref="BJ45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5" s="84">
        <f>IF('Assumptions Calculat'!$L$8="",0,Tabla2657[[#This Row],[NET Tree Biomass Carbol pool (t CO2)]]+(BJ45*'Assumptions Calculat'!$L$8))</f>
        <v>15914.665631984728</v>
      </c>
      <c r="BL45" s="84">
        <f>IF('Assumptions Calculat'!$L$8="",0,Tabla2657[[#This Row],[Net VCU (t CO2)]]*(1-'Assumptions Calculat'!$P$6))</f>
        <v>13845.759099826713</v>
      </c>
    </row>
    <row r="46" spans="2:64" s="12" customFormat="1" ht="14.25" customHeight="1" x14ac:dyDescent="0.2">
      <c r="B46" s="81">
        <v>40</v>
      </c>
      <c r="C46" s="81">
        <f t="shared" si="0"/>
        <v>2061</v>
      </c>
      <c r="D46" s="88">
        <f>'Assumptions Calculat'!C55</f>
        <v>8.9640937593981942</v>
      </c>
      <c r="E46" s="83">
        <f>(EXP(5.5344244+(2.40477*LN(Tabla28[[#This Row],[DBH (cm)]]))))/1000</f>
        <v>49.445727351135993</v>
      </c>
      <c r="F46" s="83">
        <f>Tabla28[[#This Row],[AGB (Kg d.m.)/tree]]*'Assumptions Calculat'!$N$9</f>
        <v>14.339260931829436</v>
      </c>
      <c r="G46" s="83">
        <f>Tabla28[[#This Row],[BGB (Kg d.m.)/tree]]+Tabla28[[#This Row],[AGB (Kg d.m.)/tree]]</f>
        <v>63.784988282965429</v>
      </c>
      <c r="H46" s="84">
        <f>'Assumptions Calculat'!$L$10*(1-'Assumptions Calculat'!$P$7)</f>
        <v>2750</v>
      </c>
      <c r="I46" s="85">
        <f>(Tabla28[[#This Row],[Btree (kg d.m.)/tree]]/1000)*Tabla28[[#This Row],[Density (trees/ha)]]</f>
        <v>175.40871777815494</v>
      </c>
      <c r="J46" s="85">
        <f>Tabla28[[#This Row],[Btree (t d.m./ha)]]*'Assumptions Calculat'!$N$10</f>
        <v>82.442097355732813</v>
      </c>
      <c r="K46" s="84">
        <f>Tabla28[[#This Row],[Btree (t C/ha)]]*(44/12)*'Assumptions Calculat'!$L$5</f>
        <v>329627.20438684896</v>
      </c>
      <c r="L46" s="84">
        <f>Tabla28[[#This Row],[Tree Biomass Carbol pool (t CO2)]]-K45</f>
        <v>4581.1002932571573</v>
      </c>
      <c r="M46" s="86">
        <v>1</v>
      </c>
      <c r="N46" s="85" cm="1">
        <f t="array" ref="N46">_xlfn.IFS(Tabla28[[#This Row],[%cover]]&lt;=15%,0,Tabla28[[#This Row],[%cover]]&gt;=50%,'Assumptions Calculat'!$P$11*44/12,Tabla28[[#This Row],[%cover]],44/12*Tabla28[[#This Row],[%cover]]*'Assumptions Calculat'!$P$11)</f>
        <v>6.7265815006502629</v>
      </c>
      <c r="O46" s="84">
        <f>Tabla28[[#This Row],[NET Tree Biomass Carbol pool (t CO2)]]+(N46*'Assumptions Calculat'!$L$5)</f>
        <v>11916.047518224284</v>
      </c>
      <c r="P46" s="84">
        <f>IF('Assumptions Calculat'!$L$5="",0,Tabla28[[#This Row],[Net VCU (t CO2)]]*(1-'Assumptions Calculat'!$P$6))</f>
        <v>10366.961340855127</v>
      </c>
      <c r="Q46" s="13"/>
      <c r="R46" s="81">
        <v>39</v>
      </c>
      <c r="S46" s="84">
        <f t="shared" si="1"/>
        <v>2061</v>
      </c>
      <c r="T46" s="82">
        <f>'Assumptions Calculat'!C54</f>
        <v>8.9120759628335158</v>
      </c>
      <c r="U46" s="83">
        <f>(EXP(5.5344244+(2.40477*LN(Tabla26[[#This Row],[DBH (cm)]]))))/1000</f>
        <v>48.758539421699311</v>
      </c>
      <c r="V46" s="83">
        <f>Tabla26[[#This Row],[AGB (Kg d.m.)/tree]]*'Assumptions Calculat'!$N$9</f>
        <v>14.1399764322928</v>
      </c>
      <c r="W46" s="83">
        <f>Tabla26[[#This Row],[BGB (Kg d.m.)/tree]]+Tabla26[[#This Row],[AGB (Kg d.m.)/tree]]</f>
        <v>62.898515853992109</v>
      </c>
      <c r="X46" s="84">
        <f>'Assumptions Calculat'!$L$10*(1-'Assumptions Calculat'!$P$7)</f>
        <v>2750</v>
      </c>
      <c r="Y46" s="85">
        <f>(Tabla26[[#This Row],[Btree (kg d.m.)/tree]]/1000)*Tabla26[[#This Row],[Density (trees/ha)]]</f>
        <v>172.97091859847831</v>
      </c>
      <c r="Z46" s="85">
        <f>Tabla26[[#This Row],[Btree (t d.m./ha)]]*'Assumptions Calculat'!$N$10</f>
        <v>81.296331741284803</v>
      </c>
      <c r="AA46" s="84">
        <f>Tabla26[[#This Row],[Btree (t C/ha)]]*(44/12)*'Assumptions Calculat'!$L$6</f>
        <v>591099.27245980373</v>
      </c>
      <c r="AB46" s="85">
        <f>Tabla26[[#This Row],[Tree Biomass Carbol pool (t CO2)]]-AA45</f>
        <v>9220.3633428617613</v>
      </c>
      <c r="AC46" s="86">
        <v>1</v>
      </c>
      <c r="AD46" s="85" cm="1">
        <f t="array" ref="AD46">_xlfn.IFS(Tabla26[[#This Row],[%COVER]]&lt;15%,0,Tabla26[[#This Row],[%COVER]]&gt;=50%,'Assumptions Calculat'!$P$11*44/12,Tabla26[[#This Row],[%COVER]],44/12*Tabla26[[#This Row],[%COVER]]*'Assumptions Calculat'!$P$11)</f>
        <v>6.7265815006502629</v>
      </c>
      <c r="AE46" s="84">
        <f>Tabla26[[#This Row],[NET Tree Biomass Carbol pool (t CO2)]]+(AD46*'Assumptions Calculat'!$L$6)</f>
        <v>22559.031038324236</v>
      </c>
      <c r="AF46" s="84">
        <f>IF('Assumptions Calculat'!$L$6="",0,Tabla26[[#This Row],[Net VCU (t CO2)]]*(1-'Assumptions Calculat'!$P$6))</f>
        <v>19626.357003342084</v>
      </c>
      <c r="AH46" s="81">
        <v>38</v>
      </c>
      <c r="AI46" s="84">
        <f t="shared" si="2"/>
        <v>2061</v>
      </c>
      <c r="AJ46" s="82">
        <f>'Assumptions Calculat'!C53</f>
        <v>8.8540017259924149</v>
      </c>
      <c r="AK46" s="83">
        <f>(EXP(5.5344244+(2.40477*LN(Tabla265[[#This Row],[DBH (cm)]]))))/1000</f>
        <v>47.997970985090575</v>
      </c>
      <c r="AL46" s="83">
        <f>Tabla265[[#This Row],[AGB (Kg d.m.)/tree]]*'Assumptions Calculat'!$N$9</f>
        <v>13.919411585676265</v>
      </c>
      <c r="AM46" s="83">
        <f>Tabla265[[#This Row],[BGB (Kg d.m.)/tree]]+Tabla265[[#This Row],[AGB (Kg d.m.)/tree]]</f>
        <v>61.91738257076684</v>
      </c>
      <c r="AN46" s="84">
        <f>'Assumptions Calculat'!$L$10*(1-'Assumptions Calculat'!$P$7)</f>
        <v>2750</v>
      </c>
      <c r="AO46" s="85">
        <f>(Tabla265[[#This Row],[Btree (kg d.m.)/tree]]/1000)*Tabla265[[#This Row],[Density (trees/ha)]]</f>
        <v>170.27280206960879</v>
      </c>
      <c r="AP46" s="85">
        <f>Tabla265[[#This Row],[Btree (t d.m./ha)]]*'Assumptions Calculat'!$N$10</f>
        <v>80.028216972716123</v>
      </c>
      <c r="AQ46" s="84">
        <f>Tabla265[[#This Row],[Btree (t C/ha)]]*(44/12)*'Assumptions Calculat'!$L$7</f>
        <v>652264.29460209038</v>
      </c>
      <c r="AR46" s="85">
        <f>Tabla265[[#This Row],[Tree Biomass Carbol pool (t CO2)]]-AQ45</f>
        <v>11420.258521972573</v>
      </c>
      <c r="AS46" s="86">
        <v>1</v>
      </c>
      <c r="AT46" s="85" cm="1">
        <f t="array" ref="AT46">_xlfn.IFS(Tabla265[[#This Row],[%COVER]]&lt;=15%,0,Tabla265[[#This Row],[%COVER]]&gt;=50%,'Assumptions Calculat'!$P$11*44/12,Tabla265[[#This Row],[%COVER]],44/12*Tabla265[[#This Row],[%COVER]]*'Assumptions Calculat'!$P$11)</f>
        <v>6.7265815006502629</v>
      </c>
      <c r="AU46" s="84">
        <f>Tabla265[[#This Row],[NET Tree Biomass Carbol pool (t CO2)]]+(AT46*'Assumptions Calculat'!$L$7)</f>
        <v>26372.401552068186</v>
      </c>
      <c r="AV46" s="84">
        <f>IF('Assumptions Calculat'!$L$7="",0,Tabla265[[#This Row],[Net VCU (t CO2)]]*(1-'Assumptions Calculat'!$P$6))</f>
        <v>22943.989350299322</v>
      </c>
      <c r="AX46" s="81">
        <v>37</v>
      </c>
      <c r="AY46" s="84">
        <f t="shared" si="3"/>
        <v>2061</v>
      </c>
      <c r="AZ46" s="82">
        <f>'Assumptions Calculat'!C52</f>
        <v>8.7892048098049287</v>
      </c>
      <c r="BA46" s="83">
        <f>(EXP(5.5344244+(2.40477*LN(Tabla2657[[#This Row],[DBH (cm)]]))))/1000</f>
        <v>47.157591952057238</v>
      </c>
      <c r="BB46" s="83">
        <f>Tabla2657[[#This Row],[AGB (Kg d.m.)/tree]]*'Assumptions Calculat'!$N$9</f>
        <v>13.675701666096598</v>
      </c>
      <c r="BC46" s="83">
        <f>Tabla2657[[#This Row],[BGB (Kg d.m.)/tree]]+Tabla2657[[#This Row],[AGB (Kg d.m.)/tree]]</f>
        <v>60.833293618153839</v>
      </c>
      <c r="BD46" s="84">
        <f>'Assumptions Calculat'!$L$10*(1-'Assumptions Calculat'!$P$7)</f>
        <v>2750</v>
      </c>
      <c r="BE46" s="85">
        <f>(Tabla2657[[#This Row],[Btree (kg d.m.)/tree]]/1000)*Tabla2657[[#This Row],[Density (trees/ha)]]</f>
        <v>167.29155744992306</v>
      </c>
      <c r="BF46" s="85">
        <f>Tabla2657[[#This Row],[Btree (t d.m./ha)]]*'Assumptions Calculat'!$N$10</f>
        <v>78.627032001463832</v>
      </c>
      <c r="BG46" s="84">
        <f>Tabla2657[[#This Row],[Btree (t C/ha)]]*(44/12)*'Assumptions Calculat'!$L$8</f>
        <v>353963.14241150324</v>
      </c>
      <c r="BH46" s="85">
        <f>Tabla2657[[#This Row],[Tree Biomass Carbol pool (t CO2)]]-BG45</f>
        <v>6956.6766852724832</v>
      </c>
      <c r="BI46" s="86">
        <v>1</v>
      </c>
      <c r="BJ46" s="85" cm="1">
        <f t="array" ref="BJ46">_xlfn.IFS(Tabla2657[[#This Row],[%cover]]&lt;=15%,0,Tabla2657[[#This Row],[%cover]]&gt;=50%,'Assumptions Calculat'!$P$11*44/12,Tabla2657[[#This Row],[%cover]],44/12*Tabla2657[[#This Row],[%cover]]*'Assumptions Calculat'!$P$11)</f>
        <v>6.7265815006502629</v>
      </c>
      <c r="BK46" s="84">
        <f>IF('Assumptions Calculat'!$L$8="",0,Tabla2657[[#This Row],[NET Tree Biomass Carbol pool (t CO2)]]+(BJ46*'Assumptions Calculat'!$L$8))</f>
        <v>15215.328142952949</v>
      </c>
      <c r="BL46" s="84">
        <f>IF('Assumptions Calculat'!$L$8="",0,Tabla2657[[#This Row],[Net VCU (t CO2)]]*(1-'Assumptions Calculat'!$P$6))</f>
        <v>13237.335484369065</v>
      </c>
    </row>
    <row r="47" spans="2:64" s="12" customFormat="1" ht="14.25" customHeight="1" x14ac:dyDescent="0.2">
      <c r="B47" s="13"/>
      <c r="C47" s="13"/>
      <c r="D47" s="90"/>
      <c r="E47" s="14"/>
      <c r="F47" s="14"/>
      <c r="G47" s="34"/>
      <c r="H47" s="35"/>
      <c r="I47" s="35"/>
      <c r="J47" s="14"/>
      <c r="K47" s="14"/>
      <c r="L47" s="36"/>
      <c r="M47" s="36"/>
      <c r="N47" s="36"/>
      <c r="O47" s="65">
        <f>SUBTOTAL(109,Tabla28[Net VCU (t CO2)])</f>
        <v>568746.48391608195</v>
      </c>
      <c r="P47" s="65">
        <f>SUBTOTAL(109,Tabla28[Net VCU (t CO2) with Buffer])</f>
        <v>494809.44100699114</v>
      </c>
      <c r="Q47" s="13"/>
      <c r="R47" s="13"/>
      <c r="S47" s="13"/>
      <c r="T47" s="13"/>
      <c r="U47" s="14"/>
      <c r="V47" s="14"/>
      <c r="W47" s="34"/>
      <c r="X47" s="35"/>
      <c r="Y47" s="35"/>
      <c r="Z47" s="14"/>
      <c r="AA47" s="14"/>
      <c r="AB47" s="36"/>
      <c r="AC47" s="36"/>
      <c r="AD47" s="36"/>
      <c r="AE47" s="65">
        <f>SUBTOTAL(109,Tabla26[Net VCU (t CO2)])</f>
        <v>1012601.171636418</v>
      </c>
      <c r="AF47" s="65">
        <f>SUBTOTAL(109,Tabla26[Net VCU (t CO2) with Buffer])</f>
        <v>880963.01932368334</v>
      </c>
      <c r="AH47" s="13"/>
      <c r="AI47" s="13"/>
      <c r="AJ47" s="13"/>
      <c r="AK47" s="14"/>
      <c r="AL47" s="14"/>
      <c r="AM47" s="34"/>
      <c r="AN47" s="35"/>
      <c r="AO47" s="35"/>
      <c r="AP47" s="14"/>
      <c r="AQ47" s="14"/>
      <c r="AR47" s="36"/>
      <c r="AS47" s="36"/>
      <c r="AT47" s="36"/>
      <c r="AU47" s="65">
        <f>SUBTOTAL(109,Tabla265[Net VCU (t CO2)])</f>
        <v>1109799.871323016</v>
      </c>
      <c r="AV47" s="65">
        <f>SUBTOTAL(109,Tabla265[Net VCU (t CO2) with Buffer])</f>
        <v>965525.88805102394</v>
      </c>
      <c r="AX47" s="13"/>
      <c r="AY47" s="13"/>
      <c r="AZ47" s="13"/>
      <c r="BA47" s="14"/>
      <c r="BB47" s="14"/>
      <c r="BC47" s="34"/>
      <c r="BD47" s="35"/>
      <c r="BE47" s="35"/>
      <c r="BF47" s="14"/>
      <c r="BG47" s="14"/>
      <c r="BH47" s="36"/>
      <c r="BI47" s="36"/>
      <c r="BJ47" s="36"/>
      <c r="BK47" s="65">
        <f>SUBTOTAL(109,Tabla2657[Net VCU (t CO2)])</f>
        <v>598419.22555884509</v>
      </c>
      <c r="BL47" s="65">
        <f>SUBTOTAL(109,Tabla2657[Net VCU (t CO2) with Buffer])</f>
        <v>520624.72623619519</v>
      </c>
    </row>
  </sheetData>
  <mergeCells count="1">
    <mergeCell ref="B2:L2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DD5E-68C8-4241-8BD9-50C728BD1CBD}">
  <sheetPr>
    <tabColor theme="7" tint="0.59999389629810485"/>
  </sheetPr>
  <dimension ref="A1:AH133"/>
  <sheetViews>
    <sheetView showGridLines="0" topLeftCell="F30" zoomScale="55" zoomScaleNormal="55" workbookViewId="0">
      <selection activeCell="H6" sqref="H6:H15"/>
    </sheetView>
  </sheetViews>
  <sheetFormatPr baseColWidth="10" defaultColWidth="11.5" defaultRowHeight="15" x14ac:dyDescent="0.2"/>
  <cols>
    <col min="1" max="1" width="11.5" style="37"/>
    <col min="2" max="2" width="13.5" customWidth="1"/>
    <col min="4" max="4" width="14.5" customWidth="1"/>
    <col min="5" max="7" width="15.83203125" customWidth="1"/>
    <col min="8" max="8" width="18.5" style="37" customWidth="1"/>
    <col min="9" max="9" width="17.1640625" customWidth="1"/>
    <col min="10" max="33" width="11.5" style="37"/>
  </cols>
  <sheetData>
    <row r="1" spans="1:34" ht="10.75" customHeight="1" x14ac:dyDescent="0.2"/>
    <row r="2" spans="1:34" s="44" customFormat="1" ht="81.5" customHeight="1" thickBot="1" x14ac:dyDescent="0.3">
      <c r="A2" s="38"/>
      <c r="B2" s="39" t="s">
        <v>85</v>
      </c>
      <c r="C2" s="40"/>
      <c r="D2" s="40"/>
      <c r="E2" s="40"/>
      <c r="F2" s="40"/>
      <c r="G2" s="40"/>
      <c r="H2" s="40"/>
      <c r="I2" s="40"/>
      <c r="J2" s="40"/>
      <c r="K2" s="40"/>
      <c r="L2" s="41"/>
      <c r="M2" s="40"/>
      <c r="N2" s="40"/>
      <c r="O2" s="40"/>
      <c r="P2" s="42"/>
      <c r="Q2" s="42"/>
      <c r="R2" s="43"/>
      <c r="S2" s="43"/>
      <c r="T2" s="43"/>
    </row>
    <row r="3" spans="1:34" s="44" customFormat="1" ht="29.5" customHeight="1" thickTop="1" x14ac:dyDescent="0.25">
      <c r="A3" s="38"/>
      <c r="B3" s="180" t="s">
        <v>86</v>
      </c>
      <c r="C3" s="180"/>
      <c r="D3" s="45"/>
      <c r="E3" s="45"/>
      <c r="F3" s="45"/>
      <c r="G3" s="45"/>
      <c r="H3" s="45">
        <v>2022</v>
      </c>
      <c r="J3" s="46"/>
      <c r="K3" s="46"/>
      <c r="L3" s="47"/>
      <c r="M3" s="46"/>
      <c r="N3" s="46"/>
      <c r="O3" s="46"/>
      <c r="P3" s="43"/>
      <c r="Q3" s="43"/>
      <c r="R3" s="43"/>
      <c r="S3" s="43"/>
      <c r="T3" s="43"/>
    </row>
    <row r="4" spans="1:34" s="37" customFormat="1" ht="6" customHeight="1" x14ac:dyDescent="0.2"/>
    <row r="5" spans="1:34" ht="58" customHeight="1" x14ac:dyDescent="0.2">
      <c r="B5" s="48" t="s">
        <v>87</v>
      </c>
      <c r="C5" s="49" t="s">
        <v>46</v>
      </c>
      <c r="D5" s="122" t="s">
        <v>88</v>
      </c>
      <c r="E5" s="122" t="s">
        <v>89</v>
      </c>
      <c r="F5" s="122" t="s">
        <v>90</v>
      </c>
      <c r="G5" s="121" t="s">
        <v>91</v>
      </c>
      <c r="H5" s="121" t="s">
        <v>92</v>
      </c>
      <c r="I5" s="144" t="s">
        <v>93</v>
      </c>
      <c r="AH5" s="37"/>
    </row>
    <row r="6" spans="1:34" ht="16.75" customHeight="1" x14ac:dyDescent="0.2">
      <c r="B6" s="50">
        <v>1</v>
      </c>
      <c r="C6" s="51">
        <f>H3</f>
        <v>2022</v>
      </c>
      <c r="D6" s="120">
        <v>0</v>
      </c>
      <c r="E6" s="52">
        <f>'ARR Calculations'!O7+'ARR Calculations'!AE7+'ARR Calculations'!AU7+'ARR Calculations'!BK7</f>
        <v>0</v>
      </c>
      <c r="F6" s="52">
        <v>0</v>
      </c>
      <c r="G6" s="52">
        <f>(Tabla326[[#This Row],[Estimated baseline removals (Tco2e)]]+Tabla326[[#This Row],[Estimated project removals (Tco2e)2]]-Tabla326[[#This Row],[Estimated leakage emissions (Tco2e)]])*'Assumptions Calculat'!$P$6</f>
        <v>0</v>
      </c>
      <c r="H6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0</v>
      </c>
      <c r="I6" s="145">
        <f>Tabla326[[#This Row],[NET VCUs]]/'Assumptions Calculat'!K5</f>
        <v>0</v>
      </c>
      <c r="AH6" s="37"/>
    </row>
    <row r="7" spans="1:34" ht="16.75" customHeight="1" x14ac:dyDescent="0.2">
      <c r="B7" s="50">
        <f>B6+1</f>
        <v>2</v>
      </c>
      <c r="C7" s="51">
        <f t="shared" ref="C7:C45" si="0">$H$3+B6</f>
        <v>2023</v>
      </c>
      <c r="D7" s="120">
        <f>D6</f>
        <v>0</v>
      </c>
      <c r="E7" s="52">
        <f>'ARR Calculations'!O8+'ARR Calculations'!AE8+'ARR Calculations'!AU8+'ARR Calculations'!BK8</f>
        <v>6.3122772395956227E-3</v>
      </c>
      <c r="F7" s="52">
        <f>F6</f>
        <v>0</v>
      </c>
      <c r="G7" s="52">
        <f>(Tabla326[[#This Row],[Estimated baseline removals (Tco2e)]]+Tabla326[[#This Row],[Estimated project removals (Tco2e)2]]-Tabla326[[#This Row],[Estimated leakage emissions (Tco2e)]])*'Assumptions Calculat'!$P$6</f>
        <v>8.2059604114743099E-4</v>
      </c>
      <c r="H7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5.4916811984481919E-3</v>
      </c>
      <c r="I7" s="146">
        <f>Tabla326[[#This Row],[NET VCUs]]/('Assumptions Calculat'!K6+'Assumptions Calculat'!K5)</f>
        <v>1.6825003671716274E-6</v>
      </c>
      <c r="AH7" s="37"/>
    </row>
    <row r="8" spans="1:34" ht="16.75" customHeight="1" x14ac:dyDescent="0.2">
      <c r="B8" s="50">
        <f t="shared" ref="B8:B35" si="1">B7+1</f>
        <v>3</v>
      </c>
      <c r="C8" s="51">
        <f t="shared" si="0"/>
        <v>2024</v>
      </c>
      <c r="D8" s="120">
        <f t="shared" ref="D8:D45" si="2">D7</f>
        <v>0</v>
      </c>
      <c r="E8" s="52">
        <f>'ARR Calculations'!O9+'ARR Calculations'!AE9+'ARR Calculations'!AU9+'ARR Calculations'!BK9</f>
        <v>0.33739567168355833</v>
      </c>
      <c r="F8" s="52">
        <f t="shared" ref="F8:F45" si="3">F7</f>
        <v>0</v>
      </c>
      <c r="G8" s="52">
        <f>(Tabla326[[#This Row],[Estimated baseline removals (Tco2e)]]+Tabla326[[#This Row],[Estimated project removals (Tco2e)2]]-Tabla326[[#This Row],[Estimated leakage emissions (Tco2e)]])*'Assumptions Calculat'!$P$6</f>
        <v>4.3861437318862585E-2</v>
      </c>
      <c r="H8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0.29353423436469572</v>
      </c>
      <c r="I8" s="146">
        <f>Tabla326[[#This Row],[NET VCUs]]/('Assumptions Calculat'!L5+'Assumptions Calculat'!L6+'Assumptions Calculat'!K5+'Assumptions Calculat'!K6+'Assumptions Calculat'!K7)</f>
        <v>3.3606605860489561E-5</v>
      </c>
      <c r="AH8" s="37"/>
    </row>
    <row r="9" spans="1:34" ht="16.75" customHeight="1" x14ac:dyDescent="0.2">
      <c r="B9" s="50">
        <f t="shared" si="1"/>
        <v>4</v>
      </c>
      <c r="C9" s="51">
        <f t="shared" si="0"/>
        <v>2025</v>
      </c>
      <c r="D9" s="120">
        <f t="shared" si="2"/>
        <v>0</v>
      </c>
      <c r="E9" s="52">
        <f>'ARR Calculations'!O10+'ARR Calculations'!AE10+'ARR Calculations'!AU10+'ARR Calculations'!BK10</f>
        <v>4.9527037254354989</v>
      </c>
      <c r="F9" s="52">
        <f t="shared" si="3"/>
        <v>0</v>
      </c>
      <c r="G9" s="52">
        <f>(Tabla326[[#This Row],[Estimated baseline removals (Tco2e)]]+Tabla326[[#This Row],[Estimated project removals (Tco2e)2]]-Tabla326[[#This Row],[Estimated leakage emissions (Tco2e)]])*'Assumptions Calculat'!$P$6</f>
        <v>0.64385148430661487</v>
      </c>
      <c r="H9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4.3088522411288839</v>
      </c>
      <c r="I9" s="146">
        <f>Tabla326[[#This Row],[NET VCUs]]/('Assumptions Calculat'!$K$9)</f>
        <v>6.1555032016126911E-4</v>
      </c>
      <c r="AH9" s="37"/>
    </row>
    <row r="10" spans="1:34" ht="16.75" customHeight="1" x14ac:dyDescent="0.2">
      <c r="B10" s="50">
        <f t="shared" si="1"/>
        <v>5</v>
      </c>
      <c r="C10" s="51">
        <f t="shared" si="0"/>
        <v>2026</v>
      </c>
      <c r="D10" s="120">
        <f t="shared" si="2"/>
        <v>0</v>
      </c>
      <c r="E10" s="52">
        <f>'ARR Calculations'!O11+'ARR Calculations'!AE11+'ARR Calculations'!AU11+'ARR Calculations'!BK11</f>
        <v>1503.0603175041228</v>
      </c>
      <c r="F10" s="52">
        <f t="shared" si="3"/>
        <v>0</v>
      </c>
      <c r="G10" s="52">
        <f>(Tabla326[[#This Row],[Estimated baseline removals (Tco2e)]]+Tabla326[[#This Row],[Estimated project removals (Tco2e)2]]-Tabla326[[#This Row],[Estimated leakage emissions (Tco2e)]])*'Assumptions Calculat'!$P$6</f>
        <v>195.39784127553597</v>
      </c>
      <c r="H10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1307.6624762285869</v>
      </c>
      <c r="I10" s="146">
        <f>Tabla326[[#This Row],[NET VCUs]]/('Assumptions Calculat'!$K$9)</f>
        <v>0.18680892517551242</v>
      </c>
      <c r="AH10" s="37"/>
    </row>
    <row r="11" spans="1:34" ht="16.75" customHeight="1" x14ac:dyDescent="0.2">
      <c r="B11" s="50">
        <f t="shared" si="1"/>
        <v>6</v>
      </c>
      <c r="C11" s="51">
        <f t="shared" si="0"/>
        <v>2027</v>
      </c>
      <c r="D11" s="120">
        <f t="shared" si="2"/>
        <v>0</v>
      </c>
      <c r="E11" s="52">
        <f>'ARR Calculations'!O12+'ARR Calculations'!AE12+'ARR Calculations'!AU12+'ARR Calculations'!BK12</f>
        <v>4743.0451968913057</v>
      </c>
      <c r="F11" s="52">
        <f t="shared" si="3"/>
        <v>0</v>
      </c>
      <c r="G11" s="52">
        <f>(Tabla326[[#This Row],[Estimated baseline removals (Tco2e)]]+Tabla326[[#This Row],[Estimated project removals (Tco2e)2]]-Tabla326[[#This Row],[Estimated leakage emissions (Tco2e)]])*'Assumptions Calculat'!$P$6</f>
        <v>616.59587559586976</v>
      </c>
      <c r="H11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4126.4493212954358</v>
      </c>
      <c r="I11" s="146">
        <f>Tabla326[[#This Row],[NET VCUs]]/('Assumptions Calculat'!$K$9)</f>
        <v>0.58949276018506225</v>
      </c>
      <c r="AH11" s="37"/>
    </row>
    <row r="12" spans="1:34" ht="16.75" customHeight="1" x14ac:dyDescent="0.2">
      <c r="B12" s="50">
        <f t="shared" si="1"/>
        <v>7</v>
      </c>
      <c r="C12" s="51">
        <f t="shared" si="0"/>
        <v>2028</v>
      </c>
      <c r="D12" s="120">
        <f t="shared" si="2"/>
        <v>0</v>
      </c>
      <c r="E12" s="52">
        <f>'ARR Calculations'!O13+'ARR Calculations'!AE13+'ARR Calculations'!AU13+'ARR Calculations'!BK13</f>
        <v>9379.6900851710107</v>
      </c>
      <c r="F12" s="52">
        <f t="shared" si="3"/>
        <v>0</v>
      </c>
      <c r="G12" s="52">
        <f>(Tabla326[[#This Row],[Estimated baseline removals (Tco2e)]]+Tabla326[[#This Row],[Estimated project removals (Tco2e)2]]-Tabla326[[#This Row],[Estimated leakage emissions (Tco2e)]])*'Assumptions Calculat'!$P$6</f>
        <v>1219.3597110722314</v>
      </c>
      <c r="H12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8160.3303740987794</v>
      </c>
      <c r="I12" s="146">
        <f>Tabla326[[#This Row],[NET VCUs]]/('Assumptions Calculat'!$K$9)</f>
        <v>1.1657614820141113</v>
      </c>
      <c r="AH12" s="37"/>
    </row>
    <row r="13" spans="1:34" ht="16.75" customHeight="1" x14ac:dyDescent="0.2">
      <c r="B13" s="50">
        <f t="shared" si="1"/>
        <v>8</v>
      </c>
      <c r="C13" s="51">
        <f t="shared" si="0"/>
        <v>2029</v>
      </c>
      <c r="D13" s="120">
        <f t="shared" si="2"/>
        <v>0</v>
      </c>
      <c r="E13" s="52">
        <f>'ARR Calculations'!O14+'ARR Calculations'!AE14+'ARR Calculations'!AU14+'ARR Calculations'!BK14</f>
        <v>14145.738741564986</v>
      </c>
      <c r="F13" s="52">
        <f t="shared" si="3"/>
        <v>0</v>
      </c>
      <c r="G13" s="52">
        <f>(Tabla326[[#This Row],[Estimated baseline removals (Tco2e)]]+Tabla326[[#This Row],[Estimated project removals (Tco2e)2]]-Tabla326[[#This Row],[Estimated leakage emissions (Tco2e)]])*'Assumptions Calculat'!$P$6</f>
        <v>1838.9460364034483</v>
      </c>
      <c r="H13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12306.792705161539</v>
      </c>
      <c r="I13" s="146">
        <f>Tabla326[[#This Row],[NET VCUs]]/('Assumptions Calculat'!$K$9)</f>
        <v>1.7581132435945055</v>
      </c>
      <c r="AH13" s="37"/>
    </row>
    <row r="14" spans="1:34" ht="16.75" customHeight="1" x14ac:dyDescent="0.2">
      <c r="B14" s="50">
        <f t="shared" si="1"/>
        <v>9</v>
      </c>
      <c r="C14" s="51">
        <f t="shared" si="0"/>
        <v>2030</v>
      </c>
      <c r="D14" s="120">
        <f t="shared" si="2"/>
        <v>0</v>
      </c>
      <c r="E14" s="52">
        <f>'ARR Calculations'!O15+'ARR Calculations'!AE15+'ARR Calculations'!AU15+'ARR Calculations'!BK15</f>
        <v>18720.929377341614</v>
      </c>
      <c r="F14" s="52">
        <f t="shared" si="3"/>
        <v>0</v>
      </c>
      <c r="G14" s="52">
        <f>(Tabla326[[#This Row],[Estimated baseline removals (Tco2e)]]+Tabla326[[#This Row],[Estimated project removals (Tco2e)2]]-Tabla326[[#This Row],[Estimated leakage emissions (Tco2e)]])*'Assumptions Calculat'!$P$6</f>
        <v>2433.7208190544097</v>
      </c>
      <c r="H14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16287.208558287204</v>
      </c>
      <c r="I14" s="146">
        <f>Tabla326[[#This Row],[NET VCUs]]/('Assumptions Calculat'!$K$9)</f>
        <v>2.3267440797553149</v>
      </c>
      <c r="AH14" s="37"/>
    </row>
    <row r="15" spans="1:34" ht="16.75" customHeight="1" x14ac:dyDescent="0.2">
      <c r="B15" s="50">
        <f t="shared" si="1"/>
        <v>10</v>
      </c>
      <c r="C15" s="51">
        <f t="shared" si="0"/>
        <v>2031</v>
      </c>
      <c r="D15" s="120">
        <f t="shared" si="2"/>
        <v>0</v>
      </c>
      <c r="E15" s="52">
        <f>'ARR Calculations'!O16+'ARR Calculations'!AE16+'ARR Calculations'!AU16+'ARR Calculations'!BK16</f>
        <v>28331.700740370532</v>
      </c>
      <c r="F15" s="52">
        <f t="shared" si="3"/>
        <v>0</v>
      </c>
      <c r="G15" s="52">
        <f>(Tabla326[[#This Row],[Estimated baseline removals (Tco2e)]]+Tabla326[[#This Row],[Estimated project removals (Tco2e)2]]-Tabla326[[#This Row],[Estimated leakage emissions (Tco2e)]])*'Assumptions Calculat'!$P$6</f>
        <v>3683.1210962481691</v>
      </c>
      <c r="H15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24648.579644122365</v>
      </c>
      <c r="I15" s="146">
        <f>Tabla326[[#This Row],[NET VCUs]]/('Assumptions Calculat'!$K$9)</f>
        <v>3.5212256634460521</v>
      </c>
      <c r="AH15" s="37"/>
    </row>
    <row r="16" spans="1:34" ht="16.75" customHeight="1" x14ac:dyDescent="0.2">
      <c r="B16" s="50">
        <f t="shared" si="1"/>
        <v>11</v>
      </c>
      <c r="C16" s="51">
        <f t="shared" si="0"/>
        <v>2032</v>
      </c>
      <c r="D16" s="120">
        <f t="shared" si="2"/>
        <v>0</v>
      </c>
      <c r="E16" s="52">
        <f>'ARR Calculations'!O17+'ARR Calculations'!AE17+'ARR Calculations'!AU17+'ARR Calculations'!BK17</f>
        <v>42166.535745279223</v>
      </c>
      <c r="F16" s="52">
        <f t="shared" si="3"/>
        <v>0</v>
      </c>
      <c r="G16" s="52">
        <f>(Tabla326[[#This Row],[Estimated baseline removals (Tco2e)]]+Tabla326[[#This Row],[Estimated project removals (Tco2e)2]]-Tabla326[[#This Row],[Estimated leakage emissions (Tco2e)]])*'Assumptions Calculat'!$P$6</f>
        <v>5481.6496468862988</v>
      </c>
      <c r="H16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36684.886098392926</v>
      </c>
      <c r="I16" s="146">
        <f>Tabla326[[#This Row],[NET VCUs]]/('Assumptions Calculat'!$K$9)</f>
        <v>5.2406980140561323</v>
      </c>
      <c r="AH16" s="37"/>
    </row>
    <row r="17" spans="2:34" ht="16.75" customHeight="1" x14ac:dyDescent="0.2">
      <c r="B17" s="50">
        <f t="shared" si="1"/>
        <v>12</v>
      </c>
      <c r="C17" s="51">
        <f t="shared" si="0"/>
        <v>2033</v>
      </c>
      <c r="D17" s="120">
        <f t="shared" si="2"/>
        <v>0</v>
      </c>
      <c r="E17" s="52">
        <f>'ARR Calculations'!O18+'ARR Calculations'!AE18+'ARR Calculations'!AU18+'ARR Calculations'!BK18</f>
        <v>57759.814515992774</v>
      </c>
      <c r="F17" s="52">
        <f t="shared" si="3"/>
        <v>0</v>
      </c>
      <c r="G17" s="52">
        <f>(Tabla326[[#This Row],[Estimated baseline removals (Tco2e)]]+Tabla326[[#This Row],[Estimated project removals (Tco2e)2]]-Tabla326[[#This Row],[Estimated leakage emissions (Tco2e)]])*'Assumptions Calculat'!$P$6</f>
        <v>7508.7758870790612</v>
      </c>
      <c r="H17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50251.03862891371</v>
      </c>
      <c r="I17" s="146">
        <f>Tabla326[[#This Row],[NET VCUs]]/('Assumptions Calculat'!$K$9)</f>
        <v>7.1787198041305302</v>
      </c>
      <c r="AH17" s="37"/>
    </row>
    <row r="18" spans="2:34" ht="16.75" customHeight="1" x14ac:dyDescent="0.2">
      <c r="B18" s="50">
        <f t="shared" si="1"/>
        <v>13</v>
      </c>
      <c r="C18" s="51">
        <f t="shared" si="0"/>
        <v>2034</v>
      </c>
      <c r="D18" s="120">
        <f t="shared" si="2"/>
        <v>0</v>
      </c>
      <c r="E18" s="52">
        <f>'ARR Calculations'!O19+'ARR Calculations'!AE19+'ARR Calculations'!AU19+'ARR Calculations'!BK19</f>
        <v>70706.58811850613</v>
      </c>
      <c r="F18" s="52">
        <f t="shared" si="3"/>
        <v>0</v>
      </c>
      <c r="G18" s="52">
        <f>(Tabla326[[#This Row],[Estimated baseline removals (Tco2e)]]+Tabla326[[#This Row],[Estimated project removals (Tco2e)2]]-Tabla326[[#This Row],[Estimated leakage emissions (Tco2e)]])*'Assumptions Calculat'!$P$6</f>
        <v>9191.8564554057975</v>
      </c>
      <c r="H18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61514.731663100334</v>
      </c>
      <c r="I18" s="146">
        <f>Tabla326[[#This Row],[NET VCUs]]/('Assumptions Calculat'!$K$9)</f>
        <v>8.7878188090143343</v>
      </c>
      <c r="AH18" s="37"/>
    </row>
    <row r="19" spans="2:34" ht="16.75" customHeight="1" x14ac:dyDescent="0.2">
      <c r="B19" s="50">
        <f>B18+1</f>
        <v>14</v>
      </c>
      <c r="C19" s="51">
        <f t="shared" si="0"/>
        <v>2035</v>
      </c>
      <c r="D19" s="120">
        <f t="shared" si="2"/>
        <v>0</v>
      </c>
      <c r="E19" s="52">
        <f>'ARR Calculations'!O20+'ARR Calculations'!AE20+'ARR Calculations'!AU20+'ARR Calculations'!BK20</f>
        <v>80249.525016652973</v>
      </c>
      <c r="F19" s="52">
        <f t="shared" si="3"/>
        <v>0</v>
      </c>
      <c r="G19" s="52">
        <f>(Tabla326[[#This Row],[Estimated baseline removals (Tco2e)]]+Tabla326[[#This Row],[Estimated project removals (Tco2e)2]]-Tabla326[[#This Row],[Estimated leakage emissions (Tco2e)]])*'Assumptions Calculat'!$P$6</f>
        <v>10432.438252164888</v>
      </c>
      <c r="H19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69817.086764488078</v>
      </c>
      <c r="I19" s="146">
        <f>Tabla326[[#This Row],[NET VCUs]]/('Assumptions Calculat'!$K$9)</f>
        <v>9.9738695377840116</v>
      </c>
      <c r="AH19" s="37"/>
    </row>
    <row r="20" spans="2:34" ht="16.75" customHeight="1" x14ac:dyDescent="0.2">
      <c r="B20" s="50">
        <f t="shared" si="1"/>
        <v>15</v>
      </c>
      <c r="C20" s="51">
        <f t="shared" si="0"/>
        <v>2036</v>
      </c>
      <c r="D20" s="120">
        <f t="shared" si="2"/>
        <v>0</v>
      </c>
      <c r="E20" s="52">
        <f>'ARR Calculations'!O21+'ARR Calculations'!AE21+'ARR Calculations'!AU21+'ARR Calculations'!BK21</f>
        <v>90484.038694789968</v>
      </c>
      <c r="F20" s="52">
        <f t="shared" si="3"/>
        <v>0</v>
      </c>
      <c r="G20" s="52">
        <f>(Tabla326[[#This Row],[Estimated baseline removals (Tco2e)]]+Tabla326[[#This Row],[Estimated project removals (Tco2e)2]]-Tabla326[[#This Row],[Estimated leakage emissions (Tco2e)]])*'Assumptions Calculat'!$P$6</f>
        <v>11762.925030322696</v>
      </c>
      <c r="H20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78721.113664467266</v>
      </c>
      <c r="I20" s="146">
        <f>Tabla326[[#This Row],[NET VCUs]]/('Assumptions Calculat'!$K$9)</f>
        <v>11.24587338063818</v>
      </c>
      <c r="AH20" s="37"/>
    </row>
    <row r="21" spans="2:34" ht="16.75" customHeight="1" x14ac:dyDescent="0.2">
      <c r="B21" s="50">
        <f t="shared" si="1"/>
        <v>16</v>
      </c>
      <c r="C21" s="51">
        <f t="shared" si="0"/>
        <v>2037</v>
      </c>
      <c r="D21" s="120">
        <f t="shared" si="2"/>
        <v>0</v>
      </c>
      <c r="E21" s="52">
        <f>'ARR Calculations'!O22+'ARR Calculations'!AE22+'ARR Calculations'!AU22+'ARR Calculations'!BK22</f>
        <v>100815.90422421595</v>
      </c>
      <c r="F21" s="52">
        <f t="shared" si="3"/>
        <v>0</v>
      </c>
      <c r="G21" s="52">
        <f>(Tabla326[[#This Row],[Estimated baseline removals (Tco2e)]]+Tabla326[[#This Row],[Estimated project removals (Tco2e)2]]-Tabla326[[#This Row],[Estimated leakage emissions (Tco2e)]])*'Assumptions Calculat'!$P$6</f>
        <v>13106.067549148074</v>
      </c>
      <c r="H21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87709.836675067869</v>
      </c>
      <c r="I21" s="146">
        <f>Tabla326[[#This Row],[NET VCUs]]/('Assumptions Calculat'!$K$9)</f>
        <v>12.529976667866839</v>
      </c>
      <c r="AH21" s="37"/>
    </row>
    <row r="22" spans="2:34" ht="16.75" customHeight="1" x14ac:dyDescent="0.2">
      <c r="B22" s="50">
        <f t="shared" si="1"/>
        <v>17</v>
      </c>
      <c r="C22" s="51">
        <f t="shared" si="0"/>
        <v>2038</v>
      </c>
      <c r="D22" s="120">
        <f t="shared" si="2"/>
        <v>0</v>
      </c>
      <c r="E22" s="52">
        <f>'ARR Calculations'!O23+'ARR Calculations'!AE23+'ARR Calculations'!AU23+'ARR Calculations'!BK23</f>
        <v>110670.03160247323</v>
      </c>
      <c r="F22" s="52">
        <f t="shared" si="3"/>
        <v>0</v>
      </c>
      <c r="G22" s="52">
        <f>(Tabla326[[#This Row],[Estimated baseline removals (Tco2e)]]+Tabla326[[#This Row],[Estimated project removals (Tco2e)2]]-Tabla326[[#This Row],[Estimated leakage emissions (Tco2e)]])*'Assumptions Calculat'!$P$6</f>
        <v>14387.10410832152</v>
      </c>
      <c r="H22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96282.927494151707</v>
      </c>
      <c r="I22" s="146">
        <f>Tabla326[[#This Row],[NET VCUs]]/('Assumptions Calculat'!$K$9)</f>
        <v>13.754703927735958</v>
      </c>
      <c r="AH22" s="37"/>
    </row>
    <row r="23" spans="2:34" ht="16.75" customHeight="1" x14ac:dyDescent="0.2">
      <c r="B23" s="50">
        <f t="shared" si="1"/>
        <v>18</v>
      </c>
      <c r="C23" s="51">
        <f t="shared" si="0"/>
        <v>2039</v>
      </c>
      <c r="D23" s="120">
        <f t="shared" si="2"/>
        <v>0</v>
      </c>
      <c r="E23" s="52">
        <f>'ARR Calculations'!O24+'ARR Calculations'!AE24+'ARR Calculations'!AU24+'ARR Calculations'!BK24</f>
        <v>119554.59954457667</v>
      </c>
      <c r="F23" s="52">
        <f t="shared" si="3"/>
        <v>0</v>
      </c>
      <c r="G23" s="52">
        <f>(Tabla326[[#This Row],[Estimated baseline removals (Tco2e)]]+Tabla326[[#This Row],[Estimated project removals (Tco2e)2]]-Tabla326[[#This Row],[Estimated leakage emissions (Tco2e)]])*'Assumptions Calculat'!$P$6</f>
        <v>15542.097940794969</v>
      </c>
      <c r="H23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104012.50160378171</v>
      </c>
      <c r="I23" s="146">
        <f>Tabla326[[#This Row],[NET VCUs]]/('Assumptions Calculat'!$K$9)</f>
        <v>14.858928800540244</v>
      </c>
      <c r="AH23" s="37"/>
    </row>
    <row r="24" spans="2:34" ht="16.75" customHeight="1" x14ac:dyDescent="0.2">
      <c r="B24" s="50">
        <f t="shared" si="1"/>
        <v>19</v>
      </c>
      <c r="C24" s="51">
        <f t="shared" si="0"/>
        <v>2040</v>
      </c>
      <c r="D24" s="120">
        <f t="shared" si="2"/>
        <v>0</v>
      </c>
      <c r="E24" s="52">
        <f>'ARR Calculations'!O25+'ARR Calculations'!AE25+'ARR Calculations'!AU25+'ARR Calculations'!BK25</f>
        <v>127099.37419588101</v>
      </c>
      <c r="F24" s="52">
        <f t="shared" si="3"/>
        <v>0</v>
      </c>
      <c r="G24" s="52">
        <f>(Tabla326[[#This Row],[Estimated baseline removals (Tco2e)]]+Tabla326[[#This Row],[Estimated project removals (Tco2e)2]]-Tabla326[[#This Row],[Estimated leakage emissions (Tco2e)]])*'Assumptions Calculat'!$P$6</f>
        <v>16522.918645464531</v>
      </c>
      <c r="H24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110576.45555041649</v>
      </c>
      <c r="I24" s="146">
        <f>Tabla326[[#This Row],[NET VCUs]]/('Assumptions Calculat'!$K$9)</f>
        <v>15.796636507202356</v>
      </c>
      <c r="AH24" s="37"/>
    </row>
    <row r="25" spans="2:34" ht="16.75" customHeight="1" x14ac:dyDescent="0.2">
      <c r="B25" s="50">
        <f t="shared" si="1"/>
        <v>20</v>
      </c>
      <c r="C25" s="51">
        <f t="shared" si="0"/>
        <v>2041</v>
      </c>
      <c r="D25" s="120">
        <f t="shared" si="2"/>
        <v>0</v>
      </c>
      <c r="E25" s="52">
        <f>'ARR Calculations'!O26+'ARR Calculations'!AE26+'ARR Calculations'!AU26+'ARR Calculations'!BK26</f>
        <v>133069.42151744085</v>
      </c>
      <c r="F25" s="52">
        <f t="shared" si="3"/>
        <v>0</v>
      </c>
      <c r="G25" s="52">
        <f>(Tabla326[[#This Row],[Estimated baseline removals (Tco2e)]]+Tabla326[[#This Row],[Estimated project removals (Tco2e)2]]-Tabla326[[#This Row],[Estimated leakage emissions (Tco2e)]])*'Assumptions Calculat'!$P$6</f>
        <v>17299.02479726731</v>
      </c>
      <c r="H25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115770.39672017354</v>
      </c>
      <c r="I25" s="146">
        <f>Tabla326[[#This Row],[NET VCUs]]/('Assumptions Calculat'!$K$9)</f>
        <v>16.538628102881933</v>
      </c>
      <c r="AH25" s="37"/>
    </row>
    <row r="26" spans="2:34" ht="16.75" customHeight="1" x14ac:dyDescent="0.2">
      <c r="B26" s="50">
        <f t="shared" si="1"/>
        <v>21</v>
      </c>
      <c r="C26" s="51">
        <f t="shared" si="0"/>
        <v>2042</v>
      </c>
      <c r="D26" s="120">
        <f t="shared" si="2"/>
        <v>0</v>
      </c>
      <c r="E26" s="52">
        <f>'ARR Calculations'!O27+'ARR Calculations'!AE27+'ARR Calculations'!AU27+'ARR Calculations'!BK27</f>
        <v>137359.52974751071</v>
      </c>
      <c r="F26" s="52">
        <f t="shared" si="3"/>
        <v>0</v>
      </c>
      <c r="G26" s="52">
        <f>(Tabla326[[#This Row],[Estimated baseline removals (Tco2e)]]+Tabla326[[#This Row],[Estimated project removals (Tco2e)2]]-Tabla326[[#This Row],[Estimated leakage emissions (Tco2e)]])*'Assumptions Calculat'!$P$6</f>
        <v>17856.738867176391</v>
      </c>
      <c r="H26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119502.79088033432</v>
      </c>
      <c r="I26" s="146">
        <f>Tabla326[[#This Row],[NET VCUs]]/('Assumptions Calculat'!$K$9)</f>
        <v>17.071827268619188</v>
      </c>
      <c r="AH26" s="37"/>
    </row>
    <row r="27" spans="2:34" ht="16.75" customHeight="1" x14ac:dyDescent="0.2">
      <c r="B27" s="50">
        <f t="shared" si="1"/>
        <v>22</v>
      </c>
      <c r="C27" s="51">
        <f t="shared" si="0"/>
        <v>2043</v>
      </c>
      <c r="D27" s="120">
        <f t="shared" si="2"/>
        <v>0</v>
      </c>
      <c r="E27" s="52">
        <f>'ARR Calculations'!O28+'ARR Calculations'!AE28+'ARR Calculations'!AU28+'ARR Calculations'!BK28</f>
        <v>139976.04067335679</v>
      </c>
      <c r="F27" s="52">
        <f t="shared" si="3"/>
        <v>0</v>
      </c>
      <c r="G27" s="52">
        <f>(Tabla326[[#This Row],[Estimated baseline removals (Tco2e)]]+Tabla326[[#This Row],[Estimated project removals (Tco2e)2]]-Tabla326[[#This Row],[Estimated leakage emissions (Tco2e)]])*'Assumptions Calculat'!$P$6</f>
        <v>18196.885287536385</v>
      </c>
      <c r="H27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121779.15538582041</v>
      </c>
      <c r="I27" s="146">
        <f>Tabla326[[#This Row],[NET VCUs]]/('Assumptions Calculat'!$K$9)</f>
        <v>17.397022197974344</v>
      </c>
      <c r="AH27" s="37"/>
    </row>
    <row r="28" spans="2:34" ht="16.75" customHeight="1" x14ac:dyDescent="0.2">
      <c r="B28" s="50">
        <f t="shared" si="1"/>
        <v>23</v>
      </c>
      <c r="C28" s="51">
        <f t="shared" si="0"/>
        <v>2044</v>
      </c>
      <c r="D28" s="120">
        <f t="shared" si="2"/>
        <v>0</v>
      </c>
      <c r="E28" s="52">
        <f>'ARR Calculations'!O29+'ARR Calculations'!AE29+'ARR Calculations'!AU29+'ARR Calculations'!BK29</f>
        <v>141012.35215348608</v>
      </c>
      <c r="F28" s="52">
        <f t="shared" si="3"/>
        <v>0</v>
      </c>
      <c r="G28" s="52">
        <f>(Tabla326[[#This Row],[Estimated baseline removals (Tco2e)]]+Tabla326[[#This Row],[Estimated project removals (Tco2e)2]]-Tabla326[[#This Row],[Estimated leakage emissions (Tco2e)]])*'Assumptions Calculat'!$P$6</f>
        <v>18331.605779953192</v>
      </c>
      <c r="H28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122680.74637353289</v>
      </c>
      <c r="I28" s="146">
        <f>Tabla326[[#This Row],[NET VCUs]]/('Assumptions Calculat'!$K$9)</f>
        <v>17.525820910504699</v>
      </c>
      <c r="AH28" s="37"/>
    </row>
    <row r="29" spans="2:34" ht="16.75" customHeight="1" x14ac:dyDescent="0.2">
      <c r="B29" s="50">
        <f t="shared" si="1"/>
        <v>24</v>
      </c>
      <c r="C29" s="51">
        <f t="shared" si="0"/>
        <v>2045</v>
      </c>
      <c r="D29" s="120">
        <f t="shared" si="2"/>
        <v>0</v>
      </c>
      <c r="E29" s="52">
        <f>'ARR Calculations'!O30+'ARR Calculations'!AE30+'ARR Calculations'!AU30+'ARR Calculations'!BK30</f>
        <v>140623.00090650687</v>
      </c>
      <c r="F29" s="52">
        <f t="shared" si="3"/>
        <v>0</v>
      </c>
      <c r="G29" s="52">
        <f>(Tabla326[[#This Row],[Estimated baseline removals (Tco2e)]]+Tabla326[[#This Row],[Estimated project removals (Tco2e)2]]-Tabla326[[#This Row],[Estimated leakage emissions (Tco2e)]])*'Assumptions Calculat'!$P$6</f>
        <v>18280.990117845893</v>
      </c>
      <c r="H29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122342.01078866098</v>
      </c>
      <c r="I29" s="146">
        <f>Tabla326[[#This Row],[NET VCUs]]/('Assumptions Calculat'!$K$9)</f>
        <v>17.477430112665854</v>
      </c>
      <c r="AH29" s="37"/>
    </row>
    <row r="30" spans="2:34" ht="16.75" customHeight="1" x14ac:dyDescent="0.2">
      <c r="B30" s="50">
        <f t="shared" si="1"/>
        <v>25</v>
      </c>
      <c r="C30" s="51">
        <f t="shared" si="0"/>
        <v>2046</v>
      </c>
      <c r="D30" s="120">
        <f t="shared" si="2"/>
        <v>0</v>
      </c>
      <c r="E30" s="52">
        <f>'ARR Calculations'!O31+'ARR Calculations'!AE31+'ARR Calculations'!AU31+'ARR Calculations'!BK31</f>
        <v>138999.63298308014</v>
      </c>
      <c r="F30" s="52">
        <f t="shared" si="3"/>
        <v>0</v>
      </c>
      <c r="G30" s="52">
        <f>(Tabla326[[#This Row],[Estimated baseline removals (Tco2e)]]+Tabla326[[#This Row],[Estimated project removals (Tco2e)2]]-Tabla326[[#This Row],[Estimated leakage emissions (Tco2e)]])*'Assumptions Calculat'!$P$6</f>
        <v>18069.952287800417</v>
      </c>
      <c r="H30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120929.68069527972</v>
      </c>
      <c r="I30" s="146">
        <f>Tabla326[[#This Row],[NET VCUs]]/('Assumptions Calculat'!$K$9)</f>
        <v>17.275668670754246</v>
      </c>
      <c r="AH30" s="37"/>
    </row>
    <row r="31" spans="2:34" ht="16.75" customHeight="1" x14ac:dyDescent="0.2">
      <c r="B31" s="50">
        <f>B30+1</f>
        <v>26</v>
      </c>
      <c r="C31" s="51">
        <f t="shared" si="0"/>
        <v>2047</v>
      </c>
      <c r="D31" s="120">
        <f t="shared" si="2"/>
        <v>0</v>
      </c>
      <c r="E31" s="52">
        <f>'ARR Calculations'!O32+'ARR Calculations'!AE32+'ARR Calculations'!AU32+'ARR Calculations'!BK32</f>
        <v>136350.71713659971</v>
      </c>
      <c r="F31" s="52">
        <f t="shared" si="3"/>
        <v>0</v>
      </c>
      <c r="G31" s="52">
        <f>(Tabla326[[#This Row],[Estimated baseline removals (Tco2e)]]+Tabla326[[#This Row],[Estimated project removals (Tco2e)2]]-Tabla326[[#This Row],[Estimated leakage emissions (Tco2e)]])*'Assumptions Calculat'!$P$6</f>
        <v>17725.593227757963</v>
      </c>
      <c r="H31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118625.12390884175</v>
      </c>
      <c r="I31" s="146">
        <f>Tabla326[[#This Row],[NET VCUs]]/('Assumptions Calculat'!$K$9)</f>
        <v>16.946446272691677</v>
      </c>
      <c r="AH31" s="37"/>
    </row>
    <row r="32" spans="2:34" ht="16.75" customHeight="1" x14ac:dyDescent="0.2">
      <c r="B32" s="50">
        <f t="shared" si="1"/>
        <v>27</v>
      </c>
      <c r="C32" s="51">
        <f t="shared" si="0"/>
        <v>2048</v>
      </c>
      <c r="D32" s="120">
        <f t="shared" si="2"/>
        <v>0</v>
      </c>
      <c r="E32" s="52">
        <f>'ARR Calculations'!O33+'ARR Calculations'!AE33+'ARR Calculations'!AU33+'ARR Calculations'!BK33</f>
        <v>132885.7308508078</v>
      </c>
      <c r="F32" s="52">
        <f t="shared" si="3"/>
        <v>0</v>
      </c>
      <c r="G32" s="52">
        <f>(Tabla326[[#This Row],[Estimated baseline removals (Tco2e)]]+Tabla326[[#This Row],[Estimated project removals (Tco2e)2]]-Tabla326[[#This Row],[Estimated leakage emissions (Tco2e)]])*'Assumptions Calculat'!$P$6</f>
        <v>17275.145010605014</v>
      </c>
      <c r="H32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115610.58584020278</v>
      </c>
      <c r="I32" s="146">
        <f>Tabla326[[#This Row],[NET VCUs]]/('Assumptions Calculat'!$K$9)</f>
        <v>16.515797977171825</v>
      </c>
      <c r="AH32" s="37"/>
    </row>
    <row r="33" spans="2:34" ht="16.75" customHeight="1" x14ac:dyDescent="0.2">
      <c r="B33" s="50">
        <f t="shared" si="1"/>
        <v>28</v>
      </c>
      <c r="C33" s="51">
        <f t="shared" si="0"/>
        <v>2049</v>
      </c>
      <c r="D33" s="120">
        <f t="shared" si="2"/>
        <v>0</v>
      </c>
      <c r="E33" s="52">
        <f>'ARR Calculations'!O34+'ARR Calculations'!AE34+'ARR Calculations'!AU34+'ARR Calculations'!BK34</f>
        <v>128803.78280110269</v>
      </c>
      <c r="F33" s="52">
        <f t="shared" si="3"/>
        <v>0</v>
      </c>
      <c r="G33" s="52">
        <f>(Tabla326[[#This Row],[Estimated baseline removals (Tco2e)]]+Tabla326[[#This Row],[Estimated project removals (Tco2e)2]]-Tabla326[[#This Row],[Estimated leakage emissions (Tco2e)]])*'Assumptions Calculat'!$P$6</f>
        <v>16744.491764143349</v>
      </c>
      <c r="H33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112059.29103695933</v>
      </c>
      <c r="I33" s="146">
        <f>Tabla326[[#This Row],[NET VCUs]]/('Assumptions Calculat'!$K$9)</f>
        <v>16.008470148137047</v>
      </c>
      <c r="AH33" s="37"/>
    </row>
    <row r="34" spans="2:34" ht="16.75" customHeight="1" x14ac:dyDescent="0.2">
      <c r="B34" s="50">
        <f t="shared" si="1"/>
        <v>29</v>
      </c>
      <c r="C34" s="51">
        <f t="shared" si="0"/>
        <v>2050</v>
      </c>
      <c r="D34" s="120">
        <f t="shared" si="2"/>
        <v>0</v>
      </c>
      <c r="E34" s="52">
        <f>'ARR Calculations'!O35+'ARR Calculations'!AE35+'ARR Calculations'!AU35+'ARR Calculations'!BK35</f>
        <v>124286.18424124275</v>
      </c>
      <c r="F34" s="52">
        <f t="shared" si="3"/>
        <v>0</v>
      </c>
      <c r="G34" s="52">
        <f>(Tabla326[[#This Row],[Estimated baseline removals (Tco2e)]]+Tabla326[[#This Row],[Estimated project removals (Tco2e)2]]-Tabla326[[#This Row],[Estimated leakage emissions (Tco2e)]])*'Assumptions Calculat'!$P$6</f>
        <v>16157.203951361558</v>
      </c>
      <c r="H34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108128.98028988119</v>
      </c>
      <c r="I34" s="146">
        <f>Tabla326[[#This Row],[NET VCUs]]/('Assumptions Calculat'!$K$9)</f>
        <v>15.446997184268742</v>
      </c>
      <c r="AH34" s="37"/>
    </row>
    <row r="35" spans="2:34" ht="16.75" customHeight="1" x14ac:dyDescent="0.2">
      <c r="B35" s="78">
        <f t="shared" si="1"/>
        <v>30</v>
      </c>
      <c r="C35" s="79">
        <f t="shared" si="0"/>
        <v>2051</v>
      </c>
      <c r="D35" s="120">
        <f t="shared" si="2"/>
        <v>0</v>
      </c>
      <c r="E35" s="52">
        <f>'ARR Calculations'!O36+'ARR Calculations'!AE36+'ARR Calculations'!AU36+'ARR Calculations'!BK36</f>
        <v>119492.27041515052</v>
      </c>
      <c r="F35" s="52">
        <f t="shared" si="3"/>
        <v>0</v>
      </c>
      <c r="G35" s="52">
        <f>(Tabla326[[#This Row],[Estimated baseline removals (Tco2e)]]+Tabla326[[#This Row],[Estimated project removals (Tco2e)2]]-Tabla326[[#This Row],[Estimated leakage emissions (Tco2e)]])*'Assumptions Calculat'!$P$6</f>
        <v>15533.995153969568</v>
      </c>
      <c r="H35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103958.27526118094</v>
      </c>
      <c r="I35" s="146">
        <f>Tabla326[[#This Row],[NET VCUs]]/('Assumptions Calculat'!$K$9)</f>
        <v>14.851182180168706</v>
      </c>
      <c r="AH35" s="37"/>
    </row>
    <row r="36" spans="2:34" x14ac:dyDescent="0.2">
      <c r="B36" s="50">
        <f t="shared" ref="B36:B45" si="4">B35+1</f>
        <v>31</v>
      </c>
      <c r="C36" s="51">
        <f t="shared" si="0"/>
        <v>2052</v>
      </c>
      <c r="D36" s="120">
        <f t="shared" si="2"/>
        <v>0</v>
      </c>
      <c r="E36" s="52">
        <f>'ARR Calculations'!O37+'ARR Calculations'!AE37+'ARR Calculations'!AU37+'ARR Calculations'!BK37</f>
        <v>114557.72499866031</v>
      </c>
      <c r="F36" s="52">
        <f t="shared" si="3"/>
        <v>0</v>
      </c>
      <c r="G36" s="52">
        <f>(Tabla326[[#This Row],[Estimated baseline removals (Tco2e)]]+Tabla326[[#This Row],[Estimated project removals (Tco2e)2]]-Tabla326[[#This Row],[Estimated leakage emissions (Tco2e)]])*'Assumptions Calculat'!$P$6</f>
        <v>14892.504249825841</v>
      </c>
      <c r="H36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99665.220748834472</v>
      </c>
      <c r="I36" s="146">
        <f>Tabla326[[#This Row],[NET VCUs]]/('Assumptions Calculat'!$K$9)</f>
        <v>14.237888678404925</v>
      </c>
      <c r="AH36" s="37"/>
    </row>
    <row r="37" spans="2:34" x14ac:dyDescent="0.2">
      <c r="B37" s="50">
        <f t="shared" si="4"/>
        <v>32</v>
      </c>
      <c r="C37" s="51">
        <f t="shared" si="0"/>
        <v>2053</v>
      </c>
      <c r="D37" s="120">
        <f t="shared" si="2"/>
        <v>0</v>
      </c>
      <c r="E37" s="52">
        <f>'ARR Calculations'!O38+'ARR Calculations'!AE38+'ARR Calculations'!AU38+'ARR Calculations'!BK38</f>
        <v>109594.71107289255</v>
      </c>
      <c r="F37" s="52">
        <f t="shared" si="3"/>
        <v>0</v>
      </c>
      <c r="G37" s="52">
        <f>(Tabla326[[#This Row],[Estimated baseline removals (Tco2e)]]+Tabla326[[#This Row],[Estimated project removals (Tco2e)2]]-Tabla326[[#This Row],[Estimated leakage emissions (Tco2e)]])*'Assumptions Calculat'!$P$6</f>
        <v>14247.312439476033</v>
      </c>
      <c r="H37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95347.398633416509</v>
      </c>
      <c r="I37" s="146">
        <f>Tabla326[[#This Row],[NET VCUs]]/('Assumptions Calculat'!$K$9)</f>
        <v>13.62105694763093</v>
      </c>
      <c r="AH37" s="37"/>
    </row>
    <row r="38" spans="2:34" x14ac:dyDescent="0.2">
      <c r="B38" s="50">
        <f t="shared" si="4"/>
        <v>33</v>
      </c>
      <c r="C38" s="51">
        <f t="shared" si="0"/>
        <v>2054</v>
      </c>
      <c r="D38" s="120">
        <f t="shared" si="2"/>
        <v>0</v>
      </c>
      <c r="E38" s="52">
        <f>'ARR Calculations'!O39+'ARR Calculations'!AE39+'ARR Calculations'!AU39+'ARR Calculations'!BK39</f>
        <v>104693.21279790266</v>
      </c>
      <c r="F38" s="52">
        <f t="shared" si="3"/>
        <v>0</v>
      </c>
      <c r="G38" s="52">
        <f>(Tabla326[[#This Row],[Estimated baseline removals (Tco2e)]]+Tabla326[[#This Row],[Estimated project removals (Tco2e)2]]-Tabla326[[#This Row],[Estimated leakage emissions (Tco2e)]])*'Assumptions Calculat'!$P$6</f>
        <v>13610.117663727346</v>
      </c>
      <c r="H38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91083.09513417531</v>
      </c>
      <c r="I38" s="146">
        <f>Tabla326[[#This Row],[NET VCUs]]/('Assumptions Calculat'!$K$9)</f>
        <v>13.011870733453616</v>
      </c>
      <c r="AH38" s="37"/>
    </row>
    <row r="39" spans="2:34" s="37" customFormat="1" x14ac:dyDescent="0.2">
      <c r="B39" s="73">
        <f t="shared" si="4"/>
        <v>34</v>
      </c>
      <c r="C39" s="74">
        <f t="shared" si="0"/>
        <v>2055</v>
      </c>
      <c r="D39" s="120">
        <f t="shared" si="2"/>
        <v>0</v>
      </c>
      <c r="E39" s="52">
        <f>'ARR Calculations'!O40+'ARR Calculations'!AE40+'ARR Calculations'!AU40+'ARR Calculations'!BK40</f>
        <v>99923.109987746939</v>
      </c>
      <c r="F39" s="52">
        <f t="shared" si="3"/>
        <v>0</v>
      </c>
      <c r="G39" s="52">
        <f>(Tabla326[[#This Row],[Estimated baseline removals (Tco2e)]]+Tabla326[[#This Row],[Estimated project removals (Tco2e)2]]-Tabla326[[#This Row],[Estimated leakage emissions (Tco2e)]])*'Assumptions Calculat'!$P$6</f>
        <v>12990.004298407102</v>
      </c>
      <c r="H39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86933.105689339834</v>
      </c>
      <c r="I39" s="146">
        <f>Tabla326[[#This Row],[NET VCUs]]/('Assumptions Calculat'!$K$9)</f>
        <v>12.41901509847712</v>
      </c>
    </row>
    <row r="40" spans="2:34" s="37" customFormat="1" x14ac:dyDescent="0.2">
      <c r="B40" s="73">
        <f t="shared" si="4"/>
        <v>35</v>
      </c>
      <c r="C40" s="74">
        <f t="shared" si="0"/>
        <v>2056</v>
      </c>
      <c r="D40" s="120">
        <f t="shared" si="2"/>
        <v>0</v>
      </c>
      <c r="E40" s="52">
        <f>'ARR Calculations'!O41+'ARR Calculations'!AE41+'ARR Calculations'!AU41+'ARR Calculations'!BK41</f>
        <v>95336.623133370143</v>
      </c>
      <c r="F40" s="52">
        <f t="shared" si="3"/>
        <v>0</v>
      </c>
      <c r="G40" s="52">
        <f>(Tabla326[[#This Row],[Estimated baseline removals (Tco2e)]]+Tabla326[[#This Row],[Estimated project removals (Tco2e)2]]-Tabla326[[#This Row],[Estimated leakage emissions (Tco2e)]])*'Assumptions Calculat'!$P$6</f>
        <v>12393.761007338118</v>
      </c>
      <c r="H40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82942.862126032021</v>
      </c>
      <c r="I40" s="146">
        <f>Tabla326[[#This Row],[NET VCUs]]/('Assumptions Calculat'!$K$9)</f>
        <v>11.848980303718861</v>
      </c>
    </row>
    <row r="41" spans="2:34" s="37" customFormat="1" x14ac:dyDescent="0.2">
      <c r="B41" s="73">
        <f t="shared" si="4"/>
        <v>36</v>
      </c>
      <c r="C41" s="74">
        <f t="shared" si="0"/>
        <v>2057</v>
      </c>
      <c r="D41" s="120">
        <f t="shared" si="2"/>
        <v>0</v>
      </c>
      <c r="E41" s="52">
        <f>'ARR Calculations'!O42+'ARR Calculations'!AE42+'ARR Calculations'!AU42+'ARR Calculations'!BK42</f>
        <v>90970.86839049893</v>
      </c>
      <c r="F41" s="52">
        <f t="shared" si="3"/>
        <v>0</v>
      </c>
      <c r="G41" s="52">
        <f>(Tabla326[[#This Row],[Estimated baseline removals (Tco2e)]]+Tabla326[[#This Row],[Estimated project removals (Tco2e)2]]-Tabla326[[#This Row],[Estimated leakage emissions (Tco2e)]])*'Assumptions Calculat'!$P$6</f>
        <v>11826.212890764862</v>
      </c>
      <c r="H41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79144.655499734072</v>
      </c>
      <c r="I41" s="146">
        <f>Tabla326[[#This Row],[NET VCUs]]/('Assumptions Calculat'!$K$9)</f>
        <v>11.306379357104868</v>
      </c>
    </row>
    <row r="42" spans="2:34" s="37" customFormat="1" x14ac:dyDescent="0.2">
      <c r="B42" s="73">
        <f t="shared" si="4"/>
        <v>37</v>
      </c>
      <c r="C42" s="74">
        <f t="shared" si="0"/>
        <v>2058</v>
      </c>
      <c r="D42" s="120">
        <f t="shared" si="2"/>
        <v>0</v>
      </c>
      <c r="E42" s="52">
        <f>'ARR Calculations'!O43+'ARR Calculations'!AE43+'ARR Calculations'!AU43+'ARR Calculations'!BK43</f>
        <v>86850.346258373305</v>
      </c>
      <c r="F42" s="52">
        <f t="shared" si="3"/>
        <v>0</v>
      </c>
      <c r="G42" s="52">
        <f>(Tabla326[[#This Row],[Estimated baseline removals (Tco2e)]]+Tabla326[[#This Row],[Estimated project removals (Tco2e)2]]-Tabla326[[#This Row],[Estimated leakage emissions (Tco2e)]])*'Assumptions Calculat'!$P$6</f>
        <v>11290.545013588529</v>
      </c>
      <c r="H42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75559.801244784772</v>
      </c>
      <c r="I42" s="146">
        <f>Tabla326[[#This Row],[NET VCUs]]/('Assumptions Calculat'!$K$9)</f>
        <v>10.794257320683538</v>
      </c>
    </row>
    <row r="43" spans="2:34" s="37" customFormat="1" x14ac:dyDescent="0.2">
      <c r="B43" s="73">
        <f t="shared" si="4"/>
        <v>38</v>
      </c>
      <c r="C43" s="74">
        <f t="shared" si="0"/>
        <v>2059</v>
      </c>
      <c r="D43" s="120">
        <f t="shared" si="2"/>
        <v>0</v>
      </c>
      <c r="E43" s="52">
        <f>'ARR Calculations'!O44+'ARR Calculations'!AE44+'ARR Calculations'!AU44+'ARR Calculations'!BK44</f>
        <v>82989.253607587845</v>
      </c>
      <c r="F43" s="52">
        <f t="shared" si="3"/>
        <v>0</v>
      </c>
      <c r="G43" s="52">
        <f>(Tabla326[[#This Row],[Estimated baseline removals (Tco2e)]]+Tabla326[[#This Row],[Estimated project removals (Tco2e)2]]-Tabla326[[#This Row],[Estimated leakage emissions (Tco2e)]])*'Assumptions Calculat'!$P$6</f>
        <v>10788.602968986421</v>
      </c>
      <c r="H43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72200.650638601423</v>
      </c>
      <c r="I43" s="146">
        <f>Tabla326[[#This Row],[NET VCUs]]/('Assumptions Calculat'!$K$9)</f>
        <v>10.314378662657345</v>
      </c>
    </row>
    <row r="44" spans="2:34" s="37" customFormat="1" x14ac:dyDescent="0.2">
      <c r="B44" s="73">
        <f t="shared" si="4"/>
        <v>39</v>
      </c>
      <c r="C44" s="74">
        <f t="shared" si="0"/>
        <v>2060</v>
      </c>
      <c r="D44" s="120">
        <f t="shared" si="2"/>
        <v>0</v>
      </c>
      <c r="E44" s="52">
        <f>'ARR Calculations'!O45+'ARR Calculations'!AE45+'ARR Calculations'!AU45+'ARR Calculations'!BK45</f>
        <v>79393.55798058756</v>
      </c>
      <c r="F44" s="52">
        <f t="shared" si="3"/>
        <v>0</v>
      </c>
      <c r="G44" s="52">
        <f>(Tabla326[[#This Row],[Estimated baseline removals (Tco2e)]]+Tabla326[[#This Row],[Estimated project removals (Tco2e)2]]-Tabla326[[#This Row],[Estimated leakage emissions (Tco2e)]])*'Assumptions Calculat'!$P$6</f>
        <v>10321.162537476383</v>
      </c>
      <c r="H44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69072.395443111178</v>
      </c>
      <c r="I44" s="146">
        <f>Tabla326[[#This Row],[NET VCUs]]/('Assumptions Calculat'!$K$9)</f>
        <v>9.8674850633015971</v>
      </c>
    </row>
    <row r="45" spans="2:34" s="37" customFormat="1" ht="16" thickBot="1" x14ac:dyDescent="0.25">
      <c r="B45" s="75">
        <f t="shared" si="4"/>
        <v>40</v>
      </c>
      <c r="C45" s="76">
        <f t="shared" si="0"/>
        <v>2061</v>
      </c>
      <c r="D45" s="120">
        <f t="shared" si="2"/>
        <v>0</v>
      </c>
      <c r="E45" s="52">
        <f>'ARR Calculations'!O46+'ARR Calculations'!AE46+'ARR Calculations'!AU46+'ARR Calculations'!BK46</f>
        <v>76062.808251569659</v>
      </c>
      <c r="F45" s="52">
        <f t="shared" si="3"/>
        <v>0</v>
      </c>
      <c r="G45" s="52">
        <f>(Tabla326[[#This Row],[Estimated baseline removals (Tco2e)]]+Tabla326[[#This Row],[Estimated project removals (Tco2e)2]]-Tabla326[[#This Row],[Estimated leakage emissions (Tco2e)]])*'Assumptions Calculat'!$P$6</f>
        <v>9888.165072704056</v>
      </c>
      <c r="H45" s="52">
        <f>Tabla326[[#This Row],[Estimated baseline removals (Tco2e)]]+Tabla326[[#This Row],[Estimated project removals (Tco2e)2]]-Tabla326[[#This Row],[Estimated leakage emissions (Tco2e)]]-Tabla326[[#This Row],[Estimated buffer pool allocation (Tco2e)]]</f>
        <v>66174.643178865605</v>
      </c>
      <c r="I45" s="146">
        <f>Tabla326[[#This Row],[NET VCUs]]/('Assumptions Calculat'!$K$9)</f>
        <v>9.453520454123657</v>
      </c>
    </row>
    <row r="46" spans="2:34" s="37" customFormat="1" ht="23.5" customHeight="1" thickBot="1" x14ac:dyDescent="0.25">
      <c r="B46" s="53"/>
      <c r="C46" s="60" t="s">
        <v>94</v>
      </c>
      <c r="D46" s="60"/>
      <c r="E46" s="77">
        <f>SUBTOTAL(109,Tabla326[Estimated project removals (Tco2e)2])</f>
        <v>3289566.7524343613</v>
      </c>
      <c r="F46" s="77">
        <f>SUBTOTAL(109,Tabla326[Estimated leakage emissions (Tco2e)])</f>
        <v>0</v>
      </c>
      <c r="G46" s="77">
        <f>SUBTOTAL(109,Tabla326[Estimated buffer pool allocation (Tco2e)])</f>
        <v>427643.67781646695</v>
      </c>
      <c r="H46" s="77">
        <f>SUBTOTAL(109,Tabla326[NET VCUs])</f>
        <v>2861923.074617893</v>
      </c>
      <c r="L46" s="119"/>
    </row>
    <row r="47" spans="2:34" s="37" customFormat="1" ht="16" x14ac:dyDescent="0.2">
      <c r="C47" s="60" t="s">
        <v>95</v>
      </c>
      <c r="D47" s="60"/>
      <c r="E47" s="61">
        <f>E46/$B$45</f>
        <v>82239.168810859032</v>
      </c>
      <c r="F47" s="61">
        <f t="shared" ref="F47:G47" si="5">F46/$B$45</f>
        <v>0</v>
      </c>
      <c r="G47" s="61">
        <f t="shared" si="5"/>
        <v>10691.091945411674</v>
      </c>
      <c r="H47" s="61">
        <f>H46/$B$45</f>
        <v>71548.076865447321</v>
      </c>
    </row>
    <row r="48" spans="2:34" s="37" customFormat="1" x14ac:dyDescent="0.2">
      <c r="H48" s="119">
        <f>H47/7000</f>
        <v>10.221153837921046</v>
      </c>
      <c r="L48" s="119"/>
    </row>
    <row r="49" s="37" customFormat="1" x14ac:dyDescent="0.2"/>
    <row r="50" s="37" customFormat="1" x14ac:dyDescent="0.2"/>
    <row r="51" s="37" customFormat="1" x14ac:dyDescent="0.2"/>
    <row r="52" s="37" customFormat="1" x14ac:dyDescent="0.2"/>
    <row r="53" s="37" customFormat="1" x14ac:dyDescent="0.2"/>
    <row r="54" s="37" customFormat="1" x14ac:dyDescent="0.2"/>
    <row r="55" s="37" customFormat="1" x14ac:dyDescent="0.2"/>
    <row r="56" s="37" customFormat="1" x14ac:dyDescent="0.2"/>
    <row r="57" s="37" customFormat="1" x14ac:dyDescent="0.2"/>
    <row r="58" s="37" customFormat="1" x14ac:dyDescent="0.2"/>
    <row r="59" s="37" customFormat="1" x14ac:dyDescent="0.2"/>
    <row r="60" s="37" customFormat="1" x14ac:dyDescent="0.2"/>
    <row r="61" s="37" customFormat="1" x14ac:dyDescent="0.2"/>
    <row r="62" s="37" customFormat="1" x14ac:dyDescent="0.2"/>
    <row r="63" s="37" customFormat="1" x14ac:dyDescent="0.2"/>
    <row r="64" s="37" customFormat="1" x14ac:dyDescent="0.2"/>
    <row r="65" s="37" customFormat="1" x14ac:dyDescent="0.2"/>
    <row r="66" s="37" customFormat="1" x14ac:dyDescent="0.2"/>
    <row r="67" s="37" customFormat="1" x14ac:dyDescent="0.2"/>
    <row r="68" s="37" customFormat="1" x14ac:dyDescent="0.2"/>
    <row r="69" s="37" customFormat="1" x14ac:dyDescent="0.2"/>
    <row r="70" s="37" customFormat="1" x14ac:dyDescent="0.2"/>
    <row r="71" s="37" customFormat="1" x14ac:dyDescent="0.2"/>
    <row r="72" s="37" customFormat="1" x14ac:dyDescent="0.2"/>
    <row r="73" s="37" customFormat="1" x14ac:dyDescent="0.2"/>
    <row r="74" s="37" customFormat="1" x14ac:dyDescent="0.2"/>
    <row r="75" s="37" customFormat="1" x14ac:dyDescent="0.2"/>
    <row r="76" s="37" customFormat="1" x14ac:dyDescent="0.2"/>
    <row r="77" s="37" customFormat="1" x14ac:dyDescent="0.2"/>
    <row r="78" s="37" customFormat="1" x14ac:dyDescent="0.2"/>
    <row r="79" s="37" customFormat="1" x14ac:dyDescent="0.2"/>
    <row r="80" s="37" customFormat="1" x14ac:dyDescent="0.2"/>
    <row r="81" s="37" customFormat="1" x14ac:dyDescent="0.2"/>
    <row r="82" s="37" customFormat="1" x14ac:dyDescent="0.2"/>
    <row r="83" s="37" customFormat="1" x14ac:dyDescent="0.2"/>
    <row r="84" s="37" customFormat="1" x14ac:dyDescent="0.2"/>
    <row r="85" s="37" customFormat="1" x14ac:dyDescent="0.2"/>
    <row r="86" s="37" customFormat="1" x14ac:dyDescent="0.2"/>
    <row r="87" s="37" customFormat="1" x14ac:dyDescent="0.2"/>
    <row r="88" s="37" customFormat="1" x14ac:dyDescent="0.2"/>
    <row r="89" s="37" customFormat="1" x14ac:dyDescent="0.2"/>
    <row r="90" s="37" customFormat="1" x14ac:dyDescent="0.2"/>
    <row r="91" s="37" customFormat="1" x14ac:dyDescent="0.2"/>
    <row r="92" s="37" customFormat="1" x14ac:dyDescent="0.2"/>
    <row r="93" s="37" customFormat="1" x14ac:dyDescent="0.2"/>
    <row r="94" s="37" customFormat="1" x14ac:dyDescent="0.2"/>
    <row r="95" s="37" customFormat="1" x14ac:dyDescent="0.2"/>
    <row r="96" s="37" customFormat="1" x14ac:dyDescent="0.2"/>
    <row r="97" s="37" customFormat="1" x14ac:dyDescent="0.2"/>
    <row r="98" s="37" customFormat="1" x14ac:dyDescent="0.2"/>
    <row r="99" s="37" customFormat="1" x14ac:dyDescent="0.2"/>
    <row r="100" s="37" customFormat="1" x14ac:dyDescent="0.2"/>
    <row r="101" s="37" customFormat="1" x14ac:dyDescent="0.2"/>
    <row r="102" s="37" customFormat="1" x14ac:dyDescent="0.2"/>
    <row r="103" s="37" customFormat="1" x14ac:dyDescent="0.2"/>
    <row r="104" s="37" customFormat="1" x14ac:dyDescent="0.2"/>
    <row r="105" s="37" customFormat="1" x14ac:dyDescent="0.2"/>
    <row r="106" s="37" customFormat="1" x14ac:dyDescent="0.2"/>
    <row r="107" s="37" customFormat="1" x14ac:dyDescent="0.2"/>
    <row r="108" s="37" customFormat="1" x14ac:dyDescent="0.2"/>
    <row r="109" s="37" customFormat="1" x14ac:dyDescent="0.2"/>
    <row r="110" s="37" customFormat="1" x14ac:dyDescent="0.2"/>
    <row r="111" s="37" customFormat="1" x14ac:dyDescent="0.2"/>
    <row r="112" s="37" customFormat="1" x14ac:dyDescent="0.2"/>
    <row r="113" s="37" customFormat="1" x14ac:dyDescent="0.2"/>
    <row r="114" s="37" customFormat="1" x14ac:dyDescent="0.2"/>
    <row r="115" s="37" customFormat="1" x14ac:dyDescent="0.2"/>
    <row r="116" s="37" customFormat="1" x14ac:dyDescent="0.2"/>
    <row r="117" s="37" customFormat="1" x14ac:dyDescent="0.2"/>
    <row r="118" s="37" customFormat="1" x14ac:dyDescent="0.2"/>
    <row r="119" s="37" customFormat="1" x14ac:dyDescent="0.2"/>
    <row r="120" s="37" customFormat="1" x14ac:dyDescent="0.2"/>
    <row r="121" s="37" customFormat="1" x14ac:dyDescent="0.2"/>
    <row r="122" s="37" customFormat="1" x14ac:dyDescent="0.2"/>
    <row r="123" s="37" customFormat="1" x14ac:dyDescent="0.2"/>
    <row r="124" s="37" customFormat="1" x14ac:dyDescent="0.2"/>
    <row r="125" s="37" customFormat="1" x14ac:dyDescent="0.2"/>
    <row r="126" s="37" customFormat="1" x14ac:dyDescent="0.2"/>
    <row r="127" s="37" customFormat="1" x14ac:dyDescent="0.2"/>
    <row r="128" s="37" customFormat="1" x14ac:dyDescent="0.2"/>
    <row r="129" s="37" customFormat="1" x14ac:dyDescent="0.2"/>
    <row r="130" s="37" customFormat="1" x14ac:dyDescent="0.2"/>
    <row r="131" s="37" customFormat="1" x14ac:dyDescent="0.2"/>
    <row r="132" s="37" customFormat="1" x14ac:dyDescent="0.2"/>
    <row r="133" s="37" customFormat="1" x14ac:dyDescent="0.2"/>
  </sheetData>
  <mergeCells count="1">
    <mergeCell ref="B3:C3"/>
  </mergeCells>
  <phoneticPr fontId="42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9352-5056-47FB-86DA-6260D665FA88}">
  <sheetPr>
    <tabColor theme="7" tint="0.59999389629810485"/>
  </sheetPr>
  <dimension ref="E3:F19"/>
  <sheetViews>
    <sheetView workbookViewId="0">
      <selection activeCell="F3" sqref="F3:F12"/>
    </sheetView>
  </sheetViews>
  <sheetFormatPr baseColWidth="10" defaultColWidth="11.5" defaultRowHeight="15" x14ac:dyDescent="0.2"/>
  <sheetData>
    <row r="3" spans="5:6" x14ac:dyDescent="0.2">
      <c r="E3">
        <v>1</v>
      </c>
      <c r="F3">
        <f>(6*E3)-4</f>
        <v>2</v>
      </c>
    </row>
    <row r="4" spans="5:6" x14ac:dyDescent="0.2">
      <c r="E4">
        <v>2</v>
      </c>
      <c r="F4">
        <f t="shared" ref="F4:F19" si="0">(6*E4)-4</f>
        <v>8</v>
      </c>
    </row>
    <row r="5" spans="5:6" x14ac:dyDescent="0.2">
      <c r="E5">
        <v>3</v>
      </c>
      <c r="F5">
        <f t="shared" si="0"/>
        <v>14</v>
      </c>
    </row>
    <row r="6" spans="5:6" x14ac:dyDescent="0.2">
      <c r="E6">
        <v>4</v>
      </c>
      <c r="F6">
        <f t="shared" si="0"/>
        <v>20</v>
      </c>
    </row>
    <row r="7" spans="5:6" x14ac:dyDescent="0.2">
      <c r="E7">
        <v>5</v>
      </c>
      <c r="F7">
        <f t="shared" si="0"/>
        <v>26</v>
      </c>
    </row>
    <row r="8" spans="5:6" x14ac:dyDescent="0.2">
      <c r="E8">
        <v>6</v>
      </c>
      <c r="F8">
        <f t="shared" si="0"/>
        <v>32</v>
      </c>
    </row>
    <row r="9" spans="5:6" x14ac:dyDescent="0.2">
      <c r="E9">
        <v>7</v>
      </c>
      <c r="F9">
        <f t="shared" si="0"/>
        <v>38</v>
      </c>
    </row>
    <row r="10" spans="5:6" x14ac:dyDescent="0.2">
      <c r="E10">
        <v>8</v>
      </c>
      <c r="F10">
        <f t="shared" si="0"/>
        <v>44</v>
      </c>
    </row>
    <row r="11" spans="5:6" x14ac:dyDescent="0.2">
      <c r="E11">
        <v>9</v>
      </c>
      <c r="F11">
        <f t="shared" si="0"/>
        <v>50</v>
      </c>
    </row>
    <row r="12" spans="5:6" x14ac:dyDescent="0.2">
      <c r="E12">
        <v>10</v>
      </c>
      <c r="F12">
        <f t="shared" si="0"/>
        <v>56</v>
      </c>
    </row>
    <row r="13" spans="5:6" x14ac:dyDescent="0.2">
      <c r="E13">
        <v>11</v>
      </c>
      <c r="F13">
        <f t="shared" si="0"/>
        <v>62</v>
      </c>
    </row>
    <row r="14" spans="5:6" x14ac:dyDescent="0.2">
      <c r="E14">
        <v>12</v>
      </c>
      <c r="F14">
        <f t="shared" si="0"/>
        <v>68</v>
      </c>
    </row>
    <row r="15" spans="5:6" x14ac:dyDescent="0.2">
      <c r="E15">
        <v>13</v>
      </c>
      <c r="F15">
        <f t="shared" si="0"/>
        <v>74</v>
      </c>
    </row>
    <row r="16" spans="5:6" x14ac:dyDescent="0.2">
      <c r="E16">
        <v>14</v>
      </c>
      <c r="F16">
        <f t="shared" si="0"/>
        <v>80</v>
      </c>
    </row>
    <row r="17" spans="5:6" x14ac:dyDescent="0.2">
      <c r="E17">
        <v>15</v>
      </c>
      <c r="F17">
        <f t="shared" si="0"/>
        <v>86</v>
      </c>
    </row>
    <row r="18" spans="5:6" x14ac:dyDescent="0.2">
      <c r="E18">
        <v>16</v>
      </c>
      <c r="F18">
        <f t="shared" si="0"/>
        <v>92</v>
      </c>
    </row>
    <row r="19" spans="5:6" x14ac:dyDescent="0.2">
      <c r="E19">
        <v>17</v>
      </c>
      <c r="F19">
        <f t="shared" si="0"/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A1E0-3219-4544-AC62-129A132A6979}">
  <sheetPr>
    <tabColor theme="7" tint="0.59999389629810485"/>
  </sheetPr>
  <dimension ref="B3:N29"/>
  <sheetViews>
    <sheetView topLeftCell="E4" zoomScale="90" zoomScaleNormal="90" workbookViewId="0">
      <selection activeCell="H4" sqref="H4:H7"/>
    </sheetView>
  </sheetViews>
  <sheetFormatPr baseColWidth="10" defaultColWidth="11.5" defaultRowHeight="15" x14ac:dyDescent="0.2"/>
  <cols>
    <col min="1" max="1" width="11.5" style="98"/>
    <col min="2" max="2" width="18.83203125" style="98" customWidth="1"/>
    <col min="3" max="5" width="11.5" style="98"/>
    <col min="6" max="6" width="13.83203125" style="98" customWidth="1"/>
    <col min="7" max="7" width="13.5" style="98" customWidth="1"/>
    <col min="8" max="8" width="11.5" style="98"/>
    <col min="9" max="9" width="8.5" style="98" customWidth="1"/>
    <col min="10" max="10" width="29.1640625" style="98" customWidth="1"/>
    <col min="11" max="11" width="16.83203125" style="98" customWidth="1"/>
    <col min="12" max="12" width="11.5" style="98"/>
    <col min="13" max="13" width="13.5" style="98" bestFit="1" customWidth="1"/>
    <col min="14" max="14" width="13.83203125" style="98" customWidth="1"/>
    <col min="15" max="16384" width="11.5" style="98"/>
  </cols>
  <sheetData>
    <row r="3" spans="2:14" ht="24" customHeight="1" x14ac:dyDescent="0.2">
      <c r="B3" s="99"/>
      <c r="C3" s="100" t="s">
        <v>96</v>
      </c>
      <c r="D3" s="100" t="s">
        <v>97</v>
      </c>
      <c r="E3" s="100" t="s">
        <v>98</v>
      </c>
      <c r="F3" s="100" t="s">
        <v>99</v>
      </c>
      <c r="G3" s="100" t="s">
        <v>100</v>
      </c>
      <c r="H3" s="99" t="s">
        <v>101</v>
      </c>
      <c r="J3" s="98" t="s">
        <v>102</v>
      </c>
    </row>
    <row r="4" spans="2:14" ht="19" x14ac:dyDescent="0.2">
      <c r="B4" s="181" t="s">
        <v>103</v>
      </c>
      <c r="C4" s="99" t="s">
        <v>104</v>
      </c>
      <c r="D4" s="101">
        <v>0.5</v>
      </c>
      <c r="E4" s="99">
        <v>5.5</v>
      </c>
      <c r="F4" s="99">
        <f>D4*E4</f>
        <v>2.75</v>
      </c>
      <c r="G4" s="181">
        <f>SUM(F4:F5)</f>
        <v>5.0999999999999996</v>
      </c>
      <c r="H4" s="184">
        <f>(G4+G6)/2</f>
        <v>6.4249999999999998</v>
      </c>
      <c r="I4" s="102"/>
      <c r="J4" s="98" t="s">
        <v>105</v>
      </c>
    </row>
    <row r="5" spans="2:14" ht="19" x14ac:dyDescent="0.2">
      <c r="B5" s="181"/>
      <c r="C5" s="99" t="s">
        <v>106</v>
      </c>
      <c r="D5" s="101">
        <v>0.5</v>
      </c>
      <c r="E5" s="99">
        <v>4.7</v>
      </c>
      <c r="F5" s="99">
        <f t="shared" ref="F5:F7" si="0">D5*E5</f>
        <v>2.35</v>
      </c>
      <c r="G5" s="181"/>
      <c r="H5" s="184"/>
      <c r="I5" s="102"/>
    </row>
    <row r="6" spans="2:14" ht="14.5" customHeight="1" thickBot="1" x14ac:dyDescent="0.25">
      <c r="B6" s="181" t="s">
        <v>107</v>
      </c>
      <c r="C6" s="99" t="s">
        <v>104</v>
      </c>
      <c r="D6" s="101">
        <v>0.5</v>
      </c>
      <c r="E6" s="99">
        <v>6.6</v>
      </c>
      <c r="F6" s="99">
        <f t="shared" si="0"/>
        <v>3.3</v>
      </c>
      <c r="G6" s="181">
        <f>SUM(F6:F7)</f>
        <v>7.75</v>
      </c>
      <c r="H6" s="184"/>
      <c r="I6" s="102"/>
    </row>
    <row r="7" spans="2:14" ht="20" thickTop="1" x14ac:dyDescent="0.2">
      <c r="B7" s="181"/>
      <c r="C7" s="99" t="s">
        <v>106</v>
      </c>
      <c r="D7" s="101">
        <v>0.5</v>
      </c>
      <c r="E7" s="99">
        <v>8.9</v>
      </c>
      <c r="F7" s="99">
        <f t="shared" si="0"/>
        <v>4.45</v>
      </c>
      <c r="G7" s="181"/>
      <c r="H7" s="184"/>
      <c r="I7" s="102"/>
      <c r="J7" s="107"/>
      <c r="K7" s="182" t="s">
        <v>108</v>
      </c>
      <c r="L7" s="182"/>
      <c r="M7" s="182" t="s">
        <v>109</v>
      </c>
      <c r="N7" s="183"/>
    </row>
    <row r="8" spans="2:14" ht="26" customHeight="1" x14ac:dyDescent="0.2">
      <c r="J8" s="115" t="s">
        <v>110</v>
      </c>
      <c r="K8" s="99">
        <v>2.4</v>
      </c>
      <c r="L8" s="99" t="s">
        <v>111</v>
      </c>
      <c r="M8" s="99">
        <v>2.4</v>
      </c>
      <c r="N8" s="116" t="s">
        <v>111</v>
      </c>
    </row>
    <row r="9" spans="2:14" ht="16" x14ac:dyDescent="0.2">
      <c r="J9" s="117" t="s">
        <v>112</v>
      </c>
      <c r="K9" s="110">
        <f>213.17*(H4^-1.184)</f>
        <v>23.561573856247001</v>
      </c>
      <c r="L9" s="108" t="s">
        <v>113</v>
      </c>
      <c r="M9" s="114">
        <f>174.2*(H4^-1.185)</f>
        <v>19.218455800392782</v>
      </c>
      <c r="N9" s="109" t="s">
        <v>113</v>
      </c>
    </row>
    <row r="10" spans="2:14" ht="18" thickBot="1" x14ac:dyDescent="0.25">
      <c r="J10" s="118" t="s">
        <v>114</v>
      </c>
      <c r="K10" s="111">
        <f>K8*(1-K9/100)</f>
        <v>1.8345222274500719</v>
      </c>
      <c r="L10" s="112" t="s">
        <v>115</v>
      </c>
      <c r="M10" s="111">
        <f>M8*(1-M9/100)</f>
        <v>1.9387570607905731</v>
      </c>
      <c r="N10" s="113" t="s">
        <v>115</v>
      </c>
    </row>
    <row r="11" spans="2:14" ht="16" thickTop="1" x14ac:dyDescent="0.2"/>
    <row r="25" spans="10:13" x14ac:dyDescent="0.2">
      <c r="M25" s="98" t="s">
        <v>116</v>
      </c>
    </row>
    <row r="26" spans="10:13" x14ac:dyDescent="0.2">
      <c r="M26" s="105" t="s">
        <v>117</v>
      </c>
    </row>
    <row r="27" spans="10:13" customFormat="1" x14ac:dyDescent="0.2"/>
    <row r="28" spans="10:13" x14ac:dyDescent="0.2">
      <c r="J28" s="106" t="s">
        <v>118</v>
      </c>
    </row>
    <row r="29" spans="10:13" x14ac:dyDescent="0.2">
      <c r="J29" s="105" t="s">
        <v>119</v>
      </c>
    </row>
  </sheetData>
  <sheetProtection selectLockedCells="1" selectUnlockedCells="1"/>
  <mergeCells count="7">
    <mergeCell ref="B4:B5"/>
    <mergeCell ref="B6:B7"/>
    <mergeCell ref="K7:L7"/>
    <mergeCell ref="M7:N7"/>
    <mergeCell ref="H4:H7"/>
    <mergeCell ref="G4:G5"/>
    <mergeCell ref="G6:G7"/>
  </mergeCells>
  <hyperlinks>
    <hyperlink ref="M26" r:id="rId1" xr:uid="{E815356B-9435-41BA-BE62-E32A5A1A6C51}"/>
    <hyperlink ref="J29" r:id="rId2" xr:uid="{DA5F481E-7E63-4B51-ACCD-B160E14E2BE1}"/>
  </hyperlinks>
  <pageMargins left="0.7" right="0.7" top="0.75" bottom="0.75" header="0.3" footer="0.3"/>
  <drawing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c0f5a71-4ee6-4b03-97af-6a64e3d68990">
      <Terms xmlns="http://schemas.microsoft.com/office/infopath/2007/PartnerControls"/>
    </lcf76f155ced4ddcb4097134ff3c332f>
    <TaxCatchAll xmlns="12c50286-3909-4998-aa7e-b7127521a150" xsi:nil="true"/>
    <_dlc_DocId xmlns="12c50286-3909-4998-aa7e-b7127521a150">CQYFRUD52XJH-28859041-892529</_dlc_DocId>
    <_dlc_DocIdUrl xmlns="12c50286-3909-4998-aa7e-b7127521a150">
      <Url>https://allcotsas.sharepoint.com/sites/RepositorioTD/_layouts/15/DocIdRedir.aspx?ID=CQYFRUD52XJH-28859041-892529</Url>
      <Description>CQYFRUD52XJH-28859041-892529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F3FEA91A487D48A77795D968D10572" ma:contentTypeVersion="18" ma:contentTypeDescription="Crear nuevo documento." ma:contentTypeScope="" ma:versionID="b89930f44162bfcc5d3bbe7b8e99f55a">
  <xsd:schema xmlns:xsd="http://www.w3.org/2001/XMLSchema" xmlns:xs="http://www.w3.org/2001/XMLSchema" xmlns:p="http://schemas.microsoft.com/office/2006/metadata/properties" xmlns:ns1="http://schemas.microsoft.com/sharepoint/v3" xmlns:ns2="12c50286-3909-4998-aa7e-b7127521a150" xmlns:ns3="1c0f5a71-4ee6-4b03-97af-6a64e3d68990" targetNamespace="http://schemas.microsoft.com/office/2006/metadata/properties" ma:root="true" ma:fieldsID="ea00e52c293c8b02f577994a7688f552" ns1:_="" ns2:_="" ns3:_="">
    <xsd:import namespace="http://schemas.microsoft.com/sharepoint/v3"/>
    <xsd:import namespace="12c50286-3909-4998-aa7e-b7127521a150"/>
    <xsd:import namespace="1c0f5a71-4ee6-4b03-97af-6a64e3d6899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50286-3909-4998-aa7e-b7127521a15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96d0d8b1-ef00-4972-bc37-1104b8917860}" ma:internalName="TaxCatchAll" ma:showField="CatchAllData" ma:web="12c50286-3909-4998-aa7e-b7127521a1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f5a71-4ee6-4b03-97af-6a64e3d68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f83e7818-d62a-4045-8f5f-494841290c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510706D1-8A22-4578-8868-908A23D41F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2A830-6496-42A7-B13F-8EB50F7818A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F94FB75-A628-4886-BE05-A53FD8ECD27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c0f5a71-4ee6-4b03-97af-6a64e3d68990"/>
    <ds:schemaRef ds:uri="12c50286-3909-4998-aa7e-b7127521a150"/>
  </ds:schemaRefs>
</ds:datastoreItem>
</file>

<file path=customXml/itemProps4.xml><?xml version="1.0" encoding="utf-8"?>
<ds:datastoreItem xmlns:ds="http://schemas.openxmlformats.org/officeDocument/2006/customXml" ds:itemID="{50A31388-99F0-41E9-80E1-472375A1C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2c50286-3909-4998-aa7e-b7127521a150"/>
    <ds:schemaRef ds:uri="1c0f5a71-4ee6-4b03-97af-6a64e3d68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DD888972-7F14-48BA-AE62-78D5ED9821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 Calculat</vt:lpstr>
      <vt:lpstr>SLR</vt:lpstr>
      <vt:lpstr>ARR Calculations</vt:lpstr>
      <vt:lpstr>Summary Calculat</vt:lpstr>
      <vt:lpstr>Lineal</vt:lpstr>
      <vt:lpstr>SOC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Duran</dc:creator>
  <cp:keywords/>
  <dc:description/>
  <cp:lastModifiedBy>Gautam Prajapati</cp:lastModifiedBy>
  <cp:revision/>
  <dcterms:created xsi:type="dcterms:W3CDTF">2015-06-05T18:19:34Z</dcterms:created>
  <dcterms:modified xsi:type="dcterms:W3CDTF">2025-08-11T02:38:29Z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0x0101008DF3FEA91A487D48A77795D968D10572</vt:lpwstr>
  </property>
  <property fmtid="{D5CDD505-2E9C-101B-9397-08002B2CF9AE}" pid="3" name="Order">
    <vt:r8>11900</vt:r8>
  </property>
  <property fmtid="{D5CDD505-2E9C-101B-9397-08002B2CF9AE}" pid="4" name="_dlc_DocIdItemGuid">
    <vt:lpwstr>8b483390-2e4e-4c19-8440-4e8f3d5c0c05</vt:lpwstr>
  </property>
  <property fmtid="{D5CDD505-2E9C-101B-9397-08002B2CF9AE}" pid="5" name="MediaServiceImageTags">
    <vt:lpwstr/>
  </property>
</Properties>
</file>