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comments42.xml" ContentType="application/vnd.openxmlformats-officedocument.spreadsheetml.comments+xml"/>
  <Override PartName="/xl/threadedComments/threadedComment42.xml" ContentType="application/vnd.ms-excel.threadedcomments+xml"/>
  <Override PartName="/xl/comments43.xml" ContentType="application/vnd.openxmlformats-officedocument.spreadsheetml.comments+xml"/>
  <Override PartName="/xl/threadedComments/threadedComment43.xml" ContentType="application/vnd.ms-excel.threadedcomments+xml"/>
  <Override PartName="/xl/comments44.xml" ContentType="application/vnd.openxmlformats-officedocument.spreadsheetml.comments+xml"/>
  <Override PartName="/xl/threadedComments/threadedComment44.xml" ContentType="application/vnd.ms-excel.threadedcomments+xml"/>
  <Override PartName="/xl/comments45.xml" ContentType="application/vnd.openxmlformats-officedocument.spreadsheetml.comments+xml"/>
  <Override PartName="/xl/threadedComments/threadedComment45.xml" ContentType="application/vnd.ms-excel.threadedcomments+xml"/>
  <Override PartName="/xl/comments46.xml" ContentType="application/vnd.openxmlformats-officedocument.spreadsheetml.comments+xml"/>
  <Override PartName="/xl/threadedComments/threadedComment46.xml" ContentType="application/vnd.ms-excel.threadedcomments+xml"/>
  <Override PartName="/xl/comments47.xml" ContentType="application/vnd.openxmlformats-officedocument.spreadsheetml.comments+xml"/>
  <Override PartName="/xl/threadedComments/threadedComment47.xml" ContentType="application/vnd.ms-excel.threadedcomments+xml"/>
  <Override PartName="/xl/comments48.xml" ContentType="application/vnd.openxmlformats-officedocument.spreadsheetml.comments+xml"/>
  <Override PartName="/xl/threadedComments/threadedComment48.xml" ContentType="application/vnd.ms-excel.threadedcomments+xml"/>
  <Override PartName="/xl/comments49.xml" ContentType="application/vnd.openxmlformats-officedocument.spreadsheetml.comments+xml"/>
  <Override PartName="/xl/threadedComments/threadedComment49.xml" ContentType="application/vnd.ms-excel.threadedcomments+xml"/>
  <Override PartName="/xl/comments50.xml" ContentType="application/vnd.openxmlformats-officedocument.spreadsheetml.comments+xml"/>
  <Override PartName="/xl/threadedComments/threadedComment50.xml" ContentType="application/vnd.ms-excel.threadedcomments+xml"/>
  <Override PartName="/xl/comments51.xml" ContentType="application/vnd.openxmlformats-officedocument.spreadsheetml.comments+xml"/>
  <Override PartName="/xl/threadedComments/threadedComment51.xml" ContentType="application/vnd.ms-excel.threadedcomments+xml"/>
  <Override PartName="/xl/comments52.xml" ContentType="application/vnd.openxmlformats-officedocument.spreadsheetml.comments+xml"/>
  <Override PartName="/xl/threadedComments/threadedComment52.xml" ContentType="application/vnd.ms-excel.threadedcomments+xml"/>
  <Override PartName="/xl/comments53.xml" ContentType="application/vnd.openxmlformats-officedocument.spreadsheetml.comments+xml"/>
  <Override PartName="/xl/threadedComments/threadedComment53.xml" ContentType="application/vnd.ms-excel.threadedcomments+xml"/>
  <Override PartName="/xl/comments54.xml" ContentType="application/vnd.openxmlformats-officedocument.spreadsheetml.comments+xml"/>
  <Override PartName="/xl/threadedComments/threadedComment54.xml" ContentType="application/vnd.ms-excel.threadedcomments+xml"/>
  <Override PartName="/xl/comments55.xml" ContentType="application/vnd.openxmlformats-officedocument.spreadsheetml.comments+xml"/>
  <Override PartName="/xl/threadedComments/threadedComment55.xml" ContentType="application/vnd.ms-excel.threadedcomments+xml"/>
  <Override PartName="/xl/comments56.xml" ContentType="application/vnd.openxmlformats-officedocument.spreadsheetml.comments+xml"/>
  <Override PartName="/xl/threadedComments/threadedComment56.xml" ContentType="application/vnd.ms-excel.threadedcomments+xml"/>
  <Override PartName="/xl/comments57.xml" ContentType="application/vnd.openxmlformats-officedocument.spreadsheetml.comments+xml"/>
  <Override PartName="/xl/threadedComments/threadedComment57.xml" ContentType="application/vnd.ms-excel.threadedcomments+xml"/>
  <Override PartName="/xl/comments58.xml" ContentType="application/vnd.openxmlformats-officedocument.spreadsheetml.comments+xml"/>
  <Override PartName="/xl/threadedComments/threadedComment58.xml" ContentType="application/vnd.ms-excel.threadedcomments+xml"/>
  <Override PartName="/xl/comments59.xml" ContentType="application/vnd.openxmlformats-officedocument.spreadsheetml.comments+xml"/>
  <Override PartName="/xl/threadedComments/threadedComment59.xml" ContentType="application/vnd.ms-excel.threadedcomments+xml"/>
  <Override PartName="/xl/comments60.xml" ContentType="application/vnd.openxmlformats-officedocument.spreadsheetml.comments+xml"/>
  <Override PartName="/xl/threadedComments/threadedComment60.xml" ContentType="application/vnd.ms-excel.threadedcomments+xml"/>
  <Override PartName="/xl/comments61.xml" ContentType="application/vnd.openxmlformats-officedocument.spreadsheetml.comments+xml"/>
  <Override PartName="/xl/threadedComments/threadedComment61.xml" ContentType="application/vnd.ms-excel.threadedcomments+xml"/>
  <Override PartName="/xl/comments62.xml" ContentType="application/vnd.openxmlformats-officedocument.spreadsheetml.comments+xml"/>
  <Override PartName="/xl/threadedComments/threadedComment62.xml" ContentType="application/vnd.ms-excel.threadedcomments+xml"/>
  <Override PartName="/xl/comments63.xml" ContentType="application/vnd.openxmlformats-officedocument.spreadsheetml.comments+xml"/>
  <Override PartName="/xl/threadedComments/threadedComment63.xml" ContentType="application/vnd.ms-excel.threadedcomments+xml"/>
  <Override PartName="/xl/comments64.xml" ContentType="application/vnd.openxmlformats-officedocument.spreadsheetml.comments+xml"/>
  <Override PartName="/xl/threadedComments/threadedComment64.xml" ContentType="application/vnd.ms-excel.threadedcomments+xml"/>
  <Override PartName="/xl/comments65.xml" ContentType="application/vnd.openxmlformats-officedocument.spreadsheetml.comments+xml"/>
  <Override PartName="/xl/threadedComments/threadedComment65.xml" ContentType="application/vnd.ms-excel.threadedcomments+xml"/>
  <Override PartName="/xl/comments66.xml" ContentType="application/vnd.openxmlformats-officedocument.spreadsheetml.comments+xml"/>
  <Override PartName="/xl/threadedComments/threadedComment66.xml" ContentType="application/vnd.ms-excel.threadedcomments+xml"/>
  <Override PartName="/xl/comments67.xml" ContentType="application/vnd.openxmlformats-officedocument.spreadsheetml.comments+xml"/>
  <Override PartName="/xl/threadedComments/threadedComment67.xml" ContentType="application/vnd.ms-excel.threadedcomments+xml"/>
  <Override PartName="/xl/comments68.xml" ContentType="application/vnd.openxmlformats-officedocument.spreadsheetml.comments+xml"/>
  <Override PartName="/xl/threadedComments/threadedComment68.xml" ContentType="application/vnd.ms-excel.threadedcomments+xml"/>
  <Override PartName="/xl/comments69.xml" ContentType="application/vnd.openxmlformats-officedocument.spreadsheetml.comments+xml"/>
  <Override PartName="/xl/threadedComments/threadedComment69.xml" ContentType="application/vnd.ms-excel.threadedcomments+xml"/>
  <Override PartName="/xl/comments70.xml" ContentType="application/vnd.openxmlformats-officedocument.spreadsheetml.comments+xml"/>
  <Override PartName="/xl/threadedComments/threadedComment70.xml" ContentType="application/vnd.ms-excel.threadedcomments+xml"/>
  <Override PartName="/xl/comments71.xml" ContentType="application/vnd.openxmlformats-officedocument.spreadsheetml.comments+xml"/>
  <Override PartName="/xl/threadedComments/threadedComment71.xml" ContentType="application/vnd.ms-excel.threadedcomments+xml"/>
  <Override PartName="/xl/comments72.xml" ContentType="application/vnd.openxmlformats-officedocument.spreadsheetml.comments+xml"/>
  <Override PartName="/xl/threadedComments/threadedComment72.xml" ContentType="application/vnd.ms-excel.threadedcomments+xml"/>
  <Override PartName="/xl/comments73.xml" ContentType="application/vnd.openxmlformats-officedocument.spreadsheetml.comments+xml"/>
  <Override PartName="/xl/threadedComments/threadedComment73.xml" ContentType="application/vnd.ms-excel.threadedcomments+xml"/>
  <Override PartName="/xl/comments74.xml" ContentType="application/vnd.openxmlformats-officedocument.spreadsheetml.comments+xml"/>
  <Override PartName="/xl/threadedComments/threadedComment74.xml" ContentType="application/vnd.ms-excel.threadedcomments+xml"/>
  <Override PartName="/xl/comments75.xml" ContentType="application/vnd.openxmlformats-officedocument.spreadsheetml.comments+xml"/>
  <Override PartName="/xl/threadedComments/threadedComment75.xml" ContentType="application/vnd.ms-excel.threadedcomments+xml"/>
  <Override PartName="/xl/comments76.xml" ContentType="application/vnd.openxmlformats-officedocument.spreadsheetml.comments+xml"/>
  <Override PartName="/xl/threadedComments/threadedComment76.xml" ContentType="application/vnd.ms-excel.threadedcomments+xml"/>
  <Override PartName="/xl/comments77.xml" ContentType="application/vnd.openxmlformats-officedocument.spreadsheetml.comments+xml"/>
  <Override PartName="/xl/threadedComments/threadedComment77.xml" ContentType="application/vnd.ms-excel.threadedcomments+xml"/>
  <Override PartName="/xl/comments78.xml" ContentType="application/vnd.openxmlformats-officedocument.spreadsheetml.comments+xml"/>
  <Override PartName="/xl/threadedComments/threadedComment78.xml" ContentType="application/vnd.ms-excel.threadedcomments+xml"/>
  <Override PartName="/xl/comments79.xml" ContentType="application/vnd.openxmlformats-officedocument.spreadsheetml.comments+xml"/>
  <Override PartName="/xl/threadedComments/threadedComment79.xml" ContentType="application/vnd.ms-excel.threadedcomments+xml"/>
  <Override PartName="/xl/comments80.xml" ContentType="application/vnd.openxmlformats-officedocument.spreadsheetml.comments+xml"/>
  <Override PartName="/xl/threadedComments/threadedComment80.xml" ContentType="application/vnd.ms-excel.threadedcomments+xml"/>
  <Override PartName="/xl/comments81.xml" ContentType="application/vnd.openxmlformats-officedocument.spreadsheetml.comments+xml"/>
  <Override PartName="/xl/threadedComments/threadedComment81.xml" ContentType="application/vnd.ms-excel.threadedcomments+xml"/>
  <Override PartName="/xl/comments82.xml" ContentType="application/vnd.openxmlformats-officedocument.spreadsheetml.comments+xml"/>
  <Override PartName="/xl/threadedComments/threadedComment82.xml" ContentType="application/vnd.ms-excel.threadedcomments+xml"/>
  <Override PartName="/xl/comments83.xml" ContentType="application/vnd.openxmlformats-officedocument.spreadsheetml.comments+xml"/>
  <Override PartName="/xl/threadedComments/threadedComment83.xml" ContentType="application/vnd.ms-excel.threadedcomments+xml"/>
  <Override PartName="/xl/comments84.xml" ContentType="application/vnd.openxmlformats-officedocument.spreadsheetml.comments+xml"/>
  <Override PartName="/xl/threadedComments/threadedComment84.xml" ContentType="application/vnd.ms-excel.threadedcomments+xml"/>
  <Override PartName="/xl/comments85.xml" ContentType="application/vnd.openxmlformats-officedocument.spreadsheetml.comments+xml"/>
  <Override PartName="/xl/threadedComments/threadedComment85.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9"/>
  <workbookPr codeName="ThisWorkbook"/>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AC23EE90-D405-4432-A888-80D4D40EA67F}" xr6:coauthVersionLast="47" xr6:coauthVersionMax="47" xr10:uidLastSave="{00000000-0000-0000-0000-000000000000}"/>
  <bookViews>
    <workbookView xWindow="-28920" yWindow="-45" windowWidth="29040" windowHeight="15720" firstSheet="3" activeTab="3" xr2:uid="{00000000-000D-0000-FFFF-FFFF00000000}"/>
  </bookViews>
  <sheets>
    <sheet name="Net_ERR_Calculation" sheetId="308" r:id="rId1"/>
    <sheet name="Project_Boundary" sheetId="37" r:id="rId2"/>
    <sheet name="Quantification_Approach" sheetId="147" r:id="rId3"/>
    <sheet name="GHG_Emissions_C_Pool" sheetId="248" r:id="rId4"/>
    <sheet name="ERRs" sheetId="253" r:id="rId5"/>
    <sheet name="VCUs" sheetId="252" r:id="rId6"/>
    <sheet name="Leakage" sheetId="310" r:id="rId7"/>
    <sheet name="Leakage_Organic_Amendments" sheetId="244" r:id="rId8"/>
    <sheet name="Leakage_Organic_Amendment_by_Tp" sheetId="245" r:id="rId9"/>
    <sheet name="Leakage_for_Diversion_of_Manure" sheetId="311" r:id="rId10"/>
    <sheet name="Uncertainty" sheetId="237" r:id="rId11"/>
    <sheet name="ESM_Interpolation" sheetId="166" r:id="rId12"/>
    <sheet name="ESM_Interpolation_Year_t" sheetId="189" r:id="rId13"/>
    <sheet name="ESM_Interpolation_StratumID" sheetId="190" r:id="rId14"/>
    <sheet name="ESM_Interpolation_ProfileID" sheetId="191" r:id="rId15"/>
    <sheet name="CO2_Woody_Biomass_CDM" sheetId="235" r:id="rId16"/>
    <sheet name="CO2_Woody_Biomass_Unit_i" sheetId="309" r:id="rId17"/>
    <sheet name="QA1_CH4_ERs" sheetId="214" r:id="rId18"/>
    <sheet name="QA1_CH4_ERs_Unit_i" sheetId="217" r:id="rId19"/>
    <sheet name="QA1_CH4_Baseline" sheetId="219" r:id="rId20"/>
    <sheet name="QA1_CH4_Soil_Methan_Baselin" sheetId="133" r:id="rId21"/>
    <sheet name="QA1_CH4_Project" sheetId="220" r:id="rId22"/>
    <sheet name="QA1_CH4_Soil_Methan_Project" sheetId="134" r:id="rId23"/>
    <sheet name="QA1_N2O_ERs" sheetId="215" r:id="rId24"/>
    <sheet name="QA1_N2O_ERs_Unit_i" sheetId="222" r:id="rId25"/>
    <sheet name="QA1_N2O_Baseline" sheetId="223" r:id="rId26"/>
    <sheet name="QA1_N2O_Fertilizers_NFixing_Bas" sheetId="135" r:id="rId27"/>
    <sheet name="QA1_N2O_Project" sheetId="224" r:id="rId28"/>
    <sheet name="QA1_N2O_Fertilizers_NFixing_Pro" sheetId="136" r:id="rId29"/>
    <sheet name="QA1_CO2_SOC_ERs" sheetId="207" r:id="rId30"/>
    <sheet name="QA1_CO2_SOC_ERs_Unit_i" sheetId="209" r:id="rId31"/>
    <sheet name="QA1_CO2_SOC_Baseline" sheetId="210" r:id="rId32"/>
    <sheet name="QA1_CO2_SOC_Project" sheetId="213" r:id="rId33"/>
    <sheet name="QA1_CO2_SOC_Input_Year_t" sheetId="211" r:id="rId34"/>
    <sheet name="QA1_CO2_SOC_Input_Stratum_ID" sheetId="201" r:id="rId35"/>
    <sheet name="QA2_CO2_SOC_ERs" sheetId="228" r:id="rId36"/>
    <sheet name="QA2_CO2_SOC_ERs_Unit_i" sheetId="230" r:id="rId37"/>
    <sheet name="QA2_CO2_SOC_Baseline" sheetId="231" r:id="rId38"/>
    <sheet name="QA2_CO2_SOC_Project" sheetId="232" r:id="rId39"/>
    <sheet name="QA2_CO2_SOC_Input_Year_t" sheetId="173" r:id="rId40"/>
    <sheet name="QA2_CO2_SOC_Input_Stratum" sheetId="174" r:id="rId41"/>
    <sheet name="QA3_DefaultFactors_ERs" sheetId="146" r:id="rId42"/>
    <sheet name="QA3_DefaultFactors_ERs_Unit_i" sheetId="129" r:id="rId43"/>
    <sheet name="QA3_DefaultFactors_Baseline" sheetId="122" r:id="rId44"/>
    <sheet name="QA3_DefaultFactors_Project" sheetId="123" r:id="rId45"/>
    <sheet name="CO2_FossilFuel_Baseline" sheetId="115" r:id="rId46"/>
    <sheet name="CO2_FF_Baseline_Data_ByType" sheetId="39" r:id="rId47"/>
    <sheet name="CO2_FossilFuel_Project" sheetId="116" r:id="rId48"/>
    <sheet name="CO2_FF_Project_Data_ByType" sheetId="47" r:id="rId49"/>
    <sheet name="CO2_Liming_Baseline" sheetId="117" r:id="rId50"/>
    <sheet name="CO2_Liming_Project" sheetId="52" r:id="rId51"/>
    <sheet name="CH4_Enteric_Baseline" sheetId="54" r:id="rId52"/>
    <sheet name="Livestock_Data_ByType_Base" sheetId="55" r:id="rId53"/>
    <sheet name="CH4_Enteric_Project" sheetId="58" r:id="rId54"/>
    <sheet name="Livestock_Data_ByType_Project" sheetId="61" r:id="rId55"/>
    <sheet name="CH4_Manure_Baseline" sheetId="62" r:id="rId56"/>
    <sheet name="CH4_Manure_Data_ByType_Baseline" sheetId="65" r:id="rId57"/>
    <sheet name="CH4_Manure_Project" sheetId="66" r:id="rId58"/>
    <sheet name="CH4_Manure_Data_ByType_Project" sheetId="69" r:id="rId59"/>
    <sheet name="CH4_Biomass_Baseline" sheetId="70" r:id="rId60"/>
    <sheet name="CH4_BiomassData_ByType_Baseline" sheetId="72" r:id="rId61"/>
    <sheet name="CH4_Biomass_Project" sheetId="73" r:id="rId62"/>
    <sheet name="CH4_BiomassData_ByType_Project" sheetId="75" r:id="rId63"/>
    <sheet name="N2O_NFert_Baseline" sheetId="77" r:id="rId64"/>
    <sheet name="SyntheticFertilizer_Data_Baseli" sheetId="80" r:id="rId65"/>
    <sheet name="OrganicFertilizer_Data_Baseline" sheetId="81" r:id="rId66"/>
    <sheet name="N2O_NFert_Project" sheetId="82" r:id="rId67"/>
    <sheet name="SyntheticFertilizer_Data_Projec" sheetId="87" r:id="rId68"/>
    <sheet name="OrganicFertilizer_Data_Project" sheetId="89" r:id="rId69"/>
    <sheet name="N2O_Manure_Baseline" sheetId="100" r:id="rId70"/>
    <sheet name="N2O_ManureData_ByType_Baseline" sheetId="101" r:id="rId71"/>
    <sheet name="N2O_Manure_Project" sheetId="103" r:id="rId72"/>
    <sheet name="N2O_ManureData_ByType_Project" sheetId="105" r:id="rId73"/>
    <sheet name="N2O_NFixing_Baseline" sheetId="90" r:id="rId74"/>
    <sheet name="NFixingSpecies_Data_Baseline" sheetId="92" r:id="rId75"/>
    <sheet name="N2O_NFixing_Project" sheetId="93" r:id="rId76"/>
    <sheet name="NFixingSpecies_Data_Project" sheetId="95" r:id="rId77"/>
    <sheet name="N2O_Biomass_Baseline" sheetId="107" r:id="rId78"/>
    <sheet name="N2O_BiomassData_ByType_Baseline" sheetId="110" r:id="rId79"/>
    <sheet name="N2O_Biomass_Project" sheetId="111" r:id="rId80"/>
    <sheet name="N2O_BiomassData_ByType_Project" sheetId="114" r:id="rId81"/>
    <sheet name="NitrousOxide_SoilInputs_Baselin" sheetId="96" r:id="rId82"/>
    <sheet name="NitrousOxide_SoilInputs_Project" sheetId="98" r:id="rId83"/>
    <sheet name="N2O (Nitrogen fertilizer (enum)" sheetId="35" r:id="rId84"/>
    <sheet name="SOC (enum)" sheetId="148" r:id="rId85"/>
    <sheet name="Baseline CH4 Source - Bi (enum)" sheetId="149" r:id="rId86"/>
    <sheet name="Baseline N2O Source - Bi (enum)" sheetId="150" r:id="rId87"/>
    <sheet name="Baseline CO2 Source - Fo (enum)" sheetId="151" r:id="rId88"/>
    <sheet name="Baseline CH4 Source - Ma (enum)" sheetId="152" r:id="rId89"/>
    <sheet name="Baseline N2O Source - Ma (enum)" sheetId="153" r:id="rId90"/>
    <sheet name="Baseline N2O Source - Us (enum)" sheetId="154" r:id="rId91"/>
    <sheet name="Baseline CO2 Source - SO (enum)" sheetId="155" r:id="rId92"/>
    <sheet name="Baseline CH4 Source - So (enum)" sheetId="156" r:id="rId93"/>
    <sheet name="Baseline CO2 Source - Ab (enum)" sheetId="157" r:id="rId94"/>
    <sheet name="Baseline CH4 Source - En (enum)" sheetId="158" r:id="rId95"/>
    <sheet name="Baseline N2O Source - Fe (enum)" sheetId="159" r:id="rId96"/>
    <sheet name="Baseline CO2 Source - Li (enum)" sheetId="160" r:id="rId97"/>
    <sheet name="Leakage Org Amend (enum)" sheetId="246" r:id="rId98"/>
    <sheet name="Leakage Manure Diversion (enum)" sheetId="247" r:id="rId99"/>
    <sheet name="AR Tool 14" sheetId="254" r:id="rId100"/>
    <sheet name="AR Tool 14 Baseline" sheetId="255" r:id="rId101"/>
    <sheet name="BSL-Estimating change in car" sheetId="256" r:id="rId102"/>
    <sheet name="BSL-Estimation by proportionate" sheetId="257" r:id="rId103"/>
    <sheet name="Mean annual change in carbon st" sheetId="258" r:id="rId104"/>
    <sheet name="BSL-Estimating change in carbon" sheetId="259" r:id="rId105"/>
    <sheet name="BSL-Determination of Estimating" sheetId="260" r:id="rId106"/>
    <sheet name="BSL-Updating the previous stock" sheetId="261" r:id="rId107"/>
    <sheet name="BSL-Estimation by modelling of " sheetId="262" r:id="rId108"/>
    <sheet name="BSL-Carbon stock in trees at a " sheetId="263" r:id="rId109"/>
    <sheet name="BSL-Estimation by proportiona" sheetId="264" r:id="rId110"/>
    <sheet name="BSL-Mean annual change in carbo" sheetId="265" r:id="rId111"/>
    <sheet name="BSL-Estimating Shrub Carbon Sto" sheetId="266" r:id="rId112"/>
    <sheet name="BSL-Estimating change in carb" sheetId="267" r:id="rId113"/>
    <sheet name="BSL-Estimating carbon stock in " sheetId="268" r:id="rId114"/>
    <sheet name="AR Tool 14 Project" sheetId="269" r:id="rId115"/>
    <sheet name="PROJ-Estimating change in car" sheetId="270" r:id="rId116"/>
    <sheet name="Tree Demonstration of “no-d" sheetId="271" r:id="rId117"/>
    <sheet name="Direct Estimating Changes via S" sheetId="272" r:id="rId118"/>
    <sheet name="Mean Change In Tree Biomass Per" sheetId="273" r:id="rId119"/>
    <sheet name="Change in Tree Biomass per Hect" sheetId="274" r:id="rId120"/>
    <sheet name="Difference of Two Independent S" sheetId="275" r:id="rId121"/>
    <sheet name="Proj-Estimating Change in Carb" sheetId="276" r:id="rId122"/>
    <sheet name="Proj-Determination of Estimatin" sheetId="277" r:id="rId123"/>
    <sheet name="Proj-Updating the previous stoc" sheetId="278" r:id="rId124"/>
    <sheet name="Proj-Estimation by modelling of" sheetId="279" r:id="rId125"/>
    <sheet name="Proj-Carbon stock in trees at a" sheetId="280" r:id="rId126"/>
    <sheet name="Measurement of sample plots" sheetId="281" r:id="rId127"/>
    <sheet name="Stratified random sampling" sheetId="282" r:id="rId128"/>
    <sheet name="Mean tree biomass per hectare w" sheetId="283" r:id="rId129"/>
    <sheet name="Tree Biomass per Hectare in Plo" sheetId="284" r:id="rId130"/>
    <sheet name="Double sampling" sheetId="285" r:id="rId131"/>
    <sheet name="Double Mean tree biomass per he" sheetId="286" r:id="rId132"/>
    <sheet name="Shrub Demonstration of “n" sheetId="287" r:id="rId133"/>
    <sheet name="Proj-Estimating Shrub Carbon St" sheetId="288" r:id="rId134"/>
    <sheet name="Proj-Estimating change in carbo" sheetId="289" r:id="rId135"/>
    <sheet name="Proj-Estimating carbon stock in" sheetId="290" r:id="rId136"/>
    <sheet name="Shrub biomass per hectare in sh" sheetId="291" r:id="rId137"/>
    <sheet name="Which method did you us (enum)" sheetId="292" r:id="rId138"/>
    <sheet name="Which sampling design w (enum)" sheetId="293" r:id="rId139"/>
    <sheet name="Which method did you 1 (enum)" sheetId="294" r:id="rId140"/>
    <sheet name="Will you be applying the (enum)" sheetId="295" r:id="rId141"/>
    <sheet name="Which method did you 2 (enum)" sheetId="296" r:id="rId142"/>
    <sheet name="Which method did you u (enum)" sheetId="297" r:id="rId143"/>
    <sheet name="Which method did you (enum)" sheetId="298" r:id="rId144"/>
    <sheet name="If all three conditi (enum)" sheetId="299" r:id="rId145"/>
    <sheet name="Which method did yous (enum)" sheetId="300" r:id="rId146"/>
    <sheet name="Which method did you pro(enum)" sheetId="301" r:id="rId147"/>
    <sheet name="Which method did  pro (enum)" sheetId="302" r:id="rId148"/>
    <sheet name="Will you be applying  pr (enum)" sheetId="303" r:id="rId149"/>
    <sheet name="Does your project apply  (enum)" sheetId="304" r:id="rId150"/>
    <sheet name="If all three conditi tree(enum)" sheetId="305" r:id="rId151"/>
    <sheet name="Does your project apply b(enum)" sheetId="306" r:id="rId152"/>
    <sheet name="AR Tool 14 (2)" sheetId="307" r:id="rId15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9" i="248" l="1"/>
  <c r="G617" i="248"/>
  <c r="G609" i="248" s="1"/>
  <c r="G618" i="248" s="1"/>
  <c r="G604" i="248"/>
  <c r="D603" i="248"/>
  <c r="G600" i="248"/>
  <c r="D597" i="248"/>
  <c r="D595" i="248"/>
  <c r="G592" i="248"/>
  <c r="G581" i="248"/>
  <c r="D572" i="248"/>
  <c r="G566" i="248"/>
  <c r="G562" i="248"/>
  <c r="G560" i="248"/>
  <c r="G558" i="248" s="1"/>
  <c r="D557" i="248"/>
  <c r="D555" i="248"/>
  <c r="D551" i="248"/>
  <c r="D550" i="248"/>
  <c r="D544" i="248"/>
  <c r="G538" i="248"/>
  <c r="G542" i="248" s="1"/>
  <c r="D537" i="248"/>
  <c r="G533" i="248"/>
  <c r="G531" i="248" s="1"/>
  <c r="G593" i="248" s="1"/>
  <c r="D530" i="248"/>
  <c r="G528" i="248"/>
  <c r="G527" i="248" s="1"/>
  <c r="D522" i="248"/>
  <c r="G516" i="248"/>
  <c r="G511" i="248" s="1"/>
  <c r="G510" i="248" s="1"/>
  <c r="G508" i="248" s="1"/>
  <c r="D507" i="248"/>
  <c r="D504" i="248"/>
  <c r="D502" i="248"/>
  <c r="G497" i="248"/>
  <c r="G489" i="248" s="1"/>
  <c r="G498" i="248" s="1"/>
  <c r="G484" i="248"/>
  <c r="D483" i="248"/>
  <c r="G480" i="248"/>
  <c r="G499" i="248" s="1"/>
  <c r="D477" i="248"/>
  <c r="D475" i="248"/>
  <c r="G473" i="248"/>
  <c r="G472" i="248"/>
  <c r="G461" i="248"/>
  <c r="D452" i="248"/>
  <c r="G446" i="248"/>
  <c r="G442" i="248" s="1"/>
  <c r="G440" i="248" s="1"/>
  <c r="G438" i="248" s="1"/>
  <c r="D437" i="248"/>
  <c r="D435" i="248"/>
  <c r="G429" i="248"/>
  <c r="G427" i="248"/>
  <c r="D426" i="248"/>
  <c r="D422" i="248"/>
  <c r="D421" i="248"/>
  <c r="D415" i="248"/>
  <c r="G409" i="248"/>
  <c r="G413" i="248" s="1"/>
  <c r="D408" i="248"/>
  <c r="G402" i="248"/>
  <c r="D401" i="248"/>
  <c r="G399" i="248"/>
  <c r="G398" i="248" s="1"/>
  <c r="D393" i="248"/>
  <c r="G387" i="248"/>
  <c r="G382" i="248"/>
  <c r="G381" i="248"/>
  <c r="G379" i="248"/>
  <c r="D378" i="248"/>
  <c r="G372" i="248"/>
  <c r="G370" i="248" s="1"/>
  <c r="D369" i="248"/>
  <c r="D366" i="248"/>
  <c r="D364" i="248"/>
  <c r="G69" i="308"/>
  <c r="G323" i="308"/>
  <c r="G387" i="308"/>
  <c r="G265" i="308"/>
  <c r="G246" i="308"/>
  <c r="G173" i="308"/>
  <c r="G682" i="308"/>
  <c r="G641" i="308"/>
  <c r="G521" i="308"/>
  <c r="G540" i="308" s="1"/>
  <c r="D14" i="310"/>
  <c r="G12" i="310"/>
  <c r="D6" i="310"/>
  <c r="G263" i="309"/>
  <c r="G255" i="309" s="1"/>
  <c r="G264" i="309" s="1"/>
  <c r="G250" i="309"/>
  <c r="G265" i="309" s="1"/>
  <c r="D249" i="309"/>
  <c r="G246" i="309"/>
  <c r="D243" i="309"/>
  <c r="D241" i="309"/>
  <c r="G227" i="309"/>
  <c r="D218" i="309"/>
  <c r="G212" i="309"/>
  <c r="G208" i="309" s="1"/>
  <c r="G206" i="309" s="1"/>
  <c r="G204" i="309" s="1"/>
  <c r="D203" i="309"/>
  <c r="D201" i="309"/>
  <c r="D197" i="309"/>
  <c r="D196" i="309"/>
  <c r="D190" i="309"/>
  <c r="G184" i="309"/>
  <c r="G188" i="309" s="1"/>
  <c r="D183" i="309"/>
  <c r="G179" i="309"/>
  <c r="G177" i="309" s="1"/>
  <c r="G239" i="309" s="1"/>
  <c r="D176" i="309"/>
  <c r="G174" i="309"/>
  <c r="G173" i="309" s="1"/>
  <c r="D168" i="309"/>
  <c r="G162" i="309"/>
  <c r="G157" i="309" s="1"/>
  <c r="G156" i="309" s="1"/>
  <c r="G154" i="309" s="1"/>
  <c r="D153" i="309"/>
  <c r="D150" i="309"/>
  <c r="D148" i="309"/>
  <c r="G143" i="309"/>
  <c r="G135" i="309" s="1"/>
  <c r="G144" i="309" s="1"/>
  <c r="G130" i="309"/>
  <c r="D129" i="309"/>
  <c r="G126" i="309"/>
  <c r="G145" i="309" s="1"/>
  <c r="D123" i="309"/>
  <c r="D121" i="309"/>
  <c r="G119" i="309"/>
  <c r="G118" i="309"/>
  <c r="G107" i="309"/>
  <c r="D98" i="309"/>
  <c r="G92" i="309"/>
  <c r="G88" i="309" s="1"/>
  <c r="G86" i="309" s="1"/>
  <c r="G84" i="309" s="1"/>
  <c r="D83" i="309"/>
  <c r="D81" i="309"/>
  <c r="G75" i="309"/>
  <c r="G73" i="309" s="1"/>
  <c r="D72" i="309"/>
  <c r="D68" i="309"/>
  <c r="D67" i="309"/>
  <c r="D61" i="309"/>
  <c r="G55" i="309"/>
  <c r="G59" i="309" s="1"/>
  <c r="D54" i="309"/>
  <c r="G48" i="309"/>
  <c r="D47" i="309"/>
  <c r="G45" i="309"/>
  <c r="G44" i="309" s="1"/>
  <c r="D39" i="309"/>
  <c r="G33" i="309"/>
  <c r="G28" i="309" s="1"/>
  <c r="G27" i="309" s="1"/>
  <c r="G25" i="309" s="1"/>
  <c r="D24" i="309"/>
  <c r="G18" i="309"/>
  <c r="G16" i="309" s="1"/>
  <c r="D15" i="309"/>
  <c r="D12" i="309"/>
  <c r="D10" i="309"/>
  <c r="G264" i="235"/>
  <c r="G256" i="235"/>
  <c r="G265" i="235" s="1"/>
  <c r="G251" i="235"/>
  <c r="G266" i="235" s="1"/>
  <c r="D250" i="235"/>
  <c r="G247" i="235"/>
  <c r="D244" i="235"/>
  <c r="D242" i="235"/>
  <c r="G228" i="235"/>
  <c r="D219" i="235"/>
  <c r="G213" i="235"/>
  <c r="G209" i="235"/>
  <c r="G207" i="235"/>
  <c r="G205" i="235" s="1"/>
  <c r="D204" i="235"/>
  <c r="D202" i="235"/>
  <c r="D198" i="235"/>
  <c r="D197" i="235"/>
  <c r="D191" i="235"/>
  <c r="G185" i="235"/>
  <c r="G189" i="235" s="1"/>
  <c r="D184" i="235"/>
  <c r="G180" i="235"/>
  <c r="G178" i="235" s="1"/>
  <c r="G240" i="235" s="1"/>
  <c r="D177" i="235"/>
  <c r="G175" i="235"/>
  <c r="G174" i="235"/>
  <c r="D169" i="235"/>
  <c r="G163" i="235"/>
  <c r="G158" i="235" s="1"/>
  <c r="G157" i="235" s="1"/>
  <c r="G155" i="235" s="1"/>
  <c r="D154" i="235"/>
  <c r="D151" i="235"/>
  <c r="D149" i="235"/>
  <c r="G144" i="235"/>
  <c r="G136" i="235"/>
  <c r="G145" i="235" s="1"/>
  <c r="G131" i="235"/>
  <c r="D130" i="235"/>
  <c r="G127" i="235"/>
  <c r="G146" i="235" s="1"/>
  <c r="D124" i="235"/>
  <c r="D122" i="235"/>
  <c r="G120" i="235"/>
  <c r="G119" i="235"/>
  <c r="G108" i="235"/>
  <c r="D99" i="235"/>
  <c r="G93" i="235"/>
  <c r="G89" i="235" s="1"/>
  <c r="G87" i="235" s="1"/>
  <c r="G85" i="235" s="1"/>
  <c r="D84" i="235"/>
  <c r="D82" i="235"/>
  <c r="G76" i="235"/>
  <c r="G74" i="235" s="1"/>
  <c r="D73" i="235"/>
  <c r="D69" i="235"/>
  <c r="D68" i="235"/>
  <c r="D62" i="235"/>
  <c r="G60" i="235"/>
  <c r="G56" i="235"/>
  <c r="D55" i="235"/>
  <c r="G49" i="235"/>
  <c r="D48" i="235"/>
  <c r="G46" i="235"/>
  <c r="G45" i="235"/>
  <c r="D40" i="235"/>
  <c r="G34" i="235"/>
  <c r="G29" i="235" s="1"/>
  <c r="G28" i="235" s="1"/>
  <c r="G26" i="235" s="1"/>
  <c r="D25" i="235"/>
  <c r="G19" i="235"/>
  <c r="G17" i="235"/>
  <c r="D16" i="235"/>
  <c r="D13" i="235"/>
  <c r="D11" i="235"/>
  <c r="G658" i="308"/>
  <c r="G650" i="308" s="1"/>
  <c r="G659" i="308" s="1"/>
  <c r="G645" i="308"/>
  <c r="G660" i="308" s="1"/>
  <c r="D644" i="308"/>
  <c r="D638" i="308"/>
  <c r="D636" i="308"/>
  <c r="G622" i="308"/>
  <c r="D613" i="308"/>
  <c r="G607" i="308"/>
  <c r="G603" i="308" s="1"/>
  <c r="G601" i="308" s="1"/>
  <c r="G599" i="308" s="1"/>
  <c r="D598" i="308"/>
  <c r="D596" i="308"/>
  <c r="D592" i="308"/>
  <c r="D591" i="308"/>
  <c r="D585" i="308"/>
  <c r="G579" i="308"/>
  <c r="G583" i="308" s="1"/>
  <c r="D578" i="308"/>
  <c r="G574" i="308"/>
  <c r="G572" i="308" s="1"/>
  <c r="G634" i="308" s="1"/>
  <c r="D571" i="308"/>
  <c r="G569" i="308"/>
  <c r="G568" i="308" s="1"/>
  <c r="D563" i="308"/>
  <c r="G557" i="308"/>
  <c r="G552" i="308" s="1"/>
  <c r="G551" i="308" s="1"/>
  <c r="G549" i="308" s="1"/>
  <c r="D548" i="308"/>
  <c r="D545" i="308"/>
  <c r="D543" i="308"/>
  <c r="G538" i="308"/>
  <c r="G530" i="308" s="1"/>
  <c r="G539" i="308" s="1"/>
  <c r="G525" i="308"/>
  <c r="D524" i="308"/>
  <c r="D518" i="308"/>
  <c r="D516" i="308"/>
  <c r="G513" i="308"/>
  <c r="G502" i="308"/>
  <c r="D493" i="308"/>
  <c r="G487" i="308"/>
  <c r="G483" i="308" s="1"/>
  <c r="G481" i="308" s="1"/>
  <c r="G479" i="308" s="1"/>
  <c r="D478" i="308"/>
  <c r="D476" i="308"/>
  <c r="G470" i="308"/>
  <c r="G468" i="308" s="1"/>
  <c r="D467" i="308"/>
  <c r="D463" i="308"/>
  <c r="D462" i="308"/>
  <c r="D456" i="308"/>
  <c r="G450" i="308"/>
  <c r="G454" i="308" s="1"/>
  <c r="D449" i="308"/>
  <c r="G443" i="308"/>
  <c r="G514" i="308" s="1"/>
  <c r="D442" i="308"/>
  <c r="G440" i="308"/>
  <c r="G439" i="308" s="1"/>
  <c r="D434" i="308"/>
  <c r="G428" i="308"/>
  <c r="G423" i="308" s="1"/>
  <c r="G422" i="308" s="1"/>
  <c r="G420" i="308" s="1"/>
  <c r="D419" i="308"/>
  <c r="G413" i="308"/>
  <c r="G411" i="308" s="1"/>
  <c r="D410" i="308"/>
  <c r="D407" i="308"/>
  <c r="D405" i="308"/>
  <c r="D671" i="308"/>
  <c r="G669" i="308"/>
  <c r="D663" i="308"/>
  <c r="G389" i="308"/>
  <c r="G385" i="308"/>
  <c r="G386" i="308" s="1"/>
  <c r="G376" i="308"/>
  <c r="G377" i="308" s="1"/>
  <c r="G359" i="308"/>
  <c r="G364" i="308" s="1"/>
  <c r="G336" i="308"/>
  <c r="G331" i="308"/>
  <c r="G325" i="308"/>
  <c r="G321" i="308"/>
  <c r="G322" i="308" s="1"/>
  <c r="G314" i="308"/>
  <c r="G310" i="308"/>
  <c r="G308" i="308" s="1"/>
  <c r="G311" i="308" s="1"/>
  <c r="G312" i="308" s="1"/>
  <c r="G296" i="308"/>
  <c r="G293" i="308"/>
  <c r="G294" i="308" s="1"/>
  <c r="G286" i="308"/>
  <c r="G283" i="308"/>
  <c r="G281" i="308"/>
  <c r="G274" i="308"/>
  <c r="G278" i="308" s="1"/>
  <c r="G277" i="308" s="1"/>
  <c r="G267" i="308"/>
  <c r="G263" i="308"/>
  <c r="G264" i="308" s="1"/>
  <c r="G254" i="308"/>
  <c r="G255" i="308" s="1"/>
  <c r="G237" i="308"/>
  <c r="G244" i="308" s="1"/>
  <c r="G214" i="308"/>
  <c r="G209" i="308"/>
  <c r="G203" i="308"/>
  <c r="G199" i="308"/>
  <c r="G200" i="308" s="1"/>
  <c r="G201" i="308" s="1"/>
  <c r="G192" i="308"/>
  <c r="G188" i="308"/>
  <c r="G186" i="308" s="1"/>
  <c r="G189" i="308" s="1"/>
  <c r="G190" i="308" s="1"/>
  <c r="G174" i="308"/>
  <c r="G171" i="308"/>
  <c r="G172" i="308" s="1"/>
  <c r="G164" i="308"/>
  <c r="G161" i="308"/>
  <c r="G159" i="308"/>
  <c r="G152" i="308"/>
  <c r="G156" i="308" s="1"/>
  <c r="G155" i="308" s="1"/>
  <c r="G138" i="308"/>
  <c r="G139" i="308" s="1"/>
  <c r="G140" i="308" s="1"/>
  <c r="G142" i="308" s="1"/>
  <c r="G129" i="308"/>
  <c r="G126" i="308"/>
  <c r="G127" i="308" s="1"/>
  <c r="G128" i="308" s="1"/>
  <c r="G141" i="308" s="1"/>
  <c r="G105" i="308"/>
  <c r="G106" i="308" s="1"/>
  <c r="G107" i="308" s="1"/>
  <c r="G91" i="308"/>
  <c r="G92" i="308" s="1"/>
  <c r="G93" i="308" s="1"/>
  <c r="G45" i="308"/>
  <c r="G44" i="308"/>
  <c r="G225" i="308" s="1"/>
  <c r="G269" i="308" s="1"/>
  <c r="G43" i="308"/>
  <c r="G42" i="308"/>
  <c r="G41" i="308"/>
  <c r="D48" i="308" s="1"/>
  <c r="G40" i="308"/>
  <c r="D113" i="308" s="1"/>
  <c r="G39" i="308"/>
  <c r="D63" i="308" s="1"/>
  <c r="G38" i="308"/>
  <c r="G37" i="308"/>
  <c r="G36" i="308"/>
  <c r="G35" i="308"/>
  <c r="G31" i="308"/>
  <c r="G30" i="308"/>
  <c r="G29" i="308"/>
  <c r="G295" i="308" s="1"/>
  <c r="G28" i="308"/>
  <c r="G27" i="308"/>
  <c r="G59" i="308" s="1"/>
  <c r="G26" i="308"/>
  <c r="G25" i="308"/>
  <c r="G24" i="308"/>
  <c r="G74" i="308" s="1"/>
  <c r="G23" i="308"/>
  <c r="G22" i="308"/>
  <c r="G21" i="308"/>
  <c r="G20" i="308"/>
  <c r="G260" i="307"/>
  <c r="G252" i="307" s="1"/>
  <c r="G261" i="307" s="1"/>
  <c r="G247" i="307"/>
  <c r="G262" i="307" s="1"/>
  <c r="D246" i="307"/>
  <c r="G243" i="307"/>
  <c r="D240" i="307"/>
  <c r="D238" i="307"/>
  <c r="G224" i="307"/>
  <c r="D215" i="307"/>
  <c r="G209" i="307"/>
  <c r="G205" i="307" s="1"/>
  <c r="G203" i="307" s="1"/>
  <c r="G201" i="307" s="1"/>
  <c r="D200" i="307"/>
  <c r="D198" i="307"/>
  <c r="D194" i="307"/>
  <c r="D193" i="307"/>
  <c r="D187" i="307"/>
  <c r="G181" i="307"/>
  <c r="G185" i="307" s="1"/>
  <c r="D180" i="307"/>
  <c r="G176" i="307"/>
  <c r="G174" i="307" s="1"/>
  <c r="G236" i="307" s="1"/>
  <c r="D173" i="307"/>
  <c r="G171" i="307"/>
  <c r="G170" i="307"/>
  <c r="D165" i="307"/>
  <c r="G159" i="307"/>
  <c r="G154" i="307" s="1"/>
  <c r="G153" i="307" s="1"/>
  <c r="G151" i="307" s="1"/>
  <c r="D150" i="307"/>
  <c r="D147" i="307"/>
  <c r="D145" i="307"/>
  <c r="G140" i="307"/>
  <c r="G132" i="307"/>
  <c r="G141" i="307" s="1"/>
  <c r="G127" i="307"/>
  <c r="D126" i="307"/>
  <c r="G123" i="307"/>
  <c r="G142" i="307" s="1"/>
  <c r="D120" i="307"/>
  <c r="D118" i="307"/>
  <c r="G115" i="307"/>
  <c r="G104" i="307"/>
  <c r="D95" i="307"/>
  <c r="G89" i="307"/>
  <c r="G85" i="307" s="1"/>
  <c r="G83" i="307" s="1"/>
  <c r="G81" i="307" s="1"/>
  <c r="D80" i="307"/>
  <c r="D78" i="307"/>
  <c r="G72" i="307"/>
  <c r="G70" i="307" s="1"/>
  <c r="D69" i="307"/>
  <c r="D65" i="307"/>
  <c r="D64" i="307"/>
  <c r="D58" i="307"/>
  <c r="G52" i="307"/>
  <c r="G56" i="307" s="1"/>
  <c r="D51" i="307"/>
  <c r="G45" i="307"/>
  <c r="G116" i="307" s="1"/>
  <c r="D44" i="307"/>
  <c r="G42" i="307"/>
  <c r="G41" i="307"/>
  <c r="D36" i="307"/>
  <c r="G30" i="307"/>
  <c r="G25" i="307" s="1"/>
  <c r="G24" i="307" s="1"/>
  <c r="G22" i="307" s="1"/>
  <c r="D21" i="307"/>
  <c r="G15" i="307"/>
  <c r="G13" i="307" s="1"/>
  <c r="D12" i="307"/>
  <c r="D9" i="307"/>
  <c r="D7" i="307"/>
  <c r="G9" i="291"/>
  <c r="G13" i="290"/>
  <c r="G5" i="290" s="1"/>
  <c r="G5" i="289"/>
  <c r="G9" i="288"/>
  <c r="D6" i="288"/>
  <c r="G5" i="286"/>
  <c r="G13" i="285"/>
  <c r="G5" i="283"/>
  <c r="G13" i="282"/>
  <c r="G9" i="282"/>
  <c r="G7" i="282" s="1"/>
  <c r="G5" i="282" s="1"/>
  <c r="G30" i="281"/>
  <c r="D21" i="281"/>
  <c r="G15" i="281"/>
  <c r="G11" i="281" s="1"/>
  <c r="G9" i="281" s="1"/>
  <c r="G7" i="281" s="1"/>
  <c r="D6" i="281"/>
  <c r="D11" i="279"/>
  <c r="D10" i="279"/>
  <c r="G5" i="278"/>
  <c r="G9" i="278" s="1"/>
  <c r="G49" i="277"/>
  <c r="D40" i="277"/>
  <c r="G34" i="277"/>
  <c r="G30" i="277" s="1"/>
  <c r="G28" i="277" s="1"/>
  <c r="G26" i="277" s="1"/>
  <c r="D25" i="277"/>
  <c r="D23" i="277"/>
  <c r="D20" i="277"/>
  <c r="D19" i="277"/>
  <c r="D13" i="277"/>
  <c r="G7" i="277"/>
  <c r="G11" i="277" s="1"/>
  <c r="D6" i="277"/>
  <c r="G7" i="276"/>
  <c r="G5" i="276"/>
  <c r="G10" i="275"/>
  <c r="G9" i="275"/>
  <c r="G5" i="273"/>
  <c r="G13" i="272"/>
  <c r="G8" i="272" s="1"/>
  <c r="G7" i="272" s="1"/>
  <c r="G5" i="272" s="1"/>
  <c r="G30" i="270"/>
  <c r="G29" i="270" s="1"/>
  <c r="D24" i="270"/>
  <c r="G18" i="270"/>
  <c r="G13" i="270" s="1"/>
  <c r="G12" i="270" s="1"/>
  <c r="G10" i="270" s="1"/>
  <c r="D9" i="270"/>
  <c r="D6" i="270"/>
  <c r="G121" i="269"/>
  <c r="G113" i="269"/>
  <c r="G122" i="269" s="1"/>
  <c r="G108" i="269"/>
  <c r="G123" i="269" s="1"/>
  <c r="D107" i="269"/>
  <c r="G104" i="269"/>
  <c r="D101" i="269"/>
  <c r="D99" i="269"/>
  <c r="G85" i="269"/>
  <c r="D76" i="269"/>
  <c r="G70" i="269"/>
  <c r="G66" i="269"/>
  <c r="G64" i="269"/>
  <c r="G62" i="269"/>
  <c r="D61" i="269"/>
  <c r="D59" i="269"/>
  <c r="D55" i="269"/>
  <c r="D54" i="269"/>
  <c r="D48" i="269"/>
  <c r="G42" i="269"/>
  <c r="G96" i="269" s="1"/>
  <c r="D41" i="269"/>
  <c r="G37" i="269"/>
  <c r="G35" i="269" s="1"/>
  <c r="G97" i="269" s="1"/>
  <c r="D34" i="269"/>
  <c r="G32" i="269"/>
  <c r="G31" i="269" s="1"/>
  <c r="D26" i="269"/>
  <c r="G20" i="269"/>
  <c r="G15" i="269"/>
  <c r="G14" i="269"/>
  <c r="G12" i="269" s="1"/>
  <c r="D11" i="269"/>
  <c r="D8" i="269"/>
  <c r="D6" i="269"/>
  <c r="G13" i="268"/>
  <c r="G5" i="268" s="1"/>
  <c r="G5" i="267"/>
  <c r="G9" i="266"/>
  <c r="D6" i="266"/>
  <c r="G5" i="265"/>
  <c r="G7" i="264"/>
  <c r="G5" i="264" s="1"/>
  <c r="D11" i="262"/>
  <c r="D10" i="262"/>
  <c r="G9" i="261"/>
  <c r="G5" i="261"/>
  <c r="G58" i="260"/>
  <c r="D49" i="260"/>
  <c r="G43" i="260"/>
  <c r="G39" i="260" s="1"/>
  <c r="G37" i="260" s="1"/>
  <c r="G35" i="260" s="1"/>
  <c r="D34" i="260"/>
  <c r="D32" i="260"/>
  <c r="G26" i="260"/>
  <c r="G24" i="260" s="1"/>
  <c r="D23" i="260"/>
  <c r="D20" i="260"/>
  <c r="D19" i="260"/>
  <c r="D13" i="260"/>
  <c r="G7" i="260"/>
  <c r="G11" i="260" s="1"/>
  <c r="D6" i="260"/>
  <c r="G5" i="259"/>
  <c r="G5" i="258"/>
  <c r="G7" i="257"/>
  <c r="G5" i="257"/>
  <c r="G39" i="256"/>
  <c r="G38" i="256" s="1"/>
  <c r="D33" i="256"/>
  <c r="G27" i="256"/>
  <c r="G22" i="256" s="1"/>
  <c r="G21" i="256" s="1"/>
  <c r="G19" i="256" s="1"/>
  <c r="D18" i="256"/>
  <c r="G12" i="256"/>
  <c r="G10" i="256"/>
  <c r="D9" i="256"/>
  <c r="D6" i="256"/>
  <c r="G141" i="255"/>
  <c r="G140" i="255"/>
  <c r="G139" i="255"/>
  <c r="G131" i="255"/>
  <c r="G126" i="255"/>
  <c r="D125" i="255"/>
  <c r="G122" i="255"/>
  <c r="D119" i="255"/>
  <c r="D117" i="255"/>
  <c r="G115" i="255"/>
  <c r="G114" i="255"/>
  <c r="G103" i="255"/>
  <c r="D94" i="255"/>
  <c r="G88" i="255"/>
  <c r="G84" i="255"/>
  <c r="G82" i="255" s="1"/>
  <c r="G80" i="255" s="1"/>
  <c r="D79" i="255"/>
  <c r="D77" i="255"/>
  <c r="G71" i="255"/>
  <c r="G69" i="255"/>
  <c r="D68" i="255"/>
  <c r="D64" i="255"/>
  <c r="D63" i="255"/>
  <c r="D57" i="255"/>
  <c r="G55" i="255"/>
  <c r="G51" i="255"/>
  <c r="D50" i="255"/>
  <c r="G44" i="255"/>
  <c r="D43" i="255"/>
  <c r="G41" i="255"/>
  <c r="G40" i="255" s="1"/>
  <c r="D35" i="255"/>
  <c r="G29" i="255"/>
  <c r="G24" i="255" s="1"/>
  <c r="G23" i="255" s="1"/>
  <c r="G21" i="255" s="1"/>
  <c r="D20" i="255"/>
  <c r="G14" i="255"/>
  <c r="G12" i="255" s="1"/>
  <c r="D11" i="255"/>
  <c r="D8" i="255"/>
  <c r="D6" i="255"/>
  <c r="G260" i="254"/>
  <c r="G252" i="254"/>
  <c r="G261" i="254" s="1"/>
  <c r="G247" i="254"/>
  <c r="G262" i="254" s="1"/>
  <c r="D246" i="254"/>
  <c r="G243" i="254"/>
  <c r="D240" i="254"/>
  <c r="D238" i="254"/>
  <c r="G235" i="254"/>
  <c r="G224" i="254"/>
  <c r="D215" i="254"/>
  <c r="G209" i="254"/>
  <c r="G205" i="254"/>
  <c r="G203" i="254"/>
  <c r="G201" i="254" s="1"/>
  <c r="D200" i="254"/>
  <c r="D198" i="254"/>
  <c r="D194" i="254"/>
  <c r="D193" i="254"/>
  <c r="D187" i="254"/>
  <c r="G185" i="254"/>
  <c r="G181" i="254"/>
  <c r="D180" i="254"/>
  <c r="G176" i="254"/>
  <c r="G174" i="254" s="1"/>
  <c r="G236" i="254" s="1"/>
  <c r="D173" i="254"/>
  <c r="G171" i="254"/>
  <c r="G170" i="254"/>
  <c r="D165" i="254"/>
  <c r="G159" i="254"/>
  <c r="G154" i="254" s="1"/>
  <c r="G153" i="254" s="1"/>
  <c r="G151" i="254" s="1"/>
  <c r="D150" i="254"/>
  <c r="D147" i="254"/>
  <c r="D145" i="254"/>
  <c r="G142" i="254"/>
  <c r="G140" i="254"/>
  <c r="G132" i="254"/>
  <c r="G141" i="254" s="1"/>
  <c r="G127" i="254"/>
  <c r="D126" i="254"/>
  <c r="G123" i="254"/>
  <c r="D120" i="254"/>
  <c r="D118" i="254"/>
  <c r="G115" i="254"/>
  <c r="G104" i="254"/>
  <c r="D95" i="254"/>
  <c r="G89" i="254"/>
  <c r="G85" i="254" s="1"/>
  <c r="G83" i="254" s="1"/>
  <c r="G81" i="254" s="1"/>
  <c r="D80" i="254"/>
  <c r="D78" i="254"/>
  <c r="G72" i="254"/>
  <c r="G70" i="254" s="1"/>
  <c r="D69" i="254"/>
  <c r="D65" i="254"/>
  <c r="D64" i="254"/>
  <c r="D58" i="254"/>
  <c r="G56" i="254"/>
  <c r="G52" i="254"/>
  <c r="D51" i="254"/>
  <c r="G45" i="254"/>
  <c r="G116" i="254" s="1"/>
  <c r="D44" i="254"/>
  <c r="G42" i="254"/>
  <c r="G41" i="254"/>
  <c r="D36" i="254"/>
  <c r="G30" i="254"/>
  <c r="G25" i="254"/>
  <c r="G24" i="254"/>
  <c r="G22" i="254" s="1"/>
  <c r="D21" i="254"/>
  <c r="G15" i="254"/>
  <c r="G13" i="254"/>
  <c r="D12" i="254"/>
  <c r="D9" i="254"/>
  <c r="D7" i="254"/>
  <c r="D6" i="248"/>
  <c r="G236" i="146"/>
  <c r="G237" i="146" s="1"/>
  <c r="D621" i="248"/>
  <c r="D629" i="248"/>
  <c r="G636" i="248"/>
  <c r="G635" i="248"/>
  <c r="G627" i="248"/>
  <c r="G348" i="248"/>
  <c r="G344" i="248"/>
  <c r="G345" i="248" s="1"/>
  <c r="D338" i="248"/>
  <c r="G335" i="248"/>
  <c r="G336" i="248" s="1"/>
  <c r="D329" i="248"/>
  <c r="G318" i="248"/>
  <c r="G325" i="248" s="1"/>
  <c r="D308" i="248"/>
  <c r="G295" i="248"/>
  <c r="G290" i="248"/>
  <c r="G297" i="248" s="1"/>
  <c r="D285" i="248"/>
  <c r="G284" i="248"/>
  <c r="G280" i="248"/>
  <c r="G281" i="248" s="1"/>
  <c r="G282" i="248" s="1"/>
  <c r="D274" i="248"/>
  <c r="G273" i="248"/>
  <c r="G269" i="248"/>
  <c r="G267" i="248" s="1"/>
  <c r="G270" i="248" s="1"/>
  <c r="G255" i="248"/>
  <c r="G252" i="248"/>
  <c r="G253" i="248" s="1"/>
  <c r="G254" i="248" s="1"/>
  <c r="G245" i="248"/>
  <c r="G242" i="248"/>
  <c r="G240" i="248"/>
  <c r="G233" i="248"/>
  <c r="G237" i="248" s="1"/>
  <c r="G236" i="248" s="1"/>
  <c r="G226" i="248"/>
  <c r="G222" i="248"/>
  <c r="G223" i="248" s="1"/>
  <c r="G213" i="248"/>
  <c r="G214" i="248" s="1"/>
  <c r="G196" i="248"/>
  <c r="G203" i="248" s="1"/>
  <c r="D186" i="248"/>
  <c r="G173" i="248"/>
  <c r="G168" i="248"/>
  <c r="G179" i="248" s="1"/>
  <c r="D162" i="248"/>
  <c r="G161" i="248"/>
  <c r="G157" i="248"/>
  <c r="G158" i="248" s="1"/>
  <c r="D151" i="248"/>
  <c r="G150" i="248"/>
  <c r="G146" i="248"/>
  <c r="G144" i="248" s="1"/>
  <c r="G147" i="248" s="1"/>
  <c r="D134" i="248"/>
  <c r="G132" i="248"/>
  <c r="G129" i="248"/>
  <c r="G130" i="248" s="1"/>
  <c r="D123" i="248"/>
  <c r="G122" i="248"/>
  <c r="G119" i="248"/>
  <c r="G117" i="248"/>
  <c r="D115" i="248"/>
  <c r="G110" i="248"/>
  <c r="G114" i="248" s="1"/>
  <c r="G113" i="248" s="1"/>
  <c r="D107" i="248"/>
  <c r="G96" i="248"/>
  <c r="G97" i="248" s="1"/>
  <c r="G98" i="248" s="1"/>
  <c r="G100" i="248" s="1"/>
  <c r="G87" i="248"/>
  <c r="G84" i="248"/>
  <c r="G85" i="248" s="1"/>
  <c r="G86" i="248" s="1"/>
  <c r="G99" i="248" s="1"/>
  <c r="G63" i="248"/>
  <c r="G64" i="248" s="1"/>
  <c r="G65" i="248" s="1"/>
  <c r="G49" i="248"/>
  <c r="G50" i="248" s="1"/>
  <c r="G51" i="248" s="1"/>
  <c r="G32" i="248"/>
  <c r="G27" i="248"/>
  <c r="G17" i="248"/>
  <c r="G12" i="248"/>
  <c r="G20" i="248" s="1"/>
  <c r="G131" i="248" l="1"/>
  <c r="G243" i="248"/>
  <c r="G244" i="248" s="1"/>
  <c r="G35" i="248"/>
  <c r="G159" i="248"/>
  <c r="G355" i="248" s="1"/>
  <c r="G271" i="248"/>
  <c r="G224" i="248"/>
  <c r="G54" i="308"/>
  <c r="G62" i="308" s="1"/>
  <c r="G368" i="308"/>
  <c r="G77" i="308"/>
  <c r="G347" i="308"/>
  <c r="G238" i="309"/>
  <c r="G239" i="235"/>
  <c r="G223" i="308"/>
  <c r="G345" i="308"/>
  <c r="G284" i="308"/>
  <c r="G285" i="308" s="1"/>
  <c r="G342" i="308"/>
  <c r="G346" i="308" s="1"/>
  <c r="G397" i="308"/>
  <c r="G633" i="308"/>
  <c r="D78" i="308"/>
  <c r="G338" i="308"/>
  <c r="G392" i="308"/>
  <c r="G162" i="308"/>
  <c r="G163" i="308" s="1"/>
  <c r="G94" i="308"/>
  <c r="G95" i="308" s="1"/>
  <c r="G96" i="308" s="1"/>
  <c r="G110" i="308"/>
  <c r="G111" i="308"/>
  <c r="G108" i="308"/>
  <c r="G109" i="308" s="1"/>
  <c r="G143" i="308"/>
  <c r="G678" i="308" s="1"/>
  <c r="G679" i="308" s="1"/>
  <c r="G680" i="308" s="1"/>
  <c r="G216" i="308"/>
  <c r="G365" i="308"/>
  <c r="G367" i="308" s="1"/>
  <c r="G220" i="308"/>
  <c r="G224" i="308" s="1"/>
  <c r="G366" i="308"/>
  <c r="G242" i="308"/>
  <c r="G243" i="308"/>
  <c r="G235" i="307"/>
  <c r="G46" i="269"/>
  <c r="G148" i="248"/>
  <c r="G354" i="248" s="1"/>
  <c r="G120" i="248"/>
  <c r="G121" i="248" s="1"/>
  <c r="G175" i="248"/>
  <c r="G182" i="248"/>
  <c r="G183" i="248" s="1"/>
  <c r="G346" i="248"/>
  <c r="G356" i="248" s="1"/>
  <c r="G101" i="248"/>
  <c r="G351" i="248"/>
  <c r="G353" i="248"/>
  <c r="G352" i="248"/>
  <c r="G66" i="248"/>
  <c r="G67" i="248" s="1"/>
  <c r="G69" i="248"/>
  <c r="G52" i="248"/>
  <c r="G53" i="248" s="1"/>
  <c r="G54" i="248" s="1"/>
  <c r="G68" i="248"/>
  <c r="G324" i="248"/>
  <c r="G201" i="248"/>
  <c r="G202" i="248"/>
  <c r="G323" i="248"/>
  <c r="G301" i="248"/>
  <c r="G304" i="248"/>
  <c r="G326" i="248" l="1"/>
  <c r="G327" i="248" s="1"/>
  <c r="G395" i="308"/>
  <c r="G677" i="308"/>
  <c r="G684" i="308" s="1"/>
  <c r="G112" i="308"/>
  <c r="G396" i="308"/>
  <c r="G394" i="308"/>
  <c r="G393" i="308"/>
  <c r="G391" i="308"/>
  <c r="G692" i="308"/>
  <c r="G245" i="308"/>
  <c r="G184" i="248"/>
  <c r="G204" i="248"/>
  <c r="G205" i="248" s="1"/>
  <c r="G228" i="248" s="1"/>
  <c r="G70" i="248"/>
  <c r="G305" i="248"/>
  <c r="G306" i="248" s="1"/>
  <c r="G350" i="248" s="1"/>
  <c r="G693" i="308" l="1"/>
  <c r="G683" i="308"/>
  <c r="G685" i="308" s="1"/>
  <c r="G686" i="308" s="1"/>
  <c r="G7" i="253"/>
  <c r="G12" i="244"/>
  <c r="G687" i="308" l="1"/>
  <c r="G688" i="308" s="1"/>
  <c r="G695" i="308" s="1"/>
  <c r="G694" i="308"/>
  <c r="G689" i="308"/>
  <c r="G696" i="308" l="1"/>
  <c r="G7" i="252"/>
  <c r="G9" i="252" s="1"/>
  <c r="G9" i="253" l="1"/>
  <c r="G8" i="253"/>
  <c r="G8" i="252"/>
  <c r="G10" i="252" s="1"/>
  <c r="G10" i="253" l="1"/>
  <c r="G11" i="253" s="1"/>
  <c r="G12" i="253"/>
  <c r="G13" i="253" s="1"/>
  <c r="G14" i="253" l="1"/>
  <c r="G19" i="230" l="1"/>
  <c r="G16" i="147"/>
  <c r="G9" i="147"/>
  <c r="G17" i="147"/>
  <c r="G15" i="147"/>
  <c r="G14" i="147"/>
  <c r="G13" i="147"/>
  <c r="G12" i="147"/>
  <c r="G11" i="147"/>
  <c r="G10" i="147"/>
  <c r="G7" i="147"/>
  <c r="G8" i="147"/>
  <c r="G6" i="224"/>
  <c r="G6" i="223"/>
  <c r="G14" i="222"/>
  <c r="G9" i="222"/>
  <c r="G6" i="220"/>
  <c r="G6" i="219"/>
  <c r="G14" i="217"/>
  <c r="G9" i="217"/>
  <c r="G15" i="215"/>
  <c r="G10" i="215"/>
  <c r="G18" i="215" s="1"/>
  <c r="G15" i="214"/>
  <c r="G10" i="214"/>
  <c r="G18" i="214" s="1"/>
  <c r="G17" i="217" l="1"/>
  <c r="G20" i="228"/>
  <c r="G13" i="190" l="1"/>
  <c r="G15" i="189"/>
  <c r="G8" i="201" l="1"/>
  <c r="G13" i="232"/>
  <c r="G14" i="232" s="1"/>
  <c r="G15" i="232" s="1"/>
  <c r="G16" i="230"/>
  <c r="G17" i="230" s="1"/>
  <c r="G18" i="230" s="1"/>
  <c r="G17" i="228"/>
  <c r="G18" i="228" s="1"/>
  <c r="G19" i="228" s="1"/>
  <c r="G32" i="228" s="1"/>
  <c r="G13" i="213"/>
  <c r="G14" i="213" s="1"/>
  <c r="G11" i="211"/>
  <c r="G12" i="211" s="1"/>
  <c r="G16" i="209"/>
  <c r="G17" i="209" s="1"/>
  <c r="G18" i="209" s="1"/>
  <c r="G19" i="209" s="1"/>
  <c r="G20" i="209" s="1"/>
  <c r="G21" i="209" s="1"/>
  <c r="G13" i="231"/>
  <c r="G14" i="231" s="1"/>
  <c r="G15" i="231" s="1"/>
  <c r="G13" i="210"/>
  <c r="G14" i="210" s="1"/>
  <c r="G29" i="228"/>
  <c r="G30" i="228" s="1"/>
  <c r="G31" i="228" s="1"/>
  <c r="G33" i="228" s="1"/>
  <c r="G30" i="209"/>
  <c r="G31" i="209" s="1"/>
  <c r="G32" i="209" s="1"/>
  <c r="G33" i="209" s="1"/>
  <c r="G34" i="209" s="1"/>
  <c r="G28" i="230"/>
  <c r="G29" i="230" s="1"/>
  <c r="G30" i="230" s="1"/>
  <c r="G17" i="207"/>
  <c r="G18" i="207" s="1"/>
  <c r="G19" i="207" s="1"/>
  <c r="G31" i="207"/>
  <c r="G32" i="207" s="1"/>
  <c r="G33" i="207" s="1"/>
  <c r="G34" i="228" l="1"/>
  <c r="G37" i="207"/>
  <c r="G34" i="207"/>
  <c r="G35" i="207" s="1"/>
  <c r="G20" i="207"/>
  <c r="G21" i="207" s="1"/>
  <c r="G22" i="207" s="1"/>
  <c r="G36" i="207"/>
  <c r="G16" i="166"/>
  <c r="G38" i="207" l="1"/>
  <c r="G22" i="37"/>
  <c r="G23" i="37"/>
  <c r="G24" i="37"/>
  <c r="G25" i="37"/>
  <c r="G26" i="37"/>
  <c r="G27" i="37"/>
  <c r="G28" i="37"/>
  <c r="G29" i="37"/>
  <c r="G30" i="37"/>
  <c r="G21" i="37"/>
  <c r="G20" i="37"/>
  <c r="G19" i="37"/>
  <c r="G249" i="146"/>
  <c r="G245" i="146"/>
  <c r="G246" i="146" s="1"/>
  <c r="G247" i="146" s="1"/>
  <c r="G219" i="146"/>
  <c r="G226" i="146" s="1"/>
  <c r="G196" i="146"/>
  <c r="G191" i="146"/>
  <c r="G185" i="146"/>
  <c r="G181" i="146"/>
  <c r="G182" i="146" s="1"/>
  <c r="G183" i="146" s="1"/>
  <c r="G174" i="146"/>
  <c r="G170" i="146"/>
  <c r="G168" i="146" s="1"/>
  <c r="G171" i="146" s="1"/>
  <c r="G172" i="146" s="1"/>
  <c r="G156" i="146"/>
  <c r="G153" i="146"/>
  <c r="G154" i="146" s="1"/>
  <c r="G155" i="146" s="1"/>
  <c r="G146" i="146"/>
  <c r="G143" i="146"/>
  <c r="G141" i="146"/>
  <c r="G134" i="146"/>
  <c r="G138" i="146" s="1"/>
  <c r="G137" i="146" s="1"/>
  <c r="G127" i="146"/>
  <c r="G123" i="146"/>
  <c r="G124" i="146" s="1"/>
  <c r="G125" i="146" s="1"/>
  <c r="G114" i="146"/>
  <c r="G115" i="146" s="1"/>
  <c r="G97" i="146"/>
  <c r="G104" i="146" s="1"/>
  <c r="G74" i="146"/>
  <c r="G69" i="146"/>
  <c r="G80" i="146" s="1"/>
  <c r="G63" i="146"/>
  <c r="G59" i="146"/>
  <c r="G60" i="146" s="1"/>
  <c r="G61" i="146" s="1"/>
  <c r="G52" i="146"/>
  <c r="G48" i="146"/>
  <c r="G46" i="146" s="1"/>
  <c r="G49" i="146" s="1"/>
  <c r="G50" i="146" s="1"/>
  <c r="G34" i="146"/>
  <c r="G31" i="146"/>
  <c r="G32" i="146" s="1"/>
  <c r="G24" i="146"/>
  <c r="G21" i="146"/>
  <c r="G19" i="146"/>
  <c r="G12" i="146"/>
  <c r="G16" i="146" s="1"/>
  <c r="G15" i="146" s="1"/>
  <c r="G144" i="146" l="1"/>
  <c r="G145" i="146" s="1"/>
  <c r="G33" i="146"/>
  <c r="G252" i="146"/>
  <c r="G254" i="146"/>
  <c r="G256" i="146"/>
  <c r="G257" i="146"/>
  <c r="G83" i="146"/>
  <c r="G84" i="146" s="1"/>
  <c r="G202" i="146"/>
  <c r="G255" i="146"/>
  <c r="G22" i="146"/>
  <c r="G23" i="146" s="1"/>
  <c r="G253" i="146" s="1"/>
  <c r="G205" i="146"/>
  <c r="G198" i="146"/>
  <c r="G102" i="146"/>
  <c r="G103" i="146"/>
  <c r="G105" i="146" s="1"/>
  <c r="G106" i="146" s="1"/>
  <c r="G225" i="146"/>
  <c r="G224" i="146"/>
  <c r="G76" i="146"/>
  <c r="G206" i="146" l="1"/>
  <c r="G85" i="146"/>
  <c r="G227" i="146"/>
  <c r="G228" i="146" s="1"/>
  <c r="G129" i="146"/>
  <c r="G207" i="146"/>
  <c r="G251" i="146" s="1"/>
  <c r="G5" i="136" l="1"/>
  <c r="G5" i="135"/>
  <c r="G5" i="134"/>
  <c r="G5" i="133"/>
  <c r="G219" i="129"/>
  <c r="G224" i="129" s="1"/>
  <c r="G13" i="105"/>
  <c r="G19" i="105" s="1"/>
  <c r="G14" i="103"/>
  <c r="G21" i="103" s="1"/>
  <c r="G97" i="129"/>
  <c r="G103" i="129" s="1"/>
  <c r="G226" i="129" l="1"/>
  <c r="G225" i="129"/>
  <c r="G227" i="129" s="1"/>
  <c r="G228" i="129"/>
  <c r="G18" i="105"/>
  <c r="G19" i="103"/>
  <c r="G20" i="103"/>
  <c r="G22" i="103" s="1"/>
  <c r="G23" i="103" s="1"/>
  <c r="G104" i="129"/>
  <c r="G102" i="129"/>
  <c r="G105" i="129" s="1"/>
  <c r="G106" i="129" l="1"/>
  <c r="G249" i="129" l="1"/>
  <c r="G245" i="129"/>
  <c r="G246" i="129" s="1"/>
  <c r="G236" i="129"/>
  <c r="G237" i="129" s="1"/>
  <c r="G196" i="129"/>
  <c r="G191" i="129"/>
  <c r="G185" i="129"/>
  <c r="G181" i="129"/>
  <c r="G182" i="129" s="1"/>
  <c r="G174" i="129"/>
  <c r="G170" i="129"/>
  <c r="G168" i="129"/>
  <c r="G171" i="129" s="1"/>
  <c r="G172" i="129" s="1"/>
  <c r="G156" i="129"/>
  <c r="G153" i="129"/>
  <c r="G154" i="129" s="1"/>
  <c r="G146" i="129"/>
  <c r="G143" i="129"/>
  <c r="G141" i="129"/>
  <c r="G134" i="129"/>
  <c r="G138" i="129" s="1"/>
  <c r="G137" i="129" s="1"/>
  <c r="G127" i="129"/>
  <c r="G123" i="129"/>
  <c r="G124" i="129" s="1"/>
  <c r="G114" i="129"/>
  <c r="G115" i="129" s="1"/>
  <c r="G74" i="129"/>
  <c r="G69" i="129"/>
  <c r="G62" i="129"/>
  <c r="G58" i="129"/>
  <c r="G59" i="129" s="1"/>
  <c r="G51" i="129"/>
  <c r="G47" i="129"/>
  <c r="G45" i="129" s="1"/>
  <c r="G48" i="129" s="1"/>
  <c r="G33" i="129"/>
  <c r="G30" i="129"/>
  <c r="G31" i="129" s="1"/>
  <c r="G32" i="129" s="1"/>
  <c r="G23" i="129"/>
  <c r="G20" i="129"/>
  <c r="G18" i="129"/>
  <c r="G11" i="129"/>
  <c r="G15" i="129" s="1"/>
  <c r="G14" i="129" s="1"/>
  <c r="G123" i="123"/>
  <c r="G119" i="123"/>
  <c r="G120" i="123" s="1"/>
  <c r="G110" i="123"/>
  <c r="G111" i="123" s="1"/>
  <c r="G93" i="123"/>
  <c r="G100" i="123" s="1"/>
  <c r="G59" i="123"/>
  <c r="G55" i="123"/>
  <c r="G56" i="123" s="1"/>
  <c r="G70" i="123"/>
  <c r="G65" i="123"/>
  <c r="G48" i="123"/>
  <c r="G44" i="123"/>
  <c r="G42" i="123" s="1"/>
  <c r="G45" i="123" s="1"/>
  <c r="G30" i="123"/>
  <c r="G27" i="123"/>
  <c r="G28" i="123" s="1"/>
  <c r="G20" i="123"/>
  <c r="G17" i="123"/>
  <c r="G15" i="123"/>
  <c r="G8" i="123"/>
  <c r="G12" i="123" s="1"/>
  <c r="G11" i="123" s="1"/>
  <c r="G124" i="122"/>
  <c r="G120" i="122"/>
  <c r="G121" i="122" s="1"/>
  <c r="G111" i="122"/>
  <c r="G112" i="122" s="1"/>
  <c r="G94" i="122"/>
  <c r="G97" i="122" s="1"/>
  <c r="G71" i="122"/>
  <c r="G66" i="122"/>
  <c r="G59" i="122"/>
  <c r="G55" i="122"/>
  <c r="G56" i="122" s="1"/>
  <c r="G57" i="122" s="1"/>
  <c r="G48" i="122"/>
  <c r="G44" i="122"/>
  <c r="G42" i="122" s="1"/>
  <c r="G45" i="122" s="1"/>
  <c r="G46" i="122" s="1"/>
  <c r="G30" i="122"/>
  <c r="G27" i="122"/>
  <c r="G28" i="122" s="1"/>
  <c r="G20" i="122"/>
  <c r="G17" i="122"/>
  <c r="G15" i="122"/>
  <c r="G8" i="122"/>
  <c r="G12" i="122" s="1"/>
  <c r="G11" i="122" s="1"/>
  <c r="G11" i="117"/>
  <c r="G8" i="117"/>
  <c r="G6" i="117"/>
  <c r="G7" i="116"/>
  <c r="G11" i="116" s="1"/>
  <c r="G10" i="116" s="1"/>
  <c r="G7" i="115"/>
  <c r="G11" i="115" s="1"/>
  <c r="G10" i="115" s="1"/>
  <c r="G14" i="100"/>
  <c r="G21" i="100" s="1"/>
  <c r="G9" i="114"/>
  <c r="G14" i="111"/>
  <c r="G10" i="111"/>
  <c r="G11" i="111" s="1"/>
  <c r="G12" i="111" s="1"/>
  <c r="G9" i="110"/>
  <c r="G10" i="107"/>
  <c r="G11" i="107" s="1"/>
  <c r="G12" i="107" s="1"/>
  <c r="G14" i="107"/>
  <c r="G13" i="101"/>
  <c r="G10" i="93"/>
  <c r="G11" i="93" s="1"/>
  <c r="G10" i="90"/>
  <c r="G11" i="90" s="1"/>
  <c r="G14" i="82"/>
  <c r="G9" i="82"/>
  <c r="G16" i="82" s="1"/>
  <c r="G14" i="77"/>
  <c r="G9" i="77"/>
  <c r="G6" i="47"/>
  <c r="G6" i="39"/>
  <c r="G9" i="75"/>
  <c r="G14" i="73"/>
  <c r="G10" i="73"/>
  <c r="G11" i="73" s="1"/>
  <c r="G12" i="73" s="1"/>
  <c r="G9" i="72"/>
  <c r="G10" i="70"/>
  <c r="G11" i="70" s="1"/>
  <c r="G12" i="70" s="1"/>
  <c r="G14" i="70"/>
  <c r="G15" i="69"/>
  <c r="G13" i="69"/>
  <c r="G20" i="66"/>
  <c r="G16" i="66"/>
  <c r="G14" i="66" s="1"/>
  <c r="G17" i="66" s="1"/>
  <c r="G18" i="66" s="1"/>
  <c r="G16" i="62"/>
  <c r="G14" i="62" s="1"/>
  <c r="G17" i="62" s="1"/>
  <c r="G15" i="65"/>
  <c r="G13" i="65" s="1"/>
  <c r="G20" i="62"/>
  <c r="G9" i="61"/>
  <c r="G13" i="58"/>
  <c r="G10" i="58"/>
  <c r="G11" i="58" s="1"/>
  <c r="G12" i="58" s="1"/>
  <c r="G13" i="54"/>
  <c r="G10" i="54"/>
  <c r="G11" i="54" s="1"/>
  <c r="G12" i="54" s="1"/>
  <c r="G9" i="55"/>
  <c r="G11" i="52"/>
  <c r="G8" i="52"/>
  <c r="G6" i="52"/>
  <c r="G23" i="77" l="1"/>
  <c r="G16" i="77"/>
  <c r="G18" i="62"/>
  <c r="G121" i="123"/>
  <c r="G72" i="123"/>
  <c r="G122" i="122"/>
  <c r="G125" i="129"/>
  <c r="G247" i="129"/>
  <c r="G155" i="129"/>
  <c r="G183" i="129"/>
  <c r="G49" i="129"/>
  <c r="G19" i="101"/>
  <c r="G18" i="101"/>
  <c r="G19" i="100"/>
  <c r="G20" i="100"/>
  <c r="G22" i="100" s="1"/>
  <c r="G23" i="100" s="1"/>
  <c r="G198" i="129"/>
  <c r="G21" i="129"/>
  <c r="G22" i="129" s="1"/>
  <c r="G202" i="129"/>
  <c r="G205" i="129"/>
  <c r="G144" i="129"/>
  <c r="G145" i="129" s="1"/>
  <c r="G60" i="129"/>
  <c r="G80" i="129"/>
  <c r="G83" i="129"/>
  <c r="G76" i="129"/>
  <c r="G96" i="123"/>
  <c r="G46" i="123"/>
  <c r="G57" i="123"/>
  <c r="G29" i="123"/>
  <c r="G29" i="122"/>
  <c r="G9" i="117"/>
  <c r="G10" i="117" s="1"/>
  <c r="G79" i="123"/>
  <c r="G99" i="123"/>
  <c r="G101" i="123" s="1"/>
  <c r="G76" i="123"/>
  <c r="G18" i="123"/>
  <c r="G19" i="123" s="1"/>
  <c r="G18" i="122"/>
  <c r="G19" i="122" s="1"/>
  <c r="G77" i="122"/>
  <c r="G73" i="122"/>
  <c r="G80" i="122"/>
  <c r="G100" i="122"/>
  <c r="G101" i="122"/>
  <c r="G23" i="82"/>
  <c r="G20" i="77"/>
  <c r="G24" i="77" s="1"/>
  <c r="G9" i="52"/>
  <c r="G10" i="52" s="1"/>
  <c r="G20" i="82"/>
  <c r="G24" i="82" l="1"/>
  <c r="G80" i="123"/>
  <c r="G84" i="129"/>
  <c r="G206" i="129"/>
  <c r="G207" i="129" s="1"/>
  <c r="G251" i="129" s="1"/>
  <c r="G85" i="129"/>
  <c r="G129" i="129" s="1"/>
  <c r="G102" i="122"/>
  <c r="G103" i="122" s="1"/>
  <c r="G25" i="82"/>
  <c r="G5" i="98" s="1"/>
  <c r="G25" i="77"/>
  <c r="G81" i="123"/>
  <c r="G102" i="123"/>
  <c r="G81" i="122"/>
  <c r="G82" i="122" s="1"/>
  <c r="G126" i="122" s="1"/>
  <c r="G125" i="123" l="1"/>
  <c r="G5" i="9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tc={15DFE7C7-1FC7-4794-8C9C-B2A5A967CB61}</author>
    <author>tc={B183E38E-844A-4337-86C4-D75A5878233D}</author>
    <author>tc={22AC87C6-5026-4F72-84D4-B48BC68F414A}</author>
    <author>tc={3BC9B6E5-AF60-41CB-B7CB-72B5B330728D}</author>
    <author>tc={85F1D3E8-9208-4B7E-8D20-F2CED8DA1793}</author>
    <author>tc={D7C37B90-047E-44C0-93CF-18D10A042E7C}</author>
    <author>tc={E1431ED6-1FBA-4920-AFFB-DB8F6689F3D8}</author>
    <author>tc={1DD1A2AF-723A-4C9E-BB6B-C553781C6657}</author>
    <author>tc={A18D3CEE-5DBB-4DE7-990E-B08A66612B68}</author>
    <author>tc={C495904E-CDDC-468E-8C9D-0AEE4392AD91}</author>
    <author>tc={D612B42A-9F2B-4362-943F-9D8D254C1526}</author>
    <author>tc={697E62B9-E853-4BF4-8C58-74B8BB9FB6C9}</author>
    <author>tc={24B15163-36EE-4B99-B492-CE8DAD4F7E57}</author>
    <author>tc={F86E7AFC-A769-45B2-83D3-AFC3A4712D9A}</author>
    <author>tc={BBA3DF18-6A72-43E7-98A6-20209294628D}</author>
    <author>tc={F3477AF9-E460-4553-B0E9-65FE002BFB28}</author>
    <author>tc={CF4DA3BA-E44B-4457-83D4-93C6E8F7C130}</author>
    <author>tc={13485486-FC37-4824-A6B6-0D351945E117}</author>
    <author>tc={BBBF4D83-D009-4719-A773-408B0102799D}</author>
    <author>tc={3CE4F473-B35D-4F5C-A501-1F70B9A0BCF6}</author>
    <author>tc={5006AD5C-D66C-42A9-ACD5-A0E9CF44FB84}</author>
    <author>tc={58690442-08DF-4EAE-B8BC-D186FA5D77D3}</author>
    <author>tc={FB3628BA-13C1-47BB-8945-2ED104B95E79}</author>
    <author>tc={B60C2732-6DB1-4FAF-8383-F583A2AC7DD3}</author>
    <author>tc={0E051F82-CFA8-42A9-AF2F-47BCE4CA0988}</author>
    <author>tc={89B9DC59-C20F-4C17-B84C-E7BEB6B8A7E8}</author>
    <author>tc={FC545E67-FCC5-49AB-88DB-B3B39E3CC1F3}</author>
    <author>tc={718B1BB5-4A6E-4282-B409-AFF8885B61E4}</author>
    <author>tc={BA0C5D13-241F-44BF-9866-5A2FE09BCF0E}</author>
    <author>tc={6EC65C24-8B42-435E-AE6A-BC4B79593BB1}</author>
    <author>tc={9FDEEFFA-1BA4-4A1A-A6D6-1045970416B2}</author>
    <author>tc={65137A29-7BC1-4E7F-B3BD-B59BFE05E2F6}</author>
    <author>tc={7A978009-357F-48FF-83DC-5CB7612CCBA8}</author>
    <author>tc={33866C5F-56E3-4CA3-9251-AEF6A5670924}</author>
    <author>tc={AC6E8EA7-A432-4FE2-8D51-3D50651628F2}</author>
    <author>tc={072E2104-6BF1-432C-A23A-9EA436EBF5E8}</author>
    <author>tc={E5AA5729-21C9-4359-A402-762D4BF9D390}</author>
    <author>tc={12AB4918-81E7-457B-A258-D8A7FE30E5B4}</author>
    <author>tc={6BC1F448-4276-47F3-A68A-4DEA196F63FE}</author>
    <author>tc={F90EC733-B0CA-453D-A335-F70E941481CC}</author>
    <author>tc={3FCD061C-0018-4926-9A8B-DA13A6FC3B7D}</author>
    <author>tc={DA08432B-B68C-4BFB-8729-1982A1A8E817}</author>
    <author>tc={1477F391-6BE4-44F9-A8BB-FBB8B37C8256}</author>
    <author>tc={FE01634C-28C0-43ED-8744-1843592434A2}</author>
    <author>tc={0A93DCB8-E169-494D-A233-0FCA410BEA0B}</author>
    <author>tc={DF53F4BA-6178-4B11-A3F8-30AEB5186D4A}</author>
    <author>tc={BD793110-2E86-4053-B4E8-67E093B0D393}</author>
    <author>tc={99D9BA3B-1461-46D4-8090-169F72754044}</author>
    <author>tc={E84702D0-C65D-47CF-8F7A-831CCB6A6722}</author>
    <author>tc={00032EA7-5841-403A-8B99-C2B5AB1199D3}</author>
    <author>tc={32858FCB-D7D3-4942-9FDF-0D355AE2394E}</author>
    <author>tc={9245FC52-D8E9-41A0-8321-36DA2B3B80B5}</author>
    <author>tc={8CADC9C6-B7ED-426D-BE8A-CE0DAD3EF2FC}</author>
    <author>tc={0C732161-DD27-4C1A-97A1-F3FBC4273E92}</author>
    <author>tc={B0371CB0-1A6C-456B-A83E-48F3E4A49FCB}</author>
    <author>tc={E6A26458-D658-4B73-B276-BB0FD44ECF1E}</author>
    <author>tc={BC20D05B-38AC-4507-BE31-D94EFCEBE3DA}</author>
    <author>tc={5BC41AEC-565C-4A5F-950E-6B5579B10DA2}</author>
    <author>tc={F1AF9AF4-B3F6-48CE-AA50-790A537F87F4}</author>
    <author>tc={0DB1E4A1-5FC9-4479-BA9C-4171DBDADC81}</author>
    <author>tc={CBC29C27-758E-4294-A973-064709FDBE33}</author>
    <author>tc={959E25C8-C3A1-4DDC-85EF-BFCC1EA007C5}</author>
    <author>tc={FA51CB0E-4ED4-4EB3-A78B-CA8879DDC040}</author>
    <author>tc={911F977D-FB86-4ABA-9148-E7B97AE9C0D5}</author>
    <author>tc={6943359F-116F-4B14-9D73-967E2E4EDCFB}</author>
    <author>tc={575CE89B-64C6-4C79-BE1E-FD811BB91C0E}</author>
    <author>tc={E46478F5-A544-4D36-B956-160F16126342}</author>
    <author>tc={1C4BE84E-88E7-4D9F-9B9C-28635327BB4B}</author>
    <author>tc={693053F0-6780-4E5E-9A7D-42F7B2A82095}</author>
    <author>tc={294A13A3-94E2-46CE-91DC-3DB362CD4795}</author>
    <author>tc={AEED1B2D-7471-45E3-9802-E412A4BA9C1B}</author>
    <author>tc={31FD8010-90D1-4B72-93C2-EAB0551D62FB}</author>
    <author>tc={91694486-6454-4916-B18B-C2A888AA4BB4}</author>
    <author>tc={2E7757EF-712D-420A-BDFD-7FF477901950}</author>
    <author>tc={2287B5A8-77A2-4E0F-97DF-46ABA701E053}</author>
    <author>tc={A011289F-B8EA-4D50-AB5F-639326AABC8B}</author>
    <author>tc={30C49E67-72BF-4C56-9E1C-13DF1501FCE5}</author>
    <author>tc={1635B13A-8E26-4D8D-AF00-54E7C72B34B9}</author>
    <author>tc={B37D8DC4-2B51-4676-BD98-A84FB0B91DB9}</author>
    <author>tc={1A998E56-5A66-49C4-98BD-85979E825A59}</author>
    <author>tc={FB57CE8F-601A-4D34-A55F-05B49537607C}</author>
    <author>tc={B75BEFCC-F71F-4791-B414-D880641B9B5A}</author>
    <author>tc={C12F0F05-8630-4EF4-B1A1-116137378E9E}</author>
    <author>tc={19D3B7AC-B8C1-4C54-851A-39D147ECF718}</author>
    <author>tc={62834A47-062E-4A0F-A6DA-29629BEBC881}</author>
    <author>tc={7AA7884A-3822-4FEE-8AF5-06B623003D0E}</author>
    <author>tc={252B5F49-D00B-44FD-A793-0BABED45146D}</author>
    <author>tc={A35A8B2F-266B-4E1F-9C2F-89C003B8EA02}</author>
    <author>tc={F6058252-BD34-485A-A995-1B493724DE65}</author>
    <author>tc={2D2B6628-09DC-4E62-85B4-E5650103CD15}</author>
    <author>tc={3BDC6A56-FBC0-458A-B8F1-EC98FB9FD09B}</author>
    <author>tc={6C34F1F5-927D-4B8A-9BD9-A46551F7A1CC}</author>
    <author>tc={F8888B51-F1DD-4348-9F4C-59930CD49665}</author>
    <author>tc={B0674825-B142-430F-A11C-F763BB0750BA}</author>
    <author>tc={F41F256C-B043-4435-9ECF-73C21D69A94A}</author>
    <author>tc={A1BF3CB6-1750-450E-B22E-664F32378BB8}</author>
    <author>tc={3F778742-3E5F-43E2-BBA9-E986D1860425}</author>
    <author>tc={51465B87-98F6-432A-8BE0-82352FA3B2B3}</author>
    <author>tc={84C7C5DB-D75B-47F3-BA47-2FE482673521}</author>
    <author>tc={62E088DC-DAD2-4991-8127-737629621C82}</author>
    <author>tc={71F6FC0A-FE56-48D0-8763-010E8CBBD842}</author>
    <author>tc={BFFB33BD-660E-4A33-AC58-FE2B8511BF9E}</author>
    <author>tc={61F59A6A-BDD3-49E1-879E-94F9D95687E3}</author>
    <author>tc={F77BC0F7-8216-42ED-8870-246DB9A910BC}</author>
    <author>tc={85E8FB04-1A49-430D-8BEF-0B4449ECDB17}</author>
    <author>tc={3E77ABDF-74AA-4A35-9BA5-6271B41F6E06}</author>
    <author>tc={70DFAA18-BEE5-4C12-9EEE-9D77CC5BABDF}</author>
    <author>tc={E977770F-E663-463B-A89E-A5E9A4851B0D}</author>
    <author>tc={235A45E1-3C44-49BF-A9D6-01192EBB7FB2}</author>
    <author>tc={0C477BB9-104B-4B0A-917C-E42A2DAA4E94}</author>
    <author>tc={187E54FD-211A-4015-B19E-B9092F019268}</author>
    <author>tc={AD2EE911-5790-4AF1-960A-118E074170D4}</author>
    <author>tc={68D87DBE-6375-48A0-A143-471979E1216D}</author>
    <author>tc={5C62E614-DE19-413B-B8C6-67972C9F84E3}</author>
    <author>tc={7444A952-5FB1-4892-AECE-39129D7ED8D1}</author>
    <author>tc={FC5EBE85-2A51-4DC0-A137-7AC3754ACC71}</author>
    <author>tc={6BC512BF-4ECB-4E17-9214-80566AB6BC00}</author>
    <author>tc={CABCB696-A317-49B6-91CE-D8EBD96F0895}</author>
    <author>tc={7B557CED-5F8C-43C2-8365-26015DD299AF}</author>
    <author>tc={4F8B3249-A1EA-4DB2-9587-6154E1089AE6}</author>
    <author>tc={9FCCF2B7-1C9D-4AD0-A082-DA2C2B4A198A}</author>
    <author>tc={E06D84CE-F4DB-48BB-9919-061D4914B2F2}</author>
    <author>tc={1E899696-AC7D-473C-A2DB-52DC889C8673}</author>
    <author>tc={5246D01A-10CF-4DAC-BAEB-979BCF6A6516}</author>
    <author>tc={D06EE066-5A62-49F6-8C74-35470FAA6E18}</author>
    <author>tc={29F60B9B-F982-451E-A808-7DCF5A4E03E2}</author>
    <author>tc={55B0A552-FC7A-481A-B9E5-B157124B8177}</author>
    <author>tc={B572A952-D0E1-4398-8104-1717B9E2FD99}</author>
    <author>tc={C57D9735-7CE0-43AD-8DCA-A179B36B8BD2}</author>
    <author>tc={ACE709C2-CDAB-4288-B955-F90841650418}</author>
    <author>tc={4847650D-02F7-454F-AD23-A130194273A4}</author>
    <author>tc={687F506C-F6BD-4E1B-B77A-B1A6F068424C}</author>
    <author>tc={1A4BA96A-3028-4D5D-8D7E-50330757E537}</author>
    <author>tc={1D5B216C-77F8-4166-BD45-47D3229E0DC7}</author>
    <author>tc={D0F4DB4D-BE0D-406A-BF73-F942671E9DD9}</author>
    <author>tc={85C837DD-443C-4187-A0E6-747FADAAB057}</author>
    <author>tc={1BF2CB98-9600-4EC5-B574-A5BF9B5B61A7}</author>
    <author>tc={56C9350C-6535-43BA-A549-9C714684DC92}</author>
    <author>tc={C4F4CA9D-0B3D-4CAC-AA1F-4B8DE0F6219D}</author>
    <author>tc={D8B0C12B-A557-47BA-9A4F-9605E5C4FCBE}</author>
    <author>tc={49EA18F8-D21B-459A-800D-BFF2D46A656E}</author>
    <author>tc={23788AE1-8AAA-43E0-8220-BD6C25D2D1FC}</author>
    <author>tc={04E6489F-330C-401D-A934-07E214A9A065}</author>
    <author>tc={94CC6BA0-0C61-409A-998C-F37936109634}</author>
    <author>tc={E81E75AD-FCED-45B6-AF3F-0122750419ED}</author>
    <author>tc={DD24A779-D96F-4C35-85B5-5B2DC243BC76}</author>
    <author>tc={F9CDBDCE-EAD2-4CD2-AAEB-8DEB665B635F}</author>
    <author>tc={9E840F8A-C40A-4D46-BE15-32490790C672}</author>
    <author>tc={BEDE405A-C0F4-4825-B3F7-D70275EA8D7B}</author>
    <author>tc={39158EE5-CDCE-49FB-B69B-F2BD6E1A244F}</author>
    <author>tc={2FC7B15E-32A5-4814-8A51-4421F3D62902}</author>
    <author>tc={507953C6-D5EF-4D7C-B815-E189CF1CF4E1}</author>
    <author>tc={52FCBD3D-3154-49DB-9026-24A827D8B71E}</author>
    <author>tc={614316DF-7C27-4D9D-84D1-3AC8878166AF}</author>
    <author>tc={81CD737B-1622-4EBC-9CD8-2DE7CB96B37C}</author>
    <author>tc={E9E07588-D1A0-4EAA-BBA1-8A91A822C8FB}</author>
    <author>tc={AA850871-0255-453E-BC44-C93B422E6956}</author>
    <author>tc={0FDD1216-67E0-4634-9753-6AEE58984BC6}</author>
    <author>tc={EBFBFD9D-B916-4E75-9846-5395B97D3B38}</author>
    <author>tc={BC21043C-A472-4124-A42E-C083D79A85D5}</author>
    <author>tc={EEC5545A-8670-427C-AD54-2CD296587D60}</author>
    <author>tc={4ADF52EE-F748-4AF5-95EA-D6D54D93AC64}</author>
    <author>tc={59CA425F-8A51-4973-9A23-9387A68DF3AC}</author>
    <author>tc={BA4E6111-CFDE-4D06-A2B7-12FF9D0AFFD1}</author>
    <author>tc={5131D429-21FF-409A-934F-1149A97A4E61}</author>
    <author>tc={15ADA034-A66C-49ED-8CFC-269362E98193}</author>
    <author>tc={5C29806D-9176-417F-B95C-A23FBD0B1CC6}</author>
    <author>tc={4B564AEC-3BF7-4F2A-94D3-7A6D702482D3}</author>
    <author>tc={0F188885-D926-4A2B-8FBC-ACAD7805A043}</author>
    <author>tc={E33E1872-5DDF-4398-B84F-3F4F1C2D8284}</author>
    <author>tc={BCECABC6-C721-4247-9F13-7F397F0BA895}</author>
    <author>tc={2111212B-9091-4A43-9EFB-FE8B40DC3281}</author>
    <author>tc={40B317EC-9B05-4A6D-82BB-E395F63D1458}</author>
    <author>tc={FCC081A0-3E53-4361-B216-82F6F0CB4843}</author>
    <author>tc={859E1730-9F50-4C78-B73A-F6C4B744250F}</author>
    <author>tc={C460F84C-4B9C-406E-A0CA-CF23BDC76178}</author>
    <author>tc={C7C00DD5-8F1E-48F7-B401-BCD24E147C48}</author>
    <author>tc={22DC1072-C15D-4DB5-87E4-3DE372F5E418}</author>
    <author>tc={D44837DC-7382-4417-8F06-CE0ED362F081}</author>
    <author>tc={37EFFE3A-A8C1-41A9-A5A1-F351B6A843EF}</author>
    <author>tc={E7849231-6321-4D37-97F0-8ECC04594C60}</author>
    <author>tc={F2AB84B2-9BB6-4914-B91A-BAB537102223}</author>
    <author>tc={A48FAD9D-C879-4A0F-A2E3-F7B2E3208893}</author>
    <author>tc={32297028-CE2B-4560-A03F-DA3D8BD1089D}</author>
    <author>tc={C4584CDE-6451-49AD-996B-99ADEB330070}</author>
    <author>tc={E614BEFE-3865-4227-813B-B57054EC664A}</author>
    <author>tc={7E671C14-C21A-4C4C-898C-B9F4FCE84F29}</author>
    <author>tc={9AC78F9F-EC65-45F0-A9F0-B0E31C6DC679}</author>
    <author>tc={81916117-0C2B-4295-B2C9-F8EE420DDD64}</author>
    <author>tc={D93FAF96-75B4-49E1-99B0-39B2ABB9A390}</author>
    <author>tc={0EE69195-09C4-48CE-9957-75B51F53DF2C}</author>
    <author>tc={EA8A4252-CE06-4085-BA66-84CFE711B4C7}</author>
    <author>tc={D36412D3-3F72-44C6-9DB1-2247BD332DB6}</author>
    <author>tc={4141F0B3-FE9F-4C74-AB48-FF6AB65484A6}</author>
    <author>tc={F0341F53-AFAB-4B89-9DCA-CC6757B48D19}</author>
    <author>tc={2F2EEAFC-A63F-4E0D-8E64-EB8A41795353}</author>
    <author>tc={433BC2B5-298D-4596-9D2A-C5908036A548}</author>
    <author>tc={786F3E0D-AA10-4895-9722-016DBC18CFAA}</author>
    <author>tc={5937A325-269B-41B1-A2B8-F7FB12591B7B}</author>
    <author>tc={A8E16CDA-1EAF-455A-90F6-193DA0BD0AB1}</author>
    <author>tc={5A1C0EF4-D402-470F-8E36-6FB0E0F0B891}</author>
    <author>tc={D1FE6B34-41D7-4B9A-9586-D8441A0B6920}</author>
    <author>tc={F9C69A93-B4CD-458C-BC72-CE1D2828E03E}</author>
    <author>tc={770C008C-BC31-4522-A5D9-ECB26C4A637A}</author>
    <author>tc={76DC31A2-D015-456B-8030-205E07CCA738}</author>
    <author>tc={A91F0870-EDDE-4518-ABBA-E799077E231D}</author>
    <author>tc={37420F43-8EDB-430C-BC4D-693A4A177FB7}</author>
    <author>tc={6E46E1C6-0B88-416C-93FC-964101DEC588}</author>
    <author>tc={4E3CAA09-48CC-4418-A086-821EAA68230A}</author>
    <author>tc={0625B3C9-3BEC-40F7-B89A-66C8F66C9F5F}</author>
    <author>tc={47C97721-902C-486D-BA8C-4BE54494895C}</author>
    <author>tc={3C7117FC-4122-4380-97AF-920FBFA0CE06}</author>
    <author>tc={75D53263-E17A-4EB4-8718-2C09C70CA9F5}</author>
    <author>tc={3039484A-5953-4FFB-AF6B-7E10A7F4A8A0}</author>
    <author>tc={E0160D8F-E11D-4A57-B9E4-E522F73413FA}</author>
    <author>tc={2200B8AC-FE06-4A89-86ED-4198F5139BEE}</author>
    <author>tc={461ABAC7-4FAA-497A-BDF8-2E1FF7BA8E1C}</author>
    <author>tc={54ED310D-15BF-41BE-9F49-41E5555F7192}</author>
    <author>tc={A3A34264-39F0-4E3B-8FB2-2988FDD74A16}</author>
    <author>tc={A7924406-1F65-4D12-98EC-812A54A64C0A}</author>
    <author>tc={944C275D-71E8-4BBC-BF37-8803EBA7E4F5}</author>
    <author>tc={D44A6203-9DA1-440D-BDE4-9006CBFC637C}</author>
    <author>tc={2B8B88EE-FBE9-42CA-AEE4-3FF4C1C75475}</author>
    <author>tc={ED6E83EB-6A80-4AEF-BE4B-35E634F84BF0}</author>
    <author>tc={49FBFA76-1F8B-41D7-A7F6-CB5CE807B76C}</author>
    <author>tc={A20C01A9-36F9-4563-873A-90D5F17E182B}</author>
    <author>tc={37B8AACF-580A-4334-B96E-AC2B64D96170}</author>
    <author>tc={830A66ED-5047-4560-840A-7E6C3603984C}</author>
    <author>tc={06580533-495F-4D1B-89C8-64B4B37F395D}</author>
    <author>tc={A978F87A-C35B-4BB3-A9A5-9137E6F70E43}</author>
    <author>tc={EA350666-B9C1-49BF-9DCA-138E0929F231}</author>
    <author>tc={8C442247-9E52-4309-A414-6F991DF0BCD7}</author>
    <author>tc={DEE4A1B2-CE7E-4327-9733-509E39C477ED}</author>
    <author>tc={7C9B6473-D493-45ED-8C7C-DA5A5C6111C6}</author>
    <author>tc={FD09D9E8-C5A7-4DF0-A7E0-01A5681C95A3}</author>
    <author>tc={A8B58796-1BB3-4158-9810-854E92D9E7F6}</author>
    <author>tc={4DE0B1F3-1772-470F-B059-C45EA537FCE4}</author>
    <author>tc={7C4A4F4E-64B6-47D3-BFD9-3606FD2ECB56}</author>
    <author>tc={E7F80F4F-7908-47B4-A340-0DDB241FD16B}</author>
    <author>tc={E7654CCD-AD15-423A-8280-F36CC9C4686A}</author>
    <author>tc={128FD275-48A2-495A-824B-1A5331F26691}</author>
    <author>tc={52F47077-3B2C-4643-8A44-7704B2A6FCFB}</author>
    <author>tc={40493434-926B-49EE-9AF4-6E0B02479694}</author>
    <author>tc={BF3B4CC9-C6EC-4AB7-811B-A13EACD2BCE6}</author>
    <author>tc={AE4AA8B2-0D9F-4EE1-BC9E-BAFA30F1345E}</author>
    <author>tc={BE3ED9A9-CAE2-48BF-96BC-F62601BC20F4}</author>
    <author>tc={572DCAFD-0074-4FF0-8664-084B4E118428}</author>
    <author>tc={2CAAA3C7-74A4-4880-93BF-1A2CF1C1E052}</author>
    <author>tc={FC93DDBF-AFBE-4952-9561-78DDE8BDE660}</author>
    <author>tc={1598D81F-0D07-44E7-99C5-2733E1620958}</author>
    <author>tc={D5A58C7E-5562-4040-93D5-6BD4363C7612}</author>
    <author>tc={92D9950A-D90D-4242-A1A5-DDC5C33323AA}</author>
    <author>tc={7B95B818-15B0-4C54-9D15-0F95FE0FC34A}</author>
    <author>tc={2CF326D8-3667-4CA5-8476-569BD2B6CD13}</author>
    <author>tc={9F01DF81-04F6-49BA-8951-FF83D7929B9F}</author>
    <author>tc={C1E8BC7F-2287-49DA-89F5-6091DC5A0E22}</author>
    <author>tc={34D8992A-BD38-4AEC-8197-272DAF8B3114}</author>
  </authors>
  <commentList>
    <comment ref="E54" authorId="0" shapeId="0" xr:uid="{15DFE7C7-1FC7-4794-8C9C-B2A5A967CB61}">
      <text>
        <t>[Threaded comment]
Your version of Excel allows you to read this threaded comment; however, any edits to it will get removed if the file is opened in a newer version of Excel. Learn more: https://go.microsoft.com/fwlink/?linkid=870924
Comment:
    Equation 11</t>
      </text>
    </comment>
    <comment ref="E59" authorId="1" shapeId="0" xr:uid="{B183E38E-844A-4337-86C4-D75A5878233D}">
      <text>
        <t>[Threaded comment]
Your version of Excel allows you to read this threaded comment; however, any edits to it will get removed if the file is opened in a newer version of Excel. Learn more: https://go.microsoft.com/fwlink/?linkid=870924
Comment:
    Equation 11</t>
      </text>
    </comment>
    <comment ref="E62" authorId="2" shapeId="0" xr:uid="{22AC87C6-5026-4F72-84D4-B48BC68F414A}">
      <text>
        <t>[Threaded comment]
Your version of Excel allows you to read this threaded comment; however, any edits to it will get removed if the file is opened in a newer version of Excel. Learn more: https://go.microsoft.com/fwlink/?linkid=870924
Comment:
    Equation 54</t>
      </text>
    </comment>
    <comment ref="E69" authorId="3" shapeId="0" xr:uid="{3BC9B6E5-AF60-41CB-B7CB-72B5B330728D}">
      <text>
        <t>[Threaded comment]
Your version of Excel allows you to read this threaded comment; however, any edits to it will get removed if the file is opened in a newer version of Excel. Learn more: https://go.microsoft.com/fwlink/?linkid=870924
Comment:
    Equation 16</t>
      </text>
    </comment>
    <comment ref="E74" authorId="4" shapeId="0" xr:uid="{85F1D3E8-9208-4B7E-8D20-F2CED8DA1793}">
      <text>
        <t>[Threaded comment]
Your version of Excel allows you to read this threaded comment; however, any edits to it will get removed if the file is opened in a newer version of Excel. Learn more: https://go.microsoft.com/fwlink/?linkid=870924
Comment:
    Equation 16</t>
      </text>
    </comment>
    <comment ref="E77" authorId="5" shapeId="0" xr:uid="{D7C37B90-047E-44C0-93CF-18D10A042E7C}">
      <text>
        <t>[Threaded comment]
Your version of Excel allows you to read this threaded comment; however, any edits to it will get removed if the file is opened in a newer version of Excel. Learn more: https://go.microsoft.com/fwlink/?linkid=870924
Comment:
    Equation 58</t>
      </text>
    </comment>
    <comment ref="E92" authorId="6" shapeId="0" xr:uid="{E1431ED6-1FBA-4920-AFFB-DB8F6689F3D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93" authorId="7" shapeId="0" xr:uid="{1DD1A2AF-723A-4C9E-BB6B-C553781C6657}">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94" authorId="8" shapeId="0" xr:uid="{A18D3CEE-5DBB-4DE7-990E-B08A66612B68}">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95" authorId="9" shapeId="0" xr:uid="{C495904E-CDDC-468E-8C9D-0AEE4392AD91}">
      <text>
        <t>[Threaded comment]
Your version of Excel allows you to read this threaded comment; however, any edits to it will get removed if the file is opened in a newer version of Excel. Learn more: https://go.microsoft.com/fwlink/?linkid=870924
Comment:
    Equation 6</t>
      </text>
    </comment>
    <comment ref="E106" authorId="10" shapeId="0" xr:uid="{D612B42A-9F2B-4362-943F-9D8D254C1526}">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08" authorId="11" shapeId="0" xr:uid="{697E62B9-E853-4BF4-8C58-74B8BB9FB6C9}">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109" authorId="12" shapeId="0" xr:uid="{24B15163-36EE-4B99-B492-CE8DAD4F7E57}">
      <text>
        <t>[Threaded comment]
Your version of Excel allows you to read this threaded comment; however, any edits to it will get removed if the file is opened in a newer version of Excel. Learn more: https://go.microsoft.com/fwlink/?linkid=870924
Comment:
    Equation 6</t>
      </text>
    </comment>
    <comment ref="E110" authorId="13" shapeId="0" xr:uid="{F86E7AFC-A769-45B2-83D3-AFC3A4712D9A}">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111" authorId="14" shapeId="0" xr:uid="{BBA3DF18-6A72-43E7-98A6-20209294628D}">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112" authorId="15" shapeId="0" xr:uid="{F3477AF9-E460-4553-B0E9-65FE002BFB28}">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127" authorId="16" shapeId="0" xr:uid="{CF4DA3BA-E44B-4457-83D4-93C6E8F7C13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28" authorId="17" shapeId="0" xr:uid="{13485486-FC37-4824-A6B6-0D351945E117}">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139" authorId="18" shapeId="0" xr:uid="{BBBF4D83-D009-4719-A773-408B0102799D}">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41" authorId="19" shapeId="0" xr:uid="{3CE4F473-B35D-4F5C-A501-1F70B9A0BCF6}">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142" authorId="20" shapeId="0" xr:uid="{5006AD5C-D66C-42A9-ACD5-A0E9CF44FB84}">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143" authorId="21" shapeId="0" xr:uid="{58690442-08DF-4EAE-B8BC-D186FA5D77D3}">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152" authorId="22" shapeId="0" xr:uid="{FB3628BA-13C1-47BB-8945-2ED104B95E79}">
      <text>
        <t>[Threaded comment]
Your version of Excel allows you to read this threaded comment; however, any edits to it will get removed if the file is opened in a newer version of Excel. Learn more: https://go.microsoft.com/fwlink/?linkid=870924
Comment:
    Equation 8</t>
      </text>
    </comment>
    <comment ref="E155" authorId="23" shapeId="0" xr:uid="{B60C2732-6DB1-4FAF-8383-F583A2AC7DD3}">
      <text>
        <t>[Threaded comment]
Your version of Excel allows you to read this threaded comment; however, any edits to it will get removed if the file is opened in a newer version of Excel. Learn more: https://go.microsoft.com/fwlink/?linkid=870924
Comment:
    Equation 7</t>
      </text>
    </comment>
    <comment ref="E158" authorId="24" shapeId="0" xr:uid="{0E051F82-CFA8-42A9-AF2F-47BCE4CA0988}">
      <text>
        <t>[Threaded comment]
Your version of Excel allows you to read this threaded comment; however, any edits to it will get removed if the file is opened in a newer version of Excel. Learn more: https://go.microsoft.com/fwlink/?linkid=870924
Comment:
    Equation 7</t>
      </text>
    </comment>
    <comment ref="E162" authorId="25" shapeId="0" xr:uid="{89B9DC59-C20F-4C17-B84C-E7BEB6B8A7E8}">
      <text>
        <t>[Threaded comment]
Your version of Excel allows you to read this threaded comment; however, any edits to it will get removed if the file is opened in a newer version of Excel. Learn more: https://go.microsoft.com/fwlink/?linkid=870924
Comment:
    Equation 10</t>
      </text>
    </comment>
    <comment ref="E163" authorId="26" shapeId="0" xr:uid="{FC545E67-FCC5-49AB-88DB-B3B39E3CC1F3}">
      <text>
        <t>[Threaded comment]
Your version of Excel allows you to read this threaded comment; however, any edits to it will get removed if the file is opened in a newer version of Excel. Learn more: https://go.microsoft.com/fwlink/?linkid=870924
Comment:
    Equation 9</t>
      </text>
    </comment>
    <comment ref="E173" authorId="27" shapeId="0" xr:uid="{718B1BB5-4A6E-4282-B409-AFF8885B61E4}">
      <text>
        <t>[Threaded comment]
Your version of Excel allows you to read this threaded comment; however, any edits to it will get removed if the file is opened in a newer version of Excel. Learn more: https://go.microsoft.com/fwlink/?linkid=870924
Comment:
    Equation 12</t>
      </text>
    </comment>
    <comment ref="E186" authorId="28" shapeId="0" xr:uid="{BA0C5D13-241F-44BF-9866-5A2FE09BCF0E}">
      <text>
        <t>[Threaded comment]
Your version of Excel allows you to read this threaded comment; however, any edits to it will get removed if the file is opened in a newer version of Excel. Learn more: https://go.microsoft.com/fwlink/?linkid=870924
Comment:
    Equation 14</t>
      </text>
    </comment>
    <comment ref="E190" authorId="29" shapeId="0" xr:uid="{6EC65C24-8B42-435E-AE6A-BC4B79593BB1}">
      <text>
        <t>[Threaded comment]
Your version of Excel allows you to read this threaded comment; however, any edits to it will get removed if the file is opened in a newer version of Excel. Learn more: https://go.microsoft.com/fwlink/?linkid=870924
Comment:
    Equation 13</t>
      </text>
    </comment>
    <comment ref="E201" authorId="30" shapeId="0" xr:uid="{9FDEEFFA-1BA4-4A1A-A6D6-1045970416B2}">
      <text>
        <t>[Threaded comment]
Your version of Excel allows you to read this threaded comment; however, any edits to it will get removed if the file is opened in a newer version of Excel. Learn more: https://go.microsoft.com/fwlink/?linkid=870924
Comment:
    Equation 15</t>
      </text>
    </comment>
    <comment ref="E209" authorId="31" shapeId="0" xr:uid="{65137A29-7BC1-4E7F-B3BD-B59BFE05E2F6}">
      <text>
        <t>[Threaded comment]
Your version of Excel allows you to read this threaded comment; however, any edits to it will get removed if the file is opened in a newer version of Excel. Learn more: https://go.microsoft.com/fwlink/?linkid=870924
Comment:
    Equation 20</t>
      </text>
    </comment>
    <comment ref="E214" authorId="32" shapeId="0" xr:uid="{7A978009-357F-48FF-83DC-5CB7612CCBA8}">
      <text>
        <t>[Threaded comment]
Your version of Excel allows you to read this threaded comment; however, any edits to it will get removed if the file is opened in a newer version of Excel. Learn more: https://go.microsoft.com/fwlink/?linkid=870924
Comment:
    Equation 21</t>
      </text>
    </comment>
    <comment ref="E216" authorId="33" shapeId="0" xr:uid="{33866C5F-56E3-4CA3-9251-AEF6A5670924}">
      <text>
        <t>[Threaded comment]
Your version of Excel allows you to read this threaded comment; however, any edits to it will get removed if the file is opened in a newer version of Excel. Learn more: https://go.microsoft.com/fwlink/?linkid=870924
Comment:
    Equation 19</t>
      </text>
    </comment>
    <comment ref="E220" authorId="34" shapeId="0" xr:uid="{AC6E8EA7-A432-4FE2-8D51-3D50651628F2}">
      <text>
        <t>[Threaded comment]
Your version of Excel allows you to read this threaded comment; however, any edits to it will get removed if the file is opened in a newer version of Excel. Learn more: https://go.microsoft.com/fwlink/?linkid=870924
Comment:
    Equation 23</t>
      </text>
    </comment>
    <comment ref="E223" authorId="35" shapeId="0" xr:uid="{072E2104-6BF1-432C-A23A-9EA436EBF5E8}">
      <text>
        <t>[Threaded comment]
Your version of Excel allows you to read this threaded comment; however, any edits to it will get removed if the file is opened in a newer version of Excel. Learn more: https://go.microsoft.com/fwlink/?linkid=870924
Comment:
    Equation 24</t>
      </text>
    </comment>
    <comment ref="E224" authorId="36" shapeId="0" xr:uid="{E5AA5729-21C9-4359-A402-762D4BF9D390}">
      <text>
        <t>[Threaded comment]
Your version of Excel allows you to read this threaded comment; however, any edits to it will get removed if the file is opened in a newer version of Excel. Learn more: https://go.microsoft.com/fwlink/?linkid=870924
Comment:
    Equation 22</t>
      </text>
    </comment>
    <comment ref="E225" authorId="37" shapeId="0" xr:uid="{12AB4918-81E7-457B-A258-D8A7FE30E5B4}">
      <text>
        <t>[Threaded comment]
Your version of Excel allows you to read this threaded comment; however, any edits to it will get removed if the file is opened in a newer version of Excel. Learn more: https://go.microsoft.com/fwlink/?linkid=870924
Comment:
    Equation 18</t>
      </text>
    </comment>
    <comment ref="E237" authorId="38" shapeId="0" xr:uid="{6BC1F448-4276-47F3-A68A-4DEA196F63F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42" authorId="39" shapeId="0" xr:uid="{F90EC733-B0CA-453D-A335-F70E941481CC}">
      <text>
        <t>[Threaded comment]
Your version of Excel allows you to read this threaded comment; however, any edits to it will get removed if the file is opened in a newer version of Excel. Learn more: https://go.microsoft.com/fwlink/?linkid=870924
Comment:
    Equation 32</t>
      </text>
    </comment>
    <comment ref="E243" authorId="40" shapeId="0" xr:uid="{3FCD061C-0018-4926-9A8B-DA13A6FC3B7D}">
      <text>
        <t>[Threaded comment]
Your version of Excel allows you to read this threaded comment; however, any edits to it will get removed if the file is opened in a newer version of Excel. Learn more: https://go.microsoft.com/fwlink/?linkid=870924
Comment:
    Equation 31</t>
      </text>
    </comment>
    <comment ref="E244" authorId="41" shapeId="0" xr:uid="{DA08432B-B68C-4BFB-8729-1982A1A8E817}">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45" authorId="42" shapeId="0" xr:uid="{1477F391-6BE4-44F9-A8BB-FBB8B37C8256}">
      <text>
        <t>[Threaded comment]
Your version of Excel allows you to read this threaded comment; however, any edits to it will get removed if the file is opened in a newer version of Excel. Learn more: https://go.microsoft.com/fwlink/?linkid=870924
Comment:
    Equation 30</t>
      </text>
    </comment>
    <comment ref="E246" authorId="43" shapeId="0" xr:uid="{FE01634C-28C0-43ED-8744-1843592434A2}">
      <text>
        <t>[Threaded comment]
Your version of Excel allows you to read this threaded comment; however, any edits to it will get removed if the file is opened in a newer version of Excel. Learn more: https://go.microsoft.com/fwlink/?linkid=870924
Comment:
    Equation 27</t>
      </text>
    </comment>
    <comment ref="E254" authorId="44" shapeId="0" xr:uid="{0A93DCB8-E169-494D-A233-0FCA410BEA0B}">
      <text>
        <t>[Threaded comment]
Your version of Excel allows you to read this threaded comment; however, any edits to it will get removed if the file is opened in a newer version of Excel. Learn more: https://go.microsoft.com/fwlink/?linkid=870924
Comment:
    Equation 26</t>
      </text>
    </comment>
    <comment ref="E255" authorId="45" shapeId="0" xr:uid="{DF53F4BA-6178-4B11-A3F8-30AEB5186D4A}">
      <text>
        <t>[Threaded comment]
Your version of Excel allows you to read this threaded comment; however, any edits to it will get removed if the file is opened in a newer version of Excel. Learn more: https://go.microsoft.com/fwlink/?linkid=870924
Comment:
    Equation 25</t>
      </text>
    </comment>
    <comment ref="E265" authorId="46" shapeId="0" xr:uid="{BD793110-2E86-4053-B4E8-67E093B0D393}">
      <text>
        <t>[Threaded comment]
Your version of Excel allows you to read this threaded comment; however, any edits to it will get removed if the file is opened in a newer version of Excel. Learn more: https://go.microsoft.com/fwlink/?linkid=870924
Comment:
    Equation 33</t>
      </text>
    </comment>
    <comment ref="E269" authorId="47" shapeId="0" xr:uid="{99D9BA3B-1461-46D4-8090-169F72754044}">
      <text>
        <t>[Threaded comment]
Your version of Excel allows you to read this threaded comment; however, any edits to it will get removed if the file is opened in a newer version of Excel. Learn more: https://go.microsoft.com/fwlink/?linkid=870924
Comment:
    Equation 17</t>
      </text>
    </comment>
    <comment ref="E274" authorId="48" shapeId="0" xr:uid="{E84702D0-C65D-47CF-8F7A-831CCB6A6722}">
      <text>
        <t>[Threaded comment]
Your version of Excel allows you to read this threaded comment; however, any edits to it will get removed if the file is opened in a newer version of Excel. Learn more: https://go.microsoft.com/fwlink/?linkid=870924
Comment:
    Equation 8</t>
      </text>
    </comment>
    <comment ref="E277" authorId="49" shapeId="0" xr:uid="{00032EA7-5841-403A-8B99-C2B5AB1199D3}">
      <text>
        <t>[Threaded comment]
Your version of Excel allows you to read this threaded comment; however, any edits to it will get removed if the file is opened in a newer version of Excel. Learn more: https://go.microsoft.com/fwlink/?linkid=870924
Comment:
    Equation 7</t>
      </text>
    </comment>
    <comment ref="E284" authorId="50" shapeId="0" xr:uid="{32858FCB-D7D3-4942-9FDF-0D355AE2394E}">
      <text>
        <t>[Threaded comment]
Your version of Excel allows you to read this threaded comment; however, any edits to it will get removed if the file is opened in a newer version of Excel. Learn more: https://go.microsoft.com/fwlink/?linkid=870924
Comment:
    Equation 10</t>
      </text>
    </comment>
    <comment ref="E285" authorId="51" shapeId="0" xr:uid="{9245FC52-D8E9-41A0-8321-36DA2B3B80B5}">
      <text>
        <t>[Threaded comment]
Your version of Excel allows you to read this threaded comment; however, any edits to it will get removed if the file is opened in a newer version of Excel. Learn more: https://go.microsoft.com/fwlink/?linkid=870924
Comment:
    Equation 9</t>
      </text>
    </comment>
    <comment ref="E295" authorId="52" shapeId="0" xr:uid="{8CADC9C6-B7ED-426D-BE8A-CE0DAD3EF2FC}">
      <text>
        <t>[Threaded comment]
Your version of Excel allows you to read this threaded comment; however, any edits to it will get removed if the file is opened in a newer version of Excel. Learn more: https://go.microsoft.com/fwlink/?linkid=870924
Comment:
    Equation 12</t>
      </text>
    </comment>
    <comment ref="E308" authorId="53" shapeId="0" xr:uid="{0C732161-DD27-4C1A-97A1-F3FBC4273E92}">
      <text>
        <t>[Threaded comment]
Your version of Excel allows you to read this threaded comment; however, any edits to it will get removed if the file is opened in a newer version of Excel. Learn more: https://go.microsoft.com/fwlink/?linkid=870924
Comment:
    Equation 14</t>
      </text>
    </comment>
    <comment ref="E312" authorId="54" shapeId="0" xr:uid="{B0371CB0-1A6C-456B-A83E-48F3E4A49FCB}">
      <text>
        <t>[Threaded comment]
Your version of Excel allows you to read this threaded comment; however, any edits to it will get removed if the file is opened in a newer version of Excel. Learn more: https://go.microsoft.com/fwlink/?linkid=870924
Comment:
    Equation 13</t>
      </text>
    </comment>
    <comment ref="E323" authorId="55" shapeId="0" xr:uid="{E6A26458-D658-4B73-B276-BB0FD44ECF1E}">
      <text>
        <t>[Threaded comment]
Your version of Excel allows you to read this threaded comment; however, any edits to it will get removed if the file is opened in a newer version of Excel. Learn more: https://go.microsoft.com/fwlink/?linkid=870924
Comment:
    Equation 15</t>
      </text>
    </comment>
    <comment ref="E331" authorId="56" shapeId="0" xr:uid="{BC20D05B-38AC-4507-BE31-D94EFCEBE3DA}">
      <text>
        <t>[Threaded comment]
Your version of Excel allows you to read this threaded comment; however, any edits to it will get removed if the file is opened in a newer version of Excel. Learn more: https://go.microsoft.com/fwlink/?linkid=870924
Comment:
    Equation 20</t>
      </text>
    </comment>
    <comment ref="E336" authorId="57" shapeId="0" xr:uid="{5BC41AEC-565C-4A5F-950E-6B5579B10DA2}">
      <text>
        <t>[Threaded comment]
Your version of Excel allows you to read this threaded comment; however, any edits to it will get removed if the file is opened in a newer version of Excel. Learn more: https://go.microsoft.com/fwlink/?linkid=870924
Comment:
    Equation 21</t>
      </text>
    </comment>
    <comment ref="E338" authorId="58" shapeId="0" xr:uid="{F1AF9AF4-B3F6-48CE-AA50-790A537F87F4}">
      <text>
        <t>[Threaded comment]
Your version of Excel allows you to read this threaded comment; however, any edits to it will get removed if the file is opened in a newer version of Excel. Learn more: https://go.microsoft.com/fwlink/?linkid=870924
Comment:
    Equation 19</t>
      </text>
    </comment>
    <comment ref="E342" authorId="59" shapeId="0" xr:uid="{0DB1E4A1-5FC9-4479-BA9C-4171DBDADC81}">
      <text>
        <t>[Threaded comment]
Your version of Excel allows you to read this threaded comment; however, any edits to it will get removed if the file is opened in a newer version of Excel. Learn more: https://go.microsoft.com/fwlink/?linkid=870924
Comment:
    Equation 23</t>
      </text>
    </comment>
    <comment ref="E345" authorId="60" shapeId="0" xr:uid="{CBC29C27-758E-4294-A973-064709FDBE33}">
      <text>
        <t>[Threaded comment]
Your version of Excel allows you to read this threaded comment; however, any edits to it will get removed if the file is opened in a newer version of Excel. Learn more: https://go.microsoft.com/fwlink/?linkid=870924
Comment:
    Equation 24</t>
      </text>
    </comment>
    <comment ref="E346" authorId="61" shapeId="0" xr:uid="{959E25C8-C3A1-4DDC-85EF-BFCC1EA007C5}">
      <text>
        <t>[Threaded comment]
Your version of Excel allows you to read this threaded comment; however, any edits to it will get removed if the file is opened in a newer version of Excel. Learn more: https://go.microsoft.com/fwlink/?linkid=870924
Comment:
    Equation 22</t>
      </text>
    </comment>
    <comment ref="E347" authorId="62" shapeId="0" xr:uid="{FA51CB0E-4ED4-4EB3-A78B-CA8879DDC040}">
      <text>
        <t>[Threaded comment]
Your version of Excel allows you to read this threaded comment; however, any edits to it will get removed if the file is opened in a newer version of Excel. Learn more: https://go.microsoft.com/fwlink/?linkid=870924
Comment:
    Equation 18</t>
      </text>
    </comment>
    <comment ref="E359" authorId="63" shapeId="0" xr:uid="{911F977D-FB86-4ABA-9148-E7B97AE9C0D5}">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364" authorId="64" shapeId="0" xr:uid="{6943359F-116F-4B14-9D73-967E2E4EDCFB}">
      <text>
        <t>[Threaded comment]
Your version of Excel allows you to read this threaded comment; however, any edits to it will get removed if the file is opened in a newer version of Excel. Learn more: https://go.microsoft.com/fwlink/?linkid=870924
Comment:
    Equation 32</t>
      </text>
    </comment>
    <comment ref="E365" authorId="65" shapeId="0" xr:uid="{575CE89B-64C6-4C79-BE1E-FD811BB91C0E}">
      <text>
        <t>[Threaded comment]
Your version of Excel allows you to read this threaded comment; however, any edits to it will get removed if the file is opened in a newer version of Excel. Learn more: https://go.microsoft.com/fwlink/?linkid=870924
Comment:
    Equation 31</t>
      </text>
    </comment>
    <comment ref="E366" authorId="66" shapeId="0" xr:uid="{E46478F5-A544-4D36-B956-160F1612634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367" authorId="67" shapeId="0" xr:uid="{1C4BE84E-88E7-4D9F-9B9C-28635327BB4B}">
      <text>
        <t>[Threaded comment]
Your version of Excel allows you to read this threaded comment; however, any edits to it will get removed if the file is opened in a newer version of Excel. Learn more: https://go.microsoft.com/fwlink/?linkid=870924
Comment:
    Equation 30</t>
      </text>
    </comment>
    <comment ref="E368" authorId="68" shapeId="0" xr:uid="{693053F0-6780-4E5E-9A7D-42F7B2A82095}">
      <text>
        <t>[Threaded comment]
Your version of Excel allows you to read this threaded comment; however, any edits to it will get removed if the file is opened in a newer version of Excel. Learn more: https://go.microsoft.com/fwlink/?linkid=870924
Comment:
    Equation 27</t>
      </text>
    </comment>
    <comment ref="E376" authorId="69" shapeId="0" xr:uid="{294A13A3-94E2-46CE-91DC-3DB362CD4795}">
      <text>
        <t>[Threaded comment]
Your version of Excel allows you to read this threaded comment; however, any edits to it will get removed if the file is opened in a newer version of Excel. Learn more: https://go.microsoft.com/fwlink/?linkid=870924
Comment:
    Equation 26</t>
      </text>
    </comment>
    <comment ref="E377" authorId="70" shapeId="0" xr:uid="{AEED1B2D-7471-45E3-9802-E412A4BA9C1B}">
      <text>
        <t>[Threaded comment]
Your version of Excel allows you to read this threaded comment; however, any edits to it will get removed if the file is opened in a newer version of Excel. Learn more: https://go.microsoft.com/fwlink/?linkid=870924
Comment:
    Equation 25</t>
      </text>
    </comment>
    <comment ref="E387" authorId="71" shapeId="0" xr:uid="{31FD8010-90D1-4B72-93C2-EAB0551D62FB}">
      <text>
        <t>[Threaded comment]
Your version of Excel allows you to read this threaded comment; however, any edits to it will get removed if the file is opened in a newer version of Excel. Learn more: https://go.microsoft.com/fwlink/?linkid=870924
Comment:
    Equation 33</t>
      </text>
    </comment>
    <comment ref="E391" authorId="72" shapeId="0" xr:uid="{91694486-6454-4916-B18B-C2A888AA4BB4}">
      <text>
        <t>[Threaded comment]
Your version of Excel allows you to read this threaded comment; however, any edits to it will get removed if the file is opened in a newer version of Excel. Learn more: https://go.microsoft.com/fwlink/?linkid=870924
Comment:
    Equation 17</t>
      </text>
    </comment>
    <comment ref="E392" authorId="73" shapeId="0" xr:uid="{2E7757EF-712D-420A-BDFD-7FF477901950}">
      <text>
        <t>[Threaded comment]
Your version of Excel allows you to read this threaded comment; however, any edits to it will get removed if the file is opened in a newer version of Excel. Learn more: https://go.microsoft.com/fwlink/?linkid=870924
Comment:
    Equation 52</t>
      </text>
    </comment>
    <comment ref="E393" authorId="74" shapeId="0" xr:uid="{2287B5A8-77A2-4E0F-97DF-46ABA701E053}">
      <text>
        <t>[Threaded comment]
Your version of Excel allows you to read this threaded comment; however, any edits to it will get removed if the file is opened in a newer version of Excel. Learn more: https://go.microsoft.com/fwlink/?linkid=870924
Comment:
    Equation 53</t>
      </text>
    </comment>
    <comment ref="E394" authorId="75" shapeId="0" xr:uid="{A011289F-B8EA-4D50-AB5F-639326AABC8B}">
      <text>
        <t>[Threaded comment]
Your version of Excel allows you to read this threaded comment; however, any edits to it will get removed if the file is opened in a newer version of Excel. Learn more: https://go.microsoft.com/fwlink/?linkid=870924
Comment:
    Equation 55</t>
      </text>
    </comment>
    <comment ref="E395" authorId="76" shapeId="0" xr:uid="{30C49E67-72BF-4C56-9E1C-13DF1501FCE5}">
      <text>
        <t>[Threaded comment]
Your version of Excel allows you to read this threaded comment; however, any edits to it will get removed if the file is opened in a newer version of Excel. Learn more: https://go.microsoft.com/fwlink/?linkid=870924
Comment:
    Equation 56</t>
      </text>
    </comment>
    <comment ref="E396" authorId="77" shapeId="0" xr:uid="{1635B13A-8E26-4D8D-AF00-54E7C72B34B9}">
      <text>
        <t>[Threaded comment]
Your version of Excel allows you to read this threaded comment; however, any edits to it will get removed if the file is opened in a newer version of Excel. Learn more: https://go.microsoft.com/fwlink/?linkid=870924
Comment:
    Equation 57</t>
      </text>
    </comment>
    <comment ref="E397" authorId="78" shapeId="0" xr:uid="{B37D8DC4-2B51-4676-BD98-A84FB0B91DB9}">
      <text>
        <t>[Threaded comment]
Your version of Excel allows you to read this threaded comment; however, any edits to it will get removed if the file is opened in a newer version of Excel. Learn more: https://go.microsoft.com/fwlink/?linkid=870924
Comment:
    Equation 59</t>
      </text>
    </comment>
    <comment ref="E411" authorId="79" shapeId="0" xr:uid="{1A998E56-5A66-49C4-98BD-85979E825A59}">
      <text>
        <t>[Threaded comment]
Your version of Excel allows you to read this threaded comment; however, any edits to it will get removed if the file is opened in a newer version of Excel. Learn more: https://go.microsoft.com/fwlink/?linkid=870924
Comment:
    Equation 9</t>
      </text>
    </comment>
    <comment ref="E413" authorId="80" shapeId="0" xr:uid="{FB57CE8F-601A-4D34-A55F-05B49537607C}">
      <text>
        <t>[Threaded comment]
Your version of Excel allows you to read this threaded comment; however, any edits to it will get removed if the file is opened in a newer version of Excel. Learn more: https://go.microsoft.com/fwlink/?linkid=870924
Comment:
    Equation 10</t>
      </text>
    </comment>
    <comment ref="E414" authorId="81" shapeId="0" xr:uid="{B75BEFCC-F71F-4791-B414-D880641B9B5A}">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415" authorId="82" shapeId="0" xr:uid="{C12F0F05-8630-4EF4-B1A1-116137378E9E}">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416" authorId="83" shapeId="0" xr:uid="{19D3B7AC-B8C1-4C54-851A-39D147ECF718}">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417" authorId="84" shapeId="0" xr:uid="{62834A47-062E-4A0F-A6DA-29629BEBC881}">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418" authorId="85" shapeId="0" xr:uid="{7AA7884A-3822-4FEE-8AF5-06B623003D0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420" authorId="86" shapeId="0" xr:uid="{252B5F49-D00B-44FD-A793-0BABED45146D}">
      <text>
        <t>[Threaded comment]
Your version of Excel allows you to read this threaded comment; however, any edits to it will get removed if the file is opened in a newer version of Excel. Learn more: https://go.microsoft.com/fwlink/?linkid=870924
Comment:
    Equation 3</t>
      </text>
    </comment>
    <comment ref="E421" authorId="87" shapeId="0" xr:uid="{A35A8B2F-266B-4E1F-9C2F-89C003B8EA02}">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422" authorId="88" shapeId="0" xr:uid="{F6058252-BD34-485A-A995-1B493724DE65}">
      <text>
        <t>[Threaded comment]
Your version of Excel allows you to read this threaded comment; however, any edits to it will get removed if the file is opened in a newer version of Excel. Learn more: https://go.microsoft.com/fwlink/?linkid=870924
Comment:
    Equation 4</t>
      </text>
    </comment>
    <comment ref="E423" authorId="89" shapeId="0" xr:uid="{2D2B6628-09DC-4E62-85B4-E5650103CD15}">
      <text>
        <t>[Threaded comment]
Your version of Excel allows you to read this threaded comment; however, any edits to it will get removed if the file is opened in a newer version of Excel. Learn more: https://go.microsoft.com/fwlink/?linkid=870924
Comment:
    Equation 5</t>
      </text>
    </comment>
    <comment ref="E424" authorId="90" shapeId="0" xr:uid="{3BDC6A56-FBC0-458A-B8F1-EC98FB9FD09B}">
      <text>
        <t>[Threaded comment]
Your version of Excel allows you to read this threaded comment; however, any edits to it will get removed if the file is opened in a newer version of Excel. Learn more: https://go.microsoft.com/fwlink/?linkid=870924
Comment:
    A for equation 4</t>
      </text>
    </comment>
    <comment ref="E425" authorId="91" shapeId="0" xr:uid="{6C34F1F5-927D-4B8A-9BD9-A46551F7A1CC}">
      <text>
        <t>[Threaded comment]
Your version of Excel allows you to read this threaded comment; however, any edits to it will get removed if the file is opened in a newer version of Excel. Learn more: https://go.microsoft.com/fwlink/?linkid=870924
Comment:
    Equation 6</t>
      </text>
    </comment>
    <comment ref="E426" authorId="92" shapeId="0" xr:uid="{F8888B51-F1DD-4348-9F4C-59930CD49665}">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428" authorId="93" shapeId="0" xr:uid="{B0674825-B142-430F-A11C-F763BB0750BA}">
      <text>
        <t>[Threaded comment]
Your version of Excel allows you to read this threaded comment; however, any edits to it will get removed if the file is opened in a newer version of Excel. Learn more: https://go.microsoft.com/fwlink/?linkid=870924
Comment:
    Equation 7</t>
      </text>
    </comment>
    <comment ref="E429" authorId="94" shapeId="0" xr:uid="{F41F256C-B043-4435-9ECF-73C21D69A94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430" authorId="95" shapeId="0" xr:uid="{A1BF3CB6-1750-450E-B22E-664F32378BB8}">
      <text>
        <t>[Threaded comment]
Your version of Excel allows you to read this threaded comment; however, any edits to it will get removed if the file is opened in a newer version of Excel. Learn more: https://go.microsoft.com/fwlink/?linkid=870924
Comment:
    Equation 8</t>
      </text>
    </comment>
    <comment ref="E431" authorId="96" shapeId="0" xr:uid="{3F778742-3E5F-43E2-BBA9-E986D1860425}">
      <text>
        <t>[Threaded comment]
Your version of Excel allows you to read this threaded comment; however, any edits to it will get removed if the file is opened in a newer version of Excel. Learn more: https://go.microsoft.com/fwlink/?linkid=870924
Comment:
    ni for equation 8</t>
      </text>
    </comment>
    <comment ref="E433" authorId="97" shapeId="0" xr:uid="{51465B87-98F6-432A-8BE0-82352FA3B2B3}">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435" authorId="98" shapeId="0" xr:uid="{84C7C5DB-D75B-47F3-BA47-2FE482673521}">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436" authorId="99" shapeId="0" xr:uid="{62E088DC-DAD2-4991-8127-737629621C82}">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437" authorId="100" shapeId="0" xr:uid="{71F6FC0A-FE56-48D0-8763-010E8CBBD842}">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38" authorId="101" shapeId="0" xr:uid="{BFFB33BD-660E-4A33-AC58-FE2B8511BF9E}">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39" authorId="102" shapeId="0" xr:uid="{61F59A6A-BDD3-49E1-879E-94F9D95687E3}">
      <text>
        <t>[Threaded comment]
Your version of Excel allows you to read this threaded comment; however, any edits to it will get removed if the file is opened in a newer version of Excel. Learn more: https://go.microsoft.com/fwlink/?linkid=870924
Comment:
    Equation 2</t>
      </text>
    </comment>
    <comment ref="E440" authorId="103" shapeId="0" xr:uid="{F77BC0F7-8216-42ED-8870-246DB9A910BC}">
      <text>
        <t>[Threaded comment]
Your version of Excel allows you to read this threaded comment; however, any edits to it will get removed if the file is opened in a newer version of Excel. Learn more: https://go.microsoft.com/fwlink/?linkid=870924
Comment:
    Equation 1</t>
      </text>
    </comment>
    <comment ref="E441" authorId="104" shapeId="0" xr:uid="{85E8FB04-1A49-430D-8BEF-0B4449ECDB17}">
      <text>
        <t>[Threaded comment]
Your version of Excel allows you to read this threaded comment; however, any edits to it will get removed if the file is opened in a newer version of Excel. Learn more: https://go.microsoft.com/fwlink/?linkid=870924
Comment:
    Equation 2</t>
      </text>
    </comment>
    <comment ref="E443" authorId="105" shapeId="0" xr:uid="{3E77ABDF-74AA-4A35-9BA5-6271B41F6E06}">
      <text>
        <t>[Threaded comment]
Your version of Excel allows you to read this threaded comment; however, any edits to it will get removed if the file is opened in a newer version of Excel. Learn more: https://go.microsoft.com/fwlink/?linkid=870924
Comment:
    Equation 11</t>
      </text>
    </comment>
    <comment ref="E444" authorId="106" shapeId="0" xr:uid="{70DFAA18-BEE5-4C12-9EEE-9D77CC5BABDF}">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45" authorId="107" shapeId="0" xr:uid="{E977770F-E663-463B-A89E-A5E9A4851B0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46" authorId="108" shapeId="0" xr:uid="{235A45E1-3C44-49BF-A9D6-01192EBB7FB2}">
      <text>
        <t>[Threaded comment]
Your version of Excel allows you to read this threaded comment; however, any edits to it will get removed if the file is opened in a newer version of Excel. Learn more: https://go.microsoft.com/fwlink/?linkid=870924
Comment:
    T for equation 11</t>
      </text>
    </comment>
    <comment ref="E450" authorId="109" shapeId="0" xr:uid="{0C477BB9-104B-4B0A-917C-E42A2DAA4E94}">
      <text>
        <t>[Threaded comment]
Your version of Excel allows you to read this threaded comment; however, any edits to it will get removed if the file is opened in a newer version of Excel. Learn more: https://go.microsoft.com/fwlink/?linkid=870924
Comment:
    Equation 22</t>
      </text>
    </comment>
    <comment ref="E451" authorId="110" shapeId="0" xr:uid="{187E54FD-211A-4015-B19E-B9092F019268}">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452" authorId="111" shapeId="0" xr:uid="{AD2EE911-5790-4AF1-960A-118E074170D4}">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453" authorId="112" shapeId="0" xr:uid="{68D87DBE-6375-48A0-A143-471979E1216D}">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454" authorId="113" shapeId="0" xr:uid="{5C62E614-DE19-413B-B8C6-67972C9F84E3}">
      <text>
        <t>[Threaded comment]
Your version of Excel allows you to read this threaded comment; however, any edits to it will get removed if the file is opened in a newer version of Excel. Learn more: https://go.microsoft.com/fwlink/?linkid=870924
Comment:
    Equation 23</t>
      </text>
    </comment>
    <comment ref="E455" authorId="114" shapeId="0" xr:uid="{7444A952-5FB1-4892-AECE-39129D7ED8D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468" authorId="115" shapeId="0" xr:uid="{FC5EBE85-2A51-4DC0-A137-7AC3754ACC71}">
      <text>
        <t>[Threaded comment]
Your version of Excel allows you to read this threaded comment; however, any edits to it will get removed if the file is opened in a newer version of Excel. Learn more: https://go.microsoft.com/fwlink/?linkid=870924
Comment:
    Equation 20</t>
      </text>
    </comment>
    <comment ref="E470" authorId="116" shapeId="0" xr:uid="{6BC512BF-4ECB-4E17-9214-80566AB6BC00}">
      <text>
        <t>[Threaded comment]
Your version of Excel allows you to read this threaded comment; however, any edits to it will get removed if the file is opened in a newer version of Excel. Learn more: https://go.microsoft.com/fwlink/?linkid=870924
Comment:
    Equation 21</t>
      </text>
    </comment>
    <comment ref="E471" authorId="117" shapeId="0" xr:uid="{CABCB696-A317-49B6-91CE-D8EBD96F0895}">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472" authorId="118" shapeId="0" xr:uid="{7B557CED-5F8C-43C2-8365-26015DD299AF}">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473" authorId="119" shapeId="0" xr:uid="{4F8B3249-A1EA-4DB2-9587-6154E1089AE6}">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474" authorId="120" shapeId="0" xr:uid="{9FCCF2B7-1C9D-4AD0-A082-DA2C2B4A198A}">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475" authorId="121" shapeId="0" xr:uid="{E06D84CE-F4DB-48BB-9919-061D4914B2F2}">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479" authorId="122" shapeId="0" xr:uid="{1E899696-AC7D-473C-A2DB-52DC889C8673}">
      <text>
        <t>[Threaded comment]
Your version of Excel allows you to read this threaded comment; however, any edits to it will get removed if the file is opened in a newer version of Excel. Learn more: https://go.microsoft.com/fwlink/?linkid=870924
Comment:
    Equation 12</t>
      </text>
    </comment>
    <comment ref="E480" authorId="123" shapeId="0" xr:uid="{5246D01A-10CF-4DAC-BAEB-979BCF6A6516}">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481" authorId="124" shapeId="0" xr:uid="{D06EE066-5A62-49F6-8C74-35470FAA6E18}">
      <text>
        <t>[Threaded comment]
Your version of Excel allows you to read this threaded comment; however, any edits to it will get removed if the file is opened in a newer version of Excel. Learn more: https://go.microsoft.com/fwlink/?linkid=870924
Comment:
    Equation 13</t>
      </text>
    </comment>
    <comment ref="E482" authorId="125" shapeId="0" xr:uid="{29F60B9B-F982-451E-A808-7DCF5A4E03E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83" authorId="126" shapeId="0" xr:uid="{55B0A552-FC7A-481A-B9E5-B157124B8177}">
      <text>
        <t>[Threaded comment]
Your version of Excel allows you to read this threaded comment; however, any edits to it will get removed if the file is opened in a newer version of Excel. Learn more: https://go.microsoft.com/fwlink/?linkid=870924
Comment:
    Equation 14</t>
      </text>
    </comment>
    <comment ref="E484" authorId="127" shapeId="0" xr:uid="{B572A952-D0E1-4398-8104-1717B9E2FD99}">
      <text>
        <t>[Threaded comment]
Your version of Excel allows you to read this threaded comment; however, any edits to it will get removed if the file is opened in a newer version of Excel. Learn more: https://go.microsoft.com/fwlink/?linkid=870924
Comment:
    Equation 15</t>
      </text>
    </comment>
    <comment ref="E485" authorId="128" shapeId="0" xr:uid="{C57D9735-7CE0-43AD-8DCA-A179B36B8BD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87" authorId="129" shapeId="0" xr:uid="{ACE709C2-CDAB-4288-B955-F90841650418}">
      <text>
        <t>[Threaded comment]
Your version of Excel allows you to read this threaded comment; however, any edits to it will get removed if the file is opened in a newer version of Excel. Learn more: https://go.microsoft.com/fwlink/?linkid=870924
Comment:
    Equation 16</t>
      </text>
    </comment>
    <comment ref="E488" authorId="130" shapeId="0" xr:uid="{4847650D-02F7-454F-AD23-A130194273A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489" authorId="131" shapeId="0" xr:uid="{687F506C-F6BD-4E1B-B77A-B1A6F068424C}">
      <text>
        <t>[Threaded comment]
Your version of Excel allows you to read this threaded comment; however, any edits to it will get removed if the file is opened in a newer version of Excel. Learn more: https://go.microsoft.com/fwlink/?linkid=870924
Comment:
    Equation 17</t>
      </text>
    </comment>
    <comment ref="E490" authorId="132" shapeId="0" xr:uid="{1A4BA96A-3028-4D5D-8D7E-50330757E537}">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492" authorId="133" shapeId="0" xr:uid="{1D5B216C-77F8-4166-BD45-47D3229E0DC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494" authorId="134" shapeId="0" xr:uid="{D0F4DB4D-BE0D-406A-BF73-F942671E9DD9}">
      <text>
        <t>[Threaded comment]
Your version of Excel allows you to read this threaded comment; however, any edits to it will get removed if the file is opened in a newer version of Excel. Learn more: https://go.microsoft.com/fwlink/?linkid=870924
Comment:
    Equation 12?</t>
      </text>
    </comment>
    <comment ref="E495" authorId="135" shapeId="0" xr:uid="{85C837DD-443C-4187-A0E6-747FADAAB057}">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496" authorId="136" shapeId="0" xr:uid="{1BF2CB98-9600-4EC5-B574-A5BF9B5B61A7}">
      <text>
        <t>[Threaded comment]
Your version of Excel allows you to read this threaded comment; however, any edits to it will get removed if the file is opened in a newer version of Excel. Learn more: https://go.microsoft.com/fwlink/?linkid=870924
Comment:
    Equation 13</t>
      </text>
    </comment>
    <comment ref="E497" authorId="137" shapeId="0" xr:uid="{56C9350C-6535-43BA-A549-9C714684DC9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98" authorId="138" shapeId="0" xr:uid="{C4F4CA9D-0B3D-4CAC-AA1F-4B8DE0F6219D}">
      <text>
        <t>[Threaded comment]
Your version of Excel allows you to read this threaded comment; however, any edits to it will get removed if the file is opened in a newer version of Excel. Learn more: https://go.microsoft.com/fwlink/?linkid=870924
Comment:
    Equation 14</t>
      </text>
    </comment>
    <comment ref="E499" authorId="139" shapeId="0" xr:uid="{D8B0C12B-A557-47BA-9A4F-9605E5C4FCBE}">
      <text>
        <t>[Threaded comment]
Your version of Excel allows you to read this threaded comment; however, any edits to it will get removed if the file is opened in a newer version of Excel. Learn more: https://go.microsoft.com/fwlink/?linkid=870924
Comment:
    Equation 15</t>
      </text>
    </comment>
    <comment ref="E500" authorId="140" shapeId="0" xr:uid="{49EA18F8-D21B-459A-800D-BFF2D46A656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02" authorId="141" shapeId="0" xr:uid="{23788AE1-8AAA-43E0-8220-BD6C25D2D1FC}">
      <text>
        <t>[Threaded comment]
Your version of Excel allows you to read this threaded comment; however, any edits to it will get removed if the file is opened in a newer version of Excel. Learn more: https://go.microsoft.com/fwlink/?linkid=870924
Comment:
    Equation 18</t>
      </text>
    </comment>
    <comment ref="E503" authorId="142" shapeId="0" xr:uid="{04E6489F-330C-401D-A934-07E214A9A065}">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504" authorId="143" shapeId="0" xr:uid="{94CC6BA0-0C61-409A-998C-F37936109634}">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505" authorId="144" shapeId="0" xr:uid="{E81E75AD-FCED-45B6-AF3F-0122750419ED}">
      <text>
        <t>[Threaded comment]
Your version of Excel allows you to read this threaded comment; however, any edits to it will get removed if the file is opened in a newer version of Excel. Learn more: https://go.microsoft.com/fwlink/?linkid=870924
Comment:
    For equation 18</t>
      </text>
    </comment>
    <comment ref="E506" authorId="145" shapeId="0" xr:uid="{DD24A779-D96F-4C35-85B5-5B2DC243BC76}">
      <text>
        <t>[Threaded comment]
Your version of Excel allows you to read this threaded comment; however, any edits to it will get removed if the file is opened in a newer version of Excel. Learn more: https://go.microsoft.com/fwlink/?linkid=870924
Comment:
    For equation 18</t>
      </text>
    </comment>
    <comment ref="E507" authorId="146" shapeId="0" xr:uid="{F9CDBDCE-EAD2-4CD2-AAEB-8DEB665B635F}">
      <text>
        <t>[Threaded comment]
Your version of Excel allows you to read this threaded comment; however, any edits to it will get removed if the file is opened in a newer version of Excel. Learn more: https://go.microsoft.com/fwlink/?linkid=870924
Comment:
    Equation 19</t>
      </text>
    </comment>
    <comment ref="E508" authorId="147" shapeId="0" xr:uid="{9E840F8A-C40A-4D46-BE15-32490790C67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509" authorId="148" shapeId="0" xr:uid="{BEDE405A-C0F4-4825-B3F7-D70275EA8D7B}">
      <text>
        <t>[Threaded comment]
Your version of Excel allows you to read this threaded comment; however, any edits to it will get removed if the file is opened in a newer version of Excel. Learn more: https://go.microsoft.com/fwlink/?linkid=870924
Comment:
    P for equation 19</t>
      </text>
    </comment>
    <comment ref="E511" authorId="149" shapeId="0" xr:uid="{39158EE5-CDCE-49FB-B69B-F2BD6E1A244F}">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512" authorId="150" shapeId="0" xr:uid="{2FC7B15E-32A5-4814-8A51-4421F3D62902}">
      <text>
        <t>[Threaded comment]
Your version of Excel allows you to read this threaded comment; however, any edits to it will get removed if the file is opened in a newer version of Excel. Learn more: https://go.microsoft.com/fwlink/?linkid=870924
Comment:
    date</t>
      </text>
    </comment>
    <comment ref="E521" authorId="151" shapeId="0" xr:uid="{507953C6-D5EF-4D7C-B815-E189CF1CF4E1}">
      <text>
        <t>[Threaded comment]
Your version of Excel allows you to read this threaded comment; however, any edits to it will get removed if the file is opened in a newer version of Excel. Learn more: https://go.microsoft.com/fwlink/?linkid=870924
Comment:
    Equation 24</t>
      </text>
    </comment>
    <comment ref="E522" authorId="152" shapeId="0" xr:uid="{52FCBD3D-3154-49DB-9026-24A827D8B71E}">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523" authorId="153" shapeId="0" xr:uid="{614316DF-7C27-4D9D-84D1-3AC8878166AF}">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525" authorId="154" shapeId="0" xr:uid="{81CD737B-1622-4EBC-9CD8-2DE7CB96B37C}">
      <text>
        <t>[Threaded comment]
Your version of Excel allows you to read this threaded comment; however, any edits to it will get removed if the file is opened in a newer version of Excel. Learn more: https://go.microsoft.com/fwlink/?linkid=870924
Comment:
    Equation 25</t>
      </text>
    </comment>
    <comment ref="E526" authorId="155" shapeId="0" xr:uid="{E9E07588-D1A0-4EAA-BBA1-8A91A822C8FB}">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527" authorId="156" shapeId="0" xr:uid="{AA850871-0255-453E-BC44-C93B422E695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528" authorId="157" shapeId="0" xr:uid="{0FDD1216-67E0-4634-9753-6AEE58984BC6}">
      <text>
        <t>[Threaded comment]
Your version of Excel allows you to read this threaded comment; however, any edits to it will get removed if the file is opened in a newer version of Excel. Learn more: https://go.microsoft.com/fwlink/?linkid=870924
Comment:
    T for equation 25</t>
      </text>
    </comment>
    <comment ref="E530" authorId="158" shapeId="0" xr:uid="{EBFBFD9D-B916-4E75-9846-5395B97D3B38}">
      <text>
        <t>[Threaded comment]
Your version of Excel allows you to read this threaded comment; however, any edits to it will get removed if the file is opened in a newer version of Excel. Learn more: https://go.microsoft.com/fwlink/?linkid=870924
Comment:
    Equation 26</t>
      </text>
    </comment>
    <comment ref="E531" authorId="159" shapeId="0" xr:uid="{BC21043C-A472-4124-A42E-C083D79A85D5}">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532" authorId="160" shapeId="0" xr:uid="{EEC5545A-8670-427C-AD54-2CD296587D60}">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534" authorId="161" shapeId="0" xr:uid="{4ADF52EE-F748-4AF5-95EA-D6D54D93AC64}">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535" authorId="162" shapeId="0" xr:uid="{59CA425F-8A51-4973-9A23-9387A68DF3AC}">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536" authorId="163" shapeId="0" xr:uid="{BA4E6111-CFDE-4D06-A2B7-12FF9D0AFFD1}">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537" authorId="164" shapeId="0" xr:uid="{5131D429-21FF-409A-934F-1149A97A4E61}">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538" authorId="165" shapeId="0" xr:uid="{15ADA034-A66C-49ED-8CFC-269362E98193}">
      <text>
        <t>[Threaded comment]
Your version of Excel allows you to read this threaded comment; however, any edits to it will get removed if the file is opened in a newer version of Excel. Learn more: https://go.microsoft.com/fwlink/?linkid=870924
Comment:
    Equation 27</t>
      </text>
    </comment>
    <comment ref="E549" authorId="166" shapeId="0" xr:uid="{5C29806D-9176-417F-B95C-A23FBD0B1CC6}">
      <text>
        <t>[Threaded comment]
Your version of Excel allows you to read this threaded comment; however, any edits to it will get removed if the file is opened in a newer version of Excel. Learn more: https://go.microsoft.com/fwlink/?linkid=870924
Comment:
    Equation 3</t>
      </text>
    </comment>
    <comment ref="E550" authorId="167" shapeId="0" xr:uid="{4B564AEC-3BF7-4F2A-94D3-7A6D702482D3}">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551" authorId="168" shapeId="0" xr:uid="{0F188885-D926-4A2B-8FBC-ACAD7805A043}">
      <text>
        <t>[Threaded comment]
Your version of Excel allows you to read this threaded comment; however, any edits to it will get removed if the file is opened in a newer version of Excel. Learn more: https://go.microsoft.com/fwlink/?linkid=870924
Comment:
    Equation 4</t>
      </text>
    </comment>
    <comment ref="E552" authorId="169" shapeId="0" xr:uid="{E33E1872-5DDF-4398-B84F-3F4F1C2D8284}">
      <text>
        <t>[Threaded comment]
Your version of Excel allows you to read this threaded comment; however, any edits to it will get removed if the file is opened in a newer version of Excel. Learn more: https://go.microsoft.com/fwlink/?linkid=870924
Comment:
    Equation 5</t>
      </text>
    </comment>
    <comment ref="E553" authorId="170" shapeId="0" xr:uid="{BCECABC6-C721-4247-9F13-7F397F0BA895}">
      <text>
        <t>[Threaded comment]
Your version of Excel allows you to read this threaded comment; however, any edits to it will get removed if the file is opened in a newer version of Excel. Learn more: https://go.microsoft.com/fwlink/?linkid=870924
Comment:
    A for equation 4</t>
      </text>
    </comment>
    <comment ref="E554" authorId="171" shapeId="0" xr:uid="{2111212B-9091-4A43-9EFB-FE8B40DC3281}">
      <text>
        <t>[Threaded comment]
Your version of Excel allows you to read this threaded comment; however, any edits to it will get removed if the file is opened in a newer version of Excel. Learn more: https://go.microsoft.com/fwlink/?linkid=870924
Comment:
    Equation 6</t>
      </text>
    </comment>
    <comment ref="E555" authorId="172" shapeId="0" xr:uid="{40B317EC-9B05-4A6D-82BB-E395F63D145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557" authorId="173" shapeId="0" xr:uid="{FCC081A0-3E53-4361-B216-82F6F0CB4843}">
      <text>
        <t>[Threaded comment]
Your version of Excel allows you to read this threaded comment; however, any edits to it will get removed if the file is opened in a newer version of Excel. Learn more: https://go.microsoft.com/fwlink/?linkid=870924
Comment:
    Equation 7</t>
      </text>
    </comment>
    <comment ref="E558" authorId="174" shapeId="0" xr:uid="{859E1730-9F50-4C78-B73A-F6C4B744250F}">
      <text>
        <t>[Threaded comment]
Your version of Excel allows you to read this threaded comment; however, any edits to it will get removed if the file is opened in a newer version of Excel. Learn more: https://go.microsoft.com/fwlink/?linkid=870924
Comment:
    wi for equation 6</t>
      </text>
    </comment>
    <comment ref="E559" authorId="175" shapeId="0" xr:uid="{C460F84C-4B9C-406E-A0CA-CF23BDC76178}">
      <text>
        <t>[Threaded comment]
Your version of Excel allows you to read this threaded comment; however, any edits to it will get removed if the file is opened in a newer version of Excel. Learn more: https://go.microsoft.com/fwlink/?linkid=870924
Comment:
    Equation 8</t>
      </text>
    </comment>
    <comment ref="E560" authorId="176" shapeId="0" xr:uid="{C7C00DD5-8F1E-48F7-B401-BCD24E147C48}">
      <text>
        <t>[Threaded comment]
Your version of Excel allows you to read this threaded comment; however, any edits to it will get removed if the file is opened in a newer version of Excel. Learn more: https://go.microsoft.com/fwlink/?linkid=870924
Comment:
    ni for equation 8</t>
      </text>
    </comment>
    <comment ref="E562" authorId="177" shapeId="0" xr:uid="{22DC1072-C15D-4DB5-87E4-3DE372F5E418}">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564" authorId="178" shapeId="0" xr:uid="{D44837DC-7382-4417-8F06-CE0ED362F081}">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565" authorId="179" shapeId="0" xr:uid="{37EFFE3A-A8C1-41A9-A5A1-F351B6A843E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566" authorId="180" shapeId="0" xr:uid="{E7849231-6321-4D37-97F0-8ECC04594C6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567" authorId="181" shapeId="0" xr:uid="{F2AB84B2-9BB6-4914-B91A-BAB537102223}">
      <text>
        <t>[Threaded comment]
Your version of Excel allows you to read this threaded comment; however, any edits to it will get removed if the file is opened in a newer version of Excel. Learn more: https://go.microsoft.com/fwlink/?linkid=870924
Comment:
    u2 for equation 2</t>
      </text>
    </comment>
    <comment ref="E568" authorId="182" shapeId="0" xr:uid="{A48FAD9D-C879-4A0F-A2E3-F7B2E3208893}">
      <text>
        <t>[Threaded comment]
Your version of Excel allows you to read this threaded comment; however, any edits to it will get removed if the file is opened in a newer version of Excel. Learn more: https://go.microsoft.com/fwlink/?linkid=870924
Comment:
    Equation 2</t>
      </text>
    </comment>
    <comment ref="E569" authorId="183" shapeId="0" xr:uid="{32297028-CE2B-4560-A03F-DA3D8BD1089D}">
      <text>
        <t>[Threaded comment]
Your version of Excel allows you to read this threaded comment; however, any edits to it will get removed if the file is opened in a newer version of Excel. Learn more: https://go.microsoft.com/fwlink/?linkid=870924
Comment:
    Equation 1</t>
      </text>
    </comment>
    <comment ref="E570" authorId="184" shapeId="0" xr:uid="{C4584CDE-6451-49AD-996B-99ADEB330070}">
      <text>
        <t>[Threaded comment]
Your version of Excel allows you to read this threaded comment; however, any edits to it will get removed if the file is opened in a newer version of Excel. Learn more: https://go.microsoft.com/fwlink/?linkid=870924
Comment:
    Equation 2</t>
      </text>
    </comment>
    <comment ref="E572" authorId="185" shapeId="0" xr:uid="{E614BEFE-3865-4227-813B-B57054EC664A}">
      <text>
        <t>[Threaded comment]
Your version of Excel allows you to read this threaded comment; however, any edits to it will get removed if the file is opened in a newer version of Excel. Learn more: https://go.microsoft.com/fwlink/?linkid=870924
Comment:
    Equation 11</t>
      </text>
    </comment>
    <comment ref="E573" authorId="186" shapeId="0" xr:uid="{7E671C14-C21A-4C4C-898C-B9F4FCE84F29}">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74" authorId="187" shapeId="0" xr:uid="{9AC78F9F-EC65-45F0-A9F0-B0E31C6DC67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75" authorId="188" shapeId="0" xr:uid="{81916117-0C2B-4295-B2C9-F8EE420DDD64}">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79" authorId="189" shapeId="0" xr:uid="{D93FAF96-75B4-49E1-99B0-39B2ABB9A390}">
      <text>
        <t>[Threaded comment]
Your version of Excel allows you to read this threaded comment; however, any edits to it will get removed if the file is opened in a newer version of Excel. Learn more: https://go.microsoft.com/fwlink/?linkid=870924
Comment:
    Equation 22</t>
      </text>
    </comment>
    <comment ref="E580" authorId="190" shapeId="0" xr:uid="{0EE69195-09C4-48CE-9957-75B51F53DF2C}">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81" authorId="191" shapeId="0" xr:uid="{EA8A4252-CE06-4085-BA66-84CFE711B4C7}">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82" authorId="192" shapeId="0" xr:uid="{D36412D3-3F72-44C6-9DB1-2247BD332DB6}">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83" authorId="193" shapeId="0" xr:uid="{4141F0B3-FE9F-4C74-AB48-FF6AB65484A6}">
      <text>
        <t>[Threaded comment]
Your version of Excel allows you to read this threaded comment; however, any edits to it will get removed if the file is opened in a newer version of Excel. Learn more: https://go.microsoft.com/fwlink/?linkid=870924
Comment:
    Equation 23</t>
      </text>
    </comment>
    <comment ref="E584" authorId="194" shapeId="0" xr:uid="{F0341F53-AFAB-4B89-9DCA-CC6757B48D19}">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599" authorId="195" shapeId="0" xr:uid="{2F2EEAFC-A63F-4E0D-8E64-EB8A41795353}">
      <text>
        <t>[Threaded comment]
Your version of Excel allows you to read this threaded comment; however, any edits to it will get removed if the file is opened in a newer version of Excel. Learn more: https://go.microsoft.com/fwlink/?linkid=870924
Comment:
    Equation 12</t>
      </text>
    </comment>
    <comment ref="E600" authorId="196" shapeId="0" xr:uid="{433BC2B5-298D-4596-9D2A-C5908036A548}">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601" authorId="197" shapeId="0" xr:uid="{786F3E0D-AA10-4895-9722-016DBC18CFAA}">
      <text>
        <t>[Threaded comment]
Your version of Excel allows you to read this threaded comment; however, any edits to it will get removed if the file is opened in a newer version of Excel. Learn more: https://go.microsoft.com/fwlink/?linkid=870924
Comment:
    Equation 13</t>
      </text>
    </comment>
    <comment ref="E602" authorId="198" shapeId="0" xr:uid="{5937A325-269B-41B1-A2B8-F7FB12591B7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603" authorId="199" shapeId="0" xr:uid="{A8E16CDA-1EAF-455A-90F6-193DA0BD0AB1}">
      <text>
        <t>[Threaded comment]
Your version of Excel allows you to read this threaded comment; however, any edits to it will get removed if the file is opened in a newer version of Excel. Learn more: https://go.microsoft.com/fwlink/?linkid=870924
Comment:
    Equation 14</t>
      </text>
    </comment>
    <comment ref="E604" authorId="200" shapeId="0" xr:uid="{5A1C0EF4-D402-470F-8E36-6FB0E0F0B891}">
      <text>
        <t>[Threaded comment]
Your version of Excel allows you to read this threaded comment; however, any edits to it will get removed if the file is opened in a newer version of Excel. Learn more: https://go.microsoft.com/fwlink/?linkid=870924
Comment:
    Equation 15</t>
      </text>
    </comment>
    <comment ref="E605" authorId="201" shapeId="0" xr:uid="{D1FE6B34-41D7-4B9A-9586-D8441A0B692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607" authorId="202" shapeId="0" xr:uid="{F9C69A93-B4CD-458C-BC72-CE1D2828E03E}">
      <text>
        <t>[Threaded comment]
Your version of Excel allows you to read this threaded comment; however, any edits to it will get removed if the file is opened in a newer version of Excel. Learn more: https://go.microsoft.com/fwlink/?linkid=870924
Comment:
    Equation 16</t>
      </text>
    </comment>
    <comment ref="E608" authorId="203" shapeId="0" xr:uid="{770C008C-BC31-4522-A5D9-ECB26C4A637A}">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609" authorId="204" shapeId="0" xr:uid="{76DC31A2-D015-456B-8030-205E07CCA738}">
      <text>
        <t>[Threaded comment]
Your version of Excel allows you to read this threaded comment; however, any edits to it will get removed if the file is opened in a newer version of Excel. Learn more: https://go.microsoft.com/fwlink/?linkid=870924
Comment:
    Equation 17</t>
      </text>
    </comment>
    <comment ref="E610" authorId="205" shapeId="0" xr:uid="{A91F0870-EDDE-4518-ABBA-E799077E231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612" authorId="206" shapeId="0" xr:uid="{37420F43-8EDB-430C-BC4D-693A4A177FB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614" authorId="207" shapeId="0" xr:uid="{6E46E1C6-0B88-416C-93FC-964101DEC588}">
      <text>
        <t>[Threaded comment]
Your version of Excel allows you to read this threaded comment; however, any edits to it will get removed if the file is opened in a newer version of Excel. Learn more: https://go.microsoft.com/fwlink/?linkid=870924
Comment:
    Equation 12?</t>
      </text>
    </comment>
    <comment ref="E615" authorId="208" shapeId="0" xr:uid="{4E3CAA09-48CC-4418-A086-821EAA68230A}">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616" authorId="209" shapeId="0" xr:uid="{0625B3C9-3BEC-40F7-B89A-66C8F66C9F5F}">
      <text>
        <t>[Threaded comment]
Your version of Excel allows you to read this threaded comment; however, any edits to it will get removed if the file is opened in a newer version of Excel. Learn more: https://go.microsoft.com/fwlink/?linkid=870924
Comment:
    Equation 13</t>
      </text>
    </comment>
    <comment ref="E617" authorId="210" shapeId="0" xr:uid="{47C97721-902C-486D-BA8C-4BE54494895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618" authorId="211" shapeId="0" xr:uid="{3C7117FC-4122-4380-97AF-920FBFA0CE06}">
      <text>
        <t>[Threaded comment]
Your version of Excel allows you to read this threaded comment; however, any edits to it will get removed if the file is opened in a newer version of Excel. Learn more: https://go.microsoft.com/fwlink/?linkid=870924
Comment:
    Equation 14</t>
      </text>
    </comment>
    <comment ref="E619" authorId="212" shapeId="0" xr:uid="{75D53263-E17A-4EB4-8718-2C09C70CA9F5}">
      <text>
        <t>[Threaded comment]
Your version of Excel allows you to read this threaded comment; however, any edits to it will get removed if the file is opened in a newer version of Excel. Learn more: https://go.microsoft.com/fwlink/?linkid=870924
Comment:
    Equation 15</t>
      </text>
    </comment>
    <comment ref="E620" authorId="213" shapeId="0" xr:uid="{3039484A-5953-4FFB-AF6B-7E10A7F4A8A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622" authorId="214" shapeId="0" xr:uid="{E0160D8F-E11D-4A57-B9E4-E522F73413FA}">
      <text>
        <t>[Threaded comment]
Your version of Excel allows you to read this threaded comment; however, any edits to it will get removed if the file is opened in a newer version of Excel. Learn more: https://go.microsoft.com/fwlink/?linkid=870924
Comment:
    Equation 18</t>
      </text>
    </comment>
    <comment ref="E623" authorId="215" shapeId="0" xr:uid="{2200B8AC-FE06-4A89-86ED-4198F5139BEE}">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624" authorId="216" shapeId="0" xr:uid="{461ABAC7-4FAA-497A-BDF8-2E1FF7BA8E1C}">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625" authorId="217" shapeId="0" xr:uid="{54ED310D-15BF-41BE-9F49-41E5555F7192}">
      <text>
        <t>[Threaded comment]
Your version of Excel allows you to read this threaded comment; however, any edits to it will get removed if the file is opened in a newer version of Excel. Learn more: https://go.microsoft.com/fwlink/?linkid=870924
Comment:
    For equation 18</t>
      </text>
    </comment>
    <comment ref="E626" authorId="218" shapeId="0" xr:uid="{A3A34264-39F0-4E3B-8FB2-2988FDD74A16}">
      <text>
        <t>[Threaded comment]
Your version of Excel allows you to read this threaded comment; however, any edits to it will get removed if the file is opened in a newer version of Excel. Learn more: https://go.microsoft.com/fwlink/?linkid=870924
Comment:
    For equation 18</t>
      </text>
    </comment>
    <comment ref="E627" authorId="219" shapeId="0" xr:uid="{A7924406-1F65-4D12-98EC-812A54A64C0A}">
      <text>
        <t>[Threaded comment]
Your version of Excel allows you to read this threaded comment; however, any edits to it will get removed if the file is opened in a newer version of Excel. Learn more: https://go.microsoft.com/fwlink/?linkid=870924
Comment:
    Equation 19</t>
      </text>
    </comment>
    <comment ref="E628" authorId="220" shapeId="0" xr:uid="{944C275D-71E8-4BBC-BF37-8803EBA7E4F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629" authorId="221" shapeId="0" xr:uid="{D44A6203-9DA1-440D-BDE4-9006CBFC637C}">
      <text>
        <t>[Threaded comment]
Your version of Excel allows you to read this threaded comment; however, any edits to it will get removed if the file is opened in a newer version of Excel. Learn more: https://go.microsoft.com/fwlink/?linkid=870924
Comment:
    P for equation 19</t>
      </text>
    </comment>
    <comment ref="E631" authorId="222" shapeId="0" xr:uid="{2B8B88EE-FBE9-42CA-AEE4-3FF4C1C75475}">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632" authorId="223" shapeId="0" xr:uid="{ED6E83EB-6A80-4AEF-BE4B-35E634F84BF0}">
      <text>
        <t>[Threaded comment]
Your version of Excel allows you to read this threaded comment; however, any edits to it will get removed if the file is opened in a newer version of Excel. Learn more: https://go.microsoft.com/fwlink/?linkid=870924
Comment:
    date</t>
      </text>
    </comment>
    <comment ref="E641" authorId="224" shapeId="0" xr:uid="{49FBFA76-1F8B-41D7-A7F6-CB5CE807B76C}">
      <text>
        <t>[Threaded comment]
Your version of Excel allows you to read this threaded comment; however, any edits to it will get removed if the file is opened in a newer version of Excel. Learn more: https://go.microsoft.com/fwlink/?linkid=870924
Comment:
    Equation 24</t>
      </text>
    </comment>
    <comment ref="E642" authorId="225" shapeId="0" xr:uid="{A20C01A9-36F9-4563-873A-90D5F17E182B}">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643" authorId="226" shapeId="0" xr:uid="{37B8AACF-580A-4334-B96E-AC2B64D96170}">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645" authorId="227" shapeId="0" xr:uid="{830A66ED-5047-4560-840A-7E6C3603984C}">
      <text>
        <t>[Threaded comment]
Your version of Excel allows you to read this threaded comment; however, any edits to it will get removed if the file is opened in a newer version of Excel. Learn more: https://go.microsoft.com/fwlink/?linkid=870924
Comment:
    Equation 25</t>
      </text>
    </comment>
    <comment ref="E646" authorId="228" shapeId="0" xr:uid="{06580533-495F-4D1B-89C8-64B4B37F395D}">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647" authorId="229" shapeId="0" xr:uid="{A978F87A-C35B-4BB3-A9A5-9137E6F70E43}">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648" authorId="230" shapeId="0" xr:uid="{EA350666-B9C1-49BF-9DCA-138E0929F231}">
      <text>
        <t>[Threaded comment]
Your version of Excel allows you to read this threaded comment; however, any edits to it will get removed if the file is opened in a newer version of Excel. Learn more: https://go.microsoft.com/fwlink/?linkid=870924
Comment:
    T for equation 25</t>
      </text>
    </comment>
    <comment ref="E650" authorId="231" shapeId="0" xr:uid="{8C442247-9E52-4309-A414-6F991DF0BCD7}">
      <text>
        <t>[Threaded comment]
Your version of Excel allows you to read this threaded comment; however, any edits to it will get removed if the file is opened in a newer version of Excel. Learn more: https://go.microsoft.com/fwlink/?linkid=870924
Comment:
    Equation 26</t>
      </text>
    </comment>
    <comment ref="E651" authorId="232" shapeId="0" xr:uid="{DEE4A1B2-CE7E-4327-9733-509E39C477ED}">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652" authorId="233" shapeId="0" xr:uid="{7C9B6473-D493-45ED-8C7C-DA5A5C6111C6}">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654" authorId="234" shapeId="0" xr:uid="{FD09D9E8-C5A7-4DF0-A7E0-01A5681C95A3}">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55" authorId="235" shapeId="0" xr:uid="{A8B58796-1BB3-4158-9810-854E92D9E7F6}">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656" authorId="236" shapeId="0" xr:uid="{4DE0B1F3-1772-470F-B059-C45EA537FCE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657" authorId="237" shapeId="0" xr:uid="{7C4A4F4E-64B6-47D3-BFD9-3606FD2ECB56}">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658" authorId="238" shapeId="0" xr:uid="{E7F80F4F-7908-47B4-A340-0DDB241FD16B}">
      <text>
        <t>[Threaded comment]
Your version of Excel allows you to read this threaded comment; however, any edits to it will get removed if the file is opened in a newer version of Excel. Learn more: https://go.microsoft.com/fwlink/?linkid=870924
Comment:
    Equation 27</t>
      </text>
    </comment>
    <comment ref="G672" authorId="239" shapeId="0" xr:uid="{E7654CCD-AD15-423A-8280-F36CC9C4686A}">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 ref="E677" authorId="240" shapeId="0" xr:uid="{128FD275-48A2-495A-824B-1A5331F26691}">
      <text>
        <t>[Threaded comment]
Your version of Excel allows you to read this threaded comment; however, any edits to it will get removed if the file is opened in a newer version of Excel. Learn more: https://go.microsoft.com/fwlink/?linkid=870924
Comment:
    Equation 44</t>
      </text>
    </comment>
    <comment ref="E678" authorId="241" shapeId="0" xr:uid="{52F47077-3B2C-4643-8A44-7704B2A6FCFB}">
      <text>
        <t>[Threaded comment]
Your version of Excel allows you to read this threaded comment; however, any edits to it will get removed if the file is opened in a newer version of Excel. Learn more: https://go.microsoft.com/fwlink/?linkid=870924
Comment:
    Equation 45</t>
      </text>
    </comment>
    <comment ref="E679" authorId="242" shapeId="0" xr:uid="{40493434-926B-49EE-9AF4-6E0B02479694}">
      <text>
        <t>[Threaded comment]
Your version of Excel allows you to read this threaded comment; however, any edits to it will get removed if the file is opened in a newer version of Excel. Learn more: https://go.microsoft.com/fwlink/?linkid=870924
Comment:
    Sums all yearly values for the change in CO2 stocks in the project scenario. Summed value is to be used in parameter I(ΔCO2wp) which is part of equation 37
Reply:
    Is there any way to have it reference this field for every year and sum them?</t>
      </text>
    </comment>
    <comment ref="E680" authorId="243" shapeId="0" xr:uid="{BF3B4CC9-C6EC-4AB7-811B-A13EACD2BCE6}">
      <text>
        <t>[Threaded comment]
Your version of Excel allows you to read this threaded comment; however, any edits to it will get removed if the file is opened in a newer version of Excel. Learn more: https://go.microsoft.com/fwlink/?linkid=870924
Comment:
    Logic for equation 37</t>
      </text>
    </comment>
    <comment ref="E682" authorId="244" shapeId="0" xr:uid="{AE4AA8B2-0D9F-4EE1-BC9E-BAFA30F1345E}">
      <text>
        <t xml:space="preserve">[Threaded comment]
Your version of Excel allows you to read this threaded comment; however, any edits to it will get removed if the file is opened in a newer version of Excel. Learn more: https://go.microsoft.com/fwlink/?linkid=870924
Comment:
    Hidden because we need calcs for every year but we can also use this field to filter </t>
      </text>
    </comment>
    <comment ref="E683" authorId="245" shapeId="0" xr:uid="{BE3ED9A9-CAE2-48BF-96BC-F62601BC20F4}">
      <text>
        <t>[Threaded comment]
Your version of Excel allows you to read this threaded comment; however, any edits to it will get removed if the file is opened in a newer version of Excel. Learn more: https://go.microsoft.com/fwlink/?linkid=870924
Comment:
    Equation 37</t>
      </text>
    </comment>
    <comment ref="E684" authorId="246" shapeId="0" xr:uid="{572DCAFD-0074-4FF0-8664-084B4E118428}">
      <text>
        <t>[Threaded comment]
Your version of Excel allows you to read this threaded comment; however, any edits to it will get removed if the file is opened in a newer version of Excel. Learn more: https://go.microsoft.com/fwlink/?linkid=870924
Comment:
    Equation 40</t>
      </text>
    </comment>
    <comment ref="E685" authorId="247" shapeId="0" xr:uid="{2CAAA3C7-74A4-4880-93BF-1A2CF1C1E052}">
      <text>
        <t>[Threaded comment]
Your version of Excel allows you to read this threaded comment; however, any edits to it will get removed if the file is opened in a newer version of Excel. Learn more: https://go.microsoft.com/fwlink/?linkid=870924
Comment:
    Equation 39</t>
      </text>
    </comment>
    <comment ref="E686" authorId="248" shapeId="0" xr:uid="{FC93DDBF-AFBE-4952-9561-78DDE8BDE660}">
      <text>
        <t>[Threaded comment]
Your version of Excel allows you to read this threaded comment; however, any edits to it will get removed if the file is opened in a newer version of Excel. Learn more: https://go.microsoft.com/fwlink/?linkid=870924
Comment:
    Equation 38</t>
      </text>
    </comment>
    <comment ref="E687" authorId="249" shapeId="0" xr:uid="{1598D81F-0D07-44E7-99C5-2733E1620958}">
      <text>
        <t>[Threaded comment]
Your version of Excel allows you to read this threaded comment; however, any edits to it will get removed if the file is opened in a newer version of Excel. Learn more: https://go.microsoft.com/fwlink/?linkid=870924
Comment:
    Equation 42</t>
      </text>
    </comment>
    <comment ref="E688" authorId="250" shapeId="0" xr:uid="{D5A58C7E-5562-4040-93D5-6BD4363C7612}">
      <text>
        <t>[Threaded comment]
Your version of Excel allows you to read this threaded comment; however, any edits to it will get removed if the file is opened in a newer version of Excel. Learn more: https://go.microsoft.com/fwlink/?linkid=870924
Comment:
    Equation 41</t>
      </text>
    </comment>
    <comment ref="E689" authorId="251" shapeId="0" xr:uid="{92D9950A-D90D-4242-A1A5-DDC5C33323AA}">
      <text>
        <t>[Threaded comment]
Your version of Excel allows you to read this threaded comment; however, any edits to it will get removed if the file is opened in a newer version of Excel. Learn more: https://go.microsoft.com/fwlink/?linkid=870924
Comment:
    Equation 43</t>
      </text>
    </comment>
    <comment ref="E692" authorId="252" shapeId="0" xr:uid="{7B95B818-15B0-4C54-9D15-0F95FE0FC34A}">
      <text>
        <t>[Threaded comment]
Your version of Excel allows you to read this threaded comment; however, any edits to it will get removed if the file is opened in a newer version of Excel. Learn more: https://go.microsoft.com/fwlink/?linkid=870924
Comment:
    Equation 75</t>
      </text>
    </comment>
    <comment ref="E693" authorId="253" shapeId="0" xr:uid="{2CF326D8-3667-4CA5-8476-569BD2B6CD13}">
      <text>
        <t>[Threaded comment]
Your version of Excel allows you to read this threaded comment; however, any edits to it will get removed if the file is opened in a newer version of Excel. Learn more: https://go.microsoft.com/fwlink/?linkid=870924
Comment:
    Equation 76</t>
      </text>
    </comment>
    <comment ref="E694" authorId="254" shapeId="0" xr:uid="{9F01DF81-04F6-49BA-8951-FF83D7929B9F}">
      <text>
        <t>[Threaded comment]
Your version of Excel allows you to read this threaded comment; however, any edits to it will get removed if the file is opened in a newer version of Excel. Learn more: https://go.microsoft.com/fwlink/?linkid=870924
Comment:
    Equation 77</t>
      </text>
    </comment>
    <comment ref="E695" authorId="255" shapeId="0" xr:uid="{C1E8BC7F-2287-49DA-89F5-6091DC5A0E22}">
      <text>
        <t>[Threaded comment]
Your version of Excel allows you to read this threaded comment; however, any edits to it will get removed if the file is opened in a newer version of Excel. Learn more: https://go.microsoft.com/fwlink/?linkid=870924
Comment:
    Equation 78</t>
      </text>
    </comment>
    <comment ref="E696" authorId="256" shapeId="0" xr:uid="{34D8992A-BD38-4AEC-8197-272DAF8B3114}">
      <text>
        <t>[Threaded comment]
Your version of Excel allows you to read this threaded comment; however, any edits to it will get removed if the file is opened in a newer version of Excel. Learn more: https://go.microsoft.com/fwlink/?linkid=870924
Comment:
    Equation 79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tc={000E43A5-FA9F-43D5-A31F-335D4AEA3B45}</author>
    <author>tc={E9F5D0C4-EE9B-4A84-8890-CF89921FB803}</author>
    <author>tc={D27D258C-0529-4E6F-970B-A2FC6CDAACEF}</author>
  </authors>
  <commentList>
    <comment ref="E9" authorId="0" shapeId="0" xr:uid="{000E43A5-FA9F-43D5-A31F-335D4AEA3B45}">
      <text>
        <t>[Threaded comment]
Your version of Excel allows you to read this threaded comment; however, any edits to it will get removed if the file is opened in a newer version of Excel. Learn more: https://go.microsoft.com/fwlink/?linkid=870924
Comment:
    Equation 54</t>
      </text>
    </comment>
    <comment ref="E14" authorId="1" shapeId="0" xr:uid="{E9F5D0C4-EE9B-4A84-8890-CF89921FB803}">
      <text>
        <t>[Threaded comment]
Your version of Excel allows you to read this threaded comment; however, any edits to it will get removed if the file is opened in a newer version of Excel. Learn more: https://go.microsoft.com/fwlink/?linkid=870924
Comment:
    Equation 11</t>
      </text>
    </comment>
    <comment ref="E17" authorId="2" shapeId="0" xr:uid="{D27D258C-0529-4E6F-970B-A2FC6CDAACEF}">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tc={26B66FA0-0683-4B92-886C-3F56372CF22C}</author>
  </authors>
  <commentList>
    <comment ref="E6" authorId="0" shapeId="0" xr:uid="{26B66FA0-0683-4B92-886C-3F56372CF22C}">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tc={7C9793F5-8197-41BF-8927-B2F51BCDFD71}</author>
  </authors>
  <commentList>
    <comment ref="E6" authorId="0" shapeId="0" xr:uid="{7C9793F5-8197-41BF-8927-B2F51BCDFD71}">
      <text>
        <t>[Threaded comment]
Your version of Excel allows you to read this threaded comment; however, any edits to it will get removed if the file is opened in a newer version of Excel. Learn more: https://go.microsoft.com/fwlink/?linkid=870924
Comment:
    Equation 11</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tc={3AE012F0-7071-44C9-A3B8-EE64BEAB2231}</author>
    <author>tc={76F7687A-999D-4FD7-A6D1-45B7F27B531D}</author>
    <author>tc={3081BF38-1348-4214-A7DC-B4F8F29EE36F}</author>
  </authors>
  <commentList>
    <comment ref="E10" authorId="0" shapeId="0" xr:uid="{3AE012F0-7071-44C9-A3B8-EE64BEAB2231}">
      <text>
        <t>[Threaded comment]
Your version of Excel allows you to read this threaded comment; however, any edits to it will get removed if the file is opened in a newer version of Excel. Learn more: https://go.microsoft.com/fwlink/?linkid=870924
Comment:
    Equation 58</t>
      </text>
    </comment>
    <comment ref="E15" authorId="1" shapeId="0" xr:uid="{76F7687A-999D-4FD7-A6D1-45B7F27B531D}">
      <text>
        <t>[Threaded comment]
Your version of Excel allows you to read this threaded comment; however, any edits to it will get removed if the file is opened in a newer version of Excel. Learn more: https://go.microsoft.com/fwlink/?linkid=870924
Comment:
    Equation 16</t>
      </text>
    </comment>
    <comment ref="E18" authorId="2" shapeId="0" xr:uid="{3081BF38-1348-4214-A7DC-B4F8F29EE36F}">
      <text>
        <t>[Threaded comment]
Your version of Excel allows you to read this threaded comment; however, any edits to it will get removed if the file is opened in a newer version of Excel. Learn more: https://go.microsoft.com/fwlink/?linkid=870924
Comment:
    Equation 58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tc={82CDBA7A-E7B2-4FFA-920B-98C5DACE198A}</author>
    <author>tc={5D060554-5CDC-4658-B14E-49A9E5235E9F}</author>
  </authors>
  <commentList>
    <comment ref="E9" authorId="0" shapeId="0" xr:uid="{82CDBA7A-E7B2-4FFA-920B-98C5DACE198A}">
      <text>
        <t>[Threaded comment]
Your version of Excel allows you to read this threaded comment; however, any edits to it will get removed if the file is opened in a newer version of Excel. Learn more: https://go.microsoft.com/fwlink/?linkid=870924
Comment:
    Equation 58</t>
      </text>
    </comment>
    <comment ref="E14" authorId="1" shapeId="0" xr:uid="{5D060554-5CDC-4658-B14E-49A9E5235E9F}">
      <text>
        <t>[Threaded comment]
Your version of Excel allows you to read this threaded comment; however, any edits to it will get removed if the file is opened in a newer version of Excel. Learn more: https://go.microsoft.com/fwlink/?linkid=870924
Comment:
    Equation 16</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tc={3AE8D670-6175-4CA2-BAB7-17B025DC9F48}</author>
  </authors>
  <commentList>
    <comment ref="E6" authorId="0" shapeId="0" xr:uid="{3AE8D670-6175-4CA2-BAB7-17B025DC9F48}">
      <text>
        <t>[Threaded comment]
Your version of Excel allows you to read this threaded comment; however, any edits to it will get removed if the file is opened in a newer version of Excel. Learn more: https://go.microsoft.com/fwlink/?linkid=870924
Comment:
    Equation 58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tc={A7B3BF71-7E38-4AE6-989C-73FD0718E2E2}</author>
  </authors>
  <commentList>
    <comment ref="E6" authorId="0" shapeId="0" xr:uid="{A7B3BF71-7E38-4AE6-989C-73FD0718E2E2}">
      <text>
        <t>[Threaded comment]
Your version of Excel allows you to read this threaded comment; however, any edits to it will get removed if the file is opened in a newer version of Excel. Learn more: https://go.microsoft.com/fwlink/?linkid=870924
Comment:
    Equation 16</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tc={26BE87A4-C444-4FD7-B571-343079D23568}</author>
    <author>tc={808F9F01-2D71-49D9-85A0-D2A5A926067D}</author>
    <author>tc={4612173E-3D27-45CD-8B22-3E391ADFA022}</author>
    <author>tc={F9B1B416-00BC-4F82-898F-5A9E4CB0B607}</author>
    <author>tc={CC217B4D-B087-40EF-BD57-D4E21A7B3A0B}</author>
    <author>tc={6C407F4F-0314-4CA4-881C-56195A5B922B}</author>
    <author>tc={D06D05FF-1CDE-4AE0-AAD1-7EAA525F2695}</author>
    <author>tc={7AC0340D-6030-4E30-86A7-64F0026EF9BE}</author>
    <author>tc={89784EB7-66FE-41FB-A4D9-B21620239BBD}</author>
    <author>tc={4AC1F2F3-7E1B-4913-AA9B-80FB3967FB07}</author>
  </authors>
  <commentList>
    <comment ref="E18" authorId="0" shapeId="0" xr:uid="{26BE87A4-C444-4FD7-B571-343079D2356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9" authorId="1" shapeId="0" xr:uid="{808F9F01-2D71-49D9-85A0-D2A5A926067D}">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20" authorId="2" shapeId="0" xr:uid="{4612173E-3D27-45CD-8B22-3E391ADFA022}">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21" authorId="3" shapeId="0" xr:uid="{F9B1B416-00BC-4F82-898F-5A9E4CB0B607}">
      <text>
        <t>[Threaded comment]
Your version of Excel allows you to read this threaded comment; however, any edits to it will get removed if the file is opened in a newer version of Excel. Learn more: https://go.microsoft.com/fwlink/?linkid=870924
Comment:
    Equation 6</t>
      </text>
    </comment>
    <comment ref="E32" authorId="4" shapeId="0" xr:uid="{CC217B4D-B087-40EF-BD57-D4E21A7B3A0B}">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4" authorId="5" shapeId="0" xr:uid="{6C407F4F-0314-4CA4-881C-56195A5B922B}">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35" authorId="6" shapeId="0" xr:uid="{D06D05FF-1CDE-4AE0-AAD1-7EAA525F2695}">
      <text>
        <t>[Threaded comment]
Your version of Excel allows you to read this threaded comment; however, any edits to it will get removed if the file is opened in a newer version of Excel. Learn more: https://go.microsoft.com/fwlink/?linkid=870924
Comment:
    Equation 6</t>
      </text>
    </comment>
    <comment ref="E36" authorId="7" shapeId="0" xr:uid="{7AC0340D-6030-4E30-86A7-64F0026EF9BE}">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37" authorId="8" shapeId="0" xr:uid="{89784EB7-66FE-41FB-A4D9-B21620239BBD}">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38" authorId="9" shapeId="0" xr:uid="{4AC1F2F3-7E1B-4913-AA9B-80FB3967FB07}">
      <text>
        <t>[Threaded comment]
Your version of Excel allows you to read this threaded comment; however, any edits to it will get removed if the file is opened in a newer version of Excel. Learn more: https://go.microsoft.com/fwlink/?linkid=870924
Comment:
    Part of equation 45</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tc={B3D45FC4-7AF3-4364-BF3C-CB6C6E4490BC}</author>
    <author>tc={19443C01-6619-472A-8AE5-DCF412DF4F2B}</author>
    <author>tc={E8DC9F1E-BCF6-4AA0-A57A-AA8393C88B70}</author>
    <author>tc={2894D8EE-8568-418A-A183-AFB855451F4A}</author>
    <author>tc={0B57E098-619C-4779-8AA0-674FC0F5FF54}</author>
    <author>tc={E2BE70F4-45E4-4E4C-83FC-2551505E1FC5}</author>
    <author>tc={866F3EB7-6405-490B-B94A-4A6E44E517E2}</author>
  </authors>
  <commentList>
    <comment ref="E17" authorId="0" shapeId="0" xr:uid="{B3D45FC4-7AF3-4364-BF3C-CB6C6E4490BC}">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 authorId="1" shapeId="0" xr:uid="{19443C01-6619-472A-8AE5-DCF412DF4F2B}">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19" authorId="2" shapeId="0" xr:uid="{E8DC9F1E-BCF6-4AA0-A57A-AA8393C88B70}">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20" authorId="3" shapeId="0" xr:uid="{2894D8EE-8568-418A-A183-AFB855451F4A}">
      <text>
        <t>[Threaded comment]
Your version of Excel allows you to read this threaded comment; however, any edits to it will get removed if the file is opened in a newer version of Excel. Learn more: https://go.microsoft.com/fwlink/?linkid=870924
Comment:
    Equation 6</t>
      </text>
    </comment>
    <comment ref="E31" authorId="4" shapeId="0" xr:uid="{0B57E098-619C-4779-8AA0-674FC0F5FF54}">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3" authorId="5" shapeId="0" xr:uid="{E2BE70F4-45E4-4E4C-83FC-2551505E1FC5}">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34" authorId="6" shapeId="0" xr:uid="{866F3EB7-6405-490B-B94A-4A6E44E517E2}">
      <text>
        <t>[Threaded comment]
Your version of Excel allows you to read this threaded comment; however, any edits to it will get removed if the file is opened in a newer version of Excel. Learn more: https://go.microsoft.com/fwlink/?linkid=870924
Comment:
    Equation 6</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tc={90D49741-393A-4BC6-A80A-4FA20C26F31E}</author>
  </authors>
  <commentList>
    <comment ref="E14" authorId="0" shapeId="0" xr:uid="{90D49741-393A-4BC6-A80A-4FA20C26F31E}">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tc={488470E8-1DBA-4FE5-92A1-EFC0AD23DDF8}</author>
    <author>tc={AB504321-8A35-4203-9AEF-58C8055F5B6F}</author>
    <author>tc={67679EF2-EF32-495B-AB78-01E165011132}</author>
    <author>tc={3E153BBE-81DC-4704-977F-1A222A5215B3}</author>
    <author>tc={1C1121EB-B730-4017-870A-FCB4C9EB0C69}</author>
    <author>tc={A8F1B053-2653-470B-9085-015D2FE053CC}</author>
    <author>tc={CB6B157D-8415-464A-AF08-3DD074C4C58D}</author>
    <author>tc={7FAEB969-760C-4D25-B772-EECD67AC20A4}</author>
    <author>tc={57DA8A9C-D864-4B57-936A-1985316F5A96}</author>
    <author>tc={476ACC91-550D-4B94-BBCC-A886FDAD000C}</author>
    <author>tc={6087DF43-B0BE-4B97-8774-CD12D68E264E}</author>
    <author>tc={2D828D77-63AF-4AC4-892F-504E098F5926}</author>
    <author>tc={2EC5E35C-3F50-4AAD-9A64-CFC61D29F49F}</author>
    <author>tc={6A05D2E6-325C-4173-8A9C-44ED8DFACF07}</author>
    <author>tc={BB3AE193-D20C-4318-B2DF-BA292B14DC07}</author>
    <author>tc={17453E16-E6DA-40ED-9761-3B27085A4D8B}</author>
    <author>tc={4AC9ABEC-8053-4231-BDFF-156F8BD5FD01}</author>
    <author>tc={AE674905-7D2A-43EF-9DCF-8C58B6ED97C1}</author>
    <author>tc={45EBE1AF-D997-4B72-90FF-7DB677C34122}</author>
    <author>tc={5F37B62F-EC8F-4DED-A9B8-4B74E220D5B5}</author>
    <author>tc={B55D65B3-C183-4C6C-9D7C-A88DD71840E5}</author>
    <author>tc={4EA2AB01-E9D6-4B46-A71C-CBCBEA9CEF3E}</author>
    <author>tc={63C30CB4-402C-41BB-AD7A-59BD5B5E322C}</author>
    <author>tc={AD47EF09-BE53-4A8E-A91C-5FC975FF5C37}</author>
    <author>tc={24E02676-7919-4B15-AC9F-641F28F89943}</author>
    <author>tc={053BA663-40C9-401D-B2B4-22400E12CD09}</author>
    <author>tc={4BEDF1D0-1EEB-47AB-A632-C348D358BC55}</author>
    <author>tc={B2918777-5886-44BA-9E20-FE36415B4F7E}</author>
    <author>tc={03A45E86-F06C-4DF0-BAAE-CAD394BB87A7}</author>
    <author>tc={E7883DE4-4991-4C72-B8F3-F5D81C6D8B05}</author>
    <author>tc={C00D98D2-6DD5-401E-AE67-45673614249C}</author>
    <author>tc={5EA965E8-DA2A-4EDC-80B7-5806EF523C8E}</author>
    <author>tc={BEBA1607-4FA4-4471-B753-4EF84CEBC463}</author>
    <author>tc={55F7BA50-E8DD-4AE4-90EE-0A3502313034}</author>
    <author>tc={46948E57-1401-4008-BE53-897795AE23AB}</author>
    <author>tc={B2A827B3-AC39-4932-8642-9C382DB0E8F5}</author>
    <author>tc={2323C9C5-E868-4E11-984D-E2BE9E587686}</author>
    <author>tc={5767DA32-E8CE-455F-88EF-7B1257434171}</author>
    <author>tc={46EFEA17-6EF2-44BC-A61C-434C8E2D1A6C}</author>
    <author>tc={93418CA5-DBD3-483A-9C81-0F685CB2B36D}</author>
    <author>tc={C6AA29DE-C71A-47C1-8961-DC23D40FF2B5}</author>
    <author>tc={251781F3-38D9-4B24-9610-DB59F39DE71A}</author>
    <author>tc={BCDC991C-2312-407A-B712-9F0398E6B53F}</author>
    <author>tc={B736F84A-0350-4B3A-9C0A-EBAE34C3CE88}</author>
    <author>tc={5F798F30-3A78-4D3B-9B1F-C9AAF8C00459}</author>
    <author>tc={D38F7D2B-EE2D-4774-8800-7CC22144B402}</author>
    <author>tc={C6CF1080-16F7-4805-BB9B-DFD222FADF37}</author>
    <author>tc={E49603DE-7DF0-4594-9F87-6206F1E00C38}</author>
    <author>tc={B8EDF1BD-2F20-40EB-BF4D-3FF1C8803A71}</author>
    <author>tc={4C7C6F87-00B0-4C92-AA00-3FEF50156397}</author>
    <author>tc={53F55949-AEF2-474F-9865-44373546E29E}</author>
    <author>tc={EEE34842-2F1C-4EBA-BE90-0DE671072100}</author>
    <author>tc={7A870BAA-4890-4FE1-98A0-470A3469899D}</author>
    <author>tc={E4F1A8E6-A798-4160-8C99-0543E5D97EBD}</author>
    <author>tc={E09B651D-1684-4487-8557-7B71D3AB7B69}</author>
    <author>tc={1C8E43D7-2E38-492A-B5E0-B958735731AF}</author>
    <author>tc={81F4D961-B1FD-488C-AE14-19B3573999F7}</author>
    <author>tc={03A9511C-4164-465A-AEE2-77DEB3DE90D8}</author>
    <author>tc={AC6BCDE3-3D73-4E6A-A9D8-7F6325C61662}</author>
    <author>tc={3127C5F8-EAA3-4558-9D88-E157910FA9B2}</author>
    <author>tc={A4891F88-7D79-4193-B886-A59A4FFD5014}</author>
    <author>tc={78ACE189-59C5-4E50-94E3-6121447BB6D1}</author>
    <author>tc={C5204AD0-02C6-4460-A3D0-CD6EDC379476}</author>
    <author>tc={119936A5-D73B-46E9-A248-521F3B56E03A}</author>
    <author>tc={6BDC6607-57CA-41B4-96E3-C9650F0DE075}</author>
    <author>tc={2FF82C19-B591-4B13-BA15-2CFE4F34AB08}</author>
    <author>tc={60CBCDB7-D505-4995-8D9D-338F13ECF5F6}</author>
    <author>tc={DD96768C-2300-476E-B819-8B28CA6520E6}</author>
    <author>tc={9D688DD3-56D5-4788-8E7A-2DE710E360A2}</author>
    <author>tc={B0F59A75-2319-43C5-B634-D429B2BFE9CD}</author>
    <author>tc={80C0D55C-5EDF-4A1E-8EF4-6F05FF21DC56}</author>
    <author>tc={3D4B963E-6BE2-40A3-A32E-ADD2119661D7}</author>
    <author>tc={5C2CC1E3-B3F5-494A-B14B-3B5B66A1B021}</author>
    <author>tc={63691219-D501-4385-8D18-7A6379921C89}</author>
    <author>tc={60015066-7D1A-4680-98DD-331FE29A2575}</author>
    <author>tc={0A1E9A30-1B5D-4698-94A7-AEE2D63AAB28}</author>
    <author>tc={6F373158-9214-4116-BB2A-B27148768C88}</author>
    <author>tc={B27AD610-7BE5-45DE-A1BE-6E8D1FA90B38}</author>
    <author>tc={A108541D-4883-42C2-8FF2-9CCCC881DC62}</author>
    <author>tc={32E66AAA-EF66-430D-8C8D-5252D014BF19}</author>
    <author>tc={DE6FA3ED-D575-4A09-B3FD-EA7DA3C3618D}</author>
    <author>tc={1C4278F9-6745-4B66-BBB1-F39B97C19ED2}</author>
    <author>tc={B548D6DA-91D2-4F5A-9F73-CDC7771D4A3A}</author>
    <author>tc={000F49F7-D9F9-41C4-A6C6-F630B6C1AC59}</author>
    <author>tc={7D193A45-F62B-4E99-9CFF-30A45239C61A}</author>
    <author>tc={3EFD0BF0-E362-494F-B896-AADF68594ED2}</author>
    <author>tc={0D114BC6-3FCB-44AB-A477-2F2A31A3DF81}</author>
    <author>tc={88B74B51-9D83-44B5-B97B-DCCDB71FA4D2}</author>
    <author>tc={540E69ED-4CEE-4BA1-9D54-F86EBC79CAD1}</author>
    <author>tc={9E0B44A6-68D7-4F80-8838-D4D4D369C069}</author>
    <author>tc={0EB1EFB0-99B0-463D-8142-44FD9BF41677}</author>
    <author>tc={13989102-601E-4700-9CCD-CB9300F56B02}</author>
    <author>tc={5B240BBD-6A4B-4132-9ED6-5ECDAE4A0CB1}</author>
    <author>tc={D03ED5E1-E502-4D52-ABF7-FF6A54E17A20}</author>
    <author>tc={8A58D43C-58E5-4BE1-922A-C77ED63539CC}</author>
    <author>tc={70E5B424-F057-459A-AA95-1C6BAD23B900}</author>
    <author>tc={449133CF-864E-4F40-9FA7-B5ECE2792A0D}</author>
    <author>tc={4EA6888C-2700-4671-BDF7-C94DF310290C}</author>
    <author>tc={929FEB78-F50B-40B0-A38C-737F32C186C4}</author>
    <author>tc={6870FE3A-1EC9-4674-81C8-E023EF2BA3EA}</author>
    <author>tc={1EBC2C5B-805F-4092-8535-D255FFAE4E7D}</author>
    <author>tc={300AE1D7-A11F-4DA0-ADA0-D423B7F291DC}</author>
    <author>tc={DAB2FF48-A445-45E5-99CF-C9B2350085BA}</author>
    <author>tc={AFA33BFD-9F91-4B0C-AD88-4E9A8E44A13E}</author>
    <author>tc={CCF268C4-A215-4446-9286-555401FAE9F0}</author>
    <author>tc={C4EA18C0-F86C-4767-BD8A-102E421DFA66}</author>
    <author>tc={E50025A9-23D3-4064-B7C7-F9589F6E7352}</author>
    <author>tc={6989A38F-EC25-4960-9D3B-AD956B21945B}</author>
    <author>tc={1571CD50-22E1-4BD4-9EA3-D4EE7ADD7F28}</author>
    <author>tc={D0F3C4B0-44C9-41C1-90EE-EF9BC48163F3}</author>
    <author>tc={69B17AAB-4610-45EB-A5BA-2CCB83530021}</author>
    <author>tc={F62ADC42-045D-482B-B8C1-B85D11C2D754}</author>
    <author>tc={C067E52C-83E6-4864-A363-39D703A708FB}</author>
    <author>tc={B8EFDEDA-D295-41C8-AF89-1A48DBD2D667}</author>
    <author>tc={3A4CB607-2A78-4246-A6CC-5216A9747911}</author>
    <author>tc={8E188146-489B-4F0B-B114-124F168F673B}</author>
    <author>tc={1457357B-631A-465D-B59B-D4E79BE9A57D}</author>
    <author>tc={8A5AB625-1CC1-4862-891C-ACE2A4F00D7E}</author>
    <author>tc={DBAED23E-A282-43C2-B5EE-AFFD4FB0AB86}</author>
    <author>tc={EDBFC20F-CBC7-4154-9827-ECCC6A24FB17}</author>
    <author>tc={9B265445-CD4C-4567-AF20-B73E23D29D48}</author>
    <author>tc={C164E248-B767-4B99-BAC0-55B3EE219A81}</author>
    <author>tc={C9E122F0-8977-41E0-A29C-F89673BAC56E}</author>
    <author>tc={BA7A5B0F-6309-49A6-B6FC-A1BEBE2D3198}</author>
    <author>tc={C282FDB9-7B88-4B38-A4DF-60683D0B8134}</author>
    <author>tc={BDC3B2E8-4C81-401C-90AA-A5486A758AD8}</author>
    <author>tc={0C2B67D8-321B-4BF1-8B50-156AB2479E96}</author>
    <author>tc={63BFF46C-720B-4C0D-9123-B6D61DC5223E}</author>
    <author>tc={922E7393-9768-44AE-AB7D-16894A345E3A}</author>
    <author>tc={6A7E1440-3355-4711-93EE-5375FCF22C5A}</author>
    <author>tc={ADC68035-93D2-42BB-90A0-AED561950DCC}</author>
    <author>tc={D9FF28AE-B8E9-4A06-A287-678A0B6D95E3}</author>
    <author>tc={ED7DB089-2E3D-474C-8563-B622FE828766}</author>
    <author>tc={3D42CCD1-F74F-4BEE-83ED-05A2AB030AA0}</author>
    <author>tc={FAE986D7-D6D1-4141-93E3-16D81116C4AE}</author>
    <author>tc={9E6A2447-24F5-447D-B010-4275A8A91017}</author>
    <author>tc={C2A57596-D25F-43CC-BAFF-4E6501136FD7}</author>
    <author>tc={94FABA3F-5B5C-4A5E-AFCC-F5D7DA04DCCC}</author>
    <author>tc={AED0F28B-E20C-413B-B752-5B9DA65D554C}</author>
    <author>tc={68E1B1F3-A1DC-43AF-8B63-1AF7118D6F69}</author>
    <author>tc={F0E69C36-B6F6-4A3D-B988-73225CCC7899}</author>
    <author>tc={1DDE20C1-8EF6-4EB3-B412-69CB40197E7F}</author>
    <author>tc={4C03AEE5-AD21-4EDA-8500-DBD63EFA1BC7}</author>
    <author>tc={A2008247-D0B1-4A95-B1E1-E303A330196D}</author>
    <author>tc={CE5669EB-1FB2-480B-AA76-F84C4493ABEB}</author>
    <author>tc={6F657241-FA25-4C03-A969-1D0E12D15DB9}</author>
    <author>tc={EC2D9971-2E3E-4BC9-A00C-553608D34E8D}</author>
    <author>tc={2125957E-AB44-4DE9-810F-1FD9CEF71F1A}</author>
    <author>tc={1DC11A9C-3EAA-43A2-9C85-7AD447E1A62B}</author>
    <author>tc={D4BF6115-97DA-42CE-B8FA-A3CB10D38294}</author>
    <author>tc={2E698175-3AC4-43B4-BAC9-C284D893EBCE}</author>
    <author>tc={868EB2E1-37C5-41F0-8721-602C75EDFAB0}</author>
    <author>tc={F6646146-3AF8-4F9C-BCA9-E7D921A52737}</author>
    <author>tc={700F0F91-C4A0-49B1-8989-925A3E32ED72}</author>
    <author>tc={49AAA3FC-E518-4A06-A8B4-378DC03C1044}</author>
    <author>tc={F21CD49F-2179-4342-8FB0-FD9DD8995972}</author>
    <author>tc={0D779C52-236C-46B8-976B-BC5B0F91A4B2}</author>
    <author>tc={F5A93C0F-6854-431B-8FD7-B7B6C0571D8C}</author>
    <author>tc={00942917-6300-4077-8809-9AF5D00B9A07}</author>
    <author>tc={7937AF29-64A4-4A59-BE61-EC815B376630}</author>
    <author>tc={D73A9EBF-34B7-40C7-837C-678B46232C97}</author>
    <author>tc={35A82999-A9D7-4EC2-A938-9C4DF0FCE61E}</author>
    <author>tc={848D22D0-79D1-466F-98DD-5E6EB3E11B4D}</author>
    <author>tc={1FBBC175-D2D9-430B-84E8-84246141832D}</author>
    <author>tc={F93E0787-EBCE-435D-97C6-7315BE9B1D32}</author>
    <author>tc={613946B2-A6E2-4C3A-BDE4-BB0E4D15A9CC}</author>
    <author>tc={A7F40749-A8B0-4272-96D0-1C9A50FC1A3C}</author>
    <author>tc={D7A0FF27-2936-43EA-978F-37E51F803125}</author>
    <author>tc={9CF2DA4C-5F60-43E1-B01F-83FA4A93C3F1}</author>
    <author>tc={37A45BE9-E2C7-4FD3-8141-815D9EA95EEA}</author>
    <author>tc={D5DA31B6-0745-45C5-B46A-59454CD35B0B}</author>
    <author>tc={A541C682-5086-4111-BD7D-CF6FEC835ABE}</author>
    <author>tc={68724151-C6AC-4AEB-950F-EAF166D3AF6A}</author>
    <author>tc={1A5A9331-3FCE-4E78-992E-7AA2B57924D8}</author>
    <author>tc={858A66C0-187B-451B-9FD2-C9C67DB2C479}</author>
    <author>tc={04D4E0FA-8A19-4D48-BBEE-2CE63D0A2C6F}</author>
    <author>tc={B8C9D83D-E5BE-4CB6-85D8-E506AEB192F2}</author>
    <author>tc={064819FC-4834-491C-A22A-0340A49AEC59}</author>
    <author>tc={F7C890E7-402A-4292-8AEE-415FAFB75458}</author>
    <author>tc={9E51ED31-FE89-4394-9536-E74B2940B2C7}</author>
    <author>tc={75857F10-AE73-4996-9692-0E3C3759921C}</author>
    <author>tc={940581A9-447B-4E84-AC12-0DF97A10AD94}</author>
    <author>tc={D5F44429-BF6A-4E25-8D66-5CEE9D0AAA3F}</author>
    <author>tc={8BE44F80-06B0-4BDF-89F1-CBBE84097959}</author>
    <author>tc={4B8FA422-DBFD-41FC-A92C-A838DF792F13}</author>
    <author>tc={041B2FE6-83C0-4997-AFC1-3836B6D53C73}</author>
    <author>tc={7A96BC3D-201A-44B7-A72F-74ED3A7E0346}</author>
    <author>tc={F2EAABB1-8BC1-44D4-BBA9-5974265828CA}</author>
    <author>tc={54BF3565-027D-4339-BC9A-1EB87A556E30}</author>
    <author>tc={AABC5EEF-9407-4EE0-B06F-977A08EDACE5}</author>
    <author>tc={21D8705F-A8A9-4814-9CE7-2865D2395F23}</author>
    <author>tc={30835AEA-B53C-4B89-AB20-7FA612751E48}</author>
    <author>tc={84A6CD8B-0E72-46E3-BCAE-F7FECC268C92}</author>
    <author>tc={80994101-8E60-43BD-9311-0105525CC255}</author>
    <author>tc={28701881-F74F-44CD-9CD0-FA9D7A66667A}</author>
    <author>tc={2C85A21A-4F92-4C3B-AD2B-81C8533BA83C}</author>
    <author>tc={3AB3A3AC-DAA7-41D8-ABA9-90D5B8A2CC0A}</author>
    <author>tc={786A3CA4-4354-486B-AE27-A7E807E369F3}</author>
    <author>tc={0DEBB1FA-8246-4570-AF40-9DB3D197E7A7}</author>
    <author>tc={6824B3B9-B7F4-40D0-B263-C819B3F91902}</author>
    <author>tc={9C9A0A36-712A-479A-BE03-0C922D04576C}</author>
    <author>tc={283C7728-7453-4D15-ABD3-E65782C74028}</author>
    <author>tc={B0AB924C-B237-4FCB-941B-8F9680547E28}</author>
    <author>tc={FCB1448B-56BF-45E9-8F29-CA472965F205}</author>
    <author>tc={03B52DA6-247E-4C0D-91B7-69CA7347A611}</author>
    <author>tc={57A2DB76-5A6B-4634-9E11-5C3C41BAFCF4}</author>
    <author>tc={E7743E58-0D87-4236-8251-A1933C330C6C}</author>
    <author>tc={17B88104-3069-497E-A14E-DB374540D352}</author>
    <author>tc={B7EAB1E3-D64D-43B7-8978-AD7DD1F6A4F5}</author>
    <author>tc={FE1BAACB-6E42-4D07-9457-968B50EB2E5A}</author>
    <author>tc={E98AF942-3289-4E66-BC63-DA4E6870ADDE}</author>
    <author>tc={F16C6534-8320-47EF-A5CA-B30F09A928E7}</author>
    <author>tc={52C0F335-3E2B-4FAB-B804-1336234D7A29}</author>
    <author>tc={4216DB61-B6F0-4A63-A48A-9168235F2198}</author>
    <author>tc={354EEB4D-E872-436C-8A5D-6915CD08547C}</author>
    <author>tc={38A0822C-60CE-4154-8A52-A167BF9FC37F}</author>
    <author>tc={AA457539-5C5E-4212-8542-4B58BA43E152}</author>
    <author>tc={997ADB2D-391C-4983-991F-872746623EC6}</author>
    <author>tc={BC32440E-C5CD-477F-BE1E-0ADD4CB11C7F}</author>
    <author>tc={3B57A70B-78CB-4DC7-A6C4-8DDA629F2C0A}</author>
    <author>tc={F60D6E56-5C9E-4EB3-9DD7-4A946BE61EDD}</author>
    <author>tc={23297296-F55E-4B0D-82C3-40F4326A5221}</author>
    <author>tc={FD31A5D0-AC59-440F-9B25-87BD9C6B2358}</author>
    <author>tc={5F6D1C06-7FFD-46A0-98B6-D3E8F28F82A7}</author>
    <author>tc={B3A3777D-97CC-49A9-8549-2A0668A541F3}</author>
    <author>tc={7E774C41-04BF-438A-A7FE-77457D709A3D}</author>
    <author>tc={D11BDBB3-8CF1-4F94-BFCE-C31627E7654C}</author>
    <author>tc={B9718463-0A5D-421A-8C18-DC510815F018}</author>
    <author>tc={06D082B7-F01D-453E-A725-7C644AFDC2B5}</author>
    <author>tc={15085C75-7DC0-47A8-ADBB-94C9B7185A98}</author>
    <author>tc={BDB26218-C021-4781-8198-4AAE3007FA87}</author>
    <author>tc={24F2616A-0B2B-4A55-9B4D-CD41A754B0FA}</author>
    <author>tc={0920D528-28BF-41E0-8ED9-2FF7E6749BF8}</author>
    <author>tc={74B11DFA-524B-421F-8D8A-56927C231B4B}</author>
    <author>tc={3C9EBF2D-772F-4C2C-AE7E-56739D78FD1B}</author>
    <author>tc={F56D1DC5-06A9-49DD-919C-A987BB9F5C4F}</author>
    <author>tc={44F8B28D-6E88-4D87-8757-0B2F9C29CF17}</author>
    <author>tc={71B37394-0100-40A4-8DD9-95BC7B6B3B80}</author>
    <author>tc={F475A974-4E21-4815-9CA5-4F707931920C}</author>
    <author>tc={C3A3FB3B-34F0-4FF1-A2EC-558DD3D2E307}</author>
    <author>tc={DA30EB34-6BF3-4021-84AE-977038A54E10}</author>
    <author>tc={28CBB547-776C-40F2-8059-71AC2BC4F5FE}</author>
  </authors>
  <commentList>
    <comment ref="E12" authorId="0" shapeId="0" xr:uid="{488470E8-1DBA-4FE5-92A1-EFC0AD23DDF8}">
      <text>
        <t>[Threaded comment]
Your version of Excel allows you to read this threaded comment; however, any edits to it will get removed if the file is opened in a newer version of Excel. Learn more: https://go.microsoft.com/fwlink/?linkid=870924
Comment:
    Equation 54</t>
      </text>
    </comment>
    <comment ref="E17" authorId="1" shapeId="0" xr:uid="{AB504321-8A35-4203-9AEF-58C8055F5B6F}">
      <text>
        <t>[Threaded comment]
Your version of Excel allows you to read this threaded comment; however, any edits to it will get removed if the file is opened in a newer version of Excel. Learn more: https://go.microsoft.com/fwlink/?linkid=870924
Comment:
    Equation 11</t>
      </text>
    </comment>
    <comment ref="E20" authorId="2" shapeId="0" xr:uid="{67679EF2-EF32-495B-AB78-01E165011132}">
      <text>
        <t>[Threaded comment]
Your version of Excel allows you to read this threaded comment; however, any edits to it will get removed if the file is opened in a newer version of Excel. Learn more: https://go.microsoft.com/fwlink/?linkid=870924
Comment:
    Equation 54</t>
      </text>
    </comment>
    <comment ref="E27" authorId="3" shapeId="0" xr:uid="{3E153BBE-81DC-4704-977F-1A222A5215B3}">
      <text>
        <t>[Threaded comment]
Your version of Excel allows you to read this threaded comment; however, any edits to it will get removed if the file is opened in a newer version of Excel. Learn more: https://go.microsoft.com/fwlink/?linkid=870924
Comment:
    Equation 58</t>
      </text>
    </comment>
    <comment ref="E32" authorId="4" shapeId="0" xr:uid="{1C1121EB-B730-4017-870A-FCB4C9EB0C69}">
      <text>
        <t>[Threaded comment]
Your version of Excel allows you to read this threaded comment; however, any edits to it will get removed if the file is opened in a newer version of Excel. Learn more: https://go.microsoft.com/fwlink/?linkid=870924
Comment:
    Equation 16</t>
      </text>
    </comment>
    <comment ref="E35" authorId="5" shapeId="0" xr:uid="{A8F1B053-2653-470B-9085-015D2FE053CC}">
      <text>
        <t>[Threaded comment]
Your version of Excel allows you to read this threaded comment; however, any edits to it will get removed if the file is opened in a newer version of Excel. Learn more: https://go.microsoft.com/fwlink/?linkid=870924
Comment:
    Equation 58</t>
      </text>
    </comment>
    <comment ref="E50" authorId="6" shapeId="0" xr:uid="{CB6B157D-8415-464A-AF08-3DD074C4C58D}">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51" authorId="7" shapeId="0" xr:uid="{7FAEB969-760C-4D25-B772-EECD67AC20A4}">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52" authorId="8" shapeId="0" xr:uid="{57DA8A9C-D864-4B57-936A-1985316F5A96}">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53" authorId="9" shapeId="0" xr:uid="{476ACC91-550D-4B94-BBCC-A886FDAD000C}">
      <text>
        <t>[Threaded comment]
Your version of Excel allows you to read this threaded comment; however, any edits to it will get removed if the file is opened in a newer version of Excel. Learn more: https://go.microsoft.com/fwlink/?linkid=870924
Comment:
    Equation 6</t>
      </text>
    </comment>
    <comment ref="E64" authorId="10" shapeId="0" xr:uid="{6087DF43-B0BE-4B97-8774-CD12D68E264E}">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66" authorId="11" shapeId="0" xr:uid="{2D828D77-63AF-4AC4-892F-504E098F5926}">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67" authorId="12" shapeId="0" xr:uid="{2EC5E35C-3F50-4AAD-9A64-CFC61D29F49F}">
      <text>
        <t>[Threaded comment]
Your version of Excel allows you to read this threaded comment; however, any edits to it will get removed if the file is opened in a newer version of Excel. Learn more: https://go.microsoft.com/fwlink/?linkid=870924
Comment:
    Equation 6</t>
      </text>
    </comment>
    <comment ref="E68" authorId="13" shapeId="0" xr:uid="{6A05D2E6-325C-4173-8A9C-44ED8DFACF07}">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69" authorId="14" shapeId="0" xr:uid="{BB3AE193-D20C-4318-B2DF-BA292B14DC07}">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70" authorId="15" shapeId="0" xr:uid="{17453E16-E6DA-40ED-9761-3B27085A4D8B}">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85" authorId="16" shapeId="0" xr:uid="{4AC9ABEC-8053-4231-BDFF-156F8BD5FD01}">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86" authorId="17" shapeId="0" xr:uid="{AE674905-7D2A-43EF-9DCF-8C58B6ED97C1}">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97" authorId="18" shapeId="0" xr:uid="{45EBE1AF-D997-4B72-90FF-7DB677C34122}">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99" authorId="19" shapeId="0" xr:uid="{5F37B62F-EC8F-4DED-A9B8-4B74E220D5B5}">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100" authorId="20" shapeId="0" xr:uid="{B55D65B3-C183-4C6C-9D7C-A88DD71840E5}">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101" authorId="21" shapeId="0" xr:uid="{4EA2AB01-E9D6-4B46-A71C-CBCBEA9CEF3E}">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110" authorId="22" shapeId="0" xr:uid="{63C30CB4-402C-41BB-AD7A-59BD5B5E322C}">
      <text>
        <t>[Threaded comment]
Your version of Excel allows you to read this threaded comment; however, any edits to it will get removed if the file is opened in a newer version of Excel. Learn more: https://go.microsoft.com/fwlink/?linkid=870924
Comment:
    Equation 8</t>
      </text>
    </comment>
    <comment ref="E113" authorId="23" shapeId="0" xr:uid="{AD47EF09-BE53-4A8E-A91C-5FC975FF5C37}">
      <text>
        <t>[Threaded comment]
Your version of Excel allows you to read this threaded comment; however, any edits to it will get removed if the file is opened in a newer version of Excel. Learn more: https://go.microsoft.com/fwlink/?linkid=870924
Comment:
    Equation 7</t>
      </text>
    </comment>
    <comment ref="E116" authorId="24" shapeId="0" xr:uid="{24E02676-7919-4B15-AC9F-641F28F89943}">
      <text>
        <t>[Threaded comment]
Your version of Excel allows you to read this threaded comment; however, any edits to it will get removed if the file is opened in a newer version of Excel. Learn more: https://go.microsoft.com/fwlink/?linkid=870924
Comment:
    Equation 7</t>
      </text>
    </comment>
    <comment ref="E120" authorId="25" shapeId="0" xr:uid="{053BA663-40C9-401D-B2B4-22400E12CD09}">
      <text>
        <t>[Threaded comment]
Your version of Excel allows you to read this threaded comment; however, any edits to it will get removed if the file is opened in a newer version of Excel. Learn more: https://go.microsoft.com/fwlink/?linkid=870924
Comment:
    Equation 10</t>
      </text>
    </comment>
    <comment ref="E121" authorId="26" shapeId="0" xr:uid="{4BEDF1D0-1EEB-47AB-A632-C348D358BC55}">
      <text>
        <t>[Threaded comment]
Your version of Excel allows you to read this threaded comment; however, any edits to it will get removed if the file is opened in a newer version of Excel. Learn more: https://go.microsoft.com/fwlink/?linkid=870924
Comment:
    Equation 9</t>
      </text>
    </comment>
    <comment ref="E131" authorId="27" shapeId="0" xr:uid="{B2918777-5886-44BA-9E20-FE36415B4F7E}">
      <text>
        <t>[Threaded comment]
Your version of Excel allows you to read this threaded comment; however, any edits to it will get removed if the file is opened in a newer version of Excel. Learn more: https://go.microsoft.com/fwlink/?linkid=870924
Comment:
    Equation 12</t>
      </text>
    </comment>
    <comment ref="E144" authorId="28" shapeId="0" xr:uid="{03A45E86-F06C-4DF0-BAAE-CAD394BB87A7}">
      <text>
        <t>[Threaded comment]
Your version of Excel allows you to read this threaded comment; however, any edits to it will get removed if the file is opened in a newer version of Excel. Learn more: https://go.microsoft.com/fwlink/?linkid=870924
Comment:
    Equation 14</t>
      </text>
    </comment>
    <comment ref="E148" authorId="29" shapeId="0" xr:uid="{E7883DE4-4991-4C72-B8F3-F5D81C6D8B05}">
      <text>
        <t>[Threaded comment]
Your version of Excel allows you to read this threaded comment; however, any edits to it will get removed if the file is opened in a newer version of Excel. Learn more: https://go.microsoft.com/fwlink/?linkid=870924
Comment:
    Equation 13</t>
      </text>
    </comment>
    <comment ref="E159" authorId="30" shapeId="0" xr:uid="{C00D98D2-6DD5-401E-AE67-45673614249C}">
      <text>
        <t>[Threaded comment]
Your version of Excel allows you to read this threaded comment; however, any edits to it will get removed if the file is opened in a newer version of Excel. Learn more: https://go.microsoft.com/fwlink/?linkid=870924
Comment:
    Equation 15</t>
      </text>
    </comment>
    <comment ref="E168" authorId="31" shapeId="0" xr:uid="{5EA965E8-DA2A-4EDC-80B7-5806EF523C8E}">
      <text>
        <t>[Threaded comment]
Your version of Excel allows you to read this threaded comment; however, any edits to it will get removed if the file is opened in a newer version of Excel. Learn more: https://go.microsoft.com/fwlink/?linkid=870924
Comment:
    Equation 20</t>
      </text>
    </comment>
    <comment ref="E173" authorId="32" shapeId="0" xr:uid="{BEBA1607-4FA4-4471-B753-4EF84CEBC463}">
      <text>
        <t>[Threaded comment]
Your version of Excel allows you to read this threaded comment; however, any edits to it will get removed if the file is opened in a newer version of Excel. Learn more: https://go.microsoft.com/fwlink/?linkid=870924
Comment:
    Equation 21</t>
      </text>
    </comment>
    <comment ref="E175" authorId="33" shapeId="0" xr:uid="{55F7BA50-E8DD-4AE4-90EE-0A3502313034}">
      <text>
        <t>[Threaded comment]
Your version of Excel allows you to read this threaded comment; however, any edits to it will get removed if the file is opened in a newer version of Excel. Learn more: https://go.microsoft.com/fwlink/?linkid=870924
Comment:
    Equation 19</t>
      </text>
    </comment>
    <comment ref="E179" authorId="34" shapeId="0" xr:uid="{46948E57-1401-4008-BE53-897795AE23AB}">
      <text>
        <t>[Threaded comment]
Your version of Excel allows you to read this threaded comment; however, any edits to it will get removed if the file is opened in a newer version of Excel. Learn more: https://go.microsoft.com/fwlink/?linkid=870924
Comment:
    Equation 23</t>
      </text>
    </comment>
    <comment ref="E182" authorId="35" shapeId="0" xr:uid="{B2A827B3-AC39-4932-8642-9C382DB0E8F5}">
      <text>
        <t>[Threaded comment]
Your version of Excel allows you to read this threaded comment; however, any edits to it will get removed if the file is opened in a newer version of Excel. Learn more: https://go.microsoft.com/fwlink/?linkid=870924
Comment:
    Equation 24</t>
      </text>
    </comment>
    <comment ref="E183" authorId="36" shapeId="0" xr:uid="{2323C9C5-E868-4E11-984D-E2BE9E587686}">
      <text>
        <t>[Threaded comment]
Your version of Excel allows you to read this threaded comment; however, any edits to it will get removed if the file is opened in a newer version of Excel. Learn more: https://go.microsoft.com/fwlink/?linkid=870924
Comment:
    Equation 22</t>
      </text>
    </comment>
    <comment ref="E184" authorId="37" shapeId="0" xr:uid="{5767DA32-E8CE-455F-88EF-7B1257434171}">
      <text>
        <t>[Threaded comment]
Your version of Excel allows you to read this threaded comment; however, any edits to it will get removed if the file is opened in a newer version of Excel. Learn more: https://go.microsoft.com/fwlink/?linkid=870924
Comment:
    Equation 18</t>
      </text>
    </comment>
    <comment ref="E196" authorId="38" shapeId="0" xr:uid="{46EFEA17-6EF2-44BC-A61C-434C8E2D1A6C}">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01" authorId="39" shapeId="0" xr:uid="{93418CA5-DBD3-483A-9C81-0F685CB2B36D}">
      <text>
        <t>[Threaded comment]
Your version of Excel allows you to read this threaded comment; however, any edits to it will get removed if the file is opened in a newer version of Excel. Learn more: https://go.microsoft.com/fwlink/?linkid=870924
Comment:
    Equation 32</t>
      </text>
    </comment>
    <comment ref="E202" authorId="40" shapeId="0" xr:uid="{C6AA29DE-C71A-47C1-8961-DC23D40FF2B5}">
      <text>
        <t>[Threaded comment]
Your version of Excel allows you to read this threaded comment; however, any edits to it will get removed if the file is opened in a newer version of Excel. Learn more: https://go.microsoft.com/fwlink/?linkid=870924
Comment:
    Equation 31</t>
      </text>
    </comment>
    <comment ref="E203" authorId="41" shapeId="0" xr:uid="{251781F3-38D9-4B24-9610-DB59F39DE71A}">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04" authorId="42" shapeId="0" xr:uid="{BCDC991C-2312-407A-B712-9F0398E6B53F}">
      <text>
        <t>[Threaded comment]
Your version of Excel allows you to read this threaded comment; however, any edits to it will get removed if the file is opened in a newer version of Excel. Learn more: https://go.microsoft.com/fwlink/?linkid=870924
Comment:
    Equation 30</t>
      </text>
    </comment>
    <comment ref="E205" authorId="43" shapeId="0" xr:uid="{B736F84A-0350-4B3A-9C0A-EBAE34C3CE88}">
      <text>
        <t>[Threaded comment]
Your version of Excel allows you to read this threaded comment; however, any edits to it will get removed if the file is opened in a newer version of Excel. Learn more: https://go.microsoft.com/fwlink/?linkid=870924
Comment:
    Equation 27</t>
      </text>
    </comment>
    <comment ref="E213" authorId="44" shapeId="0" xr:uid="{5F798F30-3A78-4D3B-9B1F-C9AAF8C00459}">
      <text>
        <t>[Threaded comment]
Your version of Excel allows you to read this threaded comment; however, any edits to it will get removed if the file is opened in a newer version of Excel. Learn more: https://go.microsoft.com/fwlink/?linkid=870924
Comment:
    Equation 26</t>
      </text>
    </comment>
    <comment ref="E214" authorId="45" shapeId="0" xr:uid="{D38F7D2B-EE2D-4774-8800-7CC22144B402}">
      <text>
        <t>[Threaded comment]
Your version of Excel allows you to read this threaded comment; however, any edits to it will get removed if the file is opened in a newer version of Excel. Learn more: https://go.microsoft.com/fwlink/?linkid=870924
Comment:
    Equation 25</t>
      </text>
    </comment>
    <comment ref="E224" authorId="46" shapeId="0" xr:uid="{C6CF1080-16F7-4805-BB9B-DFD222FADF37}">
      <text>
        <t>[Threaded comment]
Your version of Excel allows you to read this threaded comment; however, any edits to it will get removed if the file is opened in a newer version of Excel. Learn more: https://go.microsoft.com/fwlink/?linkid=870924
Comment:
    Equation 33</t>
      </text>
    </comment>
    <comment ref="E228" authorId="47" shapeId="0" xr:uid="{E49603DE-7DF0-4594-9F87-6206F1E00C38}">
      <text>
        <t>[Threaded comment]
Your version of Excel allows you to read this threaded comment; however, any edits to it will get removed if the file is opened in a newer version of Excel. Learn more: https://go.microsoft.com/fwlink/?linkid=870924
Comment:
    Equation 17</t>
      </text>
    </comment>
    <comment ref="E233" authorId="48" shapeId="0" xr:uid="{B8EDF1BD-2F20-40EB-BF4D-3FF1C8803A71}">
      <text>
        <t>[Threaded comment]
Your version of Excel allows you to read this threaded comment; however, any edits to it will get removed if the file is opened in a newer version of Excel. Learn more: https://go.microsoft.com/fwlink/?linkid=870924
Comment:
    Equation 8</t>
      </text>
    </comment>
    <comment ref="E236" authorId="49" shapeId="0" xr:uid="{4C7C6F87-00B0-4C92-AA00-3FEF50156397}">
      <text>
        <t>[Threaded comment]
Your version of Excel allows you to read this threaded comment; however, any edits to it will get removed if the file is opened in a newer version of Excel. Learn more: https://go.microsoft.com/fwlink/?linkid=870924
Comment:
    Equation 7</t>
      </text>
    </comment>
    <comment ref="E243" authorId="50" shapeId="0" xr:uid="{53F55949-AEF2-474F-9865-44373546E29E}">
      <text>
        <t>[Threaded comment]
Your version of Excel allows you to read this threaded comment; however, any edits to it will get removed if the file is opened in a newer version of Excel. Learn more: https://go.microsoft.com/fwlink/?linkid=870924
Comment:
    Equation 10</t>
      </text>
    </comment>
    <comment ref="E244" authorId="51" shapeId="0" xr:uid="{EEE34842-2F1C-4EBA-BE90-0DE671072100}">
      <text>
        <t>[Threaded comment]
Your version of Excel allows you to read this threaded comment; however, any edits to it will get removed if the file is opened in a newer version of Excel. Learn more: https://go.microsoft.com/fwlink/?linkid=870924
Comment:
    Equation 9</t>
      </text>
    </comment>
    <comment ref="E254" authorId="52" shapeId="0" xr:uid="{7A870BAA-4890-4FE1-98A0-470A3469899D}">
      <text>
        <t>[Threaded comment]
Your version of Excel allows you to read this threaded comment; however, any edits to it will get removed if the file is opened in a newer version of Excel. Learn more: https://go.microsoft.com/fwlink/?linkid=870924
Comment:
    Equation 12</t>
      </text>
    </comment>
    <comment ref="E267" authorId="53" shapeId="0" xr:uid="{E4F1A8E6-A798-4160-8C99-0543E5D97EBD}">
      <text>
        <t>[Threaded comment]
Your version of Excel allows you to read this threaded comment; however, any edits to it will get removed if the file is opened in a newer version of Excel. Learn more: https://go.microsoft.com/fwlink/?linkid=870924
Comment:
    Equation 14</t>
      </text>
    </comment>
    <comment ref="E271" authorId="54" shapeId="0" xr:uid="{E09B651D-1684-4487-8557-7B71D3AB7B69}">
      <text>
        <t>[Threaded comment]
Your version of Excel allows you to read this threaded comment; however, any edits to it will get removed if the file is opened in a newer version of Excel. Learn more: https://go.microsoft.com/fwlink/?linkid=870924
Comment:
    Equation 13</t>
      </text>
    </comment>
    <comment ref="E282" authorId="55" shapeId="0" xr:uid="{1C8E43D7-2E38-492A-B5E0-B958735731AF}">
      <text>
        <t>[Threaded comment]
Your version of Excel allows you to read this threaded comment; however, any edits to it will get removed if the file is opened in a newer version of Excel. Learn more: https://go.microsoft.com/fwlink/?linkid=870924
Comment:
    Equation 15</t>
      </text>
    </comment>
    <comment ref="E290" authorId="56" shapeId="0" xr:uid="{81F4D961-B1FD-488C-AE14-19B3573999F7}">
      <text>
        <t>[Threaded comment]
Your version of Excel allows you to read this threaded comment; however, any edits to it will get removed if the file is opened in a newer version of Excel. Learn more: https://go.microsoft.com/fwlink/?linkid=870924
Comment:
    Equation 20</t>
      </text>
    </comment>
    <comment ref="E295" authorId="57" shapeId="0" xr:uid="{03A9511C-4164-465A-AEE2-77DEB3DE90D8}">
      <text>
        <t>[Threaded comment]
Your version of Excel allows you to read this threaded comment; however, any edits to it will get removed if the file is opened in a newer version of Excel. Learn more: https://go.microsoft.com/fwlink/?linkid=870924
Comment:
    Equation 21</t>
      </text>
    </comment>
    <comment ref="E297" authorId="58" shapeId="0" xr:uid="{AC6BCDE3-3D73-4E6A-A9D8-7F6325C61662}">
      <text>
        <t>[Threaded comment]
Your version of Excel allows you to read this threaded comment; however, any edits to it will get removed if the file is opened in a newer version of Excel. Learn more: https://go.microsoft.com/fwlink/?linkid=870924
Comment:
    Equation 19</t>
      </text>
    </comment>
    <comment ref="E301" authorId="59" shapeId="0" xr:uid="{3127C5F8-EAA3-4558-9D88-E157910FA9B2}">
      <text>
        <t>[Threaded comment]
Your version of Excel allows you to read this threaded comment; however, any edits to it will get removed if the file is opened in a newer version of Excel. Learn more: https://go.microsoft.com/fwlink/?linkid=870924
Comment:
    Equation 23</t>
      </text>
    </comment>
    <comment ref="E304" authorId="60" shapeId="0" xr:uid="{A4891F88-7D79-4193-B886-A59A4FFD5014}">
      <text>
        <t>[Threaded comment]
Your version of Excel allows you to read this threaded comment; however, any edits to it will get removed if the file is opened in a newer version of Excel. Learn more: https://go.microsoft.com/fwlink/?linkid=870924
Comment:
    Equation 24</t>
      </text>
    </comment>
    <comment ref="E305" authorId="61" shapeId="0" xr:uid="{78ACE189-59C5-4E50-94E3-6121447BB6D1}">
      <text>
        <t>[Threaded comment]
Your version of Excel allows you to read this threaded comment; however, any edits to it will get removed if the file is opened in a newer version of Excel. Learn more: https://go.microsoft.com/fwlink/?linkid=870924
Comment:
    Equation 22</t>
      </text>
    </comment>
    <comment ref="E306" authorId="62" shapeId="0" xr:uid="{C5204AD0-02C6-4460-A3D0-CD6EDC379476}">
      <text>
        <t>[Threaded comment]
Your version of Excel allows you to read this threaded comment; however, any edits to it will get removed if the file is opened in a newer version of Excel. Learn more: https://go.microsoft.com/fwlink/?linkid=870924
Comment:
    Equation 18</t>
      </text>
    </comment>
    <comment ref="E318" authorId="63" shapeId="0" xr:uid="{119936A5-D73B-46E9-A248-521F3B56E03A}">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323" authorId="64" shapeId="0" xr:uid="{6BDC6607-57CA-41B4-96E3-C9650F0DE075}">
      <text>
        <t>[Threaded comment]
Your version of Excel allows you to read this threaded comment; however, any edits to it will get removed if the file is opened in a newer version of Excel. Learn more: https://go.microsoft.com/fwlink/?linkid=870924
Comment:
    Equation 32</t>
      </text>
    </comment>
    <comment ref="E324" authorId="65" shapeId="0" xr:uid="{2FF82C19-B591-4B13-BA15-2CFE4F34AB08}">
      <text>
        <t>[Threaded comment]
Your version of Excel allows you to read this threaded comment; however, any edits to it will get removed if the file is opened in a newer version of Excel. Learn more: https://go.microsoft.com/fwlink/?linkid=870924
Comment:
    Equation 31</t>
      </text>
    </comment>
    <comment ref="E325" authorId="66" shapeId="0" xr:uid="{60CBCDB7-D505-4995-8D9D-338F13ECF5F6}">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326" authorId="67" shapeId="0" xr:uid="{DD96768C-2300-476E-B819-8B28CA6520E6}">
      <text>
        <t>[Threaded comment]
Your version of Excel allows you to read this threaded comment; however, any edits to it will get removed if the file is opened in a newer version of Excel. Learn more: https://go.microsoft.com/fwlink/?linkid=870924
Comment:
    Equation 30</t>
      </text>
    </comment>
    <comment ref="E327" authorId="68" shapeId="0" xr:uid="{9D688DD3-56D5-4788-8E7A-2DE710E360A2}">
      <text>
        <t>[Threaded comment]
Your version of Excel allows you to read this threaded comment; however, any edits to it will get removed if the file is opened in a newer version of Excel. Learn more: https://go.microsoft.com/fwlink/?linkid=870924
Comment:
    Equation 27</t>
      </text>
    </comment>
    <comment ref="E335" authorId="69" shapeId="0" xr:uid="{B0F59A75-2319-43C5-B634-D429B2BFE9CD}">
      <text>
        <t>[Threaded comment]
Your version of Excel allows you to read this threaded comment; however, any edits to it will get removed if the file is opened in a newer version of Excel. Learn more: https://go.microsoft.com/fwlink/?linkid=870924
Comment:
    Equation 26</t>
      </text>
    </comment>
    <comment ref="E336" authorId="70" shapeId="0" xr:uid="{80C0D55C-5EDF-4A1E-8EF4-6F05FF21DC56}">
      <text>
        <t>[Threaded comment]
Your version of Excel allows you to read this threaded comment; however, any edits to it will get removed if the file is opened in a newer version of Excel. Learn more: https://go.microsoft.com/fwlink/?linkid=870924
Comment:
    Equation 25</t>
      </text>
    </comment>
    <comment ref="E346" authorId="71" shapeId="0" xr:uid="{3D4B963E-6BE2-40A3-A32E-ADD2119661D7}">
      <text>
        <t>[Threaded comment]
Your version of Excel allows you to read this threaded comment; however, any edits to it will get removed if the file is opened in a newer version of Excel. Learn more: https://go.microsoft.com/fwlink/?linkid=870924
Comment:
    Equation 33</t>
      </text>
    </comment>
    <comment ref="E350" authorId="72" shapeId="0" xr:uid="{5C2CC1E3-B3F5-494A-B14B-3B5B66A1B021}">
      <text>
        <t>[Threaded comment]
Your version of Excel allows you to read this threaded comment; however, any edits to it will get removed if the file is opened in a newer version of Excel. Learn more: https://go.microsoft.com/fwlink/?linkid=870924
Comment:
    Equation 17</t>
      </text>
    </comment>
    <comment ref="E351" authorId="73" shapeId="0" xr:uid="{63691219-D501-4385-8D18-7A6379921C89}">
      <text>
        <t>[Threaded comment]
Your version of Excel allows you to read this threaded comment; however, any edits to it will get removed if the file is opened in a newer version of Excel. Learn more: https://go.microsoft.com/fwlink/?linkid=870924
Comment:
    Equation 52</t>
      </text>
    </comment>
    <comment ref="E352" authorId="74" shapeId="0" xr:uid="{60015066-7D1A-4680-98DD-331FE29A2575}">
      <text>
        <t>[Threaded comment]
Your version of Excel allows you to read this threaded comment; however, any edits to it will get removed if the file is opened in a newer version of Excel. Learn more: https://go.microsoft.com/fwlink/?linkid=870924
Comment:
    Equation 53</t>
      </text>
    </comment>
    <comment ref="E353" authorId="75" shapeId="0" xr:uid="{0A1E9A30-1B5D-4698-94A7-AEE2D63AAB28}">
      <text>
        <t>[Threaded comment]
Your version of Excel allows you to read this threaded comment; however, any edits to it will get removed if the file is opened in a newer version of Excel. Learn more: https://go.microsoft.com/fwlink/?linkid=870924
Comment:
    Equation 55</t>
      </text>
    </comment>
    <comment ref="E354" authorId="76" shapeId="0" xr:uid="{6F373158-9214-4116-BB2A-B27148768C88}">
      <text>
        <t>[Threaded comment]
Your version of Excel allows you to read this threaded comment; however, any edits to it will get removed if the file is opened in a newer version of Excel. Learn more: https://go.microsoft.com/fwlink/?linkid=870924
Comment:
    Equation 56</t>
      </text>
    </comment>
    <comment ref="E355" authorId="77" shapeId="0" xr:uid="{B27AD610-7BE5-45DE-A1BE-6E8D1FA90B38}">
      <text>
        <t>[Threaded comment]
Your version of Excel allows you to read this threaded comment; however, any edits to it will get removed if the file is opened in a newer version of Excel. Learn more: https://go.microsoft.com/fwlink/?linkid=870924
Comment:
    Equation 57</t>
      </text>
    </comment>
    <comment ref="E356" authorId="78" shapeId="0" xr:uid="{A108541D-4883-42C2-8FF2-9CCCC881DC62}">
      <text>
        <t>[Threaded comment]
Your version of Excel allows you to read this threaded comment; however, any edits to it will get removed if the file is opened in a newer version of Excel. Learn more: https://go.microsoft.com/fwlink/?linkid=870924
Comment:
    Equation 59</t>
      </text>
    </comment>
    <comment ref="E370" authorId="79" shapeId="0" xr:uid="{32E66AAA-EF66-430D-8C8D-5252D014BF19}">
      <text>
        <t>[Threaded comment]
Your version of Excel allows you to read this threaded comment; however, any edits to it will get removed if the file is opened in a newer version of Excel. Learn more: https://go.microsoft.com/fwlink/?linkid=870924
Comment:
    Equation 9</t>
      </text>
    </comment>
    <comment ref="E372" authorId="80" shapeId="0" xr:uid="{DE6FA3ED-D575-4A09-B3FD-EA7DA3C3618D}">
      <text>
        <t>[Threaded comment]
Your version of Excel allows you to read this threaded comment; however, any edits to it will get removed if the file is opened in a newer version of Excel. Learn more: https://go.microsoft.com/fwlink/?linkid=870924
Comment:
    Equation 10</t>
      </text>
    </comment>
    <comment ref="E373" authorId="81" shapeId="0" xr:uid="{1C4278F9-6745-4B66-BBB1-F39B97C19ED2}">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374" authorId="82" shapeId="0" xr:uid="{B548D6DA-91D2-4F5A-9F73-CDC7771D4A3A}">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375" authorId="83" shapeId="0" xr:uid="{000F49F7-D9F9-41C4-A6C6-F630B6C1AC59}">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376" authorId="84" shapeId="0" xr:uid="{7D193A45-F62B-4E99-9CFF-30A45239C61A}">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377" authorId="85" shapeId="0" xr:uid="{3EFD0BF0-E362-494F-B896-AADF68594ED2}">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379" authorId="86" shapeId="0" xr:uid="{0D114BC6-3FCB-44AB-A477-2F2A31A3DF81}">
      <text>
        <t>[Threaded comment]
Your version of Excel allows you to read this threaded comment; however, any edits to it will get removed if the file is opened in a newer version of Excel. Learn more: https://go.microsoft.com/fwlink/?linkid=870924
Comment:
    Equation 3</t>
      </text>
    </comment>
    <comment ref="E380" authorId="87" shapeId="0" xr:uid="{88B74B51-9D83-44B5-B97B-DCCDB71FA4D2}">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381" authorId="88" shapeId="0" xr:uid="{540E69ED-4CEE-4BA1-9D54-F86EBC79CAD1}">
      <text>
        <t>[Threaded comment]
Your version of Excel allows you to read this threaded comment; however, any edits to it will get removed if the file is opened in a newer version of Excel. Learn more: https://go.microsoft.com/fwlink/?linkid=870924
Comment:
    Equation 4</t>
      </text>
    </comment>
    <comment ref="E382" authorId="89" shapeId="0" xr:uid="{9E0B44A6-68D7-4F80-8838-D4D4D369C069}">
      <text>
        <t>[Threaded comment]
Your version of Excel allows you to read this threaded comment; however, any edits to it will get removed if the file is opened in a newer version of Excel. Learn more: https://go.microsoft.com/fwlink/?linkid=870924
Comment:
    Equation 5</t>
      </text>
    </comment>
    <comment ref="E383" authorId="90" shapeId="0" xr:uid="{0EB1EFB0-99B0-463D-8142-44FD9BF41677}">
      <text>
        <t>[Threaded comment]
Your version of Excel allows you to read this threaded comment; however, any edits to it will get removed if the file is opened in a newer version of Excel. Learn more: https://go.microsoft.com/fwlink/?linkid=870924
Comment:
    A for equation 4</t>
      </text>
    </comment>
    <comment ref="E384" authorId="91" shapeId="0" xr:uid="{13989102-601E-4700-9CCD-CB9300F56B02}">
      <text>
        <t>[Threaded comment]
Your version of Excel allows you to read this threaded comment; however, any edits to it will get removed if the file is opened in a newer version of Excel. Learn more: https://go.microsoft.com/fwlink/?linkid=870924
Comment:
    Equation 6</t>
      </text>
    </comment>
    <comment ref="E385" authorId="92" shapeId="0" xr:uid="{5B240BBD-6A4B-4132-9ED6-5ECDAE4A0CB1}">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87" authorId="93" shapeId="0" xr:uid="{D03ED5E1-E502-4D52-ABF7-FF6A54E17A20}">
      <text>
        <t>[Threaded comment]
Your version of Excel allows you to read this threaded comment; however, any edits to it will get removed if the file is opened in a newer version of Excel. Learn more: https://go.microsoft.com/fwlink/?linkid=870924
Comment:
    Equation 7</t>
      </text>
    </comment>
    <comment ref="E388" authorId="94" shapeId="0" xr:uid="{8A58D43C-58E5-4BE1-922A-C77ED63539C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89" authorId="95" shapeId="0" xr:uid="{70E5B424-F057-459A-AA95-1C6BAD23B900}">
      <text>
        <t>[Threaded comment]
Your version of Excel allows you to read this threaded comment; however, any edits to it will get removed if the file is opened in a newer version of Excel. Learn more: https://go.microsoft.com/fwlink/?linkid=870924
Comment:
    Equation 8</t>
      </text>
    </comment>
    <comment ref="E390" authorId="96" shapeId="0" xr:uid="{449133CF-864E-4F40-9FA7-B5ECE2792A0D}">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92" authorId="97" shapeId="0" xr:uid="{4EA6888C-2700-4671-BDF7-C94DF310290C}">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94" authorId="98" shapeId="0" xr:uid="{929FEB78-F50B-40B0-A38C-737F32C186C4}">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95" authorId="99" shapeId="0" xr:uid="{6870FE3A-1EC9-4674-81C8-E023EF2BA3EA}">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6" authorId="100" shapeId="0" xr:uid="{1EBC2C5B-805F-4092-8535-D255FFAE4E7D}">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97" authorId="101" shapeId="0" xr:uid="{300AE1D7-A11F-4DA0-ADA0-D423B7F291DC}">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98" authorId="102" shapeId="0" xr:uid="{DAB2FF48-A445-45E5-99CF-C9B2350085BA}">
      <text>
        <t>[Threaded comment]
Your version of Excel allows you to read this threaded comment; however, any edits to it will get removed if the file is opened in a newer version of Excel. Learn more: https://go.microsoft.com/fwlink/?linkid=870924
Comment:
    Equation 2</t>
      </text>
    </comment>
    <comment ref="E399" authorId="103" shapeId="0" xr:uid="{AFA33BFD-9F91-4B0C-AD88-4E9A8E44A13E}">
      <text>
        <t>[Threaded comment]
Your version of Excel allows you to read this threaded comment; however, any edits to it will get removed if the file is opened in a newer version of Excel. Learn more: https://go.microsoft.com/fwlink/?linkid=870924
Comment:
    Equation 1</t>
      </text>
    </comment>
    <comment ref="E400" authorId="104" shapeId="0" xr:uid="{CCF268C4-A215-4446-9286-555401FAE9F0}">
      <text>
        <t>[Threaded comment]
Your version of Excel allows you to read this threaded comment; however, any edits to it will get removed if the file is opened in a newer version of Excel. Learn more: https://go.microsoft.com/fwlink/?linkid=870924
Comment:
    Equation 2</t>
      </text>
    </comment>
    <comment ref="E402" authorId="105" shapeId="0" xr:uid="{C4EA18C0-F86C-4767-BD8A-102E421DFA66}">
      <text>
        <t>[Threaded comment]
Your version of Excel allows you to read this threaded comment; however, any edits to it will get removed if the file is opened in a newer version of Excel. Learn more: https://go.microsoft.com/fwlink/?linkid=870924
Comment:
    Equation 11</t>
      </text>
    </comment>
    <comment ref="E403" authorId="106" shapeId="0" xr:uid="{E50025A9-23D3-4064-B7C7-F9589F6E7352}">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04" authorId="107" shapeId="0" xr:uid="{6989A38F-EC25-4960-9D3B-AD956B21945B}">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05" authorId="108" shapeId="0" xr:uid="{1571CD50-22E1-4BD4-9EA3-D4EE7ADD7F2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409" authorId="109" shapeId="0" xr:uid="{D0F3C4B0-44C9-41C1-90EE-EF9BC48163F3}">
      <text>
        <t>[Threaded comment]
Your version of Excel allows you to read this threaded comment; however, any edits to it will get removed if the file is opened in a newer version of Excel. Learn more: https://go.microsoft.com/fwlink/?linkid=870924
Comment:
    Equation 22</t>
      </text>
    </comment>
    <comment ref="E410" authorId="110" shapeId="0" xr:uid="{69B17AAB-4610-45EB-A5BA-2CCB83530021}">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411" authorId="111" shapeId="0" xr:uid="{F62ADC42-045D-482B-B8C1-B85D11C2D754}">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412" authorId="112" shapeId="0" xr:uid="{C067E52C-83E6-4864-A363-39D703A708FB}">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413" authorId="113" shapeId="0" xr:uid="{B8EFDEDA-D295-41C8-AF89-1A48DBD2D667}">
      <text>
        <t>[Threaded comment]
Your version of Excel allows you to read this threaded comment; however, any edits to it will get removed if the file is opened in a newer version of Excel. Learn more: https://go.microsoft.com/fwlink/?linkid=870924
Comment:
    Equation 23</t>
      </text>
    </comment>
    <comment ref="E414" authorId="114" shapeId="0" xr:uid="{3A4CB607-2A78-4246-A6CC-5216A974791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427" authorId="115" shapeId="0" xr:uid="{8E188146-489B-4F0B-B114-124F168F673B}">
      <text>
        <t>[Threaded comment]
Your version of Excel allows you to read this threaded comment; however, any edits to it will get removed if the file is opened in a newer version of Excel. Learn more: https://go.microsoft.com/fwlink/?linkid=870924
Comment:
    Equation 20</t>
      </text>
    </comment>
    <comment ref="E429" authorId="116" shapeId="0" xr:uid="{1457357B-631A-465D-B59B-D4E79BE9A57D}">
      <text>
        <t>[Threaded comment]
Your version of Excel allows you to read this threaded comment; however, any edits to it will get removed if the file is opened in a newer version of Excel. Learn more: https://go.microsoft.com/fwlink/?linkid=870924
Comment:
    Equation 21</t>
      </text>
    </comment>
    <comment ref="E430" authorId="117" shapeId="0" xr:uid="{8A5AB625-1CC1-4862-891C-ACE2A4F00D7E}">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431" authorId="118" shapeId="0" xr:uid="{DBAED23E-A282-43C2-B5EE-AFFD4FB0AB86}">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432" authorId="119" shapeId="0" xr:uid="{EDBFC20F-CBC7-4154-9827-ECCC6A24FB17}">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433" authorId="120" shapeId="0" xr:uid="{9B265445-CD4C-4567-AF20-B73E23D29D48}">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434" authorId="121" shapeId="0" xr:uid="{C164E248-B767-4B99-BAC0-55B3EE219A81}">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438" authorId="122" shapeId="0" xr:uid="{C9E122F0-8977-41E0-A29C-F89673BAC56E}">
      <text>
        <t>[Threaded comment]
Your version of Excel allows you to read this threaded comment; however, any edits to it will get removed if the file is opened in a newer version of Excel. Learn more: https://go.microsoft.com/fwlink/?linkid=870924
Comment:
    Equation 12</t>
      </text>
    </comment>
    <comment ref="E439" authorId="123" shapeId="0" xr:uid="{BA7A5B0F-6309-49A6-B6FC-A1BEBE2D3198}">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440" authorId="124" shapeId="0" xr:uid="{C282FDB9-7B88-4B38-A4DF-60683D0B8134}">
      <text>
        <t>[Threaded comment]
Your version of Excel allows you to read this threaded comment; however, any edits to it will get removed if the file is opened in a newer version of Excel. Learn more: https://go.microsoft.com/fwlink/?linkid=870924
Comment:
    Equation 13</t>
      </text>
    </comment>
    <comment ref="E441" authorId="125" shapeId="0" xr:uid="{BDC3B2E8-4C81-401C-90AA-A5486A758AD8}">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42" authorId="126" shapeId="0" xr:uid="{0C2B67D8-321B-4BF1-8B50-156AB2479E96}">
      <text>
        <t>[Threaded comment]
Your version of Excel allows you to read this threaded comment; however, any edits to it will get removed if the file is opened in a newer version of Excel. Learn more: https://go.microsoft.com/fwlink/?linkid=870924
Comment:
    Equation 14</t>
      </text>
    </comment>
    <comment ref="E443" authorId="127" shapeId="0" xr:uid="{63BFF46C-720B-4C0D-9123-B6D61DC5223E}">
      <text>
        <t>[Threaded comment]
Your version of Excel allows you to read this threaded comment; however, any edits to it will get removed if the file is opened in a newer version of Excel. Learn more: https://go.microsoft.com/fwlink/?linkid=870924
Comment:
    Equation 15</t>
      </text>
    </comment>
    <comment ref="E444" authorId="128" shapeId="0" xr:uid="{922E7393-9768-44AE-AB7D-16894A345E3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46" authorId="129" shapeId="0" xr:uid="{6A7E1440-3355-4711-93EE-5375FCF22C5A}">
      <text>
        <t>[Threaded comment]
Your version of Excel allows you to read this threaded comment; however, any edits to it will get removed if the file is opened in a newer version of Excel. Learn more: https://go.microsoft.com/fwlink/?linkid=870924
Comment:
    Equation 16</t>
      </text>
    </comment>
    <comment ref="E447" authorId="130" shapeId="0" xr:uid="{ADC68035-93D2-42BB-90A0-AED561950DCC}">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448" authorId="131" shapeId="0" xr:uid="{D9FF28AE-B8E9-4A06-A287-678A0B6D95E3}">
      <text>
        <t>[Threaded comment]
Your version of Excel allows you to read this threaded comment; however, any edits to it will get removed if the file is opened in a newer version of Excel. Learn more: https://go.microsoft.com/fwlink/?linkid=870924
Comment:
    Equation 17</t>
      </text>
    </comment>
    <comment ref="E449" authorId="132" shapeId="0" xr:uid="{ED7DB089-2E3D-474C-8563-B622FE828766}">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451" authorId="133" shapeId="0" xr:uid="{3D42CCD1-F74F-4BEE-83ED-05A2AB030AA0}">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453" authorId="134" shapeId="0" xr:uid="{FAE986D7-D6D1-4141-93E3-16D81116C4AE}">
      <text>
        <t>[Threaded comment]
Your version of Excel allows you to read this threaded comment; however, any edits to it will get removed if the file is opened in a newer version of Excel. Learn more: https://go.microsoft.com/fwlink/?linkid=870924
Comment:
    Equation 12?</t>
      </text>
    </comment>
    <comment ref="E454" authorId="135" shapeId="0" xr:uid="{9E6A2447-24F5-447D-B010-4275A8A91017}">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455" authorId="136" shapeId="0" xr:uid="{C2A57596-D25F-43CC-BAFF-4E6501136FD7}">
      <text>
        <t>[Threaded comment]
Your version of Excel allows you to read this threaded comment; however, any edits to it will get removed if the file is opened in a newer version of Excel. Learn more: https://go.microsoft.com/fwlink/?linkid=870924
Comment:
    Equation 13</t>
      </text>
    </comment>
    <comment ref="E456" authorId="137" shapeId="0" xr:uid="{94FABA3F-5B5C-4A5E-AFCC-F5D7DA04DCC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57" authorId="138" shapeId="0" xr:uid="{AED0F28B-E20C-413B-B752-5B9DA65D554C}">
      <text>
        <t>[Threaded comment]
Your version of Excel allows you to read this threaded comment; however, any edits to it will get removed if the file is opened in a newer version of Excel. Learn more: https://go.microsoft.com/fwlink/?linkid=870924
Comment:
    Equation 14</t>
      </text>
    </comment>
    <comment ref="E458" authorId="139" shapeId="0" xr:uid="{68E1B1F3-A1DC-43AF-8B63-1AF7118D6F69}">
      <text>
        <t>[Threaded comment]
Your version of Excel allows you to read this threaded comment; however, any edits to it will get removed if the file is opened in a newer version of Excel. Learn more: https://go.microsoft.com/fwlink/?linkid=870924
Comment:
    Equation 15</t>
      </text>
    </comment>
    <comment ref="E459" authorId="140" shapeId="0" xr:uid="{F0E69C36-B6F6-4A3D-B988-73225CCC7899}">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61" authorId="141" shapeId="0" xr:uid="{1DDE20C1-8EF6-4EB3-B412-69CB40197E7F}">
      <text>
        <t>[Threaded comment]
Your version of Excel allows you to read this threaded comment; however, any edits to it will get removed if the file is opened in a newer version of Excel. Learn more: https://go.microsoft.com/fwlink/?linkid=870924
Comment:
    Equation 18</t>
      </text>
    </comment>
    <comment ref="E462" authorId="142" shapeId="0" xr:uid="{4C03AEE5-AD21-4EDA-8500-DBD63EFA1BC7}">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463" authorId="143" shapeId="0" xr:uid="{A2008247-D0B1-4A95-B1E1-E303A330196D}">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464" authorId="144" shapeId="0" xr:uid="{CE5669EB-1FB2-480B-AA76-F84C4493ABEB}">
      <text>
        <t>[Threaded comment]
Your version of Excel allows you to read this threaded comment; however, any edits to it will get removed if the file is opened in a newer version of Excel. Learn more: https://go.microsoft.com/fwlink/?linkid=870924
Comment:
    For equation 18</t>
      </text>
    </comment>
    <comment ref="E465" authorId="145" shapeId="0" xr:uid="{6F657241-FA25-4C03-A969-1D0E12D15DB9}">
      <text>
        <t>[Threaded comment]
Your version of Excel allows you to read this threaded comment; however, any edits to it will get removed if the file is opened in a newer version of Excel. Learn more: https://go.microsoft.com/fwlink/?linkid=870924
Comment:
    For equation 18</t>
      </text>
    </comment>
    <comment ref="E466" authorId="146" shapeId="0" xr:uid="{EC2D9971-2E3E-4BC9-A00C-553608D34E8D}">
      <text>
        <t>[Threaded comment]
Your version of Excel allows you to read this threaded comment; however, any edits to it will get removed if the file is opened in a newer version of Excel. Learn more: https://go.microsoft.com/fwlink/?linkid=870924
Comment:
    Equation 19</t>
      </text>
    </comment>
    <comment ref="E467" authorId="147" shapeId="0" xr:uid="{2125957E-AB44-4DE9-810F-1FD9CEF71F1A}">
      <text>
        <t>[Threaded comment]
Your version of Excel allows you to read this threaded comment; however, any edits to it will get removed if the file is opened in a newer version of Excel. Learn more: https://go.microsoft.com/fwlink/?linkid=870924
Comment:
    a for equation 19</t>
      </text>
    </comment>
    <comment ref="E468" authorId="148" shapeId="0" xr:uid="{1DC11A9C-3EAA-43A2-9C85-7AD447E1A62B}">
      <text>
        <t>[Threaded comment]
Your version of Excel allows you to read this threaded comment; however, any edits to it will get removed if the file is opened in a newer version of Excel. Learn more: https://go.microsoft.com/fwlink/?linkid=870924
Comment:
    P for equation 19</t>
      </text>
    </comment>
    <comment ref="E470" authorId="149" shapeId="0" xr:uid="{D4BF6115-97DA-42CE-B8FA-A3CB10D38294}">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471" authorId="150" shapeId="0" xr:uid="{2E698175-3AC4-43B4-BAC9-C284D893EBCE}">
      <text>
        <t>[Threaded comment]
Your version of Excel allows you to read this threaded comment; however, any edits to it will get removed if the file is opened in a newer version of Excel. Learn more: https://go.microsoft.com/fwlink/?linkid=870924
Comment:
    date</t>
      </text>
    </comment>
    <comment ref="E480" authorId="151" shapeId="0" xr:uid="{868EB2E1-37C5-41F0-8721-602C75EDFAB0}">
      <text>
        <t>[Threaded comment]
Your version of Excel allows you to read this threaded comment; however, any edits to it will get removed if the file is opened in a newer version of Excel. Learn more: https://go.microsoft.com/fwlink/?linkid=870924
Comment:
    Equation 24</t>
      </text>
    </comment>
    <comment ref="E481" authorId="152" shapeId="0" xr:uid="{F6646146-3AF8-4F9C-BCA9-E7D921A52737}">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482" authorId="153" shapeId="0" xr:uid="{700F0F91-C4A0-49B1-8989-925A3E32ED72}">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484" authorId="154" shapeId="0" xr:uid="{49AAA3FC-E518-4A06-A8B4-378DC03C1044}">
      <text>
        <t>[Threaded comment]
Your version of Excel allows you to read this threaded comment; however, any edits to it will get removed if the file is opened in a newer version of Excel. Learn more: https://go.microsoft.com/fwlink/?linkid=870924
Comment:
    Equation 25</t>
      </text>
    </comment>
    <comment ref="E485" authorId="155" shapeId="0" xr:uid="{F21CD49F-2179-4342-8FB0-FD9DD8995972}">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486" authorId="156" shapeId="0" xr:uid="{0D779C52-236C-46B8-976B-BC5B0F91A4B2}">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487" authorId="157" shapeId="0" xr:uid="{F5A93C0F-6854-431B-8FD7-B7B6C0571D8C}">
      <text>
        <t>[Threaded comment]
Your version of Excel allows you to read this threaded comment; however, any edits to it will get removed if the file is opened in a newer version of Excel. Learn more: https://go.microsoft.com/fwlink/?linkid=870924
Comment:
    T for equation 25</t>
      </text>
    </comment>
    <comment ref="E489" authorId="158" shapeId="0" xr:uid="{00942917-6300-4077-8809-9AF5D00B9A07}">
      <text>
        <t>[Threaded comment]
Your version of Excel allows you to read this threaded comment; however, any edits to it will get removed if the file is opened in a newer version of Excel. Learn more: https://go.microsoft.com/fwlink/?linkid=870924
Comment:
    Equation 26</t>
      </text>
    </comment>
    <comment ref="E490" authorId="159" shapeId="0" xr:uid="{7937AF29-64A4-4A59-BE61-EC815B376630}">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491" authorId="160" shapeId="0" xr:uid="{D73A9EBF-34B7-40C7-837C-678B46232C97}">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493" authorId="161" shapeId="0" xr:uid="{35A82999-A9D7-4EC2-A938-9C4DF0FCE61E}">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494" authorId="162" shapeId="0" xr:uid="{848D22D0-79D1-466F-98DD-5E6EB3E11B4D}">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495" authorId="163" shapeId="0" xr:uid="{1FBBC175-D2D9-430B-84E8-84246141832D}">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496" authorId="164" shapeId="0" xr:uid="{F93E0787-EBCE-435D-97C6-7315BE9B1D32}">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497" authorId="165" shapeId="0" xr:uid="{613946B2-A6E2-4C3A-BDE4-BB0E4D15A9CC}">
      <text>
        <t>[Threaded comment]
Your version of Excel allows you to read this threaded comment; however, any edits to it will get removed if the file is opened in a newer version of Excel. Learn more: https://go.microsoft.com/fwlink/?linkid=870924
Comment:
    Equation 27</t>
      </text>
    </comment>
    <comment ref="E508" authorId="166" shapeId="0" xr:uid="{A7F40749-A8B0-4272-96D0-1C9A50FC1A3C}">
      <text>
        <t>[Threaded comment]
Your version of Excel allows you to read this threaded comment; however, any edits to it will get removed if the file is opened in a newer version of Excel. Learn more: https://go.microsoft.com/fwlink/?linkid=870924
Comment:
    Equation 3</t>
      </text>
    </comment>
    <comment ref="E509" authorId="167" shapeId="0" xr:uid="{D7A0FF27-2936-43EA-978F-37E51F803125}">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510" authorId="168" shapeId="0" xr:uid="{9CF2DA4C-5F60-43E1-B01F-83FA4A93C3F1}">
      <text>
        <t>[Threaded comment]
Your version of Excel allows you to read this threaded comment; however, any edits to it will get removed if the file is opened in a newer version of Excel. Learn more: https://go.microsoft.com/fwlink/?linkid=870924
Comment:
    Equation 4</t>
      </text>
    </comment>
    <comment ref="E511" authorId="169" shapeId="0" xr:uid="{37A45BE9-E2C7-4FD3-8141-815D9EA95EEA}">
      <text>
        <t>[Threaded comment]
Your version of Excel allows you to read this threaded comment; however, any edits to it will get removed if the file is opened in a newer version of Excel. Learn more: https://go.microsoft.com/fwlink/?linkid=870924
Comment:
    Equation 5</t>
      </text>
    </comment>
    <comment ref="E512" authorId="170" shapeId="0" xr:uid="{D5DA31B6-0745-45C5-B46A-59454CD35B0B}">
      <text>
        <t>[Threaded comment]
Your version of Excel allows you to read this threaded comment; however, any edits to it will get removed if the file is opened in a newer version of Excel. Learn more: https://go.microsoft.com/fwlink/?linkid=870924
Comment:
    A for equation 4</t>
      </text>
    </comment>
    <comment ref="E513" authorId="171" shapeId="0" xr:uid="{A541C682-5086-4111-BD7D-CF6FEC835ABE}">
      <text>
        <t>[Threaded comment]
Your version of Excel allows you to read this threaded comment; however, any edits to it will get removed if the file is opened in a newer version of Excel. Learn more: https://go.microsoft.com/fwlink/?linkid=870924
Comment:
    Equation 6</t>
      </text>
    </comment>
    <comment ref="E514" authorId="172" shapeId="0" xr:uid="{68724151-C6AC-4AEB-950F-EAF166D3AF6A}">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516" authorId="173" shapeId="0" xr:uid="{1A5A9331-3FCE-4E78-992E-7AA2B57924D8}">
      <text>
        <t>[Threaded comment]
Your version of Excel allows you to read this threaded comment; however, any edits to it will get removed if the file is opened in a newer version of Excel. Learn more: https://go.microsoft.com/fwlink/?linkid=870924
Comment:
    Equation 7</t>
      </text>
    </comment>
    <comment ref="E517" authorId="174" shapeId="0" xr:uid="{858A66C0-187B-451B-9FD2-C9C67DB2C479}">
      <text>
        <t>[Threaded comment]
Your version of Excel allows you to read this threaded comment; however, any edits to it will get removed if the file is opened in a newer version of Excel. Learn more: https://go.microsoft.com/fwlink/?linkid=870924
Comment:
    wi for equation 6</t>
      </text>
    </comment>
    <comment ref="E518" authorId="175" shapeId="0" xr:uid="{04D4E0FA-8A19-4D48-BBEE-2CE63D0A2C6F}">
      <text>
        <t>[Threaded comment]
Your version of Excel allows you to read this threaded comment; however, any edits to it will get removed if the file is opened in a newer version of Excel. Learn more: https://go.microsoft.com/fwlink/?linkid=870924
Comment:
    Equation 8</t>
      </text>
    </comment>
    <comment ref="E519" authorId="176" shapeId="0" xr:uid="{B8C9D83D-E5BE-4CB6-85D8-E506AEB192F2}">
      <text>
        <t>[Threaded comment]
Your version of Excel allows you to read this threaded comment; however, any edits to it will get removed if the file is opened in a newer version of Excel. Learn more: https://go.microsoft.com/fwlink/?linkid=870924
Comment:
    ni for equation 8</t>
      </text>
    </comment>
    <comment ref="E521" authorId="177" shapeId="0" xr:uid="{064819FC-4834-491C-A22A-0340A49AEC59}">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523" authorId="178" shapeId="0" xr:uid="{F7C890E7-402A-4292-8AEE-415FAFB75458}">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524" authorId="179" shapeId="0" xr:uid="{9E51ED31-FE89-4394-9536-E74B2940B2C7}">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525" authorId="180" shapeId="0" xr:uid="{75857F10-AE73-4996-9692-0E3C3759921C}">
      <text>
        <t>[Threaded comment]
Your version of Excel allows you to read this threaded comment; however, any edits to it will get removed if the file is opened in a newer version of Excel. Learn more: https://go.microsoft.com/fwlink/?linkid=870924
Comment:
    u1 for equation 2</t>
      </text>
    </comment>
    <comment ref="E526" authorId="181" shapeId="0" xr:uid="{940581A9-447B-4E84-AC12-0DF97A10AD9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527" authorId="182" shapeId="0" xr:uid="{D5F44429-BF6A-4E25-8D66-5CEE9D0AAA3F}">
      <text>
        <t>[Threaded comment]
Your version of Excel allows you to read this threaded comment; however, any edits to it will get removed if the file is opened in a newer version of Excel. Learn more: https://go.microsoft.com/fwlink/?linkid=870924
Comment:
    Equation 2</t>
      </text>
    </comment>
    <comment ref="E528" authorId="183" shapeId="0" xr:uid="{8BE44F80-06B0-4BDF-89F1-CBBE84097959}">
      <text>
        <t>[Threaded comment]
Your version of Excel allows you to read this threaded comment; however, any edits to it will get removed if the file is opened in a newer version of Excel. Learn more: https://go.microsoft.com/fwlink/?linkid=870924
Comment:
    Equation 1</t>
      </text>
    </comment>
    <comment ref="E529" authorId="184" shapeId="0" xr:uid="{4B8FA422-DBFD-41FC-A92C-A838DF792F13}">
      <text>
        <t>[Threaded comment]
Your version of Excel allows you to read this threaded comment; however, any edits to it will get removed if the file is opened in a newer version of Excel. Learn more: https://go.microsoft.com/fwlink/?linkid=870924
Comment:
    Equation 2</t>
      </text>
    </comment>
    <comment ref="E531" authorId="185" shapeId="0" xr:uid="{041B2FE6-83C0-4997-AFC1-3836B6D53C73}">
      <text>
        <t>[Threaded comment]
Your version of Excel allows you to read this threaded comment; however, any edits to it will get removed if the file is opened in a newer version of Excel. Learn more: https://go.microsoft.com/fwlink/?linkid=870924
Comment:
    Equation 11</t>
      </text>
    </comment>
    <comment ref="E532" authorId="186" shapeId="0" xr:uid="{7A96BC3D-201A-44B7-A72F-74ED3A7E0346}">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33" authorId="187" shapeId="0" xr:uid="{F2EAABB1-8BC1-44D4-BBA9-5974265828CA}">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34" authorId="188" shapeId="0" xr:uid="{54BF3565-027D-4339-BC9A-1EB87A556E30}">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38" authorId="189" shapeId="0" xr:uid="{AABC5EEF-9407-4EE0-B06F-977A08EDACE5}">
      <text>
        <t>[Threaded comment]
Your version of Excel allows you to read this threaded comment; however, any edits to it will get removed if the file is opened in a newer version of Excel. Learn more: https://go.microsoft.com/fwlink/?linkid=870924
Comment:
    Equation 22</t>
      </text>
    </comment>
    <comment ref="E539" authorId="190" shapeId="0" xr:uid="{21D8705F-A8A9-4814-9CE7-2865D2395F23}">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40" authorId="191" shapeId="0" xr:uid="{30835AEA-B53C-4B89-AB20-7FA612751E48}">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41" authorId="192" shapeId="0" xr:uid="{84A6CD8B-0E72-46E3-BCAE-F7FECC268C92}">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42" authorId="193" shapeId="0" xr:uid="{80994101-8E60-43BD-9311-0105525CC255}">
      <text>
        <t>[Threaded comment]
Your version of Excel allows you to read this threaded comment; however, any edits to it will get removed if the file is opened in a newer version of Excel. Learn more: https://go.microsoft.com/fwlink/?linkid=870924
Comment:
    Equation 23</t>
      </text>
    </comment>
    <comment ref="E543" authorId="194" shapeId="0" xr:uid="{28701881-F74F-44CD-9CD0-FA9D7A66667A}">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558" authorId="195" shapeId="0" xr:uid="{2C85A21A-4F92-4C3B-AD2B-81C8533BA83C}">
      <text>
        <t>[Threaded comment]
Your version of Excel allows you to read this threaded comment; however, any edits to it will get removed if the file is opened in a newer version of Excel. Learn more: https://go.microsoft.com/fwlink/?linkid=870924
Comment:
    Equation 12</t>
      </text>
    </comment>
    <comment ref="E559" authorId="196" shapeId="0" xr:uid="{3AB3A3AC-DAA7-41D8-ABA9-90D5B8A2CC0A}">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560" authorId="197" shapeId="0" xr:uid="{786A3CA4-4354-486B-AE27-A7E807E369F3}">
      <text>
        <t>[Threaded comment]
Your version of Excel allows you to read this threaded comment; however, any edits to it will get removed if the file is opened in a newer version of Excel. Learn more: https://go.microsoft.com/fwlink/?linkid=870924
Comment:
    Equation 13</t>
      </text>
    </comment>
    <comment ref="E561" authorId="198" shapeId="0" xr:uid="{0DEBB1FA-8246-4570-AF40-9DB3D197E7A7}">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62" authorId="199" shapeId="0" xr:uid="{6824B3B9-B7F4-40D0-B263-C819B3F91902}">
      <text>
        <t>[Threaded comment]
Your version of Excel allows you to read this threaded comment; however, any edits to it will get removed if the file is opened in a newer version of Excel. Learn more: https://go.microsoft.com/fwlink/?linkid=870924
Comment:
    Equation 14</t>
      </text>
    </comment>
    <comment ref="E563" authorId="200" shapeId="0" xr:uid="{9C9A0A36-712A-479A-BE03-0C922D04576C}">
      <text>
        <t>[Threaded comment]
Your version of Excel allows you to read this threaded comment; however, any edits to it will get removed if the file is opened in a newer version of Excel. Learn more: https://go.microsoft.com/fwlink/?linkid=870924
Comment:
    Equation 15</t>
      </text>
    </comment>
    <comment ref="E564" authorId="201" shapeId="0" xr:uid="{283C7728-7453-4D15-ABD3-E65782C74028}">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66" authorId="202" shapeId="0" xr:uid="{B0AB924C-B237-4FCB-941B-8F9680547E28}">
      <text>
        <t>[Threaded comment]
Your version of Excel allows you to read this threaded comment; however, any edits to it will get removed if the file is opened in a newer version of Excel. Learn more: https://go.microsoft.com/fwlink/?linkid=870924
Comment:
    Equation 16</t>
      </text>
    </comment>
    <comment ref="E567" authorId="203" shapeId="0" xr:uid="{FCB1448B-56BF-45E9-8F29-CA472965F205}">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568" authorId="204" shapeId="0" xr:uid="{03B52DA6-247E-4C0D-91B7-69CA7347A611}">
      <text>
        <t>[Threaded comment]
Your version of Excel allows you to read this threaded comment; however, any edits to it will get removed if the file is opened in a newer version of Excel. Learn more: https://go.microsoft.com/fwlink/?linkid=870924
Comment:
    Equation 17</t>
      </text>
    </comment>
    <comment ref="E569" authorId="205" shapeId="0" xr:uid="{57A2DB76-5A6B-4634-9E11-5C3C41BAFCF4}">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571" authorId="206" shapeId="0" xr:uid="{E7743E58-0D87-4236-8251-A1933C330C6C}">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573" authorId="207" shapeId="0" xr:uid="{17B88104-3069-497E-A14E-DB374540D352}">
      <text>
        <t>[Threaded comment]
Your version of Excel allows you to read this threaded comment; however, any edits to it will get removed if the file is opened in a newer version of Excel. Learn more: https://go.microsoft.com/fwlink/?linkid=870924
Comment:
    Equation 12?</t>
      </text>
    </comment>
    <comment ref="E574" authorId="208" shapeId="0" xr:uid="{B7EAB1E3-D64D-43B7-8978-AD7DD1F6A4F5}">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575" authorId="209" shapeId="0" xr:uid="{FE1BAACB-6E42-4D07-9457-968B50EB2E5A}">
      <text>
        <t>[Threaded comment]
Your version of Excel allows you to read this threaded comment; however, any edits to it will get removed if the file is opened in a newer version of Excel. Learn more: https://go.microsoft.com/fwlink/?linkid=870924
Comment:
    Equation 13</t>
      </text>
    </comment>
    <comment ref="E576" authorId="210" shapeId="0" xr:uid="{E98AF942-3289-4E66-BC63-DA4E6870ADDE}">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77" authorId="211" shapeId="0" xr:uid="{F16C6534-8320-47EF-A5CA-B30F09A928E7}">
      <text>
        <t>[Threaded comment]
Your version of Excel allows you to read this threaded comment; however, any edits to it will get removed if the file is opened in a newer version of Excel. Learn more: https://go.microsoft.com/fwlink/?linkid=870924
Comment:
    Equation 14</t>
      </text>
    </comment>
    <comment ref="E578" authorId="212" shapeId="0" xr:uid="{52C0F335-3E2B-4FAB-B804-1336234D7A29}">
      <text>
        <t>[Threaded comment]
Your version of Excel allows you to read this threaded comment; however, any edits to it will get removed if the file is opened in a newer version of Excel. Learn more: https://go.microsoft.com/fwlink/?linkid=870924
Comment:
    Equation 15</t>
      </text>
    </comment>
    <comment ref="E579" authorId="213" shapeId="0" xr:uid="{4216DB61-B6F0-4A63-A48A-9168235F2198}">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81" authorId="214" shapeId="0" xr:uid="{354EEB4D-E872-436C-8A5D-6915CD08547C}">
      <text>
        <t>[Threaded comment]
Your version of Excel allows you to read this threaded comment; however, any edits to it will get removed if the file is opened in a newer version of Excel. Learn more: https://go.microsoft.com/fwlink/?linkid=870924
Comment:
    Equation 18</t>
      </text>
    </comment>
    <comment ref="E582" authorId="215" shapeId="0" xr:uid="{38A0822C-60CE-4154-8A52-A167BF9FC37F}">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583" authorId="216" shapeId="0" xr:uid="{AA457539-5C5E-4212-8542-4B58BA43E152}">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584" authorId="217" shapeId="0" xr:uid="{997ADB2D-391C-4983-991F-872746623EC6}">
      <text>
        <t>[Threaded comment]
Your version of Excel allows you to read this threaded comment; however, any edits to it will get removed if the file is opened in a newer version of Excel. Learn more: https://go.microsoft.com/fwlink/?linkid=870924
Comment:
    For equation 18</t>
      </text>
    </comment>
    <comment ref="E585" authorId="218" shapeId="0" xr:uid="{BC32440E-C5CD-477F-BE1E-0ADD4CB11C7F}">
      <text>
        <t>[Threaded comment]
Your version of Excel allows you to read this threaded comment; however, any edits to it will get removed if the file is opened in a newer version of Excel. Learn more: https://go.microsoft.com/fwlink/?linkid=870924
Comment:
    For equation 18</t>
      </text>
    </comment>
    <comment ref="E586" authorId="219" shapeId="0" xr:uid="{3B57A70B-78CB-4DC7-A6C4-8DDA629F2C0A}">
      <text>
        <t>[Threaded comment]
Your version of Excel allows you to read this threaded comment; however, any edits to it will get removed if the file is opened in a newer version of Excel. Learn more: https://go.microsoft.com/fwlink/?linkid=870924
Comment:
    Equation 19</t>
      </text>
    </comment>
    <comment ref="E587" authorId="220" shapeId="0" xr:uid="{F60D6E56-5C9E-4EB3-9DD7-4A946BE61EDD}">
      <text>
        <t>[Threaded comment]
Your version of Excel allows you to read this threaded comment; however, any edits to it will get removed if the file is opened in a newer version of Excel. Learn more: https://go.microsoft.com/fwlink/?linkid=870924
Comment:
    a for equation 19</t>
      </text>
    </comment>
    <comment ref="E588" authorId="221" shapeId="0" xr:uid="{23297296-F55E-4B0D-82C3-40F4326A5221}">
      <text>
        <t>[Threaded comment]
Your version of Excel allows you to read this threaded comment; however, any edits to it will get removed if the file is opened in a newer version of Excel. Learn more: https://go.microsoft.com/fwlink/?linkid=870924
Comment:
    P for equation 19</t>
      </text>
    </comment>
    <comment ref="E590" authorId="222" shapeId="0" xr:uid="{FD31A5D0-AC59-440F-9B25-87BD9C6B2358}">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591" authorId="223" shapeId="0" xr:uid="{5F6D1C06-7FFD-46A0-98B6-D3E8F28F82A7}">
      <text>
        <t>[Threaded comment]
Your version of Excel allows you to read this threaded comment; however, any edits to it will get removed if the file is opened in a newer version of Excel. Learn more: https://go.microsoft.com/fwlink/?linkid=870924
Comment:
    date</t>
      </text>
    </comment>
    <comment ref="E600" authorId="224" shapeId="0" xr:uid="{B3A3777D-97CC-49A9-8549-2A0668A541F3}">
      <text>
        <t>[Threaded comment]
Your version of Excel allows you to read this threaded comment; however, any edits to it will get removed if the file is opened in a newer version of Excel. Learn more: https://go.microsoft.com/fwlink/?linkid=870924
Comment:
    Equation 24</t>
      </text>
    </comment>
    <comment ref="E601" authorId="225" shapeId="0" xr:uid="{7E774C41-04BF-438A-A7FE-77457D709A3D}">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602" authorId="226" shapeId="0" xr:uid="{D11BDBB3-8CF1-4F94-BFCE-C31627E7654C}">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604" authorId="227" shapeId="0" xr:uid="{B9718463-0A5D-421A-8C18-DC510815F018}">
      <text>
        <t>[Threaded comment]
Your version of Excel allows you to read this threaded comment; however, any edits to it will get removed if the file is opened in a newer version of Excel. Learn more: https://go.microsoft.com/fwlink/?linkid=870924
Comment:
    Equation 25</t>
      </text>
    </comment>
    <comment ref="E605" authorId="228" shapeId="0" xr:uid="{06D082B7-F01D-453E-A725-7C644AFDC2B5}">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606" authorId="229" shapeId="0" xr:uid="{15085C75-7DC0-47A8-ADBB-94C9B7185A9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607" authorId="230" shapeId="0" xr:uid="{BDB26218-C021-4781-8198-4AAE3007FA87}">
      <text>
        <t>[Threaded comment]
Your version of Excel allows you to read this threaded comment; however, any edits to it will get removed if the file is opened in a newer version of Excel. Learn more: https://go.microsoft.com/fwlink/?linkid=870924
Comment:
    T for equation 25</t>
      </text>
    </comment>
    <comment ref="E609" authorId="231" shapeId="0" xr:uid="{24F2616A-0B2B-4A55-9B4D-CD41A754B0FA}">
      <text>
        <t>[Threaded comment]
Your version of Excel allows you to read this threaded comment; however, any edits to it will get removed if the file is opened in a newer version of Excel. Learn more: https://go.microsoft.com/fwlink/?linkid=870924
Comment:
    Equation 26</t>
      </text>
    </comment>
    <comment ref="E610" authorId="232" shapeId="0" xr:uid="{0920D528-28BF-41E0-8ED9-2FF7E6749BF8}">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611" authorId="233" shapeId="0" xr:uid="{74B11DFA-524B-421F-8D8A-56927C231B4B}">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613" authorId="234" shapeId="0" xr:uid="{3C9EBF2D-772F-4C2C-AE7E-56739D78FD1B}">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14" authorId="235" shapeId="0" xr:uid="{F56D1DC5-06A9-49DD-919C-A987BB9F5C4F}">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615" authorId="236" shapeId="0" xr:uid="{44F8B28D-6E88-4D87-8757-0B2F9C29CF17}">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616" authorId="237" shapeId="0" xr:uid="{71B37394-0100-40A4-8DD9-95BC7B6B3B8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617" authorId="238" shapeId="0" xr:uid="{F475A974-4E21-4815-9CA5-4F707931920C}">
      <text>
        <t>[Threaded comment]
Your version of Excel allows you to read this threaded comment; however, any edits to it will get removed if the file is opened in a newer version of Excel. Learn more: https://go.microsoft.com/fwlink/?linkid=870924
Comment:
    Equation 27</t>
      </text>
    </comment>
    <comment ref="G630" authorId="239" shapeId="0" xr:uid="{C3A3FB3B-34F0-4FF1-A2EC-558DD3D2E307}">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 ref="E635" authorId="240" shapeId="0" xr:uid="{DA30EB34-6BF3-4021-84AE-977038A54E10}">
      <text>
        <t>[Threaded comment]
Your version of Excel allows you to read this threaded comment; however, any edits to it will get removed if the file is opened in a newer version of Excel. Learn more: https://go.microsoft.com/fwlink/?linkid=870924
Comment:
    Equation 44</t>
      </text>
    </comment>
    <comment ref="E636" authorId="241" shapeId="0" xr:uid="{28CBB547-776C-40F2-8059-71AC2BC4F5FE}">
      <text>
        <t>[Threaded comment]
Your version of Excel allows you to read this threaded comment; however, any edits to it will get removed if the file is opened in a newer version of Excel. Learn more: https://go.microsoft.com/fwlink/?linkid=870924
Comment:
    Equation 45</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tc={61668A57-401F-49F0-9EBD-E80C6168F8B0}</author>
  </authors>
  <commentList>
    <comment ref="E14" authorId="0" shapeId="0" xr:uid="{61668A57-401F-49F0-9EBD-E80C6168F8B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tc={76F79C98-FA64-4C7F-B00B-B8528325ADD6}</author>
  </authors>
  <commentList>
    <comment ref="E12" authorId="0" shapeId="0" xr:uid="{76F79C98-FA64-4C7F-B00B-B8528325ADD6}">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tc={917A845F-2025-47EB-997D-7D55527A3698}</author>
    <author>tc={52F48FA8-A0A7-42FA-AEE3-DDEB72A3C402}</author>
    <author>tc={D8549555-F64E-4011-8A44-809FE921645C}</author>
    <author>tc={23A9C9C3-70F2-48C1-8E51-C2FCE027C0D5}</author>
    <author>tc={7655A641-1DB4-4BBC-B9CA-F36BBF805DCF}</author>
    <author>tc={9156A995-DCD5-412C-9EE3-0775352F60F3}</author>
  </authors>
  <commentList>
    <comment ref="E18" authorId="0" shapeId="0" xr:uid="{917A845F-2025-47EB-997D-7D55527A369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9" authorId="1" shapeId="0" xr:uid="{52F48FA8-A0A7-42FA-AEE3-DDEB72A3C402}">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30" authorId="2" shapeId="0" xr:uid="{D8549555-F64E-4011-8A44-809FE921645C}">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2" authorId="3" shapeId="0" xr:uid="{23A9C9C3-70F2-48C1-8E51-C2FCE027C0D5}">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33" authorId="4" shapeId="0" xr:uid="{7655A641-1DB4-4BBC-B9CA-F36BBF805DCF}">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34" authorId="5" shapeId="0" xr:uid="{9156A995-DCD5-412C-9EE3-0775352F60F3}">
      <text>
        <t>[Threaded comment]
Your version of Excel allows you to read this threaded comment; however, any edits to it will get removed if the file is opened in a newer version of Excel. Learn more: https://go.microsoft.com/fwlink/?linkid=870924
Comment:
    Part of equation 45</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tc={7104E8C6-47C4-429E-978B-DCDC81C9459A}</author>
    <author>tc={8AA46329-91E9-4A2F-9ABC-D85D16A553D0}</author>
    <author>tc={65B4D13D-D8BC-4573-A77C-F064917E2DB1}</author>
  </authors>
  <commentList>
    <comment ref="E17" authorId="0" shapeId="0" xr:uid="{7104E8C6-47C4-429E-978B-DCDC81C9459A}">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 authorId="1" shapeId="0" xr:uid="{8AA46329-91E9-4A2F-9ABC-D85D16A553D0}">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29" authorId="2" shapeId="0" xr:uid="{65B4D13D-D8BC-4573-A77C-F064917E2DB1}">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tc={745E5FAE-64F8-41F0-AFB5-F9E43BCF6802}</author>
    <author>tc={28DA86D0-A982-445E-B439-63D678E82644}</author>
  </authors>
  <commentList>
    <comment ref="E14" authorId="0" shapeId="0" xr:uid="{745E5FAE-64F8-41F0-AFB5-F9E43BCF6802}">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5" authorId="1" shapeId="0" xr:uid="{28DA86D0-A982-445E-B439-63D678E82644}">
      <text>
        <t>[Threaded comment]
Your version of Excel allows you to read this threaded comment; however, any edits to it will get removed if the file is opened in a newer version of Excel. Learn more: https://go.microsoft.com/fwlink/?linkid=870924
Comment:
    Equation 46 part 1</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tc={F5B5C988-2217-46D9-97EA-EC5DFB1BA010}</author>
  </authors>
  <commentList>
    <comment ref="E14" authorId="0" shapeId="0" xr:uid="{F5B5C988-2217-46D9-97EA-EC5DFB1BA01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tc={7279F1BB-D461-4AF4-95EE-278B69AE48E7}</author>
  </authors>
  <commentList>
    <comment ref="E12" authorId="0" shapeId="0" xr:uid="{7279F1BB-D461-4AF4-95EE-278B69AE48E7}">
      <text>
        <t>[Threaded comment]
Your version of Excel allows you to read this threaded comment; however, any edits to it will get removed if the file is opened in a newer version of Excel. Learn more: https://go.microsoft.com/fwlink/?linkid=870924
Comment:
    Equation 4
Reply:
    See formula in the SAMPLE sheet</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tc={A8284074-9D8E-40CF-A046-1AF5DF56FD49}</author>
    <author>tc={7CE4226A-3855-4F07-867C-D5CCA7948C4B}</author>
    <author>tc={C33C2E72-0567-47C2-8582-38B904F01D07}</author>
    <author>tc={5C5BEC53-168D-4DBA-B6E3-C73112681717}</author>
    <author>tc={97172A3E-498F-4654-8731-F2DB9D2A940B}</author>
    <author>tc={340949F4-F32E-4D91-B74C-2AC0D56F934D}</author>
    <author>tc={818E4A0E-C4C6-49D3-BD78-DF050DD89DC8}</author>
    <author>tc={F04F55C9-AF22-41B7-8A65-328DDCD649A6}</author>
    <author>tc={FD332337-A071-42ED-8063-FB74FBC0680C}</author>
    <author>tc={FDE68537-36E2-4489-821B-728203DA911F}</author>
    <author>tc={7531722C-4CF6-42A5-97E5-96FDE1482A15}</author>
    <author>tc={70C7D9F3-9F87-461B-8509-D4FE4A696410}</author>
    <author>tc={CC7FE14F-8AD1-4A63-A96C-C5B2B94CC56E}</author>
    <author>tc={B2A3F04B-AEF5-4AEB-B39A-E7FCCBDDDE1E}</author>
    <author>tc={EE8162E4-7F8C-4AC5-9ACD-CEEF8F16E8A3}</author>
    <author>tc={23F2EFB9-ADB8-4582-8FB7-96EFCC9A5D96}</author>
    <author>tc={AC9EC484-6C9B-442E-8D0B-1D6E871BEFB3}</author>
    <author>tc={B72B64E5-E15D-4F44-89A1-44C453BDAE14}</author>
    <author>tc={B5FF750F-B733-468E-B595-AE84C76C0CF8}</author>
    <author>tc={DF9A1735-227D-452D-BDF7-8912E318FFE0}</author>
    <author>tc={B39D400E-12A6-4891-A406-42CCF8A03A2A}</author>
    <author>tc={F8D87B97-5CCF-40C8-9942-CD7BAF63556D}</author>
    <author>tc={FF87B847-CC67-4C30-9616-1EBD65FCBEC4}</author>
    <author>tc={BDF8ABB0-4E02-4B7A-AF58-40C2AA0FA0C5}</author>
    <author>tc={3DC7116C-CEF3-4EC9-B201-0F74EA2B2F90}</author>
    <author>tc={08BA525D-7E0E-424D-B078-98B83A083547}</author>
    <author>tc={B60E03BA-D18D-4DEB-8A13-07F82B0822C9}</author>
    <author>tc={60646FB0-F5F5-466B-86A5-0E20FE88900E}</author>
    <author>tc={877C16D8-3F95-4FEB-A229-955F8C24753F}</author>
    <author>tc={D2FE1042-1B1C-4D2F-A1D3-703C6C714324}</author>
    <author>tc={63067321-9200-43D4-B9EF-65675FF2297E}</author>
    <author>tc={B3DEC916-BF2A-49D1-82F8-D64399C43CD7}</author>
    <author>tc={E8AAD2DB-740D-4DFD-B535-6FE5E1C42E01}</author>
    <author>tc={79EE2761-112F-457A-B51A-AB00013E01A0}</author>
    <author>tc={42E88E69-74AD-4DD8-97A2-B7CD6F624644}</author>
    <author>tc={A0B1B8A6-ECF4-4B31-9CF6-BE2715B8C7BD}</author>
    <author>tc={2B7EE5C2-0FA9-4BFA-8DC5-AAAF44CE5771}</author>
    <author>tc={13E7389F-20B0-40E5-83CB-FDD67322946E}</author>
    <author>tc={CAA26D75-F52E-4B04-BAF2-BF742E438DE6}</author>
    <author>tc={B6BE61CB-2966-4A77-9037-7159A743FA62}</author>
    <author>tc={91753598-245B-4E56-BE1D-882B4840FB2E}</author>
    <author>tc={BE66F561-5B53-42C4-8716-38FE2C6FFC3B}</author>
    <author>tc={3E5BE421-ADF0-4DCC-BC01-8A0221E122E6}</author>
    <author>tc={56490938-82F3-4F3F-B102-00C55C25AD1E}</author>
    <author>tc={68B14466-3E7C-42DF-BAAC-ACD4E12E5398}</author>
    <author>tc={9FCB6DF6-8B98-49F6-9E64-2EDB8248AB13}</author>
    <author>tc={AFDD3AC4-F2CC-4AC1-B351-7F77DB074733}</author>
    <author>tc={0137E381-292A-4479-955E-0E12C62506A2}</author>
    <author>tc={7543862E-6B64-4281-80B5-247BBADBCBB7}</author>
    <author>tc={7C9CD6D5-2013-4CED-A15C-3672CEBF22CB}</author>
    <author>tc={327AE7C2-F904-4E68-B3AA-8F369C4EFDDB}</author>
    <author>tc={D912AF15-F159-4D8E-903C-17665DB4A858}</author>
    <author>tc={9E7E86A6-00F0-43DD-8472-CDD534FA4B41}</author>
    <author>tc={01E83214-4A7C-4FE7-9223-40E98006791B}</author>
    <author>tc={85BE1A3D-2578-44EF-BB2D-4728FB51F574}</author>
    <author>tc={80B8CB04-281E-4AC8-8885-B7989E69BCAB}</author>
  </authors>
  <commentList>
    <comment ref="E12" authorId="0" shapeId="0" xr:uid="{A8284074-9D8E-40CF-A046-1AF5DF56FD49}">
      <text>
        <t>[Threaded comment]
Your version of Excel allows you to read this threaded comment; however, any edits to it will get removed if the file is opened in a newer version of Excel. Learn more: https://go.microsoft.com/fwlink/?linkid=870924
Comment:
    Equation 8</t>
      </text>
    </comment>
    <comment ref="E15" authorId="1" shapeId="0" xr:uid="{7CE4226A-3855-4F07-867C-D5CCA7948C4B}">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2" shapeId="0" xr:uid="{C33C2E72-0567-47C2-8582-38B904F01D07}">
      <text>
        <t>[Threaded comment]
Your version of Excel allows you to read this threaded comment; however, any edits to it will get removed if the file is opened in a newer version of Excel. Learn more: https://go.microsoft.com/fwlink/?linkid=870924
Comment:
    Equation 7</t>
      </text>
    </comment>
    <comment ref="E22" authorId="3" shapeId="0" xr:uid="{5C5BEC53-168D-4DBA-B6E3-C73112681717}">
      <text>
        <t>[Threaded comment]
Your version of Excel allows you to read this threaded comment; however, any edits to it will get removed if the file is opened in a newer version of Excel. Learn more: https://go.microsoft.com/fwlink/?linkid=870924
Comment:
    Equation 10</t>
      </text>
    </comment>
    <comment ref="E23" authorId="4" shapeId="0" xr:uid="{97172A3E-498F-4654-8731-F2DB9D2A940B}">
      <text>
        <t>[Threaded comment]
Your version of Excel allows you to read this threaded comment; however, any edits to it will get removed if the file is opened in a newer version of Excel. Learn more: https://go.microsoft.com/fwlink/?linkid=870924
Comment:
    Equation 9</t>
      </text>
    </comment>
    <comment ref="E33" authorId="5" shapeId="0" xr:uid="{340949F4-F32E-4D91-B74C-2AC0D56F934D}">
      <text>
        <t>[Threaded comment]
Your version of Excel allows you to read this threaded comment; however, any edits to it will get removed if the file is opened in a newer version of Excel. Learn more: https://go.microsoft.com/fwlink/?linkid=870924
Comment:
    Equation 12</t>
      </text>
    </comment>
    <comment ref="E46" authorId="6" shapeId="0" xr:uid="{818E4A0E-C4C6-49D3-BD78-DF050DD89DC8}">
      <text>
        <t>[Threaded comment]
Your version of Excel allows you to read this threaded comment; however, any edits to it will get removed if the file is opened in a newer version of Excel. Learn more: https://go.microsoft.com/fwlink/?linkid=870924
Comment:
    Equation 14</t>
      </text>
    </comment>
    <comment ref="E50" authorId="7" shapeId="0" xr:uid="{F04F55C9-AF22-41B7-8A65-328DDCD649A6}">
      <text>
        <t>[Threaded comment]
Your version of Excel allows you to read this threaded comment; however, any edits to it will get removed if the file is opened in a newer version of Excel. Learn more: https://go.microsoft.com/fwlink/?linkid=870924
Comment:
    Equation 13</t>
      </text>
    </comment>
    <comment ref="E61" authorId="8" shapeId="0" xr:uid="{FD332337-A071-42ED-8063-FB74FBC0680C}">
      <text>
        <t>[Threaded comment]
Your version of Excel allows you to read this threaded comment; however, any edits to it will get removed if the file is opened in a newer version of Excel. Learn more: https://go.microsoft.com/fwlink/?linkid=870924
Comment:
    Equation 15</t>
      </text>
    </comment>
    <comment ref="E69" authorId="9" shapeId="0" xr:uid="{FDE68537-36E2-4489-821B-728203DA911F}">
      <text>
        <t>[Threaded comment]
Your version of Excel allows you to read this threaded comment; however, any edits to it will get removed if the file is opened in a newer version of Excel. Learn more: https://go.microsoft.com/fwlink/?linkid=870924
Comment:
    Equation 20</t>
      </text>
    </comment>
    <comment ref="E74" authorId="10" shapeId="0" xr:uid="{7531722C-4CF6-42A5-97E5-96FDE1482A15}">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11" shapeId="0" xr:uid="{70C7D9F3-9F87-461B-8509-D4FE4A696410}">
      <text>
        <t>[Threaded comment]
Your version of Excel allows you to read this threaded comment; however, any edits to it will get removed if the file is opened in a newer version of Excel. Learn more: https://go.microsoft.com/fwlink/?linkid=870924
Comment:
    Equation 19</t>
      </text>
    </comment>
    <comment ref="E80" authorId="12" shapeId="0" xr:uid="{CC7FE14F-8AD1-4A63-A96C-C5B2B94CC56E}">
      <text>
        <t>[Threaded comment]
Your version of Excel allows you to read this threaded comment; however, any edits to it will get removed if the file is opened in a newer version of Excel. Learn more: https://go.microsoft.com/fwlink/?linkid=870924
Comment:
    Equation 23</t>
      </text>
    </comment>
    <comment ref="E83" authorId="13" shapeId="0" xr:uid="{B2A3F04B-AEF5-4AEB-B39A-E7FCCBDDDE1E}">
      <text>
        <t>[Threaded comment]
Your version of Excel allows you to read this threaded comment; however, any edits to it will get removed if the file is opened in a newer version of Excel. Learn more: https://go.microsoft.com/fwlink/?linkid=870924
Comment:
    Equation 24</t>
      </text>
    </comment>
    <comment ref="E84" authorId="14" shapeId="0" xr:uid="{EE8162E4-7F8C-4AC5-9ACD-CEEF8F16E8A3}">
      <text>
        <t>[Threaded comment]
Your version of Excel allows you to read this threaded comment; however, any edits to it will get removed if the file is opened in a newer version of Excel. Learn more: https://go.microsoft.com/fwlink/?linkid=870924
Comment:
    Equation 22</t>
      </text>
    </comment>
    <comment ref="E85" authorId="15" shapeId="0" xr:uid="{23F2EFB9-ADB8-4582-8FB7-96EFCC9A5D96}">
      <text>
        <t>[Threaded comment]
Your version of Excel allows you to read this threaded comment; however, any edits to it will get removed if the file is opened in a newer version of Excel. Learn more: https://go.microsoft.com/fwlink/?linkid=870924
Comment:
    Equation 18</t>
      </text>
    </comment>
    <comment ref="E97" authorId="16" shapeId="0" xr:uid="{AC9EC484-6C9B-442E-8D0B-1D6E871BEFB3}">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02" authorId="17" shapeId="0" xr:uid="{B72B64E5-E15D-4F44-89A1-44C453BDAE14}">
      <text>
        <t>[Threaded comment]
Your version of Excel allows you to read this threaded comment; however, any edits to it will get removed if the file is opened in a newer version of Excel. Learn more: https://go.microsoft.com/fwlink/?linkid=870924
Comment:
    Equation 32</t>
      </text>
    </comment>
    <comment ref="E103" authorId="18" shapeId="0" xr:uid="{B5FF750F-B733-468E-B595-AE84C76C0CF8}">
      <text>
        <t>[Threaded comment]
Your version of Excel allows you to read this threaded comment; however, any edits to it will get removed if the file is opened in a newer version of Excel. Learn more: https://go.microsoft.com/fwlink/?linkid=870924
Comment:
    Equation 31</t>
      </text>
    </comment>
    <comment ref="E104" authorId="19" shapeId="0" xr:uid="{DF9A1735-227D-452D-BDF7-8912E318FFE0}">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5" authorId="20" shapeId="0" xr:uid="{B39D400E-12A6-4891-A406-42CCF8A03A2A}">
      <text>
        <t>[Threaded comment]
Your version of Excel allows you to read this threaded comment; however, any edits to it will get removed if the file is opened in a newer version of Excel. Learn more: https://go.microsoft.com/fwlink/?linkid=870924
Comment:
    Equation 30</t>
      </text>
    </comment>
    <comment ref="E106" authorId="21" shapeId="0" xr:uid="{F8D87B97-5CCF-40C8-9942-CD7BAF63556D}">
      <text>
        <t>[Threaded comment]
Your version of Excel allows you to read this threaded comment; however, any edits to it will get removed if the file is opened in a newer version of Excel. Learn more: https://go.microsoft.com/fwlink/?linkid=870924
Comment:
    Equation 27</t>
      </text>
    </comment>
    <comment ref="E114" authorId="22" shapeId="0" xr:uid="{FF87B847-CC67-4C30-9616-1EBD65FCBEC4}">
      <text>
        <t>[Threaded comment]
Your version of Excel allows you to read this threaded comment; however, any edits to it will get removed if the file is opened in a newer version of Excel. Learn more: https://go.microsoft.com/fwlink/?linkid=870924
Comment:
    Equation 26</t>
      </text>
    </comment>
    <comment ref="E115" authorId="23" shapeId="0" xr:uid="{BDF8ABB0-4E02-4B7A-AF58-40C2AA0FA0C5}">
      <text>
        <t>[Threaded comment]
Your version of Excel allows you to read this threaded comment; however, any edits to it will get removed if the file is opened in a newer version of Excel. Learn more: https://go.microsoft.com/fwlink/?linkid=870924
Comment:
    Equation 25</t>
      </text>
    </comment>
    <comment ref="E125" authorId="24" shapeId="0" xr:uid="{3DC7116C-CEF3-4EC9-B201-0F74EA2B2F90}">
      <text>
        <t>[Threaded comment]
Your version of Excel allows you to read this threaded comment; however, any edits to it will get removed if the file is opened in a newer version of Excel. Learn more: https://go.microsoft.com/fwlink/?linkid=870924
Comment:
    Equation 33</t>
      </text>
    </comment>
    <comment ref="E134" authorId="25" shapeId="0" xr:uid="{08BA525D-7E0E-424D-B078-98B83A083547}">
      <text>
        <t>[Threaded comment]
Your version of Excel allows you to read this threaded comment; however, any edits to it will get removed if the file is opened in a newer version of Excel. Learn more: https://go.microsoft.com/fwlink/?linkid=870924
Comment:
    Equation 8</t>
      </text>
    </comment>
    <comment ref="E137" authorId="26" shapeId="0" xr:uid="{B60E03BA-D18D-4DEB-8A13-07F82B0822C9}">
      <text>
        <t>[Threaded comment]
Your version of Excel allows you to read this threaded comment; however, any edits to it will get removed if the file is opened in a newer version of Excel. Learn more: https://go.microsoft.com/fwlink/?linkid=870924
Comment:
    Equation 7</t>
      </text>
    </comment>
    <comment ref="E144" authorId="27" shapeId="0" xr:uid="{60646FB0-F5F5-466B-86A5-0E20FE88900E}">
      <text>
        <t>[Threaded comment]
Your version of Excel allows you to read this threaded comment; however, any edits to it will get removed if the file is opened in a newer version of Excel. Learn more: https://go.microsoft.com/fwlink/?linkid=870924
Comment:
    Equation 10</t>
      </text>
    </comment>
    <comment ref="E145" authorId="28" shapeId="0" xr:uid="{877C16D8-3F95-4FEB-A229-955F8C24753F}">
      <text>
        <t>[Threaded comment]
Your version of Excel allows you to read this threaded comment; however, any edits to it will get removed if the file is opened in a newer version of Excel. Learn more: https://go.microsoft.com/fwlink/?linkid=870924
Comment:
    Equation 9</t>
      </text>
    </comment>
    <comment ref="E155" authorId="29" shapeId="0" xr:uid="{D2FE1042-1B1C-4D2F-A1D3-703C6C714324}">
      <text>
        <t>[Threaded comment]
Your version of Excel allows you to read this threaded comment; however, any edits to it will get removed if the file is opened in a newer version of Excel. Learn more: https://go.microsoft.com/fwlink/?linkid=870924
Comment:
    Equation 12</t>
      </text>
    </comment>
    <comment ref="E168" authorId="30" shapeId="0" xr:uid="{63067321-9200-43D4-B9EF-65675FF2297E}">
      <text>
        <t>[Threaded comment]
Your version of Excel allows you to read this threaded comment; however, any edits to it will get removed if the file is opened in a newer version of Excel. Learn more: https://go.microsoft.com/fwlink/?linkid=870924
Comment:
    Equation 14</t>
      </text>
    </comment>
    <comment ref="E172" authorId="31" shapeId="0" xr:uid="{B3DEC916-BF2A-49D1-82F8-D64399C43CD7}">
      <text>
        <t>[Threaded comment]
Your version of Excel allows you to read this threaded comment; however, any edits to it will get removed if the file is opened in a newer version of Excel. Learn more: https://go.microsoft.com/fwlink/?linkid=870924
Comment:
    Equation 13</t>
      </text>
    </comment>
    <comment ref="E183" authorId="32" shapeId="0" xr:uid="{E8AAD2DB-740D-4DFD-B535-6FE5E1C42E01}">
      <text>
        <t>[Threaded comment]
Your version of Excel allows you to read this threaded comment; however, any edits to it will get removed if the file is opened in a newer version of Excel. Learn more: https://go.microsoft.com/fwlink/?linkid=870924
Comment:
    Equation 15</t>
      </text>
    </comment>
    <comment ref="E191" authorId="33" shapeId="0" xr:uid="{79EE2761-112F-457A-B51A-AB00013E01A0}">
      <text>
        <t>[Threaded comment]
Your version of Excel allows you to read this threaded comment; however, any edits to it will get removed if the file is opened in a newer version of Excel. Learn more: https://go.microsoft.com/fwlink/?linkid=870924
Comment:
    Equation 20</t>
      </text>
    </comment>
    <comment ref="E196" authorId="34" shapeId="0" xr:uid="{42E88E69-74AD-4DD8-97A2-B7CD6F624644}">
      <text>
        <t>[Threaded comment]
Your version of Excel allows you to read this threaded comment; however, any edits to it will get removed if the file is opened in a newer version of Excel. Learn more: https://go.microsoft.com/fwlink/?linkid=870924
Comment:
    Equation 21</t>
      </text>
    </comment>
    <comment ref="E198" authorId="35" shapeId="0" xr:uid="{A0B1B8A6-ECF4-4B31-9CF6-BE2715B8C7BD}">
      <text>
        <t>[Threaded comment]
Your version of Excel allows you to read this threaded comment; however, any edits to it will get removed if the file is opened in a newer version of Excel. Learn more: https://go.microsoft.com/fwlink/?linkid=870924
Comment:
    Equation 19</t>
      </text>
    </comment>
    <comment ref="E202" authorId="36" shapeId="0" xr:uid="{2B7EE5C2-0FA9-4BFA-8DC5-AAAF44CE5771}">
      <text>
        <t>[Threaded comment]
Your version of Excel allows you to read this threaded comment; however, any edits to it will get removed if the file is opened in a newer version of Excel. Learn more: https://go.microsoft.com/fwlink/?linkid=870924
Comment:
    Equation 23</t>
      </text>
    </comment>
    <comment ref="E205" authorId="37" shapeId="0" xr:uid="{13E7389F-20B0-40E5-83CB-FDD67322946E}">
      <text>
        <t>[Threaded comment]
Your version of Excel allows you to read this threaded comment; however, any edits to it will get removed if the file is opened in a newer version of Excel. Learn more: https://go.microsoft.com/fwlink/?linkid=870924
Comment:
    Equation 24</t>
      </text>
    </comment>
    <comment ref="E206" authorId="38" shapeId="0" xr:uid="{CAA26D75-F52E-4B04-BAF2-BF742E438DE6}">
      <text>
        <t>[Threaded comment]
Your version of Excel allows you to read this threaded comment; however, any edits to it will get removed if the file is opened in a newer version of Excel. Learn more: https://go.microsoft.com/fwlink/?linkid=870924
Comment:
    Equation 22</t>
      </text>
    </comment>
    <comment ref="E207" authorId="39" shapeId="0" xr:uid="{B6BE61CB-2966-4A77-9037-7159A743FA62}">
      <text>
        <t>[Threaded comment]
Your version of Excel allows you to read this threaded comment; however, any edits to it will get removed if the file is opened in a newer version of Excel. Learn more: https://go.microsoft.com/fwlink/?linkid=870924
Comment:
    Equation 18</t>
      </text>
    </comment>
    <comment ref="E219" authorId="40" shapeId="0" xr:uid="{91753598-245B-4E56-BE1D-882B4840FB2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24" authorId="41" shapeId="0" xr:uid="{BE66F561-5B53-42C4-8716-38FE2C6FFC3B}">
      <text>
        <t>[Threaded comment]
Your version of Excel allows you to read this threaded comment; however, any edits to it will get removed if the file is opened in a newer version of Excel. Learn more: https://go.microsoft.com/fwlink/?linkid=870924
Comment:
    Equation 32</t>
      </text>
    </comment>
    <comment ref="E225" authorId="42" shapeId="0" xr:uid="{3E5BE421-ADF0-4DCC-BC01-8A0221E122E6}">
      <text>
        <t>[Threaded comment]
Your version of Excel allows you to read this threaded comment; however, any edits to it will get removed if the file is opened in a newer version of Excel. Learn more: https://go.microsoft.com/fwlink/?linkid=870924
Comment:
    Equation 31</t>
      </text>
    </comment>
    <comment ref="E226" authorId="43" shapeId="0" xr:uid="{56490938-82F3-4F3F-B102-00C55C25AD1E}">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7" authorId="44" shapeId="0" xr:uid="{68B14466-3E7C-42DF-BAAC-ACD4E12E5398}">
      <text>
        <t>[Threaded comment]
Your version of Excel allows you to read this threaded comment; however, any edits to it will get removed if the file is opened in a newer version of Excel. Learn more: https://go.microsoft.com/fwlink/?linkid=870924
Comment:
    Equation 30</t>
      </text>
    </comment>
    <comment ref="E228" authorId="45" shapeId="0" xr:uid="{9FCB6DF6-8B98-49F6-9E64-2EDB8248AB13}">
      <text>
        <t>[Threaded comment]
Your version of Excel allows you to read this threaded comment; however, any edits to it will get removed if the file is opened in a newer version of Excel. Learn more: https://go.microsoft.com/fwlink/?linkid=870924
Comment:
    Equation 27</t>
      </text>
    </comment>
    <comment ref="E236" authorId="46" shapeId="0" xr:uid="{AFDD3AC4-F2CC-4AC1-B351-7F77DB074733}">
      <text>
        <t>[Threaded comment]
Your version of Excel allows you to read this threaded comment; however, any edits to it will get removed if the file is opened in a newer version of Excel. Learn more: https://go.microsoft.com/fwlink/?linkid=870924
Comment:
    Equation 26</t>
      </text>
    </comment>
    <comment ref="E237" authorId="47" shapeId="0" xr:uid="{0137E381-292A-4479-955E-0E12C62506A2}">
      <text>
        <t>[Threaded comment]
Your version of Excel allows you to read this threaded comment; however, any edits to it will get removed if the file is opened in a newer version of Excel. Learn more: https://go.microsoft.com/fwlink/?linkid=870924
Comment:
    Equation 25</t>
      </text>
    </comment>
    <comment ref="E247" authorId="48" shapeId="0" xr:uid="{7543862E-6B64-4281-80B5-247BBADBCBB7}">
      <text>
        <t>[Threaded comment]
Your version of Excel allows you to read this threaded comment; however, any edits to it will get removed if the file is opened in a newer version of Excel. Learn more: https://go.microsoft.com/fwlink/?linkid=870924
Comment:
    Equation 33</t>
      </text>
    </comment>
    <comment ref="E251" authorId="49" shapeId="0" xr:uid="{7C9CD6D5-2013-4CED-A15C-3672CEBF22CB}">
      <text>
        <t>[Threaded comment]
Your version of Excel allows you to read this threaded comment; however, any edits to it will get removed if the file is opened in a newer version of Excel. Learn more: https://go.microsoft.com/fwlink/?linkid=870924
Comment:
    Equation 17</t>
      </text>
    </comment>
    <comment ref="E252" authorId="50" shapeId="0" xr:uid="{327AE7C2-F904-4E68-B3AA-8F369C4EFDDB}">
      <text>
        <t>[Threaded comment]
Your version of Excel allows you to read this threaded comment; however, any edits to it will get removed if the file is opened in a newer version of Excel. Learn more: https://go.microsoft.com/fwlink/?linkid=870924
Comment:
    Equation 52</t>
      </text>
    </comment>
    <comment ref="E253" authorId="51" shapeId="0" xr:uid="{D912AF15-F159-4D8E-903C-17665DB4A858}">
      <text>
        <t>[Threaded comment]
Your version of Excel allows you to read this threaded comment; however, any edits to it will get removed if the file is opened in a newer version of Excel. Learn more: https://go.microsoft.com/fwlink/?linkid=870924
Comment:
    Equation 53</t>
      </text>
    </comment>
    <comment ref="E254" authorId="52" shapeId="0" xr:uid="{9E7E86A6-00F0-43DD-8472-CDD534FA4B41}">
      <text>
        <t>[Threaded comment]
Your version of Excel allows you to read this threaded comment; however, any edits to it will get removed if the file is opened in a newer version of Excel. Learn more: https://go.microsoft.com/fwlink/?linkid=870924
Comment:
    Equation 55</t>
      </text>
    </comment>
    <comment ref="E255" authorId="53" shapeId="0" xr:uid="{01E83214-4A7C-4FE7-9223-40E98006791B}">
      <text>
        <t>[Threaded comment]
Your version of Excel allows you to read this threaded comment; however, any edits to it will get removed if the file is opened in a newer version of Excel. Learn more: https://go.microsoft.com/fwlink/?linkid=870924
Comment:
    Equation 56</t>
      </text>
    </comment>
    <comment ref="E256" authorId="54" shapeId="0" xr:uid="{85BE1A3D-2578-44EF-BB2D-4728FB51F574}">
      <text>
        <t>[Threaded comment]
Your version of Excel allows you to read this threaded comment; however, any edits to it will get removed if the file is opened in a newer version of Excel. Learn more: https://go.microsoft.com/fwlink/?linkid=870924
Comment:
    Equation 57</t>
      </text>
    </comment>
    <comment ref="E257" authorId="55" shapeId="0" xr:uid="{80B8CB04-281E-4AC8-8885-B7989E69BCAB}">
      <text>
        <t>[Threaded comment]
Your version of Excel allows you to read this threaded comment; however, any edits to it will get removed if the file is opened in a newer version of Excel. Learn more: https://go.microsoft.com/fwlink/?linkid=870924
Comment:
    Equation 59</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tc={CD3CE74C-A282-4548-9530-61A00EB2C4FA}</author>
    <author>tc={D75B041F-6900-4E54-8ADC-187DBD815AA9}</author>
    <author>tc={A81F3A4C-B1F2-4ABE-9DD7-2F484E693A20}</author>
    <author>tc={D822F2B6-8A15-4C5D-B9C1-A24643D8C85D}</author>
    <author>tc={2D1C54F5-99DC-49FB-87AD-B763DBC75B89}</author>
    <author>tc={145A5207-D43F-47ED-827F-A176813C240C}</author>
    <author>tc={9A5B875C-81F4-4400-873F-F0773C0C3C0D}</author>
    <author>tc={8CB655D9-A252-4AB4-8A34-9EFED76620E5}</author>
    <author>tc={9128E9F3-41DF-4EA6-BD04-4BB530CEA906}</author>
    <author>tc={62030784-557B-4D04-A958-D33F67214681}</author>
    <author>tc={59D78ACA-5275-4D0E-8AA7-B3CDCBB045CE}</author>
    <author>tc={4F6D6864-86D3-4F96-9282-64A7440A7D4D}</author>
    <author>tc={C6ABF8EE-2089-4E3A-95FF-73FD5D46E544}</author>
    <author>tc={BF60462D-46DC-46DA-ABA1-1E9EAC8BB128}</author>
    <author>tc={17EBC48E-B298-415C-A7C5-DEA5429F8A97}</author>
    <author>tc={063C8DFD-9C1A-4260-BFE2-5D058829F9BC}</author>
    <author>tc={6E1027D5-839F-47F8-A92A-4A917EC68911}</author>
    <author>tc={36719577-8452-4930-8A80-924B04B6A37D}</author>
    <author>tc={E28A6116-F8B9-4C74-A307-A6E77B19F1A4}</author>
    <author>tc={52CE9EE2-42F4-4C86-B0A7-F923019299E8}</author>
    <author>tc={AE1D2C3D-AA74-4CFA-B1B5-0DB2E4090714}</author>
    <author>tc={A2290C60-B8F6-43D8-ABE0-9337B3A6FE1E}</author>
    <author>tc={7230AC31-24F7-464B-984C-8FD6685652ED}</author>
    <author>tc={8843C70B-941A-4494-B6AA-7FF1FA732566}</author>
    <author>tc={216BEC50-2F71-41E4-93C2-413FF5BF2BA4}</author>
    <author>tc={057F59F0-1737-42FA-848A-746282974389}</author>
    <author>tc={A8873973-EDD5-41DF-ADAB-AFB8B868C03C}</author>
    <author>tc={C38CF7AF-F100-49AA-9CBD-566B85E8F119}</author>
    <author>tc={28A34F44-899D-44E4-9924-84ADE97F1203}</author>
    <author>tc={6E8428FC-659D-4809-9A8B-2B87ADD27FC2}</author>
    <author>tc={7E984046-1D22-4999-AD6B-C8D3008087F5}</author>
    <author>tc={B64C2DF9-559F-4E98-8AF5-88072B411BC4}</author>
    <author>tc={1A71ADA5-3E9F-4CA9-B93F-A7D3B86F0B53}</author>
    <author>tc={F4DCD211-0678-4D50-8634-D89B92E4B05F}</author>
    <author>tc={4E938E19-5190-4B9C-A8DE-893C9DE118FD}</author>
    <author>tc={DC296A2E-A862-4A47-865B-745CC439E827}</author>
    <author>tc={F18D9DFC-D8F1-45AC-9C52-96F53748C500}</author>
    <author>tc={266E9421-9720-43E7-AF75-D35288E57DD4}</author>
    <author>tc={ECFCBF00-C798-4C4D-A61B-5FABB1F91AD6}</author>
    <author>tc={0409C791-8C0E-4C9F-A5B7-2E8F87CF6312}</author>
    <author>tc={A059BDF3-55D1-4A72-9BF2-FB67B5EF9D1E}</author>
    <author>tc={4941B304-CA87-4D5C-897B-8A0139AAF395}</author>
    <author>tc={A1DD6655-41D6-48AA-9AEF-7B0DA7D3DCD1}</author>
    <author>tc={CC190AE4-6D56-4843-9E14-90B6F153FE05}</author>
    <author>tc={1E420D7F-75FC-4902-9570-72201E753B9D}</author>
    <author>tc={C4BB5827-BC77-4450-AA4A-DEE58470442E}</author>
    <author>tc={5734FB09-E6A6-423A-A5D3-07059E9701B1}</author>
    <author>tc={FF67A8D3-D3FF-4322-A890-4A1C80041480}</author>
    <author>tc={0CAA6928-102D-478D-830A-9CD88CD81AD5}</author>
    <author>tc={AA1E4C8F-AB16-4CA7-938E-1FCE288A47E2}</author>
  </authors>
  <commentList>
    <comment ref="E11" authorId="0" shapeId="0" xr:uid="{CD3CE74C-A282-4548-9530-61A00EB2C4FA}">
      <text>
        <t>[Threaded comment]
Your version of Excel allows you to read this threaded comment; however, any edits to it will get removed if the file is opened in a newer version of Excel. Learn more: https://go.microsoft.com/fwlink/?linkid=870924
Comment:
    Equation 8</t>
      </text>
    </comment>
    <comment ref="E14" authorId="1" shapeId="0" xr:uid="{D75B041F-6900-4E54-8ADC-187DBD815AA9}">
      <text>
        <t>[Threaded comment]
Your version of Excel allows you to read this threaded comment; however, any edits to it will get removed if the file is opened in a newer version of Excel. Learn more: https://go.microsoft.com/fwlink/?linkid=870924
Comment:
    Equation 7</t>
      </text>
    </comment>
    <comment ref="E17" authorId="2" shapeId="0" xr:uid="{A81F3A4C-B1F2-4ABE-9DD7-2F484E693A20}">
      <text>
        <t>[Threaded comment]
Your version of Excel allows you to read this threaded comment; however, any edits to it will get removed if the file is opened in a newer version of Excel. Learn more: https://go.microsoft.com/fwlink/?linkid=870924
Comment:
    Equation 7</t>
      </text>
    </comment>
    <comment ref="E21" authorId="3" shapeId="0" xr:uid="{D822F2B6-8A15-4C5D-B9C1-A24643D8C85D}">
      <text>
        <t>[Threaded comment]
Your version of Excel allows you to read this threaded comment; however, any edits to it will get removed if the file is opened in a newer version of Excel. Learn more: https://go.microsoft.com/fwlink/?linkid=870924
Comment:
    Equation 10</t>
      </text>
    </comment>
    <comment ref="E22" authorId="4" shapeId="0" xr:uid="{2D1C54F5-99DC-49FB-87AD-B763DBC75B89}">
      <text>
        <t>[Threaded comment]
Your version of Excel allows you to read this threaded comment; however, any edits to it will get removed if the file is opened in a newer version of Excel. Learn more: https://go.microsoft.com/fwlink/?linkid=870924
Comment:
    Equation 9</t>
      </text>
    </comment>
    <comment ref="E32" authorId="5" shapeId="0" xr:uid="{145A5207-D43F-47ED-827F-A176813C240C}">
      <text>
        <t>[Threaded comment]
Your version of Excel allows you to read this threaded comment; however, any edits to it will get removed if the file is opened in a newer version of Excel. Learn more: https://go.microsoft.com/fwlink/?linkid=870924
Comment:
    Equation 12</t>
      </text>
    </comment>
    <comment ref="E45" authorId="6" shapeId="0" xr:uid="{9A5B875C-81F4-4400-873F-F0773C0C3C0D}">
      <text>
        <t>[Threaded comment]
Your version of Excel allows you to read this threaded comment; however, any edits to it will get removed if the file is opened in a newer version of Excel. Learn more: https://go.microsoft.com/fwlink/?linkid=870924
Comment:
    Equation 14</t>
      </text>
    </comment>
    <comment ref="E49" authorId="7" shapeId="0" xr:uid="{8CB655D9-A252-4AB4-8A34-9EFED76620E5}">
      <text>
        <t>[Threaded comment]
Your version of Excel allows you to read this threaded comment; however, any edits to it will get removed if the file is opened in a newer version of Excel. Learn more: https://go.microsoft.com/fwlink/?linkid=870924
Comment:
    Equation 13</t>
      </text>
    </comment>
    <comment ref="E60" authorId="8" shapeId="0" xr:uid="{9128E9F3-41DF-4EA6-BD04-4BB530CEA906}">
      <text>
        <t>[Threaded comment]
Your version of Excel allows you to read this threaded comment; however, any edits to it will get removed if the file is opened in a newer version of Excel. Learn more: https://go.microsoft.com/fwlink/?linkid=870924
Comment:
    Equation 15</t>
      </text>
    </comment>
    <comment ref="E69" authorId="9" shapeId="0" xr:uid="{62030784-557B-4D04-A958-D33F67214681}">
      <text>
        <t>[Threaded comment]
Your version of Excel allows you to read this threaded comment; however, any edits to it will get removed if the file is opened in a newer version of Excel. Learn more: https://go.microsoft.com/fwlink/?linkid=870924
Comment:
    Equation 20</t>
      </text>
    </comment>
    <comment ref="E74" authorId="10" shapeId="0" xr:uid="{59D78ACA-5275-4D0E-8AA7-B3CDCBB045CE}">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11" shapeId="0" xr:uid="{4F6D6864-86D3-4F96-9282-64A7440A7D4D}">
      <text>
        <t>[Threaded comment]
Your version of Excel allows you to read this threaded comment; however, any edits to it will get removed if the file is opened in a newer version of Excel. Learn more: https://go.microsoft.com/fwlink/?linkid=870924
Comment:
    Equation 19</t>
      </text>
    </comment>
    <comment ref="E80" authorId="12" shapeId="0" xr:uid="{C6ABF8EE-2089-4E3A-95FF-73FD5D46E544}">
      <text>
        <t>[Threaded comment]
Your version of Excel allows you to read this threaded comment; however, any edits to it will get removed if the file is opened in a newer version of Excel. Learn more: https://go.microsoft.com/fwlink/?linkid=870924
Comment:
    Equation 23</t>
      </text>
    </comment>
    <comment ref="E83" authorId="13" shapeId="0" xr:uid="{BF60462D-46DC-46DA-ABA1-1E9EAC8BB128}">
      <text>
        <t>[Threaded comment]
Your version of Excel allows you to read this threaded comment; however, any edits to it will get removed if the file is opened in a newer version of Excel. Learn more: https://go.microsoft.com/fwlink/?linkid=870924
Comment:
    Equation 24</t>
      </text>
    </comment>
    <comment ref="E84" authorId="14" shapeId="0" xr:uid="{17EBC48E-B298-415C-A7C5-DEA5429F8A97}">
      <text>
        <t>[Threaded comment]
Your version of Excel allows you to read this threaded comment; however, any edits to it will get removed if the file is opened in a newer version of Excel. Learn more: https://go.microsoft.com/fwlink/?linkid=870924
Comment:
    Equation 22</t>
      </text>
    </comment>
    <comment ref="E85" authorId="15" shapeId="0" xr:uid="{063C8DFD-9C1A-4260-BFE2-5D058829F9BC}">
      <text>
        <t>[Threaded comment]
Your version of Excel allows you to read this threaded comment; however, any edits to it will get removed if the file is opened in a newer version of Excel. Learn more: https://go.microsoft.com/fwlink/?linkid=870924
Comment:
    Equation 18</t>
      </text>
    </comment>
    <comment ref="E97" authorId="16" shapeId="0" xr:uid="{6E1027D5-839F-47F8-A92A-4A917EC68911}">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02" authorId="17" shapeId="0" xr:uid="{36719577-8452-4930-8A80-924B04B6A37D}">
      <text>
        <t>[Threaded comment]
Your version of Excel allows you to read this threaded comment; however, any edits to it will get removed if the file is opened in a newer version of Excel. Learn more: https://go.microsoft.com/fwlink/?linkid=870924
Comment:
    Equation 32</t>
      </text>
    </comment>
    <comment ref="E103" authorId="18" shapeId="0" xr:uid="{E28A6116-F8B9-4C74-A307-A6E77B19F1A4}">
      <text>
        <t>[Threaded comment]
Your version of Excel allows you to read this threaded comment; however, any edits to it will get removed if the file is opened in a newer version of Excel. Learn more: https://go.microsoft.com/fwlink/?linkid=870924
Comment:
    Equation 31</t>
      </text>
    </comment>
    <comment ref="E104" authorId="19" shapeId="0" xr:uid="{52CE9EE2-42F4-4C86-B0A7-F923019299E8}">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5" authorId="20" shapeId="0" xr:uid="{AE1D2C3D-AA74-4CFA-B1B5-0DB2E4090714}">
      <text>
        <t>[Threaded comment]
Your version of Excel allows you to read this threaded comment; however, any edits to it will get removed if the file is opened in a newer version of Excel. Learn more: https://go.microsoft.com/fwlink/?linkid=870924
Comment:
    Equation 30</t>
      </text>
    </comment>
    <comment ref="E106" authorId="21" shapeId="0" xr:uid="{A2290C60-B8F6-43D8-ABE0-9337B3A6FE1E}">
      <text>
        <t>[Threaded comment]
Your version of Excel allows you to read this threaded comment; however, any edits to it will get removed if the file is opened in a newer version of Excel. Learn more: https://go.microsoft.com/fwlink/?linkid=870924
Comment:
    Equation 27</t>
      </text>
    </comment>
    <comment ref="E114" authorId="22" shapeId="0" xr:uid="{7230AC31-24F7-464B-984C-8FD6685652ED}">
      <text>
        <t>[Threaded comment]
Your version of Excel allows you to read this threaded comment; however, any edits to it will get removed if the file is opened in a newer version of Excel. Learn more: https://go.microsoft.com/fwlink/?linkid=870924
Comment:
    Equation 26</t>
      </text>
    </comment>
    <comment ref="E115" authorId="23" shapeId="0" xr:uid="{8843C70B-941A-4494-B6AA-7FF1FA732566}">
      <text>
        <t>[Threaded comment]
Your version of Excel allows you to read this threaded comment; however, any edits to it will get removed if the file is opened in a newer version of Excel. Learn more: https://go.microsoft.com/fwlink/?linkid=870924
Comment:
    Equation 25</t>
      </text>
    </comment>
    <comment ref="E125" authorId="24" shapeId="0" xr:uid="{216BEC50-2F71-41E4-93C2-413FF5BF2BA4}">
      <text>
        <t>[Threaded comment]
Your version of Excel allows you to read this threaded comment; however, any edits to it will get removed if the file is opened in a newer version of Excel. Learn more: https://go.microsoft.com/fwlink/?linkid=870924
Comment:
    Equation 33</t>
      </text>
    </comment>
    <comment ref="E134" authorId="25" shapeId="0" xr:uid="{057F59F0-1737-42FA-848A-746282974389}">
      <text>
        <t>[Threaded comment]
Your version of Excel allows you to read this threaded comment; however, any edits to it will get removed if the file is opened in a newer version of Excel. Learn more: https://go.microsoft.com/fwlink/?linkid=870924
Comment:
    Equation 8</t>
      </text>
    </comment>
    <comment ref="E137" authorId="26" shapeId="0" xr:uid="{A8873973-EDD5-41DF-ADAB-AFB8B868C03C}">
      <text>
        <t>[Threaded comment]
Your version of Excel allows you to read this threaded comment; however, any edits to it will get removed if the file is opened in a newer version of Excel. Learn more: https://go.microsoft.com/fwlink/?linkid=870924
Comment:
    Equation 7</t>
      </text>
    </comment>
    <comment ref="E144" authorId="27" shapeId="0" xr:uid="{C38CF7AF-F100-49AA-9CBD-566B85E8F119}">
      <text>
        <t>[Threaded comment]
Your version of Excel allows you to read this threaded comment; however, any edits to it will get removed if the file is opened in a newer version of Excel. Learn more: https://go.microsoft.com/fwlink/?linkid=870924
Comment:
    Equation 10</t>
      </text>
    </comment>
    <comment ref="E145" authorId="28" shapeId="0" xr:uid="{28A34F44-899D-44E4-9924-84ADE97F1203}">
      <text>
        <t>[Threaded comment]
Your version of Excel allows you to read this threaded comment; however, any edits to it will get removed if the file is opened in a newer version of Excel. Learn more: https://go.microsoft.com/fwlink/?linkid=870924
Comment:
    Equation 9</t>
      </text>
    </comment>
    <comment ref="E155" authorId="29" shapeId="0" xr:uid="{6E8428FC-659D-4809-9A8B-2B87ADD27FC2}">
      <text>
        <t>[Threaded comment]
Your version of Excel allows you to read this threaded comment; however, any edits to it will get removed if the file is opened in a newer version of Excel. Learn more: https://go.microsoft.com/fwlink/?linkid=870924
Comment:
    Equation 12</t>
      </text>
    </comment>
    <comment ref="E168" authorId="30" shapeId="0" xr:uid="{7E984046-1D22-4999-AD6B-C8D3008087F5}">
      <text>
        <t>[Threaded comment]
Your version of Excel allows you to read this threaded comment; however, any edits to it will get removed if the file is opened in a newer version of Excel. Learn more: https://go.microsoft.com/fwlink/?linkid=870924
Comment:
    Equation 14</t>
      </text>
    </comment>
    <comment ref="E172" authorId="31" shapeId="0" xr:uid="{B64C2DF9-559F-4E98-8AF5-88072B411BC4}">
      <text>
        <t>[Threaded comment]
Your version of Excel allows you to read this threaded comment; however, any edits to it will get removed if the file is opened in a newer version of Excel. Learn more: https://go.microsoft.com/fwlink/?linkid=870924
Comment:
    Equation 13</t>
      </text>
    </comment>
    <comment ref="E183" authorId="32" shapeId="0" xr:uid="{1A71ADA5-3E9F-4CA9-B93F-A7D3B86F0B53}">
      <text>
        <t>[Threaded comment]
Your version of Excel allows you to read this threaded comment; however, any edits to it will get removed if the file is opened in a newer version of Excel. Learn more: https://go.microsoft.com/fwlink/?linkid=870924
Comment:
    Equation 15</t>
      </text>
    </comment>
    <comment ref="E191" authorId="33" shapeId="0" xr:uid="{F4DCD211-0678-4D50-8634-D89B92E4B05F}">
      <text>
        <t>[Threaded comment]
Your version of Excel allows you to read this threaded comment; however, any edits to it will get removed if the file is opened in a newer version of Excel. Learn more: https://go.microsoft.com/fwlink/?linkid=870924
Comment:
    Equation 20</t>
      </text>
    </comment>
    <comment ref="E196" authorId="34" shapeId="0" xr:uid="{4E938E19-5190-4B9C-A8DE-893C9DE118FD}">
      <text>
        <t>[Threaded comment]
Your version of Excel allows you to read this threaded comment; however, any edits to it will get removed if the file is opened in a newer version of Excel. Learn more: https://go.microsoft.com/fwlink/?linkid=870924
Comment:
    Equation 21</t>
      </text>
    </comment>
    <comment ref="E198" authorId="35" shapeId="0" xr:uid="{DC296A2E-A862-4A47-865B-745CC439E827}">
      <text>
        <t>[Threaded comment]
Your version of Excel allows you to read this threaded comment; however, any edits to it will get removed if the file is opened in a newer version of Excel. Learn more: https://go.microsoft.com/fwlink/?linkid=870924
Comment:
    Equation 19</t>
      </text>
    </comment>
    <comment ref="E202" authorId="36" shapeId="0" xr:uid="{F18D9DFC-D8F1-45AC-9C52-96F53748C500}">
      <text>
        <t>[Threaded comment]
Your version of Excel allows you to read this threaded comment; however, any edits to it will get removed if the file is opened in a newer version of Excel. Learn more: https://go.microsoft.com/fwlink/?linkid=870924
Comment:
    Equation 23</t>
      </text>
    </comment>
    <comment ref="E205" authorId="37" shapeId="0" xr:uid="{266E9421-9720-43E7-AF75-D35288E57DD4}">
      <text>
        <t>[Threaded comment]
Your version of Excel allows you to read this threaded comment; however, any edits to it will get removed if the file is opened in a newer version of Excel. Learn more: https://go.microsoft.com/fwlink/?linkid=870924
Comment:
    Equation 24</t>
      </text>
    </comment>
    <comment ref="E206" authorId="38" shapeId="0" xr:uid="{ECFCBF00-C798-4C4D-A61B-5FABB1F91AD6}">
      <text>
        <t>[Threaded comment]
Your version of Excel allows you to read this threaded comment; however, any edits to it will get removed if the file is opened in a newer version of Excel. Learn more: https://go.microsoft.com/fwlink/?linkid=870924
Comment:
    Equation 22</t>
      </text>
    </comment>
    <comment ref="E207" authorId="39" shapeId="0" xr:uid="{0409C791-8C0E-4C9F-A5B7-2E8F87CF6312}">
      <text>
        <t>[Threaded comment]
Your version of Excel allows you to read this threaded comment; however, any edits to it will get removed if the file is opened in a newer version of Excel. Learn more: https://go.microsoft.com/fwlink/?linkid=870924
Comment:
    Equation 18</t>
      </text>
    </comment>
    <comment ref="E219" authorId="40" shapeId="0" xr:uid="{A059BDF3-55D1-4A72-9BF2-FB67B5EF9D1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24" authorId="41" shapeId="0" xr:uid="{4941B304-CA87-4D5C-897B-8A0139AAF395}">
      <text>
        <t>[Threaded comment]
Your version of Excel allows you to read this threaded comment; however, any edits to it will get removed if the file is opened in a newer version of Excel. Learn more: https://go.microsoft.com/fwlink/?linkid=870924
Comment:
    Equation 32</t>
      </text>
    </comment>
    <comment ref="E225" authorId="42" shapeId="0" xr:uid="{A1DD6655-41D6-48AA-9AEF-7B0DA7D3DCD1}">
      <text>
        <t>[Threaded comment]
Your version of Excel allows you to read this threaded comment; however, any edits to it will get removed if the file is opened in a newer version of Excel. Learn more: https://go.microsoft.com/fwlink/?linkid=870924
Comment:
    Equation 31</t>
      </text>
    </comment>
    <comment ref="E226" authorId="43" shapeId="0" xr:uid="{CC190AE4-6D56-4843-9E14-90B6F153FE05}">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7" authorId="44" shapeId="0" xr:uid="{1E420D7F-75FC-4902-9570-72201E753B9D}">
      <text>
        <t>[Threaded comment]
Your version of Excel allows you to read this threaded comment; however, any edits to it will get removed if the file is opened in a newer version of Excel. Learn more: https://go.microsoft.com/fwlink/?linkid=870924
Comment:
    Equation 30</t>
      </text>
    </comment>
    <comment ref="E228" authorId="45" shapeId="0" xr:uid="{C4BB5827-BC77-4450-AA4A-DEE58470442E}">
      <text>
        <t>[Threaded comment]
Your version of Excel allows you to read this threaded comment; however, any edits to it will get removed if the file is opened in a newer version of Excel. Learn more: https://go.microsoft.com/fwlink/?linkid=870924
Comment:
    Equation 27</t>
      </text>
    </comment>
    <comment ref="E236" authorId="46" shapeId="0" xr:uid="{5734FB09-E6A6-423A-A5D3-07059E9701B1}">
      <text>
        <t>[Threaded comment]
Your version of Excel allows you to read this threaded comment; however, any edits to it will get removed if the file is opened in a newer version of Excel. Learn more: https://go.microsoft.com/fwlink/?linkid=870924
Comment:
    Equation 26</t>
      </text>
    </comment>
    <comment ref="E237" authorId="47" shapeId="0" xr:uid="{FF67A8D3-D3FF-4322-A890-4A1C80041480}">
      <text>
        <t>[Threaded comment]
Your version of Excel allows you to read this threaded comment; however, any edits to it will get removed if the file is opened in a newer version of Excel. Learn more: https://go.microsoft.com/fwlink/?linkid=870924
Comment:
    Equation 25</t>
      </text>
    </comment>
    <comment ref="E247" authorId="48" shapeId="0" xr:uid="{0CAA6928-102D-478D-830A-9CD88CD81AD5}">
      <text>
        <t>[Threaded comment]
Your version of Excel allows you to read this threaded comment; however, any edits to it will get removed if the file is opened in a newer version of Excel. Learn more: https://go.microsoft.com/fwlink/?linkid=870924
Comment:
    Equation 33</t>
      </text>
    </comment>
    <comment ref="E251" authorId="49" shapeId="0" xr:uid="{AA1E4C8F-AB16-4CA7-938E-1FCE288A47E2}">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tc={7B3DAF8C-8887-4309-8FED-845A71104D5B}</author>
    <author>tc={D6A2732E-2010-4570-A706-D84A5D1649BD}</author>
    <author>tc={DB958A26-7F30-4A2A-8DF2-04928B35CA71}</author>
    <author>tc={0676F018-6DB5-4F7B-BCDD-62106FBC04F1}</author>
    <author>tc={0C815B4F-06E9-4A50-A406-2C6B229F2140}</author>
    <author>tc={19044820-0CBC-4CE5-8198-6D911D7C4C33}</author>
    <author>tc={90A244E1-6BCE-4CAB-B26F-DC87D9B17467}</author>
    <author>tc={6B85AE17-E9D1-45AE-B04F-72D54702C3A7}</author>
    <author>tc={81BCFADA-6B5B-4209-AA38-F135A57DB3FF}</author>
    <author>tc={EEBCA1E3-6B08-4E28-B285-90B70C083B04}</author>
    <author>tc={36D4BD5F-5128-414E-ADD8-3668397C3D2B}</author>
    <author>tc={CBE35CC7-53E7-47B6-A221-EB201A2B64C2}</author>
    <author>tc={4D9AC7E7-0E5E-4D2E-B680-2AB61D9BCFEE}</author>
    <author>tc={401C4D40-844A-418A-AF17-9D528E181DE3}</author>
    <author>tc={26244ADB-1CF5-4478-A5E6-ECDB08335C79}</author>
    <author>tc={F9D6AB18-AADF-4698-AC5D-0D31BBDEED02}</author>
    <author>tc={E651D8FA-23B0-4990-805B-9E9FE39F1DC9}</author>
    <author>tc={6420B3D8-DB4C-4D03-BBB8-08ACAB573B22}</author>
    <author>tc={519FE9E6-3CA7-4CE9-9D91-9F903BAC9862}</author>
    <author>tc={17641449-A43D-4E93-956A-DCCF87889498}</author>
    <author>tc={EE7FA2A4-6FB9-4969-AB9E-55C96A1D3E24}</author>
    <author>tc={D00B5DA2-E7C9-4B03-81A2-C6AD647BC0AA}</author>
    <author>tc={89B2E2B0-51B3-4C96-ADA3-34EC054FB456}</author>
    <author>tc={D9740F47-7E9B-4033-BDC3-18010151FF77}</author>
    <author>tc={99ADF29D-D3FD-402A-86AD-E0A31BAFDFEA}</author>
    <author>tc={55842C29-2C68-431C-933B-33174C5890D2}</author>
  </authors>
  <commentList>
    <comment ref="E8" authorId="0" shapeId="0" xr:uid="{7B3DAF8C-8887-4309-8FED-845A71104D5B}">
      <text>
        <t>[Threaded comment]
Your version of Excel allows you to read this threaded comment; however, any edits to it will get removed if the file is opened in a newer version of Excel. Learn more: https://go.microsoft.com/fwlink/?linkid=870924
Comment:
    Equation 8</t>
      </text>
    </comment>
    <comment ref="E11" authorId="1" shapeId="0" xr:uid="{D6A2732E-2010-4570-A706-D84A5D1649BD}">
      <text>
        <t>[Threaded comment]
Your version of Excel allows you to read this threaded comment; however, any edits to it will get removed if the file is opened in a newer version of Excel. Learn more: https://go.microsoft.com/fwlink/?linkid=870924
Comment:
    Equation 7</t>
      </text>
    </comment>
    <comment ref="E14" authorId="2" shapeId="0" xr:uid="{DB958A26-7F30-4A2A-8DF2-04928B35CA71}">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3" shapeId="0" xr:uid="{0676F018-6DB5-4F7B-BCDD-62106FBC04F1}">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4" shapeId="0" xr:uid="{0C815B4F-06E9-4A50-A406-2C6B229F2140}">
      <text>
        <t>[Threaded comment]
Your version of Excel allows you to read this threaded comment; however, any edits to it will get removed if the file is opened in a newer version of Excel. Learn more: https://go.microsoft.com/fwlink/?linkid=870924
Comment:
    Equation 9</t>
      </text>
    </comment>
    <comment ref="E29" authorId="5" shapeId="0" xr:uid="{19044820-0CBC-4CE5-8198-6D911D7C4C33}">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6" shapeId="0" xr:uid="{90A244E1-6BCE-4CAB-B26F-DC87D9B17467}">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7" shapeId="0" xr:uid="{6B85AE17-E9D1-45AE-B04F-72D54702C3A7}">
      <text>
        <t>[Threaded comment]
Your version of Excel allows you to read this threaded comment; however, any edits to it will get removed if the file is opened in a newer version of Excel. Learn more: https://go.microsoft.com/fwlink/?linkid=870924
Comment:
    Equation 13</t>
      </text>
    </comment>
    <comment ref="E57" authorId="8" shapeId="0" xr:uid="{81BCFADA-6B5B-4209-AA38-F135A57DB3FF}">
      <text>
        <t>[Threaded comment]
Your version of Excel allows you to read this threaded comment; however, any edits to it will get removed if the file is opened in a newer version of Excel. Learn more: https://go.microsoft.com/fwlink/?linkid=870924
Comment:
    Equation 15</t>
      </text>
    </comment>
    <comment ref="E66" authorId="9" shapeId="0" xr:uid="{EEBCA1E3-6B08-4E28-B285-90B70C083B04}">
      <text>
        <t>[Threaded comment]
Your version of Excel allows you to read this threaded comment; however, any edits to it will get removed if the file is opened in a newer version of Excel. Learn more: https://go.microsoft.com/fwlink/?linkid=870924
Comment:
    Equation 20</t>
      </text>
    </comment>
    <comment ref="E71" authorId="10" shapeId="0" xr:uid="{36D4BD5F-5128-414E-ADD8-3668397C3D2B}">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11" shapeId="0" xr:uid="{CBE35CC7-53E7-47B6-A221-EB201A2B64C2}">
      <text>
        <t>[Threaded comment]
Your version of Excel allows you to read this threaded comment; however, any edits to it will get removed if the file is opened in a newer version of Excel. Learn more: https://go.microsoft.com/fwlink/?linkid=870924
Comment:
    Equation 19</t>
      </text>
    </comment>
    <comment ref="E77" authorId="12" shapeId="0" xr:uid="{4D9AC7E7-0E5E-4D2E-B680-2AB61D9BCFEE}">
      <text>
        <t>[Threaded comment]
Your version of Excel allows you to read this threaded comment; however, any edits to it will get removed if the file is opened in a newer version of Excel. Learn more: https://go.microsoft.com/fwlink/?linkid=870924
Comment:
    Equation 23</t>
      </text>
    </comment>
    <comment ref="E80" authorId="13" shapeId="0" xr:uid="{401C4D40-844A-418A-AF17-9D528E181DE3}">
      <text>
        <t>[Threaded comment]
Your version of Excel allows you to read this threaded comment; however, any edits to it will get removed if the file is opened in a newer version of Excel. Learn more: https://go.microsoft.com/fwlink/?linkid=870924
Comment:
    Equation 24</t>
      </text>
    </comment>
    <comment ref="E81" authorId="14" shapeId="0" xr:uid="{26244ADB-1CF5-4478-A5E6-ECDB08335C79}">
      <text>
        <t>[Threaded comment]
Your version of Excel allows you to read this threaded comment; however, any edits to it will get removed if the file is opened in a newer version of Excel. Learn more: https://go.microsoft.com/fwlink/?linkid=870924
Comment:
    Equation 22</t>
      </text>
    </comment>
    <comment ref="E82" authorId="15" shapeId="0" xr:uid="{F9D6AB18-AADF-4698-AC5D-0D31BBDEED02}">
      <text>
        <t>[Threaded comment]
Your version of Excel allows you to read this threaded comment; however, any edits to it will get removed if the file is opened in a newer version of Excel. Learn more: https://go.microsoft.com/fwlink/?linkid=870924
Comment:
    Equation 18</t>
      </text>
    </comment>
    <comment ref="E94" authorId="16" shapeId="0" xr:uid="{E651D8FA-23B0-4990-805B-9E9FE39F1DC9}">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97" authorId="17" shapeId="0" xr:uid="{6420B3D8-DB4C-4D03-BBB8-08ACAB573B2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0" authorId="18" shapeId="0" xr:uid="{519FE9E6-3CA7-4CE9-9D91-9F903BAC9862}">
      <text>
        <t>[Threaded comment]
Your version of Excel allows you to read this threaded comment; however, any edits to it will get removed if the file is opened in a newer version of Excel. Learn more: https://go.microsoft.com/fwlink/?linkid=870924
Comment:
    Equation 32</t>
      </text>
    </comment>
    <comment ref="E101" authorId="19" shapeId="0" xr:uid="{17641449-A43D-4E93-956A-DCCF87889498}">
      <text>
        <t>[Threaded comment]
Your version of Excel allows you to read this threaded comment; however, any edits to it will get removed if the file is opened in a newer version of Excel. Learn more: https://go.microsoft.com/fwlink/?linkid=870924
Comment:
    Equation 31</t>
      </text>
    </comment>
    <comment ref="E102" authorId="20" shapeId="0" xr:uid="{EE7FA2A4-6FB9-4969-AB9E-55C96A1D3E24}">
      <text>
        <t>[Threaded comment]
Your version of Excel allows you to read this threaded comment; however, any edits to it will get removed if the file is opened in a newer version of Excel. Learn more: https://go.microsoft.com/fwlink/?linkid=870924
Comment:
    Equation 30</t>
      </text>
    </comment>
    <comment ref="E103" authorId="21" shapeId="0" xr:uid="{D00B5DA2-E7C9-4B03-81A2-C6AD647BC0AA}">
      <text>
        <t>[Threaded comment]
Your version of Excel allows you to read this threaded comment; however, any edits to it will get removed if the file is opened in a newer version of Excel. Learn more: https://go.microsoft.com/fwlink/?linkid=870924
Comment:
    Equation 27</t>
      </text>
    </comment>
    <comment ref="E111" authorId="22" shapeId="0" xr:uid="{89B2E2B0-51B3-4C96-ADA3-34EC054FB456}">
      <text>
        <t>[Threaded comment]
Your version of Excel allows you to read this threaded comment; however, any edits to it will get removed if the file is opened in a newer version of Excel. Learn more: https://go.microsoft.com/fwlink/?linkid=870924
Comment:
    Equation 26</t>
      </text>
    </comment>
    <comment ref="E112" authorId="23" shapeId="0" xr:uid="{D9740F47-7E9B-4033-BDC3-18010151FF77}">
      <text>
        <t>[Threaded comment]
Your version of Excel allows you to read this threaded comment; however, any edits to it will get removed if the file is opened in a newer version of Excel. Learn more: https://go.microsoft.com/fwlink/?linkid=870924
Comment:
    Equation 25</t>
      </text>
    </comment>
    <comment ref="E122" authorId="24" shapeId="0" xr:uid="{99ADF29D-D3FD-402A-86AD-E0A31BAFDFEA}">
      <text>
        <t>[Threaded comment]
Your version of Excel allows you to read this threaded comment; however, any edits to it will get removed if the file is opened in a newer version of Excel. Learn more: https://go.microsoft.com/fwlink/?linkid=870924
Comment:
    Equation 33</t>
      </text>
    </comment>
    <comment ref="E126" authorId="25" shapeId="0" xr:uid="{55842C29-2C68-431C-933B-33174C5890D2}">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tc={BC871F73-063E-44D5-9740-4F98FBA86A9A}</author>
    <author>tc={36314CF4-584A-4C76-B4AB-D1F0EB747EE7}</author>
    <author>tc={E6DEF7DC-EEC5-4E04-BAD1-37AA28C8452E}</author>
    <author>tc={5BFBE5FA-0186-4E07-B8E3-C5A701254AA9}</author>
    <author>tc={EEDD6CA0-B9BC-4073-9EB7-65BBF443FDE5}</author>
    <author>tc={8E14675F-4454-425F-8D51-32C1F40130C0}</author>
    <author>tc={82D55113-D447-423A-867F-AC0AD18933E4}</author>
  </authors>
  <commentList>
    <comment ref="E8" authorId="0" shapeId="0" xr:uid="{BC871F73-063E-44D5-9740-4F98FBA86A9A}">
      <text>
        <t>[Threaded comment]
Your version of Excel allows you to read this threaded comment; however, any edits to it will get removed if the file is opened in a newer version of Excel. Learn more: https://go.microsoft.com/fwlink/?linkid=870924
Comment:
    Equation 37</t>
      </text>
    </comment>
    <comment ref="E9" authorId="1" shapeId="0" xr:uid="{36314CF4-584A-4C76-B4AB-D1F0EB747EE7}">
      <text>
        <t>[Threaded comment]
Your version of Excel allows you to read this threaded comment; however, any edits to it will get removed if the file is opened in a newer version of Excel. Learn more: https://go.microsoft.com/fwlink/?linkid=870924
Comment:
    Equation 40</t>
      </text>
    </comment>
    <comment ref="E10" authorId="2" shapeId="0" xr:uid="{E6DEF7DC-EEC5-4E04-BAD1-37AA28C8452E}">
      <text>
        <t>[Threaded comment]
Your version of Excel allows you to read this threaded comment; however, any edits to it will get removed if the file is opened in a newer version of Excel. Learn more: https://go.microsoft.com/fwlink/?linkid=870924
Comment:
    Equation 39</t>
      </text>
    </comment>
    <comment ref="E11" authorId="3" shapeId="0" xr:uid="{5BFBE5FA-0186-4E07-B8E3-C5A701254AA9}">
      <text>
        <t>[Threaded comment]
Your version of Excel allows you to read this threaded comment; however, any edits to it will get removed if the file is opened in a newer version of Excel. Learn more: https://go.microsoft.com/fwlink/?linkid=870924
Comment:
    Equation 38</t>
      </text>
    </comment>
    <comment ref="E12" authorId="4" shapeId="0" xr:uid="{EEDD6CA0-B9BC-4073-9EB7-65BBF443FDE5}">
      <text>
        <t>[Threaded comment]
Your version of Excel allows you to read this threaded comment; however, any edits to it will get removed if the file is opened in a newer version of Excel. Learn more: https://go.microsoft.com/fwlink/?linkid=870924
Comment:
    Equation 42</t>
      </text>
    </comment>
    <comment ref="E13" authorId="5" shapeId="0" xr:uid="{8E14675F-4454-425F-8D51-32C1F40130C0}">
      <text>
        <t>[Threaded comment]
Your version of Excel allows you to read this threaded comment; however, any edits to it will get removed if the file is opened in a newer version of Excel. Learn more: https://go.microsoft.com/fwlink/?linkid=870924
Comment:
    Equation 41</t>
      </text>
    </comment>
    <comment ref="E14" authorId="6" shapeId="0" xr:uid="{82D55113-D447-423A-867F-AC0AD18933E4}">
      <text>
        <t>[Threaded comment]
Your version of Excel allows you to read this threaded comment; however, any edits to it will get removed if the file is opened in a newer version of Excel. Learn more: https://go.microsoft.com/fwlink/?linkid=870924
Comment:
    Equation 43</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tc={E0D420DC-CB0C-4600-9D99-47F883D1BB4A}</author>
    <author>tc={E2869F73-9315-48F9-A8BF-99C5341044B2}</author>
    <author>tc={8589A515-E531-4F7E-9852-7C229F28FAE6}</author>
    <author>tc={6B396010-89C8-4194-8813-35D59EB68620}</author>
    <author>tc={F073F5BE-C2AE-4981-96FF-E38D36BFF4DD}</author>
    <author>tc={3472168D-E62D-426B-86FB-17EDF85E1E83}</author>
    <author>tc={D48E96DC-3FDD-4104-BC64-68FED71AC683}</author>
    <author>tc={9F8C1093-1ABB-477B-AD43-C2C627D7DEE0}</author>
    <author>tc={2171C9EF-5040-4976-B5C5-0D2491BFEAFA}</author>
    <author>tc={F1AA160F-95FE-4D06-AF5B-0265B9ED495C}</author>
    <author>tc={4BDA4F5A-45AA-461F-8355-786D1B256F91}</author>
    <author>tc={1BBFDCBF-DE84-4FA0-A2D3-AA1DEA442FE0}</author>
    <author>tc={C7D842E5-6854-4554-8A32-39FD358818DF}</author>
    <author>tc={A2D72696-6AAC-4ADA-8D42-B0D67A29D060}</author>
    <author>tc={24EB498D-3C89-4451-A6F4-9A20916655DC}</author>
    <author>tc={BC7742DF-B145-4B5F-8548-D0B659031824}</author>
    <author>tc={AF684F0C-DF0F-4626-844F-32FF40F25A12}</author>
    <author>tc={5C0C7AAA-D482-461C-9642-54D09E4B991C}</author>
    <author>tc={7BB910A7-2B5C-4F45-8CEE-26C424AF0EA9}</author>
    <author>tc={CD74ECA9-0B05-423F-89FB-3A799141BEEC}</author>
    <author>tc={54523551-FE6C-46A5-95B5-C0291A482F8F}</author>
    <author>tc={1ABE5550-5150-4635-9A58-DC6B2FE2C10C}</author>
    <author>tc={9A70123D-991C-4057-8125-80E26F594C9C}</author>
    <author>tc={15D8E18D-32B0-4276-A462-955B0F48E2CF}</author>
    <author>tc={6FFC347C-B7AD-444F-AC9D-D1BF7CDAAA18}</author>
  </authors>
  <commentList>
    <comment ref="E8" authorId="0" shapeId="0" xr:uid="{E0D420DC-CB0C-4600-9D99-47F883D1BB4A}">
      <text>
        <t>[Threaded comment]
Your version of Excel allows you to read this threaded comment; however, any edits to it will get removed if the file is opened in a newer version of Excel. Learn more: https://go.microsoft.com/fwlink/?linkid=870924
Comment:
    Equation 8</t>
      </text>
    </comment>
    <comment ref="E11" authorId="1" shapeId="0" xr:uid="{E2869F73-9315-48F9-A8BF-99C5341044B2}">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2" shapeId="0" xr:uid="{8589A515-E531-4F7E-9852-7C229F28FAE6}">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3" shapeId="0" xr:uid="{6B396010-89C8-4194-8813-35D59EB68620}">
      <text>
        <t>[Threaded comment]
Your version of Excel allows you to read this threaded comment; however, any edits to it will get removed if the file is opened in a newer version of Excel. Learn more: https://go.microsoft.com/fwlink/?linkid=870924
Comment:
    Equation 9</t>
      </text>
    </comment>
    <comment ref="E29" authorId="4" shapeId="0" xr:uid="{F073F5BE-C2AE-4981-96FF-E38D36BFF4DD}">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5" shapeId="0" xr:uid="{3472168D-E62D-426B-86FB-17EDF85E1E83}">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6" shapeId="0" xr:uid="{D48E96DC-3FDD-4104-BC64-68FED71AC683}">
      <text>
        <t>[Threaded comment]
Your version of Excel allows you to read this threaded comment; however, any edits to it will get removed if the file is opened in a newer version of Excel. Learn more: https://go.microsoft.com/fwlink/?linkid=870924
Comment:
    Equation 13</t>
      </text>
    </comment>
    <comment ref="E57" authorId="7" shapeId="0" xr:uid="{9F8C1093-1ABB-477B-AD43-C2C627D7DEE0}">
      <text>
        <t>[Threaded comment]
Your version of Excel allows you to read this threaded comment; however, any edits to it will get removed if the file is opened in a newer version of Excel. Learn more: https://go.microsoft.com/fwlink/?linkid=870924
Comment:
    Equation 15</t>
      </text>
    </comment>
    <comment ref="E65" authorId="8" shapeId="0" xr:uid="{2171C9EF-5040-4976-B5C5-0D2491BFEAFA}">
      <text>
        <t>[Threaded comment]
Your version of Excel allows you to read this threaded comment; however, any edits to it will get removed if the file is opened in a newer version of Excel. Learn more: https://go.microsoft.com/fwlink/?linkid=870924
Comment:
    Equation 20</t>
      </text>
    </comment>
    <comment ref="E70" authorId="9" shapeId="0" xr:uid="{F1AA160F-95FE-4D06-AF5B-0265B9ED495C}">
      <text>
        <t>[Threaded comment]
Your version of Excel allows you to read this threaded comment; however, any edits to it will get removed if the file is opened in a newer version of Excel. Learn more: https://go.microsoft.com/fwlink/?linkid=870924
Comment:
    Equation 21</t>
      </text>
    </comment>
    <comment ref="E72" authorId="10" shapeId="0" xr:uid="{4BDA4F5A-45AA-461F-8355-786D1B256F91}">
      <text>
        <t>[Threaded comment]
Your version of Excel allows you to read this threaded comment; however, any edits to it will get removed if the file is opened in a newer version of Excel. Learn more: https://go.microsoft.com/fwlink/?linkid=870924
Comment:
    Equation 19</t>
      </text>
    </comment>
    <comment ref="E76" authorId="11" shapeId="0" xr:uid="{1BBFDCBF-DE84-4FA0-A2D3-AA1DEA442FE0}">
      <text>
        <t>[Threaded comment]
Your version of Excel allows you to read this threaded comment; however, any edits to it will get removed if the file is opened in a newer version of Excel. Learn more: https://go.microsoft.com/fwlink/?linkid=870924
Comment:
    Equation 23</t>
      </text>
    </comment>
    <comment ref="E79" authorId="12" shapeId="0" xr:uid="{C7D842E5-6854-4554-8A32-39FD358818DF}">
      <text>
        <t>[Threaded comment]
Your version of Excel allows you to read this threaded comment; however, any edits to it will get removed if the file is opened in a newer version of Excel. Learn more: https://go.microsoft.com/fwlink/?linkid=870924
Comment:
    Equation 24</t>
      </text>
    </comment>
    <comment ref="E80" authorId="13" shapeId="0" xr:uid="{A2D72696-6AAC-4ADA-8D42-B0D67A29D060}">
      <text>
        <t>[Threaded comment]
Your version of Excel allows you to read this threaded comment; however, any edits to it will get removed if the file is opened in a newer version of Excel. Learn more: https://go.microsoft.com/fwlink/?linkid=870924
Comment:
    Equation 22</t>
      </text>
    </comment>
    <comment ref="E81" authorId="14" shapeId="0" xr:uid="{24EB498D-3C89-4451-A6F4-9A20916655DC}">
      <text>
        <t>[Threaded comment]
Your version of Excel allows you to read this threaded comment; however, any edits to it will get removed if the file is opened in a newer version of Excel. Learn more: https://go.microsoft.com/fwlink/?linkid=870924
Comment:
    Equation 18</t>
      </text>
    </comment>
    <comment ref="E93" authorId="15" shapeId="0" xr:uid="{BC7742DF-B145-4B5F-8548-D0B659031824}">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96" authorId="16" shapeId="0" xr:uid="{AF684F0C-DF0F-4626-844F-32FF40F25A1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99" authorId="17" shapeId="0" xr:uid="{5C0C7AAA-D482-461C-9642-54D09E4B991C}">
      <text>
        <t>[Threaded comment]
Your version of Excel allows you to read this threaded comment; however, any edits to it will get removed if the file is opened in a newer version of Excel. Learn more: https://go.microsoft.com/fwlink/?linkid=870924
Comment:
    Equation 32</t>
      </text>
    </comment>
    <comment ref="E100" authorId="18" shapeId="0" xr:uid="{7BB910A7-2B5C-4F45-8CEE-26C424AF0EA9}">
      <text>
        <t>[Threaded comment]
Your version of Excel allows you to read this threaded comment; however, any edits to it will get removed if the file is opened in a newer version of Excel. Learn more: https://go.microsoft.com/fwlink/?linkid=870924
Comment:
    Equation 31</t>
      </text>
    </comment>
    <comment ref="E101" authorId="19" shapeId="0" xr:uid="{CD74ECA9-0B05-423F-89FB-3A799141BEEC}">
      <text>
        <t>[Threaded comment]
Your version of Excel allows you to read this threaded comment; however, any edits to it will get removed if the file is opened in a newer version of Excel. Learn more: https://go.microsoft.com/fwlink/?linkid=870924
Comment:
    Equation 30</t>
      </text>
    </comment>
    <comment ref="E102" authorId="20" shapeId="0" xr:uid="{54523551-FE6C-46A5-95B5-C0291A482F8F}">
      <text>
        <t>[Threaded comment]
Your version of Excel allows you to read this threaded comment; however, any edits to it will get removed if the file is opened in a newer version of Excel. Learn more: https://go.microsoft.com/fwlink/?linkid=870924
Comment:
    Equation 27</t>
      </text>
    </comment>
    <comment ref="E110" authorId="21" shapeId="0" xr:uid="{1ABE5550-5150-4635-9A58-DC6B2FE2C10C}">
      <text>
        <t>[Threaded comment]
Your version of Excel allows you to read this threaded comment; however, any edits to it will get removed if the file is opened in a newer version of Excel. Learn more: https://go.microsoft.com/fwlink/?linkid=870924
Comment:
    Equation 26</t>
      </text>
    </comment>
    <comment ref="E111" authorId="22" shapeId="0" xr:uid="{9A70123D-991C-4057-8125-80E26F594C9C}">
      <text>
        <t>[Threaded comment]
Your version of Excel allows you to read this threaded comment; however, any edits to it will get removed if the file is opened in a newer version of Excel. Learn more: https://go.microsoft.com/fwlink/?linkid=870924
Comment:
    Equation 25</t>
      </text>
    </comment>
    <comment ref="E121" authorId="23" shapeId="0" xr:uid="{15D8E18D-32B0-4276-A462-955B0F48E2CF}">
      <text>
        <t>[Threaded comment]
Your version of Excel allows you to read this threaded comment; however, any edits to it will get removed if the file is opened in a newer version of Excel. Learn more: https://go.microsoft.com/fwlink/?linkid=870924
Comment:
    Equation 33</t>
      </text>
    </comment>
    <comment ref="E125" authorId="24" shapeId="0" xr:uid="{6FFC347C-B7AD-444F-AC9D-D1BF7CDAAA18}">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tc={B77EC08D-6083-419D-9284-F41145058563}</author>
    <author>tc={F141EA82-2CF1-4535-B848-2EFD1774C66E}</author>
  </authors>
  <commentList>
    <comment ref="E7" authorId="0" shapeId="0" xr:uid="{B77EC08D-6083-419D-9284-F41145058563}">
      <text>
        <t>[Threaded comment]
Your version of Excel allows you to read this threaded comment; however, any edits to it will get removed if the file is opened in a newer version of Excel. Learn more: https://go.microsoft.com/fwlink/?linkid=870924
Comment:
    Equation 8</t>
      </text>
    </comment>
    <comment ref="E10" authorId="1" shapeId="0" xr:uid="{F141EA82-2CF1-4535-B848-2EFD1774C66E}">
      <text>
        <t>[Threaded comment]
Your version of Excel allows you to read this threaded comment; however, any edits to it will get removed if the file is opened in a newer version of Excel. Learn more: https://go.microsoft.com/fwlink/?linkid=870924
Comment:
    Equation 7</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tc={46432668-EBCD-4EAD-ABC6-CC1F45497A93}</author>
    <author>tc={23FDDD4C-88C4-4192-945A-D0BCA34EA96B}</author>
  </authors>
  <commentList>
    <comment ref="E7" authorId="0" shapeId="0" xr:uid="{46432668-EBCD-4EAD-ABC6-CC1F45497A93}">
      <text>
        <t>[Threaded comment]
Your version of Excel allows you to read this threaded comment; however, any edits to it will get removed if the file is opened in a newer version of Excel. Learn more: https://go.microsoft.com/fwlink/?linkid=870924
Comment:
    Equation 8</t>
      </text>
    </comment>
    <comment ref="E10" authorId="1" shapeId="0" xr:uid="{23FDDD4C-88C4-4192-945A-D0BCA34EA96B}">
      <text>
        <t>[Threaded comment]
Your version of Excel allows you to read this threaded comment; however, any edits to it will get removed if the file is opened in a newer version of Excel. Learn more: https://go.microsoft.com/fwlink/?linkid=870924
Comment:
    Equation 7</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tc={5039D564-AFDC-4548-A748-50EB0D0C3D36}</author>
    <author>tc={931F126B-6F9F-41D7-B979-FD45ECF6844C}</author>
    <author>tc={13D1D65C-200D-4207-A58D-81CC58E97AA1}</author>
  </authors>
  <commentList>
    <comment ref="E5" authorId="0" shapeId="0" xr:uid="{5039D564-AFDC-4548-A748-50EB0D0C3D36}">
      <text>
        <t>[Threaded comment]
Your version of Excel allows you to read this threaded comment; however, any edits to it will get removed if the file is opened in a newer version of Excel. Learn more: https://go.microsoft.com/fwlink/?linkid=870924
Comment:
    Equation 7</t>
      </text>
    </comment>
    <comment ref="E9" authorId="1" shapeId="0" xr:uid="{931F126B-6F9F-41D7-B979-FD45ECF6844C}">
      <text>
        <t>[Threaded comment]
Your version of Excel allows you to read this threaded comment; however, any edits to it will get removed if the file is opened in a newer version of Excel. Learn more: https://go.microsoft.com/fwlink/?linkid=870924
Comment:
    Equation 10</t>
      </text>
    </comment>
    <comment ref="E10" authorId="2" shapeId="0" xr:uid="{13D1D65C-200D-4207-A58D-81CC58E97AA1}">
      <text>
        <t>[Threaded comment]
Your version of Excel allows you to read this threaded comment; however, any edits to it will get removed if the file is opened in a newer version of Excel. Learn more: https://go.microsoft.com/fwlink/?linkid=870924
Comment:
    Equation 9</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tc={C0567FBB-E51A-4813-993F-9ED632E731C2}</author>
    <author>tc={8C0C290C-3115-493D-A58D-03DFB7CEC440}</author>
  </authors>
  <commentList>
    <comment ref="E9" authorId="0" shapeId="0" xr:uid="{C0567FBB-E51A-4813-993F-9ED632E731C2}">
      <text>
        <t>[Threaded comment]
Your version of Excel allows you to read this threaded comment; however, any edits to it will get removed if the file is opened in a newer version of Excel. Learn more: https://go.microsoft.com/fwlink/?linkid=870924
Comment:
    Equation 10</t>
      </text>
    </comment>
    <comment ref="E10" authorId="1" shapeId="0" xr:uid="{8C0C290C-3115-493D-A58D-03DFB7CEC440}">
      <text>
        <t>[Threaded comment]
Your version of Excel allows you to read this threaded comment; however, any edits to it will get removed if the file is opened in a newer version of Excel. Learn more: https://go.microsoft.com/fwlink/?linkid=870924
Comment:
    Equation 9</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tc={111CDBF7-564D-4456-A3D4-A8BCAFF00FB9}</author>
  </authors>
  <commentList>
    <comment ref="E12" authorId="0" shapeId="0" xr:uid="{111CDBF7-564D-4456-A3D4-A8BCAFF00FB9}">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tc={BF47E014-95C7-4951-984B-27A74E3CA9CB}</author>
  </authors>
  <commentList>
    <comment ref="E12" authorId="0" shapeId="0" xr:uid="{BF47E014-95C7-4951-984B-27A74E3CA9CB}">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tc={DA7BFD7A-F48B-46B4-8BD4-551078D63EC9}</author>
    <author>tc={ACE61308-13C2-4FFB-913D-8A88BCDB4488}</author>
  </authors>
  <commentList>
    <comment ref="E14" authorId="0" shapeId="0" xr:uid="{DA7BFD7A-F48B-46B4-8BD4-551078D63EC9}">
      <text>
        <t>[Threaded comment]
Your version of Excel allows you to read this threaded comment; however, any edits to it will get removed if the file is opened in a newer version of Excel. Learn more: https://go.microsoft.com/fwlink/?linkid=870924
Comment:
    Equation 14</t>
      </text>
    </comment>
    <comment ref="E18" authorId="1" shapeId="0" xr:uid="{ACE61308-13C2-4FFB-913D-8A88BCDB4488}">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tc={BF106EFA-5D46-45FA-B776-35C6A1B8A241}</author>
  </authors>
  <commentList>
    <comment ref="E13" authorId="0" shapeId="0" xr:uid="{BF106EFA-5D46-45FA-B776-35C6A1B8A241}">
      <text>
        <t>[Threaded comment]
Your version of Excel allows you to read this threaded comment; however, any edits to it will get removed if the file is opened in a newer version of Excel. Learn more: https://go.microsoft.com/fwlink/?linkid=870924
Comment:
    Equation 14</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tc={7A2ECA61-02A2-4E05-82DC-0B9A01426640}</author>
    <author>tc={1A63E36A-217A-478A-91D8-CCB8A41A0876}</author>
  </authors>
  <commentList>
    <comment ref="E14" authorId="0" shapeId="0" xr:uid="{7A2ECA61-02A2-4E05-82DC-0B9A01426640}">
      <text>
        <t>[Threaded comment]
Your version of Excel allows you to read this threaded comment; however, any edits to it will get removed if the file is opened in a newer version of Excel. Learn more: https://go.microsoft.com/fwlink/?linkid=870924
Comment:
    Equation 14</t>
      </text>
    </comment>
    <comment ref="E18" authorId="1" shapeId="0" xr:uid="{1A63E36A-217A-478A-91D8-CCB8A41A0876}">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tc={D651B3EC-D677-4BAA-B5F9-718BADE15F93}</author>
    <author>tc={332F700A-1045-4B17-912C-640AAB90F15A}</author>
    <author>tc={6ACF7CE2-70CB-48B3-B27F-60005D9DE076}</author>
    <author>tc={66CE51AE-8709-4A01-A65D-E942E8B2075A}</author>
  </authors>
  <commentList>
    <comment ref="E7" authorId="0" shapeId="0" xr:uid="{D651B3EC-D677-4BAA-B5F9-718BADE15F93}">
      <text>
        <t>[Threaded comment]
Your version of Excel allows you to read this threaded comment; however, any edits to it will get removed if the file is opened in a newer version of Excel. Learn more: https://go.microsoft.com/fwlink/?linkid=870924
Comment:
    Equation 76</t>
      </text>
    </comment>
    <comment ref="E8" authorId="1" shapeId="0" xr:uid="{332F700A-1045-4B17-912C-640AAB90F15A}">
      <text>
        <t>[Threaded comment]
Your version of Excel allows you to read this threaded comment; however, any edits to it will get removed if the file is opened in a newer version of Excel. Learn more: https://go.microsoft.com/fwlink/?linkid=870924
Comment:
    Equation 77</t>
      </text>
    </comment>
    <comment ref="E9" authorId="2" shapeId="0" xr:uid="{6ACF7CE2-70CB-48B3-B27F-60005D9DE076}">
      <text>
        <t>[Threaded comment]
Your version of Excel allows you to read this threaded comment; however, any edits to it will get removed if the file is opened in a newer version of Excel. Learn more: https://go.microsoft.com/fwlink/?linkid=870924
Comment:
    Equation 78</t>
      </text>
    </comment>
    <comment ref="E10" authorId="3" shapeId="0" xr:uid="{66CE51AE-8709-4A01-A65D-E942E8B2075A}">
      <text>
        <t>[Threaded comment]
Your version of Excel allows you to read this threaded comment; however, any edits to it will get removed if the file is opened in a newer version of Excel. Learn more: https://go.microsoft.com/fwlink/?linkid=870924
Comment:
    Equation 79</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tc={C48BA53B-42C7-4FDA-BE03-690611A9D481}</author>
  </authors>
  <commentList>
    <comment ref="E13" authorId="0" shapeId="0" xr:uid="{C48BA53B-42C7-4FDA-BE03-690611A9D481}">
      <text>
        <t>[Threaded comment]
Your version of Excel allows you to read this threaded comment; however, any edits to it will get removed if the file is opened in a newer version of Excel. Learn more: https://go.microsoft.com/fwlink/?linkid=870924
Comment:
    Equation 14</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tc={B66C5C69-72BC-45A0-9536-4EA38F028C5D}</author>
  </authors>
  <commentList>
    <comment ref="E12" authorId="0" shapeId="0" xr:uid="{B66C5C69-72BC-45A0-9536-4EA38F028C5D}">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tc={E0057A7E-8E34-4065-BD78-81E2F1F2D932}</author>
  </authors>
  <commentList>
    <comment ref="E12" authorId="0" shapeId="0" xr:uid="{E0057A7E-8E34-4065-BD78-81E2F1F2D932}">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tc={BBE8AA07-C7EA-439D-839A-A3F4F1253C95}</author>
    <author>tc={79EED63A-BF8E-4774-9918-219F0F0DC25E}</author>
    <author>tc={47167DFC-8C32-42CE-B2BD-0DEA0415244C}</author>
    <author>tc={95B9B098-B4E5-4ABC-8471-A5F7F3587596}</author>
    <author>tc={693815FC-47DA-4628-80CE-F9B9DA4C8E65}</author>
    <author>tc={2E048E48-F88D-4FBF-8902-66A14130B887}</author>
    <author>tc={79996156-DD2B-4649-BC9F-E8971D7958A9}</author>
  </authors>
  <commentList>
    <comment ref="E9" authorId="0" shapeId="0" xr:uid="{BBE8AA07-C7EA-439D-839A-A3F4F1253C95}">
      <text>
        <t>[Threaded comment]
Your version of Excel allows you to read this threaded comment; however, any edits to it will get removed if the file is opened in a newer version of Excel. Learn more: https://go.microsoft.com/fwlink/?linkid=870924
Comment:
    Equation 20</t>
      </text>
    </comment>
    <comment ref="E14" authorId="1" shapeId="0" xr:uid="{79EED63A-BF8E-4774-9918-219F0F0DC25E}">
      <text>
        <t>[Threaded comment]
Your version of Excel allows you to read this threaded comment; however, any edits to it will get removed if the file is opened in a newer version of Excel. Learn more: https://go.microsoft.com/fwlink/?linkid=870924
Comment:
    Equation 21</t>
      </text>
    </comment>
    <comment ref="E16" authorId="2" shapeId="0" xr:uid="{47167DFC-8C32-42CE-B2BD-0DEA0415244C}">
      <text>
        <t>[Threaded comment]
Your version of Excel allows you to read this threaded comment; however, any edits to it will get removed if the file is opened in a newer version of Excel. Learn more: https://go.microsoft.com/fwlink/?linkid=870924
Comment:
    Equation 19</t>
      </text>
    </comment>
    <comment ref="E20" authorId="3" shapeId="0" xr:uid="{95B9B098-B4E5-4ABC-8471-A5F7F3587596}">
      <text>
        <t>[Threaded comment]
Your version of Excel allows you to read this threaded comment; however, any edits to it will get removed if the file is opened in a newer version of Excel. Learn more: https://go.microsoft.com/fwlink/?linkid=870924
Comment:
    Equation 23</t>
      </text>
    </comment>
    <comment ref="E23" authorId="4" shapeId="0" xr:uid="{693815FC-47DA-4628-80CE-F9B9DA4C8E65}">
      <text>
        <t>[Threaded comment]
Your version of Excel allows you to read this threaded comment; however, any edits to it will get removed if the file is opened in a newer version of Excel. Learn more: https://go.microsoft.com/fwlink/?linkid=870924
Comment:
    Equation 24</t>
      </text>
    </comment>
    <comment ref="E24" authorId="5" shapeId="0" xr:uid="{2E048E48-F88D-4FBF-8902-66A14130B887}">
      <text>
        <t>[Threaded comment]
Your version of Excel allows you to read this threaded comment; however, any edits to it will get removed if the file is opened in a newer version of Excel. Learn more: https://go.microsoft.com/fwlink/?linkid=870924
Comment:
    Equation 22</t>
      </text>
    </comment>
    <comment ref="E25" authorId="6" shapeId="0" xr:uid="{79996156-DD2B-4649-BC9F-E8971D7958A9}">
      <text>
        <t>[Threaded comment]
Your version of Excel allows you to read this threaded comment; however, any edits to it will get removed if the file is opened in a newer version of Excel. Learn more: https://go.microsoft.com/fwlink/?linkid=870924
Comment:
    Equation 18</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tc={42DFA442-0694-4D04-BB96-3E4B176FA112}</author>
    <author>tc={F0BAB290-E910-4F01-AEEF-C309F51968A9}</author>
    <author>tc={CA9F6E6A-4221-463F-85A4-E5358623E3F3}</author>
    <author>tc={1BD46A55-446B-4100-B892-75D8A84A01FA}</author>
    <author>tc={1AF9870B-FB65-4FEF-84EE-2592473A387A}</author>
    <author>tc={C2F68622-738E-4B0C-AE6C-68E40379DD5C}</author>
    <author>tc={1454D111-FA18-4553-98BA-CB66F43E9505}</author>
  </authors>
  <commentList>
    <comment ref="E9" authorId="0" shapeId="0" xr:uid="{42DFA442-0694-4D04-BB96-3E4B176FA112}">
      <text>
        <t>[Threaded comment]
Your version of Excel allows you to read this threaded comment; however, any edits to it will get removed if the file is opened in a newer version of Excel. Learn more: https://go.microsoft.com/fwlink/?linkid=870924
Comment:
    Equation 20</t>
      </text>
    </comment>
    <comment ref="E14" authorId="1" shapeId="0" xr:uid="{F0BAB290-E910-4F01-AEEF-C309F51968A9}">
      <text>
        <t>[Threaded comment]
Your version of Excel allows you to read this threaded comment; however, any edits to it will get removed if the file is opened in a newer version of Excel. Learn more: https://go.microsoft.com/fwlink/?linkid=870924
Comment:
    Equation 21</t>
      </text>
    </comment>
    <comment ref="E16" authorId="2" shapeId="0" xr:uid="{CA9F6E6A-4221-463F-85A4-E5358623E3F3}">
      <text>
        <t>[Threaded comment]
Your version of Excel allows you to read this threaded comment; however, any edits to it will get removed if the file is opened in a newer version of Excel. Learn more: https://go.microsoft.com/fwlink/?linkid=870924
Comment:
    Equation 19</t>
      </text>
    </comment>
    <comment ref="E20" authorId="3" shapeId="0" xr:uid="{1BD46A55-446B-4100-B892-75D8A84A01FA}">
      <text>
        <t>[Threaded comment]
Your version of Excel allows you to read this threaded comment; however, any edits to it will get removed if the file is opened in a newer version of Excel. Learn more: https://go.microsoft.com/fwlink/?linkid=870924
Comment:
    Equation 23</t>
      </text>
    </comment>
    <comment ref="E23" authorId="4" shapeId="0" xr:uid="{1AF9870B-FB65-4FEF-84EE-2592473A387A}">
      <text>
        <t>[Threaded comment]
Your version of Excel allows you to read this threaded comment; however, any edits to it will get removed if the file is opened in a newer version of Excel. Learn more: https://go.microsoft.com/fwlink/?linkid=870924
Comment:
    Equation 24</t>
      </text>
    </comment>
    <comment ref="E24" authorId="5" shapeId="0" xr:uid="{C2F68622-738E-4B0C-AE6C-68E40379DD5C}">
      <text>
        <t>[Threaded comment]
Your version of Excel allows you to read this threaded comment; however, any edits to it will get removed if the file is opened in a newer version of Excel. Learn more: https://go.microsoft.com/fwlink/?linkid=870924
Comment:
    Equation 22</t>
      </text>
    </comment>
    <comment ref="E25" authorId="6" shapeId="0" xr:uid="{1454D111-FA18-4553-98BA-CB66F43E9505}">
      <text>
        <t>[Threaded comment]
Your version of Excel allows you to read this threaded comment; however, any edits to it will get removed if the file is opened in a newer version of Excel. Learn more: https://go.microsoft.com/fwlink/?linkid=870924
Comment:
    Equation 18</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tc={CBA1D528-205A-461D-BC4B-789692503E53}</author>
    <author>tc={A252AE50-378C-4BF5-B1F7-6706B97A7EDD}</author>
    <author>tc={562F957D-77EC-40DC-A265-46A6034ED984}</author>
    <author>tc={B2A293A8-394F-4D4A-A34B-02A5371EB6F5}</author>
    <author>tc={E633E9F8-49C5-47F5-AC00-EF9F8165ED9D}</author>
    <author>tc={D203A002-57D1-4DF6-BC51-B879F5A14699}</author>
  </authors>
  <commentList>
    <comment ref="E14" authorId="0" shapeId="0" xr:uid="{CBA1D528-205A-461D-BC4B-789692503E53}">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9" authorId="1" shapeId="0" xr:uid="{A252AE50-378C-4BF5-B1F7-6706B97A7EDD}">
      <text>
        <t>[Threaded comment]
Your version of Excel allows you to read this threaded comment; however, any edits to it will get removed if the file is opened in a newer version of Excel. Learn more: https://go.microsoft.com/fwlink/?linkid=870924
Comment:
    Equation 32</t>
      </text>
    </comment>
    <comment ref="E20" authorId="2" shapeId="0" xr:uid="{562F957D-77EC-40DC-A265-46A6034ED984}">
      <text>
        <t>[Threaded comment]
Your version of Excel allows you to read this threaded comment; however, any edits to it will get removed if the file is opened in a newer version of Excel. Learn more: https://go.microsoft.com/fwlink/?linkid=870924
Comment:
    Equation 31</t>
      </text>
    </comment>
    <comment ref="E21" authorId="3" shapeId="0" xr:uid="{B2A293A8-394F-4D4A-A34B-02A5371EB6F5}">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 authorId="4" shapeId="0" xr:uid="{E633E9F8-49C5-47F5-AC00-EF9F8165ED9D}">
      <text>
        <t>[Threaded comment]
Your version of Excel allows you to read this threaded comment; however, any edits to it will get removed if the file is opened in a newer version of Excel. Learn more: https://go.microsoft.com/fwlink/?linkid=870924
Comment:
    Equation 30</t>
      </text>
    </comment>
    <comment ref="E23" authorId="5" shapeId="0" xr:uid="{D203A002-57D1-4DF6-BC51-B879F5A14699}">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tc={5059056F-5B02-4EF9-9835-D200BC202691}</author>
    <author>tc={1972BA1F-1FCA-4582-9AC1-D63D37CEE909}</author>
    <author>tc={AA30C970-C4C8-4364-B0B4-E9C6F47129A0}</author>
  </authors>
  <commentList>
    <comment ref="E13" authorId="0" shapeId="0" xr:uid="{5059056F-5B02-4EF9-9835-D200BC202691}">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8" authorId="1" shapeId="0" xr:uid="{1972BA1F-1FCA-4582-9AC1-D63D37CEE909}">
      <text>
        <t>[Threaded comment]
Your version of Excel allows you to read this threaded comment; however, any edits to it will get removed if the file is opened in a newer version of Excel. Learn more: https://go.microsoft.com/fwlink/?linkid=870924
Comment:
    Equation 32</t>
      </text>
    </comment>
    <comment ref="E19" authorId="2" shapeId="0" xr:uid="{AA30C970-C4C8-4364-B0B4-E9C6F47129A0}">
      <text>
        <t>[Threaded comment]
Your version of Excel allows you to read this threaded comment; however, any edits to it will get removed if the file is opened in a newer version of Excel. Learn more: https://go.microsoft.com/fwlink/?linkid=870924
Comment:
    Equation 31</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tc={E4500F15-335D-46F8-A507-C864E9E958D0}</author>
    <author>tc={31085EB5-938E-4EB4-86AD-82B581E91865}</author>
    <author>tc={C2B1F804-E775-4C36-8CBE-04C09B741249}</author>
    <author>tc={C5F332E5-28FB-4676-B564-DE4702E80DCA}</author>
    <author>tc={58991F06-BB7B-4868-97AD-0E1A7BA11E90}</author>
    <author>tc={A06F6E77-6C63-4CFC-8AA6-AD183A654D3F}</author>
  </authors>
  <commentList>
    <comment ref="E14" authorId="0" shapeId="0" xr:uid="{E4500F15-335D-46F8-A507-C864E9E958D0}">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9" authorId="1" shapeId="0" xr:uid="{31085EB5-938E-4EB4-86AD-82B581E91865}">
      <text>
        <t>[Threaded comment]
Your version of Excel allows you to read this threaded comment; however, any edits to it will get removed if the file is opened in a newer version of Excel. Learn more: https://go.microsoft.com/fwlink/?linkid=870924
Comment:
    Equation 32</t>
      </text>
    </comment>
    <comment ref="E20" authorId="2" shapeId="0" xr:uid="{C2B1F804-E775-4C36-8CBE-04C09B741249}">
      <text>
        <t>[Threaded comment]
Your version of Excel allows you to read this threaded comment; however, any edits to it will get removed if the file is opened in a newer version of Excel. Learn more: https://go.microsoft.com/fwlink/?linkid=870924
Comment:
    Equation 31</t>
      </text>
    </comment>
    <comment ref="E21" authorId="3" shapeId="0" xr:uid="{C5F332E5-28FB-4676-B564-DE4702E80DCA}">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 authorId="4" shapeId="0" xr:uid="{58991F06-BB7B-4868-97AD-0E1A7BA11E90}">
      <text>
        <t>[Threaded comment]
Your version of Excel allows you to read this threaded comment; however, any edits to it will get removed if the file is opened in a newer version of Excel. Learn more: https://go.microsoft.com/fwlink/?linkid=870924
Comment:
    Equation 30</t>
      </text>
    </comment>
    <comment ref="E23" authorId="5" shapeId="0" xr:uid="{A06F6E77-6C63-4CFC-8AA6-AD183A654D3F}">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tc={355B94D9-C49A-40C7-A99C-EB5A0FF46C0B}</author>
    <author>tc={DD5E0262-6770-4A48-A3E3-C88F7149BA2D}</author>
    <author>tc={424273CD-BBDD-4980-8559-A1995149C2B1}</author>
  </authors>
  <commentList>
    <comment ref="E13" authorId="0" shapeId="0" xr:uid="{355B94D9-C49A-40C7-A99C-EB5A0FF46C0B}">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8" authorId="1" shapeId="0" xr:uid="{DD5E0262-6770-4A48-A3E3-C88F7149BA2D}">
      <text>
        <t>[Threaded comment]
Your version of Excel allows you to read this threaded comment; however, any edits to it will get removed if the file is opened in a newer version of Excel. Learn more: https://go.microsoft.com/fwlink/?linkid=870924
Comment:
    Equation 32</t>
      </text>
    </comment>
    <comment ref="E19" authorId="2" shapeId="0" xr:uid="{424273CD-BBDD-4980-8559-A1995149C2B1}">
      <text>
        <t>[Threaded comment]
Your version of Excel allows you to read this threaded comment; however, any edits to it will get removed if the file is opened in a newer version of Excel. Learn more: https://go.microsoft.com/fwlink/?linkid=870924
Comment:
    Equation 31</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tc={B71ADFCE-B6A8-4A98-AD84-EA8A9499F727}</author>
    <author>tc={90EA0739-19E1-4570-B6F7-DA6A1423DF17}</author>
  </authors>
  <commentList>
    <comment ref="E10" authorId="0" shapeId="0" xr:uid="{B71ADFCE-B6A8-4A98-AD84-EA8A9499F727}">
      <text>
        <t>[Threaded comment]
Your version of Excel allows you to read this threaded comment; however, any edits to it will get removed if the file is opened in a newer version of Excel. Learn more: https://go.microsoft.com/fwlink/?linkid=870924
Comment:
    Equation 26</t>
      </text>
    </comment>
    <comment ref="E11" authorId="1" shapeId="0" xr:uid="{90EA0739-19E1-4570-B6F7-DA6A1423DF17}">
      <text>
        <t>[Threaded comment]
Your version of Excel allows you to read this threaded comment; however, any edits to it will get removed if the file is opened in a newer version of Excel. Learn more: https://go.microsoft.com/fwlink/?linkid=870924
Comment:
    Equation 25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tc={B9C94464-750E-4C9E-A390-025FC3FF8679}</author>
  </authors>
  <commentList>
    <comment ref="G15" authorId="0" shapeId="0" xr:uid="{B9C94464-750E-4C9E-A390-025FC3FF8679}">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tc={BC129AA2-ADFF-4B05-976D-7EB98E602269}</author>
    <author>tc={F2A749C1-ABCA-4FE9-99C4-336C85939716}</author>
  </authors>
  <commentList>
    <comment ref="E10" authorId="0" shapeId="0" xr:uid="{BC129AA2-ADFF-4B05-976D-7EB98E602269}">
      <text>
        <t>[Threaded comment]
Your version of Excel allows you to read this threaded comment; however, any edits to it will get removed if the file is opened in a newer version of Excel. Learn more: https://go.microsoft.com/fwlink/?linkid=870924
Comment:
    Equation 26</t>
      </text>
    </comment>
    <comment ref="E11" authorId="1" shapeId="0" xr:uid="{F2A749C1-ABCA-4FE9-99C4-336C85939716}">
      <text>
        <t>[Threaded comment]
Your version of Excel allows you to read this threaded comment; however, any edits to it will get removed if the file is opened in a newer version of Excel. Learn more: https://go.microsoft.com/fwlink/?linkid=870924
Comment:
    Equation 25</t>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tc={76D4C954-8DD5-4559-91E6-F3D87BB95B33}</author>
  </authors>
  <commentList>
    <comment ref="E12" authorId="0" shapeId="0" xr:uid="{76D4C954-8DD5-4559-91E6-F3D87BB95B33}">
      <text>
        <t>[Threaded comment]
Your version of Excel allows you to read this threaded comment; however, any edits to it will get removed if the file is opened in a newer version of Excel. Learn more: https://go.microsoft.com/fwlink/?linkid=870924
Comment:
    Equation 33</t>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tc={0012A81F-426A-45E2-8604-F8D02DA91DA3}</author>
  </authors>
  <commentList>
    <comment ref="E12" authorId="0" shapeId="0" xr:uid="{0012A81F-426A-45E2-8604-F8D02DA91DA3}">
      <text>
        <t>[Threaded comment]
Your version of Excel allows you to read this threaded comment; however, any edits to it will get removed if the file is opened in a newer version of Excel. Learn more: https://go.microsoft.com/fwlink/?linkid=870924
Comment:
    Equation 33</t>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tc={A2DA6416-577F-4313-B3C4-8C8D106F7FBC}</author>
    <author>tc={03788E46-BB8B-42A2-8CDC-739CDFEAC8CB}</author>
    <author>tc={F6F8A7B0-4A5E-4B58-8C4F-F76A97E11D3A}</author>
    <author>tc={C37A8E4F-004B-45CE-8429-16FEFE84F61D}</author>
    <author>tc={955C72FA-66E4-416C-A2E0-415F6E9BA26B}</author>
    <author>tc={0BA117C8-3792-492D-88D7-1C118C8417C2}</author>
    <author>tc={904DB4D2-0CAE-4B8A-AE1C-DF9BC5FD13AD}</author>
    <author>tc={5E733C81-4551-4BDA-B447-ED9473D2F9E6}</author>
    <author>tc={4EBDEF83-05C4-48CA-A9E2-FE8D9AEAC3E8}</author>
    <author>tc={E4435F88-D69A-43F8-9454-2E6B2F2BA5F7}</author>
    <author>tc={1468C7BE-AB9B-4CEF-AB88-5495F4EBDE33}</author>
    <author>tc={3C3C9E9C-F8AE-4B37-A600-ED8DC2BE5A01}</author>
    <author>tc={05521671-1CA5-4BF0-97FF-F918032DA01C}</author>
    <author>tc={7D9A897D-A006-4446-BE20-15A6542544FA}</author>
    <author>tc={5BF86A92-6D67-4B14-85FD-CF1AC9C79137}</author>
    <author>tc={BDACCBCE-54AB-4F68-919B-ECAE5F86AC3C}</author>
    <author>tc={802874EB-6B15-4AA5-A71D-D38BBBBC3697}</author>
    <author>tc={CCF18DEC-C9C2-402D-9B01-A355CA89C7D1}</author>
    <author>tc={CC2771C1-A74F-44EB-9D5B-3ABE261CDA1E}</author>
    <author>tc={8BDC209F-2617-4C5F-A243-89F2F34073B2}</author>
    <author>tc={12A1320A-332F-4C08-A599-E7C5B9463683}</author>
    <author>tc={1CFDC3E3-0130-410B-863E-7D68A283FA87}</author>
    <author>tc={7AF6B9F0-4447-48B2-A3AA-1F265C92AD30}</author>
    <author>tc={2927EEF2-8801-4B76-A340-92A94A07756E}</author>
    <author>tc={BE179E28-58C0-436A-9A86-678E84D13D08}</author>
    <author>tc={5E5E3A9E-3C18-4AB3-9287-44F0F38F07F5}</author>
    <author>tc={F5202DB1-EE97-49A7-83A1-C3FB44D57872}</author>
    <author>tc={24858AA3-9626-44A4-B142-C6B855C3F92A}</author>
    <author>tc={9203562D-94FA-4AE2-81AB-7733441A51E6}</author>
    <author>tc={D7FBD0B2-8CB8-455D-A7E5-F8DDAA01DF2B}</author>
    <author>tc={E9071AA9-193F-4531-BE7C-500E121F0C5C}</author>
    <author>tc={4602E67E-8BA2-4CDE-8F97-28BEBA017F54}</author>
    <author>tc={0C4F30CC-D244-42D7-87A5-6C697E07170E}</author>
    <author>tc={F0AA9B54-82B0-45CC-A060-CA974444EA74}</author>
    <author>tc={0232146F-4C1B-4D74-B99C-08793C210AC7}</author>
    <author>tc={E7EA774F-1031-4641-8B54-687E7D4F16A6}</author>
    <author>tc={83440962-450F-457A-92E5-58B6347048B4}</author>
    <author>tc={BBC1FE44-215E-4F72-AE67-3B9A91A44165}</author>
    <author>tc={5F2A7A55-28B5-40EA-9063-EF5C5F31A18B}</author>
    <author>tc={FA2E60AA-9720-47E5-954D-87CAB158BBB3}</author>
    <author>tc={9D0C3B99-262E-49DA-8972-3ACBB5B2B8F0}</author>
    <author>tc={D634729D-3151-4616-ADA7-D3C52FABF271}</author>
    <author>tc={33E7E4F4-560C-4012-8F8E-5263092A9A0E}</author>
    <author>tc={15A3B917-D839-45F2-91B0-A1C867BFF870}</author>
    <author>tc={0CCDA532-09B5-4B74-A904-B29A2BCA6ABD}</author>
    <author>tc={73164F28-E1C6-479D-BCC8-7412C055676C}</author>
    <author>tc={CFE578CB-14B6-42DC-944D-75403D63E76A}</author>
    <author>tc={FA50C837-CEB5-4A90-A333-A1EE08F5D4E1}</author>
    <author>tc={7302C589-C321-4976-BE16-3C3F4EF4F85E}</author>
    <author>tc={9DE4CC99-0650-4F07-8D9D-F05EA8A5AF85}</author>
    <author>tc={F3AB9CB1-E228-4B80-B222-A0A14477DFB2}</author>
    <author>tc={E5AE16B6-97F1-4395-917E-A742C86E8260}</author>
    <author>tc={76353004-47E8-4C3D-BBB6-450BC56D8251}</author>
    <author>tc={16199F2B-C986-428B-A710-83C32483F5EB}</author>
    <author>tc={AD940187-DE8B-4656-A774-19DC6DDBF8FF}</author>
    <author>tc={5E5700E0-C6FD-40D5-90DA-193EB85EC098}</author>
    <author>tc={BD127ECA-2317-49CD-BD92-F68FE6E106C6}</author>
    <author>tc={8C0725E6-44EB-4B96-8844-AC518E68C7FA}</author>
    <author>tc={6B4B74B5-F45E-4F30-BD14-A544889D6ABC}</author>
    <author>tc={082C0E84-1315-44E0-86AC-0EB0D945BA9D}</author>
    <author>tc={059332D0-EA06-4C72-9BC8-E30365544A75}</author>
    <author>tc={C7C12D9F-3899-4B13-A357-4DF462CF61E7}</author>
    <author>tc={3E49D82C-89B4-4B91-815C-05111D2B28CC}</author>
    <author>tc={812E5C60-7340-45E4-A735-6CB0B1C7B2C2}</author>
    <author>tc={0A6CC6B1-7017-4E74-9103-E9D8BAC5562A}</author>
    <author>tc={F2618E0F-7C6A-493A-A8A3-5522D7C1B11D}</author>
    <author>tc={EC3F54A8-D0F3-46C2-9D57-78C025AC4A85}</author>
    <author>tc={24D7B668-B7D8-4AB5-B723-093B7553394D}</author>
    <author>tc={283BD815-95D9-4CCE-B841-56586F86C8F7}</author>
    <author>tc={E3063BFD-5ACB-4A7F-80E2-BA4FDD064F81}</author>
    <author>tc={13AF473C-9695-4721-9219-EDE03AB82F91}</author>
    <author>tc={2ED77254-58DA-44D8-A40F-CD2D9B0F8716}</author>
    <author>tc={20D5659D-4699-4893-8E4B-4F316804CC25}</author>
    <author>tc={C67E27EB-FEE2-4464-A14D-D9D86E14B4E0}</author>
    <author>tc={FCCE1956-37C4-41A1-BEA9-ABEB15BF0494}</author>
    <author>tc={9B1A0702-94AE-4175-B465-693B65A851A6}</author>
    <author>tc={59B7B12F-1F7D-48AA-A3CD-27ADE5E1145F}</author>
    <author>tc={1D4A7B67-5F15-491B-8DFA-0FDC94A401E6}</author>
    <author>tc={D01745E5-FA75-497E-BAED-A844E41FB863}</author>
    <author>tc={C532E408-759F-40DF-B64F-A16A42602DB3}</author>
    <author>tc={44F95F42-4018-4A84-A8C3-C18D03E7C062}</author>
    <author>tc={DA3712B9-ED33-43D3-AC0E-BCADDF7D4DAA}</author>
    <author>tc={D497BA40-A3A9-4769-AA7D-410167AF4F47}</author>
    <author>tc={D5BB9B14-3667-4956-A619-148286074407}</author>
    <author>tc={6BEBF767-428E-4D18-A1A4-94901C927605}</author>
    <author>tc={FA1E31D0-9C91-408A-9999-BBCCA1814631}</author>
    <author>tc={5004B49F-7D47-4223-ACEF-090672E84D2B}</author>
    <author>tc={FF27E513-22C8-4203-A80A-2D724F19DC5D}</author>
    <author>tc={A425C31F-242E-47CF-8F0D-682F257EE737}</author>
    <author>tc={60A05EB7-F0A9-4D55-B5F2-9AA9EC7D98D9}</author>
    <author>tc={3132D038-72D3-4310-AE2D-6433D0EF0E8B}</author>
    <author>tc={4EE814D0-B39E-4616-A760-8AE5C41F332E}</author>
    <author>tc={857CA048-2362-4F9A-A868-4B533BAB930C}</author>
    <author>tc={C3515B06-654C-450B-8C52-DC6418D76438}</author>
    <author>tc={F7BACA48-781B-443E-9E99-E8456ABE8C13}</author>
    <author>tc={55134DE6-4B37-4153-8F3A-6E2DEE3D6160}</author>
    <author>tc={70C8E84C-1518-4114-92A8-E2ADB12723CC}</author>
    <author>tc={EDBDEF12-8E83-410B-B974-6202D519B2D1}</author>
    <author>tc={091F0E25-AE92-47F3-8570-FE875A8AA43B}</author>
    <author>tc={8A9DCB75-5FB1-4A16-9CD2-FF08735ECBD5}</author>
    <author>tc={5EA4BE49-577D-4A0E-A37A-410D66C70013}</author>
    <author>tc={C70B9FE9-B184-412A-BB1E-9516EF0858CF}</author>
    <author>tc={D1464BD0-A1A8-4743-8EA6-77475EEABDA4}</author>
    <author>tc={4BC28B02-AE9A-4DFD-95E0-53153AEB8326}</author>
    <author>tc={D96C7F2D-67BF-4A94-BA6D-9A975F4798EF}</author>
    <author>tc={C521B074-1742-4AA4-9630-EF62E0A1E27B}</author>
    <author>tc={CD28CD1C-F8CF-49C3-8467-2C81FE1F058C}</author>
    <author>tc={10DA2603-FA59-4728-949E-FB63EA830E58}</author>
    <author>tc={51F09FE4-2A06-4FD9-9A9B-330BD59D56E3}</author>
    <author>tc={C0F307B8-131C-4140-83BA-BFE709DBBC1F}</author>
    <author>tc={15E75CA9-25F9-4266-BF34-3A2D06552FE6}</author>
    <author>tc={85BF9DB3-C1D5-4DC6-A0B9-AD72D55699D5}</author>
    <author>tc={FDF82E46-57FD-46B4-957A-32AC777061F7}</author>
    <author>tc={618562D5-5174-468C-9844-F58079C4D308}</author>
    <author>tc={052E5306-CA39-4180-9842-EC323D8A3073}</author>
    <author>tc={D923BFAA-0A79-4C80-BE76-D224BC6EF344}</author>
    <author>tc={7387312A-05A8-4F81-8515-2DFD2B5ECF84}</author>
    <author>tc={9FE15D15-D211-41B6-AD62-4010CA40190A}</author>
    <author>tc={0E771275-23BD-40FC-B1A6-746077492D14}</author>
    <author>tc={9FF8B4AD-B323-4C26-9DE1-771349BFA4C4}</author>
    <author>tc={B80F6A94-55D8-4860-BCD9-026E2650BB68}</author>
    <author>tc={A93E8A48-94B4-49B1-9AC9-EB646EB4247C}</author>
    <author>tc={D0151522-456F-46E5-9FF4-A60C72C8045D}</author>
    <author>tc={C1FB4A20-7338-4A81-87C1-0A59E2284E2F}</author>
    <author>tc={2BCAB62C-522F-46AA-8547-701C74141A04}</author>
    <author>tc={272E2227-EBD8-4A45-B1E3-27BBAF9E00E8}</author>
    <author>tc={933042E1-B104-4B93-AEA7-045EBC191D6C}</author>
    <author>tc={E4F7A59C-F5CC-47B8-8354-C2E6F06A09D1}</author>
    <author>tc={7EB2D8D3-EB8A-475E-B4D2-CDA290DA8A35}</author>
    <author>tc={5A980EF1-3D60-40EC-A045-72D2B034D0F0}</author>
    <author>tc={9ECF6183-9E7C-4025-94AF-CE80048B15FE}</author>
    <author>tc={CC32FB8F-DA1D-458E-B6E8-41F41C1633E9}</author>
    <author>tc={2A200F3A-948E-4703-B779-1B2C556317E7}</author>
    <author>tc={B83142D4-3299-46BF-8222-B3D3CA9A22C9}</author>
    <author>tc={DF8447DC-5DB2-4B56-A139-6ABC4C7C3930}</author>
    <author>tc={F28C0C71-BDED-4DB1-9DC5-45D726161173}</author>
    <author>tc={E872C4CF-460F-4DDF-BCEC-313D6AC7221A}</author>
    <author>tc={FFD4D006-3B0C-4B8B-BECE-4C29B7387857}</author>
    <author>tc={74DA82AF-B58C-4AA2-B7F5-03D576EB9A85}</author>
    <author>tc={611D0318-3B42-414D-875D-40F4CD3A1B34}</author>
    <author>tc={42C3111C-376F-4560-86E6-537EA3F976F7}</author>
    <author>tc={4BCA0EF1-E964-405F-B826-9C4A5F8BB6F7}</author>
    <author>tc={55DF158F-1BB5-48E0-8B2A-55F5D7FD7549}</author>
    <author>tc={FE950FD5-14D2-482B-8D28-3132014DD4FA}</author>
    <author>tc={EC65FC57-39E5-442A-A659-C5E8066E76D5}</author>
    <author>tc={B5FF6FC2-0557-40A3-98C9-F5299BC363DD}</author>
    <author>tc={AC616D56-0F9A-4A53-8CCC-8BC14BC35DF4}</author>
    <author>tc={46CD349B-C866-431B-92EF-79A3CAB9E51B}</author>
    <author>tc={521ECBE9-F3BB-4620-80BF-B42D726C4B66}</author>
    <author>tc={75C1C3F6-1947-48FE-B8A5-AC7FDA6FE50E}</author>
    <author>tc={CC366D50-1A0C-4024-89B3-4F93973CB600}</author>
    <author>tc={4F52070C-A156-4B46-8183-9FC52179B160}</author>
    <author>tc={3C4A8019-9DE4-48ED-92A8-A7CDFA15B562}</author>
    <author>tc={C4CC8A89-DB18-42A7-89B9-B0462FEB0815}</author>
    <author>tc={E296AF05-72F0-42AD-B5D6-91BB12A515B6}</author>
    <author>tc={EEA74C75-64E9-48ED-8FE9-59EE2E897DAB}</author>
    <author>tc={44CCF213-B6DA-46E2-B025-86D0F22829F4}</author>
    <author>tc={248EDF31-56AE-46E8-AA91-9936507E5307}</author>
    <author>tc={7CFCF976-7E4E-4F10-9253-53C2E0FD758B}</author>
    <author>tc={2BF4EA97-94E0-4FC2-8687-97F185DEDD28}</author>
  </authors>
  <commentList>
    <comment ref="E13" authorId="0" shapeId="0" xr:uid="{A2DA6416-577F-4313-B3C4-8C8D106F7FBC}">
      <text>
        <t>[Threaded comment]
Your version of Excel allows you to read this threaded comment; however, any edits to it will get removed if the file is opened in a newer version of Excel. Learn more: https://go.microsoft.com/fwlink/?linkid=870924
Comment:
    Equation 9</t>
      </text>
    </comment>
    <comment ref="E15" authorId="1" shapeId="0" xr:uid="{03788E46-BB8B-42A2-8CDC-739CDFEAC8CB}">
      <text>
        <t>[Threaded comment]
Your version of Excel allows you to read this threaded comment; however, any edits to it will get removed if the file is opened in a newer version of Excel. Learn more: https://go.microsoft.com/fwlink/?linkid=870924
Comment:
    Equation 10</t>
      </text>
    </comment>
    <comment ref="E16" authorId="2" shapeId="0" xr:uid="{F6F8A7B0-4A5E-4B58-8C4F-F76A97E11D3A}">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7" authorId="3" shapeId="0" xr:uid="{C37A8E4F-004B-45CE-8429-16FEFE84F61D}">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8" authorId="4" shapeId="0" xr:uid="{955C72FA-66E4-416C-A2E0-415F6E9BA26B}">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9" authorId="5" shapeId="0" xr:uid="{0BA117C8-3792-492D-88D7-1C118C8417C2}">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0" authorId="6" shapeId="0" xr:uid="{904DB4D2-0CAE-4B8A-AE1C-DF9BC5FD13AD}">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2" authorId="7" shapeId="0" xr:uid="{5E733C81-4551-4BDA-B447-ED9473D2F9E6}">
      <text>
        <t>[Threaded comment]
Your version of Excel allows you to read this threaded comment; however, any edits to it will get removed if the file is opened in a newer version of Excel. Learn more: https://go.microsoft.com/fwlink/?linkid=870924
Comment:
    Equation 3</t>
      </text>
    </comment>
    <comment ref="E23" authorId="8" shapeId="0" xr:uid="{4EBDEF83-05C4-48CA-A9E2-FE8D9AEAC3E8}">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4" authorId="9" shapeId="0" xr:uid="{E4435F88-D69A-43F8-9454-2E6B2F2BA5F7}">
      <text>
        <t>[Threaded comment]
Your version of Excel allows you to read this threaded comment; however, any edits to it will get removed if the file is opened in a newer version of Excel. Learn more: https://go.microsoft.com/fwlink/?linkid=870924
Comment:
    Equation 4</t>
      </text>
    </comment>
    <comment ref="E25" authorId="10" shapeId="0" xr:uid="{1468C7BE-AB9B-4CEF-AB88-5495F4EBDE33}">
      <text>
        <t>[Threaded comment]
Your version of Excel allows you to read this threaded comment; however, any edits to it will get removed if the file is opened in a newer version of Excel. Learn more: https://go.microsoft.com/fwlink/?linkid=870924
Comment:
    Equation 5</t>
      </text>
    </comment>
    <comment ref="E26" authorId="11" shapeId="0" xr:uid="{3C3C9E9C-F8AE-4B37-A600-ED8DC2BE5A01}">
      <text>
        <t>[Threaded comment]
Your version of Excel allows you to read this threaded comment; however, any edits to it will get removed if the file is opened in a newer version of Excel. Learn more: https://go.microsoft.com/fwlink/?linkid=870924
Comment:
    A for equation 4</t>
      </text>
    </comment>
    <comment ref="E27" authorId="12" shapeId="0" xr:uid="{05521671-1CA5-4BF0-97FF-F918032DA01C}">
      <text>
        <t>[Threaded comment]
Your version of Excel allows you to read this threaded comment; however, any edits to it will get removed if the file is opened in a newer version of Excel. Learn more: https://go.microsoft.com/fwlink/?linkid=870924
Comment:
    Equation 6</t>
      </text>
    </comment>
    <comment ref="E28" authorId="13" shapeId="0" xr:uid="{7D9A897D-A006-4446-BE20-15A6542544FA}">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0" authorId="14" shapeId="0" xr:uid="{5BF86A92-6D67-4B14-85FD-CF1AC9C79137}">
      <text>
        <t>[Threaded comment]
Your version of Excel allows you to read this threaded comment; however, any edits to it will get removed if the file is opened in a newer version of Excel. Learn more: https://go.microsoft.com/fwlink/?linkid=870924
Comment:
    Equation 7</t>
      </text>
    </comment>
    <comment ref="E31" authorId="15" shapeId="0" xr:uid="{BDACCBCE-54AB-4F68-919B-ECAE5F86AC3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2" authorId="16" shapeId="0" xr:uid="{802874EB-6B15-4AA5-A71D-D38BBBBC3697}">
      <text>
        <t>[Threaded comment]
Your version of Excel allows you to read this threaded comment; however, any edits to it will get removed if the file is opened in a newer version of Excel. Learn more: https://go.microsoft.com/fwlink/?linkid=870924
Comment:
    Equation 8</t>
      </text>
    </comment>
    <comment ref="E33" authorId="17" shapeId="0" xr:uid="{CCF18DEC-C9C2-402D-9B01-A355CA89C7D1}">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5" authorId="18" shapeId="0" xr:uid="{CC2771C1-A74F-44EB-9D5B-3ABE261CDA1E}">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7" authorId="19" shapeId="0" xr:uid="{8BDC209F-2617-4C5F-A243-89F2F34073B2}">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8" authorId="20" shapeId="0" xr:uid="{12A1320A-332F-4C08-A599-E7C5B9463683}">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 authorId="21" shapeId="0" xr:uid="{1CFDC3E3-0130-410B-863E-7D68A283FA87}">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0" authorId="22" shapeId="0" xr:uid="{7AF6B9F0-4447-48B2-A3AA-1F265C92AD30}">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1" authorId="23" shapeId="0" xr:uid="{2927EEF2-8801-4B76-A340-92A94A07756E}">
      <text>
        <t>[Threaded comment]
Your version of Excel allows you to read this threaded comment; however, any edits to it will get removed if the file is opened in a newer version of Excel. Learn more: https://go.microsoft.com/fwlink/?linkid=870924
Comment:
    Equation 2</t>
      </text>
    </comment>
    <comment ref="E42" authorId="24" shapeId="0" xr:uid="{BE179E28-58C0-436A-9A86-678E84D13D08}">
      <text>
        <t>[Threaded comment]
Your version of Excel allows you to read this threaded comment; however, any edits to it will get removed if the file is opened in a newer version of Excel. Learn more: https://go.microsoft.com/fwlink/?linkid=870924
Comment:
    Equation 1</t>
      </text>
    </comment>
    <comment ref="E43" authorId="25" shapeId="0" xr:uid="{5E5E3A9E-3C18-4AB3-9287-44F0F38F07F5}">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6" shapeId="0" xr:uid="{F5202DB1-EE97-49A7-83A1-C3FB44D57872}">
      <text>
        <t>[Threaded comment]
Your version of Excel allows you to read this threaded comment; however, any edits to it will get removed if the file is opened in a newer version of Excel. Learn more: https://go.microsoft.com/fwlink/?linkid=870924
Comment:
    Equation 11</t>
      </text>
    </comment>
    <comment ref="E46" authorId="27" shapeId="0" xr:uid="{24858AA3-9626-44A4-B142-C6B855C3F92A}">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7" authorId="28" shapeId="0" xr:uid="{9203562D-94FA-4AE2-81AB-7733441A51E6}">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8" authorId="29" shapeId="0" xr:uid="{D7FBD0B2-8CB8-455D-A7E5-F8DDAA01DF2B}">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2" authorId="30" shapeId="0" xr:uid="{E9071AA9-193F-4531-BE7C-500E121F0C5C}">
      <text>
        <t>[Threaded comment]
Your version of Excel allows you to read this threaded comment; however, any edits to it will get removed if the file is opened in a newer version of Excel. Learn more: https://go.microsoft.com/fwlink/?linkid=870924
Comment:
    Equation 22</t>
      </text>
    </comment>
    <comment ref="E53" authorId="31" shapeId="0" xr:uid="{4602E67E-8BA2-4CDE-8F97-28BEBA017F54}">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4" authorId="32" shapeId="0" xr:uid="{0C4F30CC-D244-42D7-87A5-6C697E07170E}">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5" authorId="33" shapeId="0" xr:uid="{F0AA9B54-82B0-45CC-A060-CA974444EA74}">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6" authorId="34" shapeId="0" xr:uid="{0232146F-4C1B-4D74-B99C-08793C210AC7}">
      <text>
        <t>[Threaded comment]
Your version of Excel allows you to read this threaded comment; however, any edits to it will get removed if the file is opened in a newer version of Excel. Learn more: https://go.microsoft.com/fwlink/?linkid=870924
Comment:
    Equation 23</t>
      </text>
    </comment>
    <comment ref="E57" authorId="35" shapeId="0" xr:uid="{E7EA774F-1031-4641-8B54-687E7D4F16A6}">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0" authorId="36" shapeId="0" xr:uid="{83440962-450F-457A-92E5-58B6347048B4}">
      <text>
        <t>[Threaded comment]
Your version of Excel allows you to read this threaded comment; however, any edits to it will get removed if the file is opened in a newer version of Excel. Learn more: https://go.microsoft.com/fwlink/?linkid=870924
Comment:
    Equation 20</t>
      </text>
    </comment>
    <comment ref="E72" authorId="37" shapeId="0" xr:uid="{BBC1FE44-215E-4F72-AE67-3B9A91A44165}">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38" shapeId="0" xr:uid="{5F2A7A55-28B5-40EA-9063-EF5C5F31A18B}">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4" authorId="39" shapeId="0" xr:uid="{FA2E60AA-9720-47E5-954D-87CAB158BBB3}">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5" authorId="40" shapeId="0" xr:uid="{9D0C3B99-262E-49DA-8972-3ACBB5B2B8F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6" authorId="41" shapeId="0" xr:uid="{D634729D-3151-4616-ADA7-D3C52FABF271}">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7" authorId="42" shapeId="0" xr:uid="{33E7E4F4-560C-4012-8F8E-5263092A9A0E}">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1" authorId="43" shapeId="0" xr:uid="{15A3B917-D839-45F2-91B0-A1C867BFF870}">
      <text>
        <t>[Threaded comment]
Your version of Excel allows you to read this threaded comment; however, any edits to it will get removed if the file is opened in a newer version of Excel. Learn more: https://go.microsoft.com/fwlink/?linkid=870924
Comment:
    Equation 12</t>
      </text>
    </comment>
    <comment ref="E82" authorId="44" shapeId="0" xr:uid="{0CCDA532-09B5-4B74-A904-B29A2BCA6ABD}">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3" authorId="45" shapeId="0" xr:uid="{73164F28-E1C6-479D-BCC8-7412C055676C}">
      <text>
        <t>[Threaded comment]
Your version of Excel allows you to read this threaded comment; however, any edits to it will get removed if the file is opened in a newer version of Excel. Learn more: https://go.microsoft.com/fwlink/?linkid=870924
Comment:
    Equation 13</t>
      </text>
    </comment>
    <comment ref="E84" authorId="46" shapeId="0" xr:uid="{CFE578CB-14B6-42DC-944D-75403D63E76A}">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5" authorId="47" shapeId="0" xr:uid="{FA50C837-CEB5-4A90-A333-A1EE08F5D4E1}">
      <text>
        <t>[Threaded comment]
Your version of Excel allows you to read this threaded comment; however, any edits to it will get removed if the file is opened in a newer version of Excel. Learn more: https://go.microsoft.com/fwlink/?linkid=870924
Comment:
    Equation 14</t>
      </text>
    </comment>
    <comment ref="E86" authorId="48" shapeId="0" xr:uid="{7302C589-C321-4976-BE16-3C3F4EF4F85E}">
      <text>
        <t>[Threaded comment]
Your version of Excel allows you to read this threaded comment; however, any edits to it will get removed if the file is opened in a newer version of Excel. Learn more: https://go.microsoft.com/fwlink/?linkid=870924
Comment:
    Equation 15</t>
      </text>
    </comment>
    <comment ref="E87" authorId="49" shapeId="0" xr:uid="{9DE4CC99-0650-4F07-8D9D-F05EA8A5AF85}">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9" authorId="50" shapeId="0" xr:uid="{F3AB9CB1-E228-4B80-B222-A0A14477DFB2}">
      <text>
        <t>[Threaded comment]
Your version of Excel allows you to read this threaded comment; however, any edits to it will get removed if the file is opened in a newer version of Excel. Learn more: https://go.microsoft.com/fwlink/?linkid=870924
Comment:
    Equation 16</t>
      </text>
    </comment>
    <comment ref="E90" authorId="51" shapeId="0" xr:uid="{E5AE16B6-97F1-4395-917E-A742C86E8260}">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1" authorId="52" shapeId="0" xr:uid="{76353004-47E8-4C3D-BBB6-450BC56D8251}">
      <text>
        <t>[Threaded comment]
Your version of Excel allows you to read this threaded comment; however, any edits to it will get removed if the file is opened in a newer version of Excel. Learn more: https://go.microsoft.com/fwlink/?linkid=870924
Comment:
    Equation 17</t>
      </text>
    </comment>
    <comment ref="E92" authorId="53" shapeId="0" xr:uid="{16199F2B-C986-428B-A710-83C32483F5EB}">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4" authorId="54" shapeId="0" xr:uid="{AD940187-DE8B-4656-A774-19DC6DDBF8FF}">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6" authorId="55" shapeId="0" xr:uid="{5E5700E0-C6FD-40D5-90DA-193EB85EC098}">
      <text>
        <t>[Threaded comment]
Your version of Excel allows you to read this threaded comment; however, any edits to it will get removed if the file is opened in a newer version of Excel. Learn more: https://go.microsoft.com/fwlink/?linkid=870924
Comment:
    Equation 12?</t>
      </text>
    </comment>
    <comment ref="E97" authorId="56" shapeId="0" xr:uid="{BD127ECA-2317-49CD-BD92-F68FE6E106C6}">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8" authorId="57" shapeId="0" xr:uid="{8C0725E6-44EB-4B96-8844-AC518E68C7FA}">
      <text>
        <t>[Threaded comment]
Your version of Excel allows you to read this threaded comment; however, any edits to it will get removed if the file is opened in a newer version of Excel. Learn more: https://go.microsoft.com/fwlink/?linkid=870924
Comment:
    Equation 13</t>
      </text>
    </comment>
    <comment ref="E99" authorId="58" shapeId="0" xr:uid="{6B4B74B5-F45E-4F30-BD14-A544889D6AB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0" authorId="59" shapeId="0" xr:uid="{082C0E84-1315-44E0-86AC-0EB0D945BA9D}">
      <text>
        <t>[Threaded comment]
Your version of Excel allows you to read this threaded comment; however, any edits to it will get removed if the file is opened in a newer version of Excel. Learn more: https://go.microsoft.com/fwlink/?linkid=870924
Comment:
    Equation 14</t>
      </text>
    </comment>
    <comment ref="E101" authorId="60" shapeId="0" xr:uid="{059332D0-EA06-4C72-9BC8-E30365544A75}">
      <text>
        <t>[Threaded comment]
Your version of Excel allows you to read this threaded comment; however, any edits to it will get removed if the file is opened in a newer version of Excel. Learn more: https://go.microsoft.com/fwlink/?linkid=870924
Comment:
    Equation 15</t>
      </text>
    </comment>
    <comment ref="E102" authorId="61" shapeId="0" xr:uid="{C7C12D9F-3899-4B13-A357-4DF462CF61E7}">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4" authorId="62" shapeId="0" xr:uid="{3E49D82C-89B4-4B91-815C-05111D2B28CC}">
      <text>
        <t>[Threaded comment]
Your version of Excel allows you to read this threaded comment; however, any edits to it will get removed if the file is opened in a newer version of Excel. Learn more: https://go.microsoft.com/fwlink/?linkid=870924
Comment:
    Equation 18</t>
      </text>
    </comment>
    <comment ref="E105" authorId="63" shapeId="0" xr:uid="{812E5C60-7340-45E4-A735-6CB0B1C7B2C2}">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6" authorId="64" shapeId="0" xr:uid="{0A6CC6B1-7017-4E74-9103-E9D8BAC5562A}">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7" authorId="65" shapeId="0" xr:uid="{F2618E0F-7C6A-493A-A8A3-5522D7C1B11D}">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6" shapeId="0" xr:uid="{EC3F54A8-D0F3-46C2-9D57-78C025AC4A85}">
      <text>
        <t>[Threaded comment]
Your version of Excel allows you to read this threaded comment; however, any edits to it will get removed if the file is opened in a newer version of Excel. Learn more: https://go.microsoft.com/fwlink/?linkid=870924
Comment:
    For equation 18</t>
      </text>
    </comment>
    <comment ref="E109" authorId="67" shapeId="0" xr:uid="{24D7B668-B7D8-4AB5-B723-093B7553394D}">
      <text>
        <t>[Threaded comment]
Your version of Excel allows you to read this threaded comment; however, any edits to it will get removed if the file is opened in a newer version of Excel. Learn more: https://go.microsoft.com/fwlink/?linkid=870924
Comment:
    Equation 19</t>
      </text>
    </comment>
    <comment ref="E110" authorId="68" shapeId="0" xr:uid="{283BD815-95D9-4CCE-B841-56586F86C8F7}">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1" authorId="69" shapeId="0" xr:uid="{E3063BFD-5ACB-4A7F-80E2-BA4FDD064F81}">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3" authorId="70" shapeId="0" xr:uid="{13AF473C-9695-4721-9219-EDE03AB82F91}">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4" authorId="71" shapeId="0" xr:uid="{2ED77254-58DA-44D8-A40F-CD2D9B0F8716}">
      <text>
        <t>[Threaded comment]
Your version of Excel allows you to read this threaded comment; however, any edits to it will get removed if the file is opened in a newer version of Excel. Learn more: https://go.microsoft.com/fwlink/?linkid=870924
Comment:
    date</t>
      </text>
    </comment>
    <comment ref="E123" authorId="72" shapeId="0" xr:uid="{20D5659D-4699-4893-8E4B-4F316804CC25}">
      <text>
        <t>[Threaded comment]
Your version of Excel allows you to read this threaded comment; however, any edits to it will get removed if the file is opened in a newer version of Excel. Learn more: https://go.microsoft.com/fwlink/?linkid=870924
Comment:
    Equation 24</t>
      </text>
    </comment>
    <comment ref="E124" authorId="73" shapeId="0" xr:uid="{C67E27EB-FEE2-4464-A14D-D9D86E14B4E0}">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5" authorId="74" shapeId="0" xr:uid="{FCCE1956-37C4-41A1-BEA9-ABEB15BF0494}">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7" authorId="75" shapeId="0" xr:uid="{9B1A0702-94AE-4175-B465-693B65A851A6}">
      <text>
        <t>[Threaded comment]
Your version of Excel allows you to read this threaded comment; however, any edits to it will get removed if the file is opened in a newer version of Excel. Learn more: https://go.microsoft.com/fwlink/?linkid=870924
Comment:
    Equation 25</t>
      </text>
    </comment>
    <comment ref="E128" authorId="76" shapeId="0" xr:uid="{59B7B12F-1F7D-48AA-A3CD-27ADE5E1145F}">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9" authorId="77" shapeId="0" xr:uid="{1D4A7B67-5F15-491B-8DFA-0FDC94A401E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0" authorId="78" shapeId="0" xr:uid="{D01745E5-FA75-497E-BAED-A844E41FB863}">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2" authorId="79" shapeId="0" xr:uid="{C532E408-759F-40DF-B64F-A16A42602DB3}">
      <text>
        <t>[Threaded comment]
Your version of Excel allows you to read this threaded comment; however, any edits to it will get removed if the file is opened in a newer version of Excel. Learn more: https://go.microsoft.com/fwlink/?linkid=870924
Comment:
    Equation 26</t>
      </text>
    </comment>
    <comment ref="E133" authorId="80" shapeId="0" xr:uid="{44F95F42-4018-4A84-A8C3-C18D03E7C062}">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4" authorId="81" shapeId="0" xr:uid="{DA3712B9-ED33-43D3-AC0E-BCADDF7D4DAA}">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6" authorId="82" shapeId="0" xr:uid="{D497BA40-A3A9-4769-AA7D-410167AF4F47}">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7" authorId="83" shapeId="0" xr:uid="{D5BB9B14-3667-4956-A619-148286074407}">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8" authorId="84" shapeId="0" xr:uid="{6BEBF767-428E-4D18-A1A4-94901C927605}">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9" authorId="85" shapeId="0" xr:uid="{FA1E31D0-9C91-408A-9999-BBCCA1814631}">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0" authorId="86" shapeId="0" xr:uid="{5004B49F-7D47-4223-ACEF-090672E84D2B}">
      <text>
        <t>[Threaded comment]
Your version of Excel allows you to read this threaded comment; however, any edits to it will get removed if the file is opened in a newer version of Excel. Learn more: https://go.microsoft.com/fwlink/?linkid=870924
Comment:
    Equation 27</t>
      </text>
    </comment>
    <comment ref="E151" authorId="87" shapeId="0" xr:uid="{FF27E513-22C8-4203-A80A-2D724F19DC5D}">
      <text>
        <t>[Threaded comment]
Your version of Excel allows you to read this threaded comment; however, any edits to it will get removed if the file is opened in a newer version of Excel. Learn more: https://go.microsoft.com/fwlink/?linkid=870924
Comment:
    Equation 3</t>
      </text>
    </comment>
    <comment ref="E152" authorId="88" shapeId="0" xr:uid="{A425C31F-242E-47CF-8F0D-682F257EE737}">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3" authorId="89" shapeId="0" xr:uid="{60A05EB7-F0A9-4D55-B5F2-9AA9EC7D98D9}">
      <text>
        <t>[Threaded comment]
Your version of Excel allows you to read this threaded comment; however, any edits to it will get removed if the file is opened in a newer version of Excel. Learn more: https://go.microsoft.com/fwlink/?linkid=870924
Comment:
    Equation 4</t>
      </text>
    </comment>
    <comment ref="E154" authorId="90" shapeId="0" xr:uid="{3132D038-72D3-4310-AE2D-6433D0EF0E8B}">
      <text>
        <t>[Threaded comment]
Your version of Excel allows you to read this threaded comment; however, any edits to it will get removed if the file is opened in a newer version of Excel. Learn more: https://go.microsoft.com/fwlink/?linkid=870924
Comment:
    Equation 5</t>
      </text>
    </comment>
    <comment ref="E155" authorId="91" shapeId="0" xr:uid="{4EE814D0-B39E-4616-A760-8AE5C41F332E}">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6" authorId="92" shapeId="0" xr:uid="{857CA048-2362-4F9A-A868-4B533BAB930C}">
      <text>
        <t>[Threaded comment]
Your version of Excel allows you to read this threaded comment; however, any edits to it will get removed if the file is opened in a newer version of Excel. Learn more: https://go.microsoft.com/fwlink/?linkid=870924
Comment:
    Equation 6</t>
      </text>
    </comment>
    <comment ref="E157" authorId="93" shapeId="0" xr:uid="{C3515B06-654C-450B-8C52-DC6418D7643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59" authorId="94" shapeId="0" xr:uid="{F7BACA48-781B-443E-9E99-E8456ABE8C13}">
      <text>
        <t>[Threaded comment]
Your version of Excel allows you to read this threaded comment; however, any edits to it will get removed if the file is opened in a newer version of Excel. Learn more: https://go.microsoft.com/fwlink/?linkid=870924
Comment:
    Equation 7</t>
      </text>
    </comment>
    <comment ref="E160" authorId="95" shapeId="0" xr:uid="{55134DE6-4B37-4153-8F3A-6E2DEE3D6160}">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1" authorId="96" shapeId="0" xr:uid="{70C8E84C-1518-4114-92A8-E2ADB12723CC}">
      <text>
        <t>[Threaded comment]
Your version of Excel allows you to read this threaded comment; however, any edits to it will get removed if the file is opened in a newer version of Excel. Learn more: https://go.microsoft.com/fwlink/?linkid=870924
Comment:
    Equation 8</t>
      </text>
    </comment>
    <comment ref="E162" authorId="97" shapeId="0" xr:uid="{EDBDEF12-8E83-410B-B974-6202D519B2D1}">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4" authorId="98" shapeId="0" xr:uid="{091F0E25-AE92-47F3-8570-FE875A8AA43B}">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6" authorId="99" shapeId="0" xr:uid="{8A9DCB75-5FB1-4A16-9CD2-FF08735ECBD5}">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67" authorId="100" shapeId="0" xr:uid="{5EA4BE49-577D-4A0E-A37A-410D66C70013}">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68" authorId="101" shapeId="0" xr:uid="{C70B9FE9-B184-412A-BB1E-9516EF0858CF}">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69" authorId="102" shapeId="0" xr:uid="{D1464BD0-A1A8-4743-8EA6-77475EEABDA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0" authorId="103" shapeId="0" xr:uid="{4BC28B02-AE9A-4DFD-95E0-53153AEB8326}">
      <text>
        <t>[Threaded comment]
Your version of Excel allows you to read this threaded comment; however, any edits to it will get removed if the file is opened in a newer version of Excel. Learn more: https://go.microsoft.com/fwlink/?linkid=870924
Comment:
    Equation 2</t>
      </text>
    </comment>
    <comment ref="E171" authorId="104" shapeId="0" xr:uid="{D96C7F2D-67BF-4A94-BA6D-9A975F4798EF}">
      <text>
        <t>[Threaded comment]
Your version of Excel allows you to read this threaded comment; however, any edits to it will get removed if the file is opened in a newer version of Excel. Learn more: https://go.microsoft.com/fwlink/?linkid=870924
Comment:
    Equation 1</t>
      </text>
    </comment>
    <comment ref="E172" authorId="105" shapeId="0" xr:uid="{C521B074-1742-4AA4-9630-EF62E0A1E27B}">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6" shapeId="0" xr:uid="{CD28CD1C-F8CF-49C3-8467-2C81FE1F058C}">
      <text>
        <t>[Threaded comment]
Your version of Excel allows you to read this threaded comment; however, any edits to it will get removed if the file is opened in a newer version of Excel. Learn more: https://go.microsoft.com/fwlink/?linkid=870924
Comment:
    Equation 11</t>
      </text>
    </comment>
    <comment ref="E175" authorId="107" shapeId="0" xr:uid="{10DA2603-FA59-4728-949E-FB63EA830E58}">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6" authorId="108" shapeId="0" xr:uid="{51F09FE4-2A06-4FD9-9A9B-330BD59D56E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77" authorId="109" shapeId="0" xr:uid="{C0F307B8-131C-4140-83BA-BFE709DBBC1F}">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1" authorId="110" shapeId="0" xr:uid="{15E75CA9-25F9-4266-BF34-3A2D06552FE6}">
      <text>
        <t>[Threaded comment]
Your version of Excel allows you to read this threaded comment; however, any edits to it will get removed if the file is opened in a newer version of Excel. Learn more: https://go.microsoft.com/fwlink/?linkid=870924
Comment:
    Equation 22</t>
      </text>
    </comment>
    <comment ref="E182" authorId="111" shapeId="0" xr:uid="{85BF9DB3-C1D5-4DC6-A0B9-AD72D55699D5}">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3" authorId="112" shapeId="0" xr:uid="{FDF82E46-57FD-46B4-957A-32AC777061F7}">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4" authorId="113" shapeId="0" xr:uid="{618562D5-5174-468C-9844-F58079C4D308}">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5" authorId="114" shapeId="0" xr:uid="{052E5306-CA39-4180-9842-EC323D8A3073}">
      <text>
        <t>[Threaded comment]
Your version of Excel allows you to read this threaded comment; however, any edits to it will get removed if the file is opened in a newer version of Excel. Learn more: https://go.microsoft.com/fwlink/?linkid=870924
Comment:
    Equation 23</t>
      </text>
    </comment>
    <comment ref="E186" authorId="115" shapeId="0" xr:uid="{D923BFAA-0A79-4C80-BE76-D224BC6EF34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1" authorId="116" shapeId="0" xr:uid="{7387312A-05A8-4F81-8515-2DFD2B5ECF84}">
      <text>
        <t>[Threaded comment]
Your version of Excel allows you to read this threaded comment; however, any edits to it will get removed if the file is opened in a newer version of Excel. Learn more: https://go.microsoft.com/fwlink/?linkid=870924
Comment:
    Equation 12</t>
      </text>
    </comment>
    <comment ref="E202" authorId="117" shapeId="0" xr:uid="{9FE15D15-D211-41B6-AD62-4010CA40190A}">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3" authorId="118" shapeId="0" xr:uid="{0E771275-23BD-40FC-B1A6-746077492D14}">
      <text>
        <t>[Threaded comment]
Your version of Excel allows you to read this threaded comment; however, any edits to it will get removed if the file is opened in a newer version of Excel. Learn more: https://go.microsoft.com/fwlink/?linkid=870924
Comment:
    Equation 13</t>
      </text>
    </comment>
    <comment ref="E204" authorId="119" shapeId="0" xr:uid="{9FF8B4AD-B323-4C26-9DE1-771349BFA4C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5" authorId="120" shapeId="0" xr:uid="{B80F6A94-55D8-4860-BCD9-026E2650BB68}">
      <text>
        <t>[Threaded comment]
Your version of Excel allows you to read this threaded comment; however, any edits to it will get removed if the file is opened in a newer version of Excel. Learn more: https://go.microsoft.com/fwlink/?linkid=870924
Comment:
    Equation 14</t>
      </text>
    </comment>
    <comment ref="E206" authorId="121" shapeId="0" xr:uid="{A93E8A48-94B4-49B1-9AC9-EB646EB4247C}">
      <text>
        <t>[Threaded comment]
Your version of Excel allows you to read this threaded comment; however, any edits to it will get removed if the file is opened in a newer version of Excel. Learn more: https://go.microsoft.com/fwlink/?linkid=870924
Comment:
    Equation 15</t>
      </text>
    </comment>
    <comment ref="E207" authorId="122" shapeId="0" xr:uid="{D0151522-456F-46E5-9FF4-A60C72C8045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09" authorId="123" shapeId="0" xr:uid="{C1FB4A20-7338-4A81-87C1-0A59E2284E2F}">
      <text>
        <t>[Threaded comment]
Your version of Excel allows you to read this threaded comment; however, any edits to it will get removed if the file is opened in a newer version of Excel. Learn more: https://go.microsoft.com/fwlink/?linkid=870924
Comment:
    Equation 16</t>
      </text>
    </comment>
    <comment ref="E210" authorId="124" shapeId="0" xr:uid="{2BCAB62C-522F-46AA-8547-701C74141A0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1" authorId="125" shapeId="0" xr:uid="{272E2227-EBD8-4A45-B1E3-27BBAF9E00E8}">
      <text>
        <t>[Threaded comment]
Your version of Excel allows you to read this threaded comment; however, any edits to it will get removed if the file is opened in a newer version of Excel. Learn more: https://go.microsoft.com/fwlink/?linkid=870924
Comment:
    Equation 17</t>
      </text>
    </comment>
    <comment ref="E212" authorId="126" shapeId="0" xr:uid="{933042E1-B104-4B93-AEA7-045EBC191D6C}">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4" authorId="127" shapeId="0" xr:uid="{E4F7A59C-F5CC-47B8-8354-C2E6F06A09D1}">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6" authorId="128" shapeId="0" xr:uid="{7EB2D8D3-EB8A-475E-B4D2-CDA290DA8A35}">
      <text>
        <t>[Threaded comment]
Your version of Excel allows you to read this threaded comment; however, any edits to it will get removed if the file is opened in a newer version of Excel. Learn more: https://go.microsoft.com/fwlink/?linkid=870924
Comment:
    Equation 12?</t>
      </text>
    </comment>
    <comment ref="E217" authorId="129" shapeId="0" xr:uid="{5A980EF1-3D60-40EC-A045-72D2B034D0F0}">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18" authorId="130" shapeId="0" xr:uid="{9ECF6183-9E7C-4025-94AF-CE80048B15FE}">
      <text>
        <t>[Threaded comment]
Your version of Excel allows you to read this threaded comment; however, any edits to it will get removed if the file is opened in a newer version of Excel. Learn more: https://go.microsoft.com/fwlink/?linkid=870924
Comment:
    Equation 13</t>
      </text>
    </comment>
    <comment ref="E219" authorId="131" shapeId="0" xr:uid="{CC32FB8F-DA1D-458E-B6E8-41F41C1633E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0" authorId="132" shapeId="0" xr:uid="{2A200F3A-948E-4703-B779-1B2C556317E7}">
      <text>
        <t>[Threaded comment]
Your version of Excel allows you to read this threaded comment; however, any edits to it will get removed if the file is opened in a newer version of Excel. Learn more: https://go.microsoft.com/fwlink/?linkid=870924
Comment:
    Equation 14</t>
      </text>
    </comment>
    <comment ref="E221" authorId="133" shapeId="0" xr:uid="{B83142D4-3299-46BF-8222-B3D3CA9A22C9}">
      <text>
        <t>[Threaded comment]
Your version of Excel allows you to read this threaded comment; however, any edits to it will get removed if the file is opened in a newer version of Excel. Learn more: https://go.microsoft.com/fwlink/?linkid=870924
Comment:
    Equation 15</t>
      </text>
    </comment>
    <comment ref="E222" authorId="134" shapeId="0" xr:uid="{DF8447DC-5DB2-4B56-A139-6ABC4C7C393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4" authorId="135" shapeId="0" xr:uid="{F28C0C71-BDED-4DB1-9DC5-45D726161173}">
      <text>
        <t>[Threaded comment]
Your version of Excel allows you to read this threaded comment; however, any edits to it will get removed if the file is opened in a newer version of Excel. Learn more: https://go.microsoft.com/fwlink/?linkid=870924
Comment:
    Equation 18</t>
      </text>
    </comment>
    <comment ref="E225" authorId="136" shapeId="0" xr:uid="{E872C4CF-460F-4DDF-BCEC-313D6AC7221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6" authorId="137" shapeId="0" xr:uid="{FFD4D006-3B0C-4B8B-BECE-4C29B7387857}">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27" authorId="138" shapeId="0" xr:uid="{74DA82AF-B58C-4AA2-B7F5-03D576EB9A85}">
      <text>
        <t>[Threaded comment]
Your version of Excel allows you to read this threaded comment; however, any edits to it will get removed if the file is opened in a newer version of Excel. Learn more: https://go.microsoft.com/fwlink/?linkid=870924
Comment:
    For equation 18</t>
      </text>
    </comment>
    <comment ref="E228" authorId="139" shapeId="0" xr:uid="{611D0318-3B42-414D-875D-40F4CD3A1B34}">
      <text>
        <t>[Threaded comment]
Your version of Excel allows you to read this threaded comment; however, any edits to it will get removed if the file is opened in a newer version of Excel. Learn more: https://go.microsoft.com/fwlink/?linkid=870924
Comment:
    For equation 18</t>
      </text>
    </comment>
    <comment ref="E229" authorId="140" shapeId="0" xr:uid="{42C3111C-376F-4560-86E6-537EA3F976F7}">
      <text>
        <t>[Threaded comment]
Your version of Excel allows you to read this threaded comment; however, any edits to it will get removed if the file is opened in a newer version of Excel. Learn more: https://go.microsoft.com/fwlink/?linkid=870924
Comment:
    Equation 19</t>
      </text>
    </comment>
    <comment ref="E230" authorId="141" shapeId="0" xr:uid="{4BCA0EF1-E964-405F-B826-9C4A5F8BB6F7}">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1" authorId="142" shapeId="0" xr:uid="{55DF158F-1BB5-48E0-8B2A-55F5D7FD7549}">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3" authorId="143" shapeId="0" xr:uid="{FE950FD5-14D2-482B-8D28-3132014DD4FA}">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4" authorId="144" shapeId="0" xr:uid="{EC65FC57-39E5-442A-A659-C5E8066E76D5}">
      <text>
        <t>[Threaded comment]
Your version of Excel allows you to read this threaded comment; however, any edits to it will get removed if the file is opened in a newer version of Excel. Learn more: https://go.microsoft.com/fwlink/?linkid=870924
Comment:
    date</t>
      </text>
    </comment>
    <comment ref="E243" authorId="145" shapeId="0" xr:uid="{B5FF6FC2-0557-40A3-98C9-F5299BC363DD}">
      <text>
        <t>[Threaded comment]
Your version of Excel allows you to read this threaded comment; however, any edits to it will get removed if the file is opened in a newer version of Excel. Learn more: https://go.microsoft.com/fwlink/?linkid=870924
Comment:
    Equation 24</t>
      </text>
    </comment>
    <comment ref="E244" authorId="146" shapeId="0" xr:uid="{AC616D56-0F9A-4A53-8CCC-8BC14BC35DF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5" authorId="147" shapeId="0" xr:uid="{46CD349B-C866-431B-92EF-79A3CAB9E51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47" authorId="148" shapeId="0" xr:uid="{521ECBE9-F3BB-4620-80BF-B42D726C4B66}">
      <text>
        <t>[Threaded comment]
Your version of Excel allows you to read this threaded comment; however, any edits to it will get removed if the file is opened in a newer version of Excel. Learn more: https://go.microsoft.com/fwlink/?linkid=870924
Comment:
    Equation 25</t>
      </text>
    </comment>
    <comment ref="E248" authorId="149" shapeId="0" xr:uid="{75C1C3F6-1947-48FE-B8A5-AC7FDA6FE50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49" authorId="150" shapeId="0" xr:uid="{CC366D50-1A0C-4024-89B3-4F93973CB600}">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0" authorId="151" shapeId="0" xr:uid="{4F52070C-A156-4B46-8183-9FC52179B16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2" authorId="152" shapeId="0" xr:uid="{3C4A8019-9DE4-48ED-92A8-A7CDFA15B562}">
      <text>
        <t>[Threaded comment]
Your version of Excel allows you to read this threaded comment; however, any edits to it will get removed if the file is opened in a newer version of Excel. Learn more: https://go.microsoft.com/fwlink/?linkid=870924
Comment:
    Equation 26</t>
      </text>
    </comment>
    <comment ref="E253" authorId="153" shapeId="0" xr:uid="{C4CC8A89-DB18-42A7-89B9-B0462FEB0815}">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4" authorId="154" shapeId="0" xr:uid="{E296AF05-72F0-42AD-B5D6-91BB12A515B6}">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6" authorId="155" shapeId="0" xr:uid="{EEA74C75-64E9-48ED-8FE9-59EE2E897DAB}">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57" authorId="156" shapeId="0" xr:uid="{44CCF213-B6DA-46E2-B025-86D0F22829F4}">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58" authorId="157" shapeId="0" xr:uid="{248EDF31-56AE-46E8-AA91-9936507E5307}">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59" authorId="158" shapeId="0" xr:uid="{7CFCF976-7E4E-4F10-9253-53C2E0FD758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0" authorId="159" shapeId="0" xr:uid="{2BF4EA97-94E0-4FC2-8687-97F185DEDD28}">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tc={42C3AFDC-42A5-43F0-8002-D0A8285D5F58}</author>
    <author>tc={B5C84FB1-2D80-4352-852F-4696CA90FAA4}</author>
    <author>tc={B226836F-4095-4BF5-AE4A-B321D83D1995}</author>
    <author>tc={282FA99E-5957-427D-955B-05FCEAC8A3B8}</author>
    <author>tc={BBAEB1DB-690E-4A58-A394-B0065C3D4ED4}</author>
    <author>tc={00B5CB56-B2A6-4BC7-9495-1BF3C0F9E994}</author>
    <author>tc={09A14DF3-EE70-4734-8DBC-79A30C584ECE}</author>
    <author>tc={542831C5-0119-4F91-894B-EA3F20B3A0AE}</author>
    <author>tc={AC84115D-3DA3-41A8-B1C3-961EF2C352CF}</author>
    <author>tc={60CAE504-E062-43D3-A241-C6C12FFCBA2F}</author>
    <author>tc={C526D05E-E1B9-4298-99E4-98A3368BCCD8}</author>
    <author>tc={7CBAAE20-052A-4971-BDB8-DD47BE228F80}</author>
    <author>tc={70BE3706-6DA4-43BF-A947-F234CEEF63A8}</author>
    <author>tc={DAC7BE9B-7263-4866-AE4B-4CDC73A57AA2}</author>
    <author>tc={55793D79-0B70-4156-B34F-F9921B01CD09}</author>
    <author>tc={7FE6DCC5-1B09-4CA3-970A-98E721C90C4A}</author>
    <author>tc={4EA7397A-24FD-4A36-BAEF-6583B680DB4E}</author>
    <author>tc={EFAA3492-EEF0-4582-BA24-136653CAD2C0}</author>
    <author>tc={B7267655-87F0-4FE6-9506-CAEE64C43B7D}</author>
    <author>tc={79D8B3EF-D95C-4767-BFEA-89873E8F5BB0}</author>
    <author>tc={65665BC1-BE04-4BA9-A4F0-6156F207FF79}</author>
    <author>tc={C1F86A05-4967-4ACF-81F0-D42DB94BB8C2}</author>
    <author>tc={BB060E01-D4C7-4AA2-994F-854268F667C4}</author>
    <author>tc={1C2E4104-61FD-420E-962C-CE8845D36606}</author>
    <author>tc={976E213D-D882-4338-ACCF-AB709735EABB}</author>
    <author>tc={BDA581B0-34DD-49D6-8E4F-4873084F730B}</author>
    <author>tc={B4224DE0-ADB6-4DA4-833F-0538AE4C97D6}</author>
    <author>tc={EEE90F6E-EA6D-4075-853C-6E6D019716FC}</author>
    <author>tc={5384EE28-0B9D-4D1D-B0A0-6ACA8E845ACD}</author>
    <author>tc={99519FFA-18D6-4617-BE41-2C07DB022CFA}</author>
    <author>tc={D1BCB1DA-C784-4562-AE40-B650ACA23606}</author>
    <author>tc={07440C44-1E9D-40CE-8E3F-B4F2244D042B}</author>
    <author>tc={54055F60-A504-42E4-B0A3-FDF1C1F9E889}</author>
    <author>tc={D0FC5BB5-53EB-4265-86DB-644132315340}</author>
    <author>tc={DC5E6700-2674-4B58-83A8-30BA79E88EEE}</author>
    <author>tc={4AE25741-BA49-4132-B902-961CF3F3A1C4}</author>
    <author>tc={03328FE1-5261-49DF-B093-9C5FC51B2EB4}</author>
    <author>tc={B4F8E40A-34AC-43FA-83E9-458F67733585}</author>
    <author>tc={04ACA03F-550C-4A24-859F-C9B472DFF94C}</author>
    <author>tc={AF9772B5-3873-4D65-9898-E374A1499DB5}</author>
    <author>tc={54EA9D16-BB90-457C-B43E-D3541A3103BF}</author>
    <author>tc={D0F0DB00-ADE0-4B4C-9117-46CF8E550A3D}</author>
    <author>tc={7A4003CE-4645-44BB-9787-30FBD5C9CF1A}</author>
    <author>tc={A712A8D2-97FA-4AD1-8395-8C2CBDA76A47}</author>
    <author>tc={D130FEDE-9708-40DE-9597-A72F509B9463}</author>
    <author>tc={900DF197-A3D1-4E15-B51A-3D28382D660C}</author>
    <author>tc={0A0D0231-4CD0-43C9-B9C5-262112414D50}</author>
    <author>tc={51A529B1-E941-4DB4-9547-81EED4C87B82}</author>
    <author>tc={3F040A82-F232-444D-A042-560AA1DC7C3C}</author>
    <author>tc={204C48BB-E145-4B93-A40D-F6A1A69F1BDB}</author>
    <author>tc={0FB8E957-2F55-4285-AD08-3328B87A6D56}</author>
    <author>tc={034E3A2A-8AEA-498F-BE71-BA8F11AC7472}</author>
    <author>tc={753693C8-BB71-4C87-87EA-E4F060F06569}</author>
    <author>tc={BFDAEC4A-E64B-418F-9AB3-717630DB83AD}</author>
    <author>tc={365D34ED-4FB3-415A-BADE-B3CDAABCD346}</author>
    <author>tc={F59544CE-F916-4F35-A76D-635D7BD06178}</author>
    <author>tc={C85D17B6-32E1-4754-9E2E-C9F70D64F684}</author>
    <author>tc={C5379A06-4366-40D6-9449-6E5AC25EEB55}</author>
    <author>tc={D60A607C-A5A7-4963-AC08-79ABFF5FF734}</author>
    <author>tc={23CDC15B-BE73-428E-8A7C-F0AF9A7D3FA7}</author>
    <author>tc={E6BBD78F-B05C-4EC2-ABAC-F69BAB125F1C}</author>
    <author>tc={EC21C0CD-8E1A-48D8-9B10-9E8E80AEDB60}</author>
    <author>tc={4A6EE3C3-9E21-42BE-AEFA-6E0C1345C728}</author>
    <author>tc={D88BA60E-4254-4B08-A928-9BD14627E5A8}</author>
    <author>tc={630F5355-7B65-4216-9BD7-1202B10A391F}</author>
    <author>tc={FC05F1D8-62D7-46AB-A947-ECD206210C89}</author>
    <author>tc={2F505397-6000-4F97-893F-1F04D05EB1DC}</author>
    <author>tc={CF9B37F0-D159-401E-B74C-DDA17B9373A9}</author>
    <author>tc={346B8217-9A27-4A02-BEA0-9782B59A863C}</author>
    <author>tc={C9333ADF-DE55-498B-A078-FFBCADD856B0}</author>
    <author>tc={97AF59B2-8F64-4599-AB67-24030C50791C}</author>
    <author>tc={B598CEB0-84F3-4F20-9AE3-B43E92A3BC7D}</author>
    <author>tc={25715413-72D0-4EA7-93E2-FE52A31CDA53}</author>
    <author>tc={5DAC4DBF-AE79-4A9F-ABAB-DDE399183904}</author>
    <author>tc={8D5B2983-FF18-447C-803D-A729E98E623B}</author>
    <author>tc={D86E5815-7986-480D-AE0D-90FDC2EC6D0D}</author>
    <author>tc={00A72411-1E4C-423B-BC1F-0259BF7F327A}</author>
    <author>tc={8BBB1A3B-ADAE-445A-A95C-B7A2C404512A}</author>
    <author>tc={D4BE8680-9FE7-43D4-9C84-CB116031CE00}</author>
    <author>tc={42FD9FE5-CD55-4A55-B4D0-E638D09639C6}</author>
    <author>tc={D4FEFFE1-F19A-47B0-B8D1-DE1C92A949C0}</author>
    <author>tc={876F7BAD-C35A-4750-913C-7A8C9F1FF6B8}</author>
    <author>tc={95C1BCFB-354E-4491-999B-EF45E8E9B237}</author>
    <author>tc={4F8B1D73-9DEB-4967-A836-D45D62616CC3}</author>
    <author>tc={29BBBF54-AF11-417F-954E-DDC5D2CEEC8E}</author>
    <author>tc={7494853C-A672-44D7-826D-80014EE13ACB}</author>
    <author>tc={E624A28D-9642-4A70-8859-925A4C32C3E0}</author>
  </authors>
  <commentList>
    <comment ref="E12" authorId="0" shapeId="0" xr:uid="{42C3AFDC-42A5-43F0-8002-D0A8285D5F58}">
      <text>
        <t>[Threaded comment]
Your version of Excel allows you to read this threaded comment; however, any edits to it will get removed if the file is opened in a newer version of Excel. Learn more: https://go.microsoft.com/fwlink/?linkid=870924
Comment:
    Equation 9</t>
      </text>
    </comment>
    <comment ref="E14" authorId="1" shapeId="0" xr:uid="{B5C84FB1-2D80-4352-852F-4696CA90FAA4}">
      <text>
        <t>[Threaded comment]
Your version of Excel allows you to read this threaded comment; however, any edits to it will get removed if the file is opened in a newer version of Excel. Learn more: https://go.microsoft.com/fwlink/?linkid=870924
Comment:
    Equation 10</t>
      </text>
    </comment>
    <comment ref="E15" authorId="2" shapeId="0" xr:uid="{B226836F-4095-4BF5-AE4A-B321D83D1995}">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6" authorId="3" shapeId="0" xr:uid="{282FA99E-5957-427D-955B-05FCEAC8A3B8}">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7" authorId="4" shapeId="0" xr:uid="{BBAEB1DB-690E-4A58-A394-B0065C3D4ED4}">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8" authorId="5" shapeId="0" xr:uid="{00B5CB56-B2A6-4BC7-9495-1BF3C0F9E994}">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9" authorId="6" shapeId="0" xr:uid="{09A14DF3-EE70-4734-8DBC-79A30C584EC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1" authorId="7" shapeId="0" xr:uid="{542831C5-0119-4F91-894B-EA3F20B3A0AE}">
      <text>
        <t>[Threaded comment]
Your version of Excel allows you to read this threaded comment; however, any edits to it will get removed if the file is opened in a newer version of Excel. Learn more: https://go.microsoft.com/fwlink/?linkid=870924
Comment:
    Equation 3</t>
      </text>
    </comment>
    <comment ref="E22" authorId="8" shapeId="0" xr:uid="{AC84115D-3DA3-41A8-B1C3-961EF2C352CF}">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3" authorId="9" shapeId="0" xr:uid="{60CAE504-E062-43D3-A241-C6C12FFCBA2F}">
      <text>
        <t>[Threaded comment]
Your version of Excel allows you to read this threaded comment; however, any edits to it will get removed if the file is opened in a newer version of Excel. Learn more: https://go.microsoft.com/fwlink/?linkid=870924
Comment:
    Equation 4</t>
      </text>
    </comment>
    <comment ref="E24" authorId="10" shapeId="0" xr:uid="{C526D05E-E1B9-4298-99E4-98A3368BCCD8}">
      <text>
        <t>[Threaded comment]
Your version of Excel allows you to read this threaded comment; however, any edits to it will get removed if the file is opened in a newer version of Excel. Learn more: https://go.microsoft.com/fwlink/?linkid=870924
Comment:
    Equation 5</t>
      </text>
    </comment>
    <comment ref="E25" authorId="11" shapeId="0" xr:uid="{7CBAAE20-052A-4971-BDB8-DD47BE228F80}">
      <text>
        <t>[Threaded comment]
Your version of Excel allows you to read this threaded comment; however, any edits to it will get removed if the file is opened in a newer version of Excel. Learn more: https://go.microsoft.com/fwlink/?linkid=870924
Comment:
    A for equation 4</t>
      </text>
    </comment>
    <comment ref="E26" authorId="12" shapeId="0" xr:uid="{70BE3706-6DA4-43BF-A947-F234CEEF63A8}">
      <text>
        <t>[Threaded comment]
Your version of Excel allows you to read this threaded comment; however, any edits to it will get removed if the file is opened in a newer version of Excel. Learn more: https://go.microsoft.com/fwlink/?linkid=870924
Comment:
    Equation 6</t>
      </text>
    </comment>
    <comment ref="E27" authorId="13" shapeId="0" xr:uid="{DAC7BE9B-7263-4866-AE4B-4CDC73A57AA2}">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9" authorId="14" shapeId="0" xr:uid="{55793D79-0B70-4156-B34F-F9921B01CD09}">
      <text>
        <t>[Threaded comment]
Your version of Excel allows you to read this threaded comment; however, any edits to it will get removed if the file is opened in a newer version of Excel. Learn more: https://go.microsoft.com/fwlink/?linkid=870924
Comment:
    Equation 7</t>
      </text>
    </comment>
    <comment ref="E30" authorId="15" shapeId="0" xr:uid="{7FE6DCC5-1B09-4CA3-970A-98E721C90C4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1" authorId="16" shapeId="0" xr:uid="{4EA7397A-24FD-4A36-BAEF-6583B680DB4E}">
      <text>
        <t>[Threaded comment]
Your version of Excel allows you to read this threaded comment; however, any edits to it will get removed if the file is opened in a newer version of Excel. Learn more: https://go.microsoft.com/fwlink/?linkid=870924
Comment:
    Equation 8</t>
      </text>
    </comment>
    <comment ref="E32" authorId="17" shapeId="0" xr:uid="{EFAA3492-EEF0-4582-BA24-136653CAD2C0}">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4" authorId="18" shapeId="0" xr:uid="{B7267655-87F0-4FE6-9506-CAEE64C43B7D}">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6" authorId="19" shapeId="0" xr:uid="{79D8B3EF-D95C-4767-BFEA-89873E8F5BB0}">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7" authorId="20" shapeId="0" xr:uid="{65665BC1-BE04-4BA9-A4F0-6156F207FF7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8" authorId="21" shapeId="0" xr:uid="{C1F86A05-4967-4ACF-81F0-D42DB94BB8C2}">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9" authorId="22" shapeId="0" xr:uid="{BB060E01-D4C7-4AA2-994F-854268F667C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0" authorId="23" shapeId="0" xr:uid="{1C2E4104-61FD-420E-962C-CE8845D36606}">
      <text>
        <t>[Threaded comment]
Your version of Excel allows you to read this threaded comment; however, any edits to it will get removed if the file is opened in a newer version of Excel. Learn more: https://go.microsoft.com/fwlink/?linkid=870924
Comment:
    Equation 2</t>
      </text>
    </comment>
    <comment ref="E41" authorId="24" shapeId="0" xr:uid="{976E213D-D882-4338-ACCF-AB709735EABB}">
      <text>
        <t>[Threaded comment]
Your version of Excel allows you to read this threaded comment; however, any edits to it will get removed if the file is opened in a newer version of Excel. Learn more: https://go.microsoft.com/fwlink/?linkid=870924
Comment:
    Equation 1</t>
      </text>
    </comment>
    <comment ref="E42" authorId="25" shapeId="0" xr:uid="{BDA581B0-34DD-49D6-8E4F-4873084F730B}">
      <text>
        <t>[Threaded comment]
Your version of Excel allows you to read this threaded comment; however, any edits to it will get removed if the file is opened in a newer version of Excel. Learn more: https://go.microsoft.com/fwlink/?linkid=870924
Comment:
    Equation 2</t>
      </text>
    </comment>
    <comment ref="E44" authorId="26" shapeId="0" xr:uid="{B4224DE0-ADB6-4DA4-833F-0538AE4C97D6}">
      <text>
        <t>[Threaded comment]
Your version of Excel allows you to read this threaded comment; however, any edits to it will get removed if the file is opened in a newer version of Excel. Learn more: https://go.microsoft.com/fwlink/?linkid=870924
Comment:
    Equation 11</t>
      </text>
    </comment>
    <comment ref="E45" authorId="27" shapeId="0" xr:uid="{EEE90F6E-EA6D-4075-853C-6E6D019716FC}">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6" authorId="28" shapeId="0" xr:uid="{5384EE28-0B9D-4D1D-B0A0-6ACA8E845AC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7" authorId="29" shapeId="0" xr:uid="{99519FFA-18D6-4617-BE41-2C07DB022CFA}">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1" authorId="30" shapeId="0" xr:uid="{D1BCB1DA-C784-4562-AE40-B650ACA23606}">
      <text>
        <t>[Threaded comment]
Your version of Excel allows you to read this threaded comment; however, any edits to it will get removed if the file is opened in a newer version of Excel. Learn more: https://go.microsoft.com/fwlink/?linkid=870924
Comment:
    Equation 22</t>
      </text>
    </comment>
    <comment ref="E52" authorId="31" shapeId="0" xr:uid="{07440C44-1E9D-40CE-8E3F-B4F2244D042B}">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3" authorId="32" shapeId="0" xr:uid="{54055F60-A504-42E4-B0A3-FDF1C1F9E889}">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4" authorId="33" shapeId="0" xr:uid="{D0FC5BB5-53EB-4265-86DB-644132315340}">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5" authorId="34" shapeId="0" xr:uid="{DC5E6700-2674-4B58-83A8-30BA79E88EEE}">
      <text>
        <t>[Threaded comment]
Your version of Excel allows you to read this threaded comment; however, any edits to it will get removed if the file is opened in a newer version of Excel. Learn more: https://go.microsoft.com/fwlink/?linkid=870924
Comment:
    Equation 23</t>
      </text>
    </comment>
    <comment ref="E56" authorId="35" shapeId="0" xr:uid="{4AE25741-BA49-4132-B902-961CF3F3A1C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69" authorId="36" shapeId="0" xr:uid="{03328FE1-5261-49DF-B093-9C5FC51B2EB4}">
      <text>
        <t>[Threaded comment]
Your version of Excel allows you to read this threaded comment; however, any edits to it will get removed if the file is opened in a newer version of Excel. Learn more: https://go.microsoft.com/fwlink/?linkid=870924
Comment:
    Equation 20</t>
      </text>
    </comment>
    <comment ref="E71" authorId="37" shapeId="0" xr:uid="{B4F8E40A-34AC-43FA-83E9-458F67733585}">
      <text>
        <t>[Threaded comment]
Your version of Excel allows you to read this threaded comment; however, any edits to it will get removed if the file is opened in a newer version of Excel. Learn more: https://go.microsoft.com/fwlink/?linkid=870924
Comment:
    Equation 21</t>
      </text>
    </comment>
    <comment ref="E72" authorId="38" shapeId="0" xr:uid="{04ACA03F-550C-4A24-859F-C9B472DFF94C}">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3" authorId="39" shapeId="0" xr:uid="{AF9772B5-3873-4D65-9898-E374A1499DB5}">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4" authorId="40" shapeId="0" xr:uid="{54EA9D16-BB90-457C-B43E-D3541A3103BF}">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5" authorId="41" shapeId="0" xr:uid="{D0F0DB00-ADE0-4B4C-9117-46CF8E550A3D}">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6" authorId="42" shapeId="0" xr:uid="{7A4003CE-4645-44BB-9787-30FBD5C9CF1A}">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0" authorId="43" shapeId="0" xr:uid="{A712A8D2-97FA-4AD1-8395-8C2CBDA76A47}">
      <text>
        <t>[Threaded comment]
Your version of Excel allows you to read this threaded comment; however, any edits to it will get removed if the file is opened in a newer version of Excel. Learn more: https://go.microsoft.com/fwlink/?linkid=870924
Comment:
    Equation 12</t>
      </text>
    </comment>
    <comment ref="E81" authorId="44" shapeId="0" xr:uid="{D130FEDE-9708-40DE-9597-A72F509B946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2" authorId="45" shapeId="0" xr:uid="{900DF197-A3D1-4E15-B51A-3D28382D660C}">
      <text>
        <t>[Threaded comment]
Your version of Excel allows you to read this threaded comment; however, any edits to it will get removed if the file is opened in a newer version of Excel. Learn more: https://go.microsoft.com/fwlink/?linkid=870924
Comment:
    Equation 13</t>
      </text>
    </comment>
    <comment ref="E83" authorId="46" shapeId="0" xr:uid="{0A0D0231-4CD0-43C9-B9C5-262112414D50}">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4" authorId="47" shapeId="0" xr:uid="{51A529B1-E941-4DB4-9547-81EED4C87B82}">
      <text>
        <t>[Threaded comment]
Your version of Excel allows you to read this threaded comment; however, any edits to it will get removed if the file is opened in a newer version of Excel. Learn more: https://go.microsoft.com/fwlink/?linkid=870924
Comment:
    Equation 14</t>
      </text>
    </comment>
    <comment ref="E85" authorId="48" shapeId="0" xr:uid="{3F040A82-F232-444D-A042-560AA1DC7C3C}">
      <text>
        <t>[Threaded comment]
Your version of Excel allows you to read this threaded comment; however, any edits to it will get removed if the file is opened in a newer version of Excel. Learn more: https://go.microsoft.com/fwlink/?linkid=870924
Comment:
    Equation 15</t>
      </text>
    </comment>
    <comment ref="E86" authorId="49" shapeId="0" xr:uid="{204C48BB-E145-4B93-A40D-F6A1A69F1BDB}">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8" authorId="50" shapeId="0" xr:uid="{0FB8E957-2F55-4285-AD08-3328B87A6D56}">
      <text>
        <t>[Threaded comment]
Your version of Excel allows you to read this threaded comment; however, any edits to it will get removed if the file is opened in a newer version of Excel. Learn more: https://go.microsoft.com/fwlink/?linkid=870924
Comment:
    Equation 16</t>
      </text>
    </comment>
    <comment ref="E89" authorId="51" shapeId="0" xr:uid="{034E3A2A-8AEA-498F-BE71-BA8F11AC7472}">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0" authorId="52" shapeId="0" xr:uid="{753693C8-BB71-4C87-87EA-E4F060F06569}">
      <text>
        <t>[Threaded comment]
Your version of Excel allows you to read this threaded comment; however, any edits to it will get removed if the file is opened in a newer version of Excel. Learn more: https://go.microsoft.com/fwlink/?linkid=870924
Comment:
    Equation 17</t>
      </text>
    </comment>
    <comment ref="E91" authorId="53" shapeId="0" xr:uid="{BFDAEC4A-E64B-418F-9AB3-717630DB83A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3" authorId="54" shapeId="0" xr:uid="{365D34ED-4FB3-415A-BADE-B3CDAABCD346}">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5" authorId="55" shapeId="0" xr:uid="{F59544CE-F916-4F35-A76D-635D7BD06178}">
      <text>
        <t>[Threaded comment]
Your version of Excel allows you to read this threaded comment; however, any edits to it will get removed if the file is opened in a newer version of Excel. Learn more: https://go.microsoft.com/fwlink/?linkid=870924
Comment:
    Equation 12?</t>
      </text>
    </comment>
    <comment ref="E96" authorId="56" shapeId="0" xr:uid="{C85D17B6-32E1-4754-9E2E-C9F70D64F684}">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7" authorId="57" shapeId="0" xr:uid="{C5379A06-4366-40D6-9449-6E5AC25EEB55}">
      <text>
        <t>[Threaded comment]
Your version of Excel allows you to read this threaded comment; however, any edits to it will get removed if the file is opened in a newer version of Excel. Learn more: https://go.microsoft.com/fwlink/?linkid=870924
Comment:
    Equation 13</t>
      </text>
    </comment>
    <comment ref="E98" authorId="58" shapeId="0" xr:uid="{D60A607C-A5A7-4963-AC08-79ABFF5FF73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9" authorId="59" shapeId="0" xr:uid="{23CDC15B-BE73-428E-8A7C-F0AF9A7D3FA7}">
      <text>
        <t>[Threaded comment]
Your version of Excel allows you to read this threaded comment; however, any edits to it will get removed if the file is opened in a newer version of Excel. Learn more: https://go.microsoft.com/fwlink/?linkid=870924
Comment:
    Equation 14</t>
      </text>
    </comment>
    <comment ref="E100" authorId="60" shapeId="0" xr:uid="{E6BBD78F-B05C-4EC2-ABAC-F69BAB125F1C}">
      <text>
        <t>[Threaded comment]
Your version of Excel allows you to read this threaded comment; however, any edits to it will get removed if the file is opened in a newer version of Excel. Learn more: https://go.microsoft.com/fwlink/?linkid=870924
Comment:
    Equation 15</t>
      </text>
    </comment>
    <comment ref="E101" authorId="61" shapeId="0" xr:uid="{EC21C0CD-8E1A-48D8-9B10-9E8E80AEDB6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3" authorId="62" shapeId="0" xr:uid="{4A6EE3C3-9E21-42BE-AEFA-6E0C1345C728}">
      <text>
        <t>[Threaded comment]
Your version of Excel allows you to read this threaded comment; however, any edits to it will get removed if the file is opened in a newer version of Excel. Learn more: https://go.microsoft.com/fwlink/?linkid=870924
Comment:
    Equation 18</t>
      </text>
    </comment>
    <comment ref="E104" authorId="63" shapeId="0" xr:uid="{D88BA60E-4254-4B08-A928-9BD14627E5A8}">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5" authorId="64" shapeId="0" xr:uid="{630F5355-7B65-4216-9BD7-1202B10A391F}">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6" authorId="65" shapeId="0" xr:uid="{FC05F1D8-62D7-46AB-A947-ECD206210C89}">
      <text>
        <t>[Threaded comment]
Your version of Excel allows you to read this threaded comment; however, any edits to it will get removed if the file is opened in a newer version of Excel. Learn more: https://go.microsoft.com/fwlink/?linkid=870924
Comment:
    For equation 18</t>
      </text>
    </comment>
    <comment ref="E107" authorId="66" shapeId="0" xr:uid="{2F505397-6000-4F97-893F-1F04D05EB1DC}">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7" shapeId="0" xr:uid="{CF9B37F0-D159-401E-B74C-DDA17B9373A9}">
      <text>
        <t>[Threaded comment]
Your version of Excel allows you to read this threaded comment; however, any edits to it will get removed if the file is opened in a newer version of Excel. Learn more: https://go.microsoft.com/fwlink/?linkid=870924
Comment:
    Equation 19</t>
      </text>
    </comment>
    <comment ref="E109" authorId="68" shapeId="0" xr:uid="{346B8217-9A27-4A02-BEA0-9782B59A863C}">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0" authorId="69" shapeId="0" xr:uid="{C9333ADF-DE55-498B-A078-FFBCADD856B0}">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2" authorId="70" shapeId="0" xr:uid="{97AF59B2-8F64-4599-AB67-24030C50791C}">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3" authorId="71" shapeId="0" xr:uid="{B598CEB0-84F3-4F20-9AE3-B43E92A3BC7D}">
      <text>
        <t>[Threaded comment]
Your version of Excel allows you to read this threaded comment; however, any edits to it will get removed if the file is opened in a newer version of Excel. Learn more: https://go.microsoft.com/fwlink/?linkid=870924
Comment:
    date</t>
      </text>
    </comment>
    <comment ref="E122" authorId="72" shapeId="0" xr:uid="{25715413-72D0-4EA7-93E2-FE52A31CDA53}">
      <text>
        <t>[Threaded comment]
Your version of Excel allows you to read this threaded comment; however, any edits to it will get removed if the file is opened in a newer version of Excel. Learn more: https://go.microsoft.com/fwlink/?linkid=870924
Comment:
    Equation 24</t>
      </text>
    </comment>
    <comment ref="E123" authorId="73" shapeId="0" xr:uid="{5DAC4DBF-AE79-4A9F-ABAB-DDE39918390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4" authorId="74" shapeId="0" xr:uid="{8D5B2983-FF18-447C-803D-A729E98E623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6" authorId="75" shapeId="0" xr:uid="{D86E5815-7986-480D-AE0D-90FDC2EC6D0D}">
      <text>
        <t>[Threaded comment]
Your version of Excel allows you to read this threaded comment; however, any edits to it will get removed if the file is opened in a newer version of Excel. Learn more: https://go.microsoft.com/fwlink/?linkid=870924
Comment:
    Equation 25</t>
      </text>
    </comment>
    <comment ref="E127" authorId="76" shapeId="0" xr:uid="{00A72411-1E4C-423B-BC1F-0259BF7F327A}">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8" authorId="77" shapeId="0" xr:uid="{8BBB1A3B-ADAE-445A-A95C-B7A2C404512A}">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29" authorId="78" shapeId="0" xr:uid="{D4BE8680-9FE7-43D4-9C84-CB116031CE0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1" authorId="79" shapeId="0" xr:uid="{42FD9FE5-CD55-4A55-B4D0-E638D09639C6}">
      <text>
        <t>[Threaded comment]
Your version of Excel allows you to read this threaded comment; however, any edits to it will get removed if the file is opened in a newer version of Excel. Learn more: https://go.microsoft.com/fwlink/?linkid=870924
Comment:
    Equation 26</t>
      </text>
    </comment>
    <comment ref="E132" authorId="80" shapeId="0" xr:uid="{D4FEFFE1-F19A-47B0-B8D1-DE1C92A949C0}">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3" authorId="81" shapeId="0" xr:uid="{876F7BAD-C35A-4750-913C-7A8C9F1FF6B8}">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5" authorId="82" shapeId="0" xr:uid="{95C1BCFB-354E-4491-999B-EF45E8E9B237}">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6" authorId="83" shapeId="0" xr:uid="{4F8B1D73-9DEB-4967-A836-D45D62616CC3}">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7" authorId="84" shapeId="0" xr:uid="{29BBBF54-AF11-417F-954E-DDC5D2CEEC8E}">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8" authorId="85" shapeId="0" xr:uid="{7494853C-A672-44D7-826D-80014EE13AC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9" authorId="86" shapeId="0" xr:uid="{E624A28D-9642-4A70-8859-925A4C32C3E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tc={269350FF-6075-4B9D-8166-CFF72A124767}</author>
    <author>tc={67839564-9301-4D1C-9E3B-5047E1E76BD2}</author>
    <author>tc={A42A23F8-6560-4FE7-A8F6-97C6603E7AF8}</author>
    <author>tc={7AC0F136-EBEE-4023-A320-CC7FB296BCE8}</author>
    <author>tc={2C82B7DF-8802-47C9-A132-92B701EFAE7B}</author>
    <author>tc={B52991AC-365D-4CF1-99F0-4627ED79159D}</author>
    <author>tc={082D88B7-0255-4471-8B41-ECE12152A7DE}</author>
    <author>tc={632A8744-9C38-47CA-A87E-5B380B828821}</author>
    <author>tc={D8171789-3A53-42D3-BF59-B5943B8DBCC8}</author>
    <author>tc={EFA621A2-DECF-48B6-B5E4-92A44A85D541}</author>
    <author>tc={081D3D14-AA37-4BF9-93C7-33043C79FF9C}</author>
    <author>tc={1B9F1CA0-9C47-4956-82A5-4EC1FA3FF50E}</author>
    <author>tc={F184BA77-F44D-42BB-90A1-594F1D720B15}</author>
    <author>tc={0808E4C8-E343-4F32-A940-2B4EC487F013}</author>
    <author>tc={49A54CE2-9145-45BD-9021-6F1B9428C517}</author>
    <author>tc={A0AC2DA9-589E-40C5-A6B9-1A9AC27C9042}</author>
    <author>tc={E4BA9323-F907-4100-8225-D3120FD50EBB}</author>
    <author>tc={4E1EF572-9EAC-4598-8A11-BE7A6FDB0336}</author>
    <author>tc={9BBD9AB2-BEC0-4F74-BE1E-D4D00C3144C0}</author>
    <author>tc={67838D03-6DAB-4F5D-B118-4BE42CD35A28}</author>
    <author>tc={045A337C-B0DA-45D9-8BC5-2F00F9832ECF}</author>
    <author>tc={8C5225EC-086C-48DB-B47A-13F57831FA79}</author>
    <author>tc={B4312EA5-BE78-48A3-9642-CE72F980248E}</author>
    <author>tc={36AC6F13-24A0-467E-812E-9DA423EAC78C}</author>
    <author>tc={CC320379-1BDD-4A36-979D-8EF404D0EF96}</author>
    <author>tc={EAA0B57A-067F-4DB5-9F51-18308FC52B58}</author>
  </authors>
  <commentList>
    <comment ref="E10" authorId="0" shapeId="0" xr:uid="{269350FF-6075-4B9D-8166-CFF72A124767}">
      <text>
        <t>[Threaded comment]
Your version of Excel allows you to read this threaded comment; however, any edits to it will get removed if the file is opened in a newer version of Excel. Learn more: https://go.microsoft.com/fwlink/?linkid=870924
Comment:
    Equation 9</t>
      </text>
    </comment>
    <comment ref="E12" authorId="1" shapeId="0" xr:uid="{67839564-9301-4D1C-9E3B-5047E1E76BD2}">
      <text>
        <t>[Threaded comment]
Your version of Excel allows you to read this threaded comment; however, any edits to it will get removed if the file is opened in a newer version of Excel. Learn more: https://go.microsoft.com/fwlink/?linkid=870924
Comment:
    Equation 10</t>
      </text>
    </comment>
    <comment ref="E13" authorId="2" shapeId="0" xr:uid="{A42A23F8-6560-4FE7-A8F6-97C6603E7AF8}">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4" authorId="3" shapeId="0" xr:uid="{7AC0F136-EBEE-4023-A320-CC7FB296BCE8}">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5" authorId="4" shapeId="0" xr:uid="{2C82B7DF-8802-47C9-A132-92B701EFAE7B}">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6" authorId="5" shapeId="0" xr:uid="{B52991AC-365D-4CF1-99F0-4627ED79159D}">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7" authorId="6" shapeId="0" xr:uid="{082D88B7-0255-4471-8B41-ECE12152A7D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19" authorId="7" shapeId="0" xr:uid="{632A8744-9C38-47CA-A87E-5B380B828821}">
      <text>
        <t>[Threaded comment]
Your version of Excel allows you to read this threaded comment; however, any edits to it will get removed if the file is opened in a newer version of Excel. Learn more: https://go.microsoft.com/fwlink/?linkid=870924
Comment:
    Equation 3</t>
      </text>
    </comment>
    <comment ref="E20" authorId="8" shapeId="0" xr:uid="{D8171789-3A53-42D3-BF59-B5943B8DBCC8}">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1" authorId="9" shapeId="0" xr:uid="{EFA621A2-DECF-48B6-B5E4-92A44A85D541}">
      <text>
        <t>[Threaded comment]
Your version of Excel allows you to read this threaded comment; however, any edits to it will get removed if the file is opened in a newer version of Excel. Learn more: https://go.microsoft.com/fwlink/?linkid=870924
Comment:
    Equation 4</t>
      </text>
    </comment>
    <comment ref="E22" authorId="10" shapeId="0" xr:uid="{081D3D14-AA37-4BF9-93C7-33043C79FF9C}">
      <text>
        <t>[Threaded comment]
Your version of Excel allows you to read this threaded comment; however, any edits to it will get removed if the file is opened in a newer version of Excel. Learn more: https://go.microsoft.com/fwlink/?linkid=870924
Comment:
    Equation 5</t>
      </text>
    </comment>
    <comment ref="E23" authorId="11" shapeId="0" xr:uid="{1B9F1CA0-9C47-4956-82A5-4EC1FA3FF50E}">
      <text>
        <t>[Threaded comment]
Your version of Excel allows you to read this threaded comment; however, any edits to it will get removed if the file is opened in a newer version of Excel. Learn more: https://go.microsoft.com/fwlink/?linkid=870924
Comment:
    A for equation 4</t>
      </text>
    </comment>
    <comment ref="E24" authorId="12" shapeId="0" xr:uid="{F184BA77-F44D-42BB-90A1-594F1D720B15}">
      <text>
        <t>[Threaded comment]
Your version of Excel allows you to read this threaded comment; however, any edits to it will get removed if the file is opened in a newer version of Excel. Learn more: https://go.microsoft.com/fwlink/?linkid=870924
Comment:
    Equation 6</t>
      </text>
    </comment>
    <comment ref="E25" authorId="13" shapeId="0" xr:uid="{0808E4C8-E343-4F32-A940-2B4EC487F013}">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7" authorId="14" shapeId="0" xr:uid="{49A54CE2-9145-45BD-9021-6F1B9428C517}">
      <text>
        <t>[Threaded comment]
Your version of Excel allows you to read this threaded comment; however, any edits to it will get removed if the file is opened in a newer version of Excel. Learn more: https://go.microsoft.com/fwlink/?linkid=870924
Comment:
    Equation 7</t>
      </text>
    </comment>
    <comment ref="E28" authorId="15" shapeId="0" xr:uid="{A0AC2DA9-589E-40C5-A6B9-1A9AC27C9042}">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9" authorId="16" shapeId="0" xr:uid="{E4BA9323-F907-4100-8225-D3120FD50EBB}">
      <text>
        <t>[Threaded comment]
Your version of Excel allows you to read this threaded comment; however, any edits to it will get removed if the file is opened in a newer version of Excel. Learn more: https://go.microsoft.com/fwlink/?linkid=870924
Comment:
    Equation 8</t>
      </text>
    </comment>
    <comment ref="E30" authorId="17" shapeId="0" xr:uid="{4E1EF572-9EAC-4598-8A11-BE7A6FDB0336}">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2" authorId="18" shapeId="0" xr:uid="{9BBD9AB2-BEC0-4F74-BE1E-D4D00C3144C0}">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4" authorId="19" shapeId="0" xr:uid="{67838D03-6DAB-4F5D-B118-4BE42CD35A28}">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5" authorId="20" shapeId="0" xr:uid="{045A337C-B0DA-45D9-8BC5-2F00F9832EC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6" authorId="21" shapeId="0" xr:uid="{8C5225EC-086C-48DB-B47A-13F57831FA79}">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7" authorId="22" shapeId="0" xr:uid="{B4312EA5-BE78-48A3-9642-CE72F980248E}">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8" authorId="23" shapeId="0" xr:uid="{36AC6F13-24A0-467E-812E-9DA423EAC78C}">
      <text>
        <t>[Threaded comment]
Your version of Excel allows you to read this threaded comment; however, any edits to it will get removed if the file is opened in a newer version of Excel. Learn more: https://go.microsoft.com/fwlink/?linkid=870924
Comment:
    Equation 2</t>
      </text>
    </comment>
    <comment ref="E39" authorId="24" shapeId="0" xr:uid="{CC320379-1BDD-4A36-979D-8EF404D0EF96}">
      <text>
        <t>[Threaded comment]
Your version of Excel allows you to read this threaded comment; however, any edits to it will get removed if the file is opened in a newer version of Excel. Learn more: https://go.microsoft.com/fwlink/?linkid=870924
Comment:
    Equation 1</t>
      </text>
    </comment>
    <comment ref="E40" authorId="25" shapeId="0" xr:uid="{EAA0B57A-067F-4DB5-9F51-18308FC52B58}">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tc={773FD10F-C244-4D7C-ACA7-19F142F06DEA}</author>
    <author>tc={8DD6D9CD-CF4D-4CFB-8684-9C9FFBB74CE4}</author>
    <author>tc={63406096-5D23-4EBC-A741-8553A58DDAA6}</author>
    <author>tc={5F7BC8CE-629D-4D39-BA54-59DF2FC62CA0}</author>
    <author>tc={7E0C57CF-4CAF-47EF-84B6-5978F262BADC}</author>
    <author>tc={81727494-9C06-4FFA-9D25-307737B89097}</author>
    <author>tc={B33EAED8-7A58-4D17-A330-5F36BD90FB9D}</author>
  </authors>
  <commentList>
    <comment ref="E5" authorId="0" shapeId="0" xr:uid="{773FD10F-C244-4D7C-ACA7-19F142F06DEA}">
      <text>
        <t>[Threaded comment]
Your version of Excel allows you to read this threaded comment; however, any edits to it will get removed if the file is opened in a newer version of Excel. Learn more: https://go.microsoft.com/fwlink/?linkid=870924
Comment:
    Equation 9</t>
      </text>
    </comment>
    <comment ref="E7" authorId="1" shapeId="0" xr:uid="{8DD6D9CD-CF4D-4CFB-8684-9C9FFBB74CE4}">
      <text>
        <t>[Threaded comment]
Your version of Excel allows you to read this threaded comment; however, any edits to it will get removed if the file is opened in a newer version of Excel. Learn more: https://go.microsoft.com/fwlink/?linkid=870924
Comment:
    Equation 10</t>
      </text>
    </comment>
    <comment ref="E8" authorId="2" shapeId="0" xr:uid="{63406096-5D23-4EBC-A741-8553A58DDAA6}">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9" authorId="3" shapeId="0" xr:uid="{5F7BC8CE-629D-4D39-BA54-59DF2FC62CA0}">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0" authorId="4" shapeId="0" xr:uid="{7E0C57CF-4CAF-47EF-84B6-5978F262BADC}">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1" authorId="5" shapeId="0" xr:uid="{81727494-9C06-4FFA-9D25-307737B89097}">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2" authorId="6" shapeId="0" xr:uid="{B33EAED8-7A58-4D17-A330-5F36BD90FB9D}">
      <text>
        <t>[Threaded comment]
Your version of Excel allows you to read this threaded comment; however, any edits to it will get removed if the file is opened in a newer version of Excel. Learn more: https://go.microsoft.com/fwlink/?linkid=870924
Comment:
    Ai for equation 10</t>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tc={B8C7833A-4104-47D8-A67C-DE18652B7FDC}</author>
    <author>tc={A6F5D538-B950-4D17-AD67-9E763627BDDC}</author>
    <author>tc={ADFE9B0C-D662-4485-B7DE-4270E156321D}</author>
    <author>tc={698222A4-2C07-4F63-8039-2D4209BF2872}</author>
    <author>tc={A4D04739-FDCF-4918-BEAB-ED97048C37C7}</author>
    <author>tc={4860B61D-BAB9-498A-B457-A96D79D5E10D}</author>
  </authors>
  <commentList>
    <comment ref="E5" authorId="0" shapeId="0" xr:uid="{B8C7833A-4104-47D8-A67C-DE18652B7FDC}">
      <text>
        <t>[Threaded comment]
Your version of Excel allows you to read this threaded comment; however, any edits to it will get removed if the file is opened in a newer version of Excel. Learn more: https://go.microsoft.com/fwlink/?linkid=870924
Comment:
    Equation 10</t>
      </text>
    </comment>
    <comment ref="E6" authorId="1" shapeId="0" xr:uid="{A6F5D538-B950-4D17-AD67-9E763627BDDC}">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7" authorId="2" shapeId="0" xr:uid="{ADFE9B0C-D662-4485-B7DE-4270E156321D}">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8" authorId="3" shapeId="0" xr:uid="{698222A4-2C07-4F63-8039-2D4209BF2872}">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9" authorId="4" shapeId="0" xr:uid="{A4D04739-FDCF-4918-BEAB-ED97048C37C7}">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0" authorId="5" shapeId="0" xr:uid="{4860B61D-BAB9-498A-B457-A96D79D5E10D}">
      <text>
        <t>[Threaded comment]
Your version of Excel allows you to read this threaded comment; however, any edits to it will get removed if the file is opened in a newer version of Excel. Learn more: https://go.microsoft.com/fwlink/?linkid=870924
Comment:
    Ai for equation 10</t>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tc={6BCDC4AE-F30E-4CBC-B7EA-98F47552F7D8}</author>
    <author>tc={3967F687-CCDF-43A7-AA7B-501F27D6E09F}</author>
    <author>tc={43A27421-BF2A-4735-8DCC-C63DA09B78BB}</author>
    <author>tc={7B90616C-D58A-4193-A88A-F48D379EB881}</author>
  </authors>
  <commentList>
    <comment ref="E5" authorId="0" shapeId="0" xr:uid="{6BCDC4AE-F30E-4CBC-B7EA-98F47552F7D8}">
      <text>
        <t>[Threaded comment]
Your version of Excel allows you to read this threaded comment; however, any edits to it will get removed if the file is opened in a newer version of Excel. Learn more: https://go.microsoft.com/fwlink/?linkid=870924
Comment:
    Equation 11</t>
      </text>
    </comment>
    <comment ref="E6" authorId="1" shapeId="0" xr:uid="{3967F687-CCDF-43A7-AA7B-501F27D6E09F}">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7" authorId="2" shapeId="0" xr:uid="{43A27421-BF2A-4735-8DCC-C63DA09B78BB}">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8" authorId="3" shapeId="0" xr:uid="{7B90616C-D58A-4193-A88A-F48D379EB881}">
      <text>
        <t>[Threaded comment]
Your version of Excel allows you to read this threaded comment; however, any edits to it will get removed if the file is opened in a newer version of Excel. Learn more: https://go.microsoft.com/fwlink/?linkid=870924
Comment:
    T for equation 11</t>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tc={A416DAB6-49A6-4717-9018-C6FA5BCEDE8C}</author>
    <author>tc={74A1BAF1-802E-4363-9FAB-3066C351FB9C}</author>
    <author>tc={12AC9F7C-34AE-470E-AC9A-261C5EA05FCA}</author>
    <author>tc={F82998CE-AD88-408B-A10B-051029AAA5AB}</author>
    <author>tc={8C02A255-61D1-4189-AF69-9FC6C2C58E2D}</author>
    <author>tc={E8200A1C-411A-432C-B0CA-35E5F185989D}</author>
    <author>tc={8AA4D5E3-52F4-4CBB-B233-0E30EF750F03}</author>
    <author>tc={6C155811-6466-46A6-9CA4-C96ACC240C48}</author>
    <author>tc={0DAB58D2-76E0-41A0-96DB-69F41731C4C3}</author>
    <author>tc={FD05E831-1661-4000-87AD-EDB7D765C5F2}</author>
    <author>tc={C14FB4D3-D3AA-4C77-A7CD-C4ABF929DA72}</author>
    <author>tc={C610A21B-5C1E-4CE2-A338-AF2189955F96}</author>
    <author>tc={2B482C79-8C31-4ECF-BD00-980BC6EDE263}</author>
    <author>tc={9B37F200-51C6-485C-93C9-94CD3E33215B}</author>
    <author>tc={30C4953E-CD50-4125-87BB-E2478799A446}</author>
    <author>tc={7532E1D3-32AD-4E5D-BA39-EB6A41880AD0}</author>
    <author>tc={BCA2015F-D77A-4000-8636-9CB5BFDFD04D}</author>
    <author>tc={5A4EFCD0-12EC-4D89-BBEF-3AA327ACAFB5}</author>
    <author>tc={E21F14CC-F49F-4493-B0BF-2EEC4640FFD4}</author>
    <author>tc={09056E13-E4B6-4132-8681-7991EE4CD1FE}</author>
    <author>tc={72D1EEE0-FF1B-4CA6-B99C-EF5F8037AEF0}</author>
    <author>tc={0B7E0620-DA6F-4CA1-9CFC-5ECF121A6313}</author>
    <author>tc={E8B6E570-E260-400A-9044-9E16F645BEED}</author>
    <author>tc={94932647-6C8D-43C3-BC61-2D83157BA318}</author>
    <author>tc={7E8D96DB-A1AE-407A-814B-97185D413A7E}</author>
    <author>tc={7C05DF05-97F7-432E-82DC-8A9BAE3F35E7}</author>
    <author>tc={52E25901-6149-49A9-AD7C-7EA96B28A625}</author>
    <author>tc={31CF3EFA-057A-407F-9EB7-FFF25ABD50CD}</author>
    <author>tc={ACA4575D-10A8-4CEE-B89B-9E38BBFA77EB}</author>
    <author>tc={6ACAA383-C48F-4985-A746-6086776E4A8D}</author>
    <author>tc={CE64B9B4-501E-4BB0-8AB3-FA6327FC9A25}</author>
    <author>tc={9938ACA1-B3B4-4BDC-AB59-470B282FA2EF}</author>
    <author>tc={B993993B-F1A3-4432-A1B5-2801EE34187E}</author>
    <author>tc={58A6ED3A-99D6-463A-BFC8-52067F76F6AA}</author>
    <author>tc={364E7093-44F1-47A8-A423-F0B112607471}</author>
    <author>tc={2F4BE57D-1DDF-4155-9A1C-CCFAD6B10558}</author>
    <author>tc={224E8A0B-871E-4819-BBA4-7E7C7AA496EF}</author>
    <author>tc={7D770370-4B6F-435C-9145-83B51B13EA66}</author>
    <author>tc={928D1956-9217-4C70-B0E8-3C4449C47DC0}</author>
    <author>tc={36D6C034-B3D9-4C51-8C99-84D866AB7442}</author>
    <author>tc={5DCCA41F-142A-4C3A-9201-ADE58F2749B3}</author>
    <author>tc={D6566B32-91DD-4245-8E49-9C04FF6930F7}</author>
  </authors>
  <commentList>
    <comment ref="E7" authorId="0" shapeId="0" xr:uid="{A416DAB6-49A6-4717-9018-C6FA5BCEDE8C}">
      <text>
        <t>[Threaded comment]
Your version of Excel allows you to read this threaded comment; however, any edits to it will get removed if the file is opened in a newer version of Excel. Learn more: https://go.microsoft.com/fwlink/?linkid=870924
Comment:
    Equation 22</t>
      </text>
    </comment>
    <comment ref="E8" authorId="1" shapeId="0" xr:uid="{74A1BAF1-802E-4363-9FAB-3066C351FB9C}">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9" authorId="2" shapeId="0" xr:uid="{12AC9F7C-34AE-470E-AC9A-261C5EA05FCA}">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0" authorId="3" shapeId="0" xr:uid="{F82998CE-AD88-408B-A10B-051029AAA5AB}">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1" authorId="4" shapeId="0" xr:uid="{8C02A255-61D1-4189-AF69-9FC6C2C58E2D}">
      <text>
        <t>[Threaded comment]
Your version of Excel allows you to read this threaded comment; however, any edits to it will get removed if the file is opened in a newer version of Excel. Learn more: https://go.microsoft.com/fwlink/?linkid=870924
Comment:
    Equation 23</t>
      </text>
    </comment>
    <comment ref="E12" authorId="5" shapeId="0" xr:uid="{E8200A1C-411A-432C-B0CA-35E5F185989D}">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4" authorId="6" shapeId="0" xr:uid="{8AA4D5E3-52F4-4CBB-B233-0E30EF750F03}">
      <text>
        <t>[Threaded comment]
Your version of Excel allows you to read this threaded comment; however, any edits to it will get removed if the file is opened in a newer version of Excel. Learn more: https://go.microsoft.com/fwlink/?linkid=870924
Comment:
    Equation 20</t>
      </text>
    </comment>
    <comment ref="E26" authorId="7" shapeId="0" xr:uid="{6C155811-6466-46A6-9CA4-C96ACC240C48}">
      <text>
        <t>[Threaded comment]
Your version of Excel allows you to read this threaded comment; however, any edits to it will get removed if the file is opened in a newer version of Excel. Learn more: https://go.microsoft.com/fwlink/?linkid=870924
Comment:
    Equation 21</t>
      </text>
    </comment>
    <comment ref="E27" authorId="8" shapeId="0" xr:uid="{0DAB58D2-76E0-41A0-96DB-69F41731C4C3}">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28" authorId="9" shapeId="0" xr:uid="{FD05E831-1661-4000-87AD-EDB7D765C5F2}">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29" authorId="10" shapeId="0" xr:uid="{C14FB4D3-D3AA-4C77-A7CD-C4ABF929DA72}">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30" authorId="11" shapeId="0" xr:uid="{C610A21B-5C1E-4CE2-A338-AF2189955F96}">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31" authorId="12" shapeId="0" xr:uid="{2B482C79-8C31-4ECF-BD00-980BC6EDE263}">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35" authorId="13" shapeId="0" xr:uid="{9B37F200-51C6-485C-93C9-94CD3E33215B}">
      <text>
        <t>[Threaded comment]
Your version of Excel allows you to read this threaded comment; however, any edits to it will get removed if the file is opened in a newer version of Excel. Learn more: https://go.microsoft.com/fwlink/?linkid=870924
Comment:
    Equation 12</t>
      </text>
    </comment>
    <comment ref="E36" authorId="14" shapeId="0" xr:uid="{30C4953E-CD50-4125-87BB-E2478799A446}">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37" authorId="15" shapeId="0" xr:uid="{7532E1D3-32AD-4E5D-BA39-EB6A41880AD0}">
      <text>
        <t>[Threaded comment]
Your version of Excel allows you to read this threaded comment; however, any edits to it will get removed if the file is opened in a newer version of Excel. Learn more: https://go.microsoft.com/fwlink/?linkid=870924
Comment:
    Equation 13</t>
      </text>
    </comment>
    <comment ref="E38" authorId="16" shapeId="0" xr:uid="{BCA2015F-D77A-4000-8636-9CB5BFDFD04D}">
      <text>
        <t>[Threaded comment]
Your version of Excel allows you to read this threaded comment; however, any edits to it will get removed if the file is opened in a newer version of Excel. Learn more: https://go.microsoft.com/fwlink/?linkid=870924
Comment:
    A for equation 13</t>
      </text>
    </comment>
    <comment ref="E39" authorId="17" shapeId="0" xr:uid="{5A4EFCD0-12EC-4D89-BBEF-3AA327ACAFB5}">
      <text>
        <t>[Threaded comment]
Your version of Excel allows you to read this threaded comment; however, any edits to it will get removed if the file is opened in a newer version of Excel. Learn more: https://go.microsoft.com/fwlink/?linkid=870924
Comment:
    Equation 14</t>
      </text>
    </comment>
    <comment ref="E40" authorId="18" shapeId="0" xr:uid="{E21F14CC-F49F-4493-B0BF-2EEC4640FFD4}">
      <text>
        <t>[Threaded comment]
Your version of Excel allows you to read this threaded comment; however, any edits to it will get removed if the file is opened in a newer version of Excel. Learn more: https://go.microsoft.com/fwlink/?linkid=870924
Comment:
    Equation 15</t>
      </text>
    </comment>
    <comment ref="E41" authorId="19" shapeId="0" xr:uid="{09056E13-E4B6-4132-8681-7991EE4CD1F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3" authorId="20" shapeId="0" xr:uid="{72D1EEE0-FF1B-4CA6-B99C-EF5F8037AEF0}">
      <text>
        <t>[Threaded comment]
Your version of Excel allows you to read this threaded comment; however, any edits to it will get removed if the file is opened in a newer version of Excel. Learn more: https://go.microsoft.com/fwlink/?linkid=870924
Comment:
    Equation 16</t>
      </text>
    </comment>
    <comment ref="E44" authorId="21" shapeId="0" xr:uid="{0B7E0620-DA6F-4CA1-9CFC-5ECF121A6313}">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45" authorId="22" shapeId="0" xr:uid="{E8B6E570-E260-400A-9044-9E16F645BEED}">
      <text>
        <t>[Threaded comment]
Your version of Excel allows you to read this threaded comment; however, any edits to it will get removed if the file is opened in a newer version of Excel. Learn more: https://go.microsoft.com/fwlink/?linkid=870924
Comment:
    Equation 17</t>
      </text>
    </comment>
    <comment ref="E46" authorId="23" shapeId="0" xr:uid="{94932647-6C8D-43C3-BC61-2D83157BA318}">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48" authorId="24" shapeId="0" xr:uid="{7E8D96DB-A1AE-407A-814B-97185D413A7E}">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50" authorId="25" shapeId="0" xr:uid="{7C05DF05-97F7-432E-82DC-8A9BAE3F35E7}">
      <text>
        <t>[Threaded comment]
Your version of Excel allows you to read this threaded comment; however, any edits to it will get removed if the file is opened in a newer version of Excel. Learn more: https://go.microsoft.com/fwlink/?linkid=870924
Comment:
    Equation 12?</t>
      </text>
    </comment>
    <comment ref="E51" authorId="26" shapeId="0" xr:uid="{52E25901-6149-49A9-AD7C-7EA96B28A625}">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52" authorId="27" shapeId="0" xr:uid="{31CF3EFA-057A-407F-9EB7-FFF25ABD50CD}">
      <text>
        <t>[Threaded comment]
Your version of Excel allows you to read this threaded comment; however, any edits to it will get removed if the file is opened in a newer version of Excel. Learn more: https://go.microsoft.com/fwlink/?linkid=870924
Comment:
    Equation 13</t>
      </text>
    </comment>
    <comment ref="E53" authorId="28" shapeId="0" xr:uid="{ACA4575D-10A8-4CEE-B89B-9E38BBFA77E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4" authorId="29" shapeId="0" xr:uid="{6ACAA383-C48F-4985-A746-6086776E4A8D}">
      <text>
        <t>[Threaded comment]
Your version of Excel allows you to read this threaded comment; however, any edits to it will get removed if the file is opened in a newer version of Excel. Learn more: https://go.microsoft.com/fwlink/?linkid=870924
Comment:
    Equation 14</t>
      </text>
    </comment>
    <comment ref="E55" authorId="30" shapeId="0" xr:uid="{CE64B9B4-501E-4BB0-8AB3-FA6327FC9A25}">
      <text>
        <t>[Threaded comment]
Your version of Excel allows you to read this threaded comment; however, any edits to it will get removed if the file is opened in a newer version of Excel. Learn more: https://go.microsoft.com/fwlink/?linkid=870924
Comment:
    Equation 15</t>
      </text>
    </comment>
    <comment ref="E56" authorId="31" shapeId="0" xr:uid="{9938ACA1-B3B4-4BDC-AB59-470B282FA2EF}">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8" authorId="32" shapeId="0" xr:uid="{B993993B-F1A3-4432-A1B5-2801EE34187E}">
      <text>
        <t>[Threaded comment]
Your version of Excel allows you to read this threaded comment; however, any edits to it will get removed if the file is opened in a newer version of Excel. Learn more: https://go.microsoft.com/fwlink/?linkid=870924
Comment:
    Equation 18</t>
      </text>
    </comment>
    <comment ref="E59" authorId="33" shapeId="0" xr:uid="{58A6ED3A-99D6-463A-BFC8-52067F76F6A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60" authorId="34" shapeId="0" xr:uid="{364E7093-44F1-47A8-A423-F0B112607471}">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61" authorId="35" shapeId="0" xr:uid="{2F4BE57D-1DDF-4155-9A1C-CCFAD6B10558}">
      <text>
        <t>[Threaded comment]
Your version of Excel allows you to read this threaded comment; however, any edits to it will get removed if the file is opened in a newer version of Excel. Learn more: https://go.microsoft.com/fwlink/?linkid=870924
Comment:
    For equation 18</t>
      </text>
    </comment>
    <comment ref="E62" authorId="36" shapeId="0" xr:uid="{224E8A0B-871E-4819-BBA4-7E7C7AA496EF}">
      <text>
        <t>[Threaded comment]
Your version of Excel allows you to read this threaded comment; however, any edits to it will get removed if the file is opened in a newer version of Excel. Learn more: https://go.microsoft.com/fwlink/?linkid=870924
Comment:
    For equation 18</t>
      </text>
    </comment>
    <comment ref="E63" authorId="37" shapeId="0" xr:uid="{7D770370-4B6F-435C-9145-83B51B13EA66}">
      <text>
        <t>[Threaded comment]
Your version of Excel allows you to read this threaded comment; however, any edits to it will get removed if the file is opened in a newer version of Excel. Learn more: https://go.microsoft.com/fwlink/?linkid=870924
Comment:
    Equation 19</t>
      </text>
    </comment>
    <comment ref="E64" authorId="38" shapeId="0" xr:uid="{928D1956-9217-4C70-B0E8-3C4449C47DC0}">
      <text>
        <t>[Threaded comment]
Your version of Excel allows you to read this threaded comment; however, any edits to it will get removed if the file is opened in a newer version of Excel. Learn more: https://go.microsoft.com/fwlink/?linkid=870924
Comment:
    a for equation 19</t>
      </text>
    </comment>
    <comment ref="E65" authorId="39" shapeId="0" xr:uid="{36D6C034-B3D9-4C51-8C99-84D866AB7442}">
      <text>
        <t>[Threaded comment]
Your version of Excel allows you to read this threaded comment; however, any edits to it will get removed if the file is opened in a newer version of Excel. Learn more: https://go.microsoft.com/fwlink/?linkid=870924
Comment:
    P for equation 19</t>
      </text>
    </comment>
    <comment ref="E67" authorId="40" shapeId="0" xr:uid="{5DCCA41F-142A-4C3A-9201-ADE58F2749B3}">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68" authorId="41" shapeId="0" xr:uid="{D6566B32-91DD-4245-8E49-9C04FF6930F7}">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tc={3453A3C3-DFAA-4DED-81A5-7054C0D729A7}</author>
  </authors>
  <commentList>
    <comment ref="G5" authorId="0" shapeId="0" xr:uid="{3453A3C3-DFAA-4DED-81A5-7054C0D729A7}">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tc={BA39657F-D0E2-4B2E-8908-014131AF0D4C}</author>
    <author>tc={3689A613-D3F9-4040-B81E-7215E056403E}</author>
    <author>tc={31D13042-42F2-4504-BCC2-926A5C0E8CD3}</author>
    <author>tc={4C26A7A6-BE77-49A8-945E-4396D654FDF6}</author>
    <author>tc={55348CD5-502A-4247-9C14-66DED3A40D54}</author>
    <author>tc={1951E720-A376-435B-99F5-3B6A9CE8B1F3}</author>
  </authors>
  <commentList>
    <comment ref="E5" authorId="0" shapeId="0" xr:uid="{BA39657F-D0E2-4B2E-8908-014131AF0D4C}">
      <text>
        <t>[Threaded comment]
Your version of Excel allows you to read this threaded comment; however, any edits to it will get removed if the file is opened in a newer version of Excel. Learn more: https://go.microsoft.com/fwlink/?linkid=870924
Comment:
    Equation 22</t>
      </text>
    </comment>
    <comment ref="E6" authorId="1" shapeId="0" xr:uid="{3689A613-D3F9-4040-B81E-7215E056403E}">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7" authorId="2" shapeId="0" xr:uid="{31D13042-42F2-4504-BCC2-926A5C0E8CD3}">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8" authorId="3" shapeId="0" xr:uid="{4C26A7A6-BE77-49A8-945E-4396D654FDF6}">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9" authorId="4" shapeId="0" xr:uid="{55348CD5-502A-4247-9C14-66DED3A40D54}">
      <text>
        <t>[Threaded comment]
Your version of Excel allows you to read this threaded comment; however, any edits to it will get removed if the file is opened in a newer version of Excel. Learn more: https://go.microsoft.com/fwlink/?linkid=870924
Comment:
    Equation 23</t>
      </text>
    </comment>
    <comment ref="E10" authorId="5" shapeId="0" xr:uid="{1951E720-A376-435B-99F5-3B6A9CE8B1F3}">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tc={BCA28DAD-6A5F-414F-8198-3C1C5701B9BA}</author>
    <author>tc={B2E48624-5798-4610-AF00-915E659C9385}</author>
    <author>tc={2F60A630-932C-4651-BEEA-74724FB9B1A9}</author>
    <author>tc={91D5D924-51CA-4AA1-AF36-8674A88A1735}</author>
    <author>tc={21E1ACB4-21E4-414B-97D7-646E873B8CCA}</author>
    <author>tc={2BEBB6A6-D96A-4788-8451-2B132CF87E96}</author>
    <author>tc={8AB782E3-59F0-490B-A58A-C26C6F5E5EB2}</author>
  </authors>
  <commentList>
    <comment ref="E5" authorId="0" shapeId="0" xr:uid="{BCA28DAD-6A5F-414F-8198-3C1C5701B9BA}">
      <text>
        <t>[Threaded comment]
Your version of Excel allows you to read this threaded comment; however, any edits to it will get removed if the file is opened in a newer version of Excel. Learn more: https://go.microsoft.com/fwlink/?linkid=870924
Comment:
    Equation 20</t>
      </text>
    </comment>
    <comment ref="E7" authorId="1" shapeId="0" xr:uid="{B2E48624-5798-4610-AF00-915E659C9385}">
      <text>
        <t>[Threaded comment]
Your version of Excel allows you to read this threaded comment; however, any edits to it will get removed if the file is opened in a newer version of Excel. Learn more: https://go.microsoft.com/fwlink/?linkid=870924
Comment:
    Equation 21</t>
      </text>
    </comment>
    <comment ref="E8" authorId="2" shapeId="0" xr:uid="{2F60A630-932C-4651-BEEA-74724FB9B1A9}">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9" authorId="3" shapeId="0" xr:uid="{91D5D924-51CA-4AA1-AF36-8674A88A1735}">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10" authorId="4" shapeId="0" xr:uid="{21E1ACB4-21E4-414B-97D7-646E873B8CCA}">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11" authorId="5" shapeId="0" xr:uid="{2BEBB6A6-D96A-4788-8451-2B132CF87E96}">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12" authorId="6" shapeId="0" xr:uid="{8AB782E3-59F0-490B-A58A-C26C6F5E5EB2}">
      <text>
        <t>[Threaded comment]
Your version of Excel allows you to read this threaded comment; however, any edits to it will get removed if the file is opened in a newer version of Excel. Learn more: https://go.microsoft.com/fwlink/?linkid=870924
Comment:
    Ai for equation 21</t>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tc={76FC1D0B-6FE2-4389-BF40-89C597EC7E39}</author>
    <author>tc={95730A6C-E159-47E5-8E57-6773F98AE534}</author>
    <author>tc={A1E174B2-B315-4FB6-BCD0-4B90331642E0}</author>
    <author>tc={11B91D51-E54D-43F5-AA31-86465EC9A22D}</author>
    <author>tc={F44BDB2C-C729-4D41-9DDC-22C26BB96EF3}</author>
    <author>tc={025477C1-CC6F-4AE6-9231-E5961FE0E46E}</author>
  </authors>
  <commentList>
    <comment ref="E5" authorId="0" shapeId="0" xr:uid="{76FC1D0B-6FE2-4389-BF40-89C597EC7E39}">
      <text>
        <t>[Threaded comment]
Your version of Excel allows you to read this threaded comment; however, any edits to it will get removed if the file is opened in a newer version of Excel. Learn more: https://go.microsoft.com/fwlink/?linkid=870924
Comment:
    Equation 21</t>
      </text>
    </comment>
    <comment ref="E6" authorId="1" shapeId="0" xr:uid="{95730A6C-E159-47E5-8E57-6773F98AE534}">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 authorId="2" shapeId="0" xr:uid="{A1E174B2-B315-4FB6-BCD0-4B90331642E0}">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8" authorId="3" shapeId="0" xr:uid="{11B91D51-E54D-43F5-AA31-86465EC9A22D}">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9" authorId="4" shapeId="0" xr:uid="{F44BDB2C-C729-4D41-9DDC-22C26BB96EF3}">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10" authorId="5" shapeId="0" xr:uid="{025477C1-CC6F-4AE6-9231-E5961FE0E46E}">
      <text>
        <t>[Threaded comment]
Your version of Excel allows you to read this threaded comment; however, any edits to it will get removed if the file is opened in a newer version of Excel. Learn more: https://go.microsoft.com/fwlink/?linkid=870924
Comment:
    Ai for equation 21</t>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tc={977DC15C-89F9-4A6A-B2AB-4C220CAF9807}</author>
    <author>tc={F9242AF8-A401-43E1-A9AB-1E45EBD97C95}</author>
    <author>tc={7647C9C1-1267-4B7C-9EBF-A587B86285EA}</author>
  </authors>
  <commentList>
    <comment ref="E9" authorId="0" shapeId="0" xr:uid="{977DC15C-89F9-4A6A-B2AB-4C220CAF9807}">
      <text>
        <t>[Threaded comment]
Your version of Excel allows you to read this threaded comment; however, any edits to it will get removed if the file is opened in a newer version of Excel. Learn more: https://go.microsoft.com/fwlink/?linkid=870924
Comment:
    Equation 24</t>
      </text>
    </comment>
    <comment ref="E10" authorId="1" shapeId="0" xr:uid="{F9242AF8-A401-43E1-A9AB-1E45EBD97C95}">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1" authorId="2" shapeId="0" xr:uid="{7647C9C1-1267-4B7C-9EBF-A587B86285EA}">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tc={9CB53BDD-194E-4641-BD02-421847F56277}</author>
    <author>tc={13B09567-6D27-4A0E-9FEB-D3FE8717F0C5}</author>
    <author>tc={77602D5E-4C65-402A-B985-FEF4E11EC3D8}</author>
    <author>tc={3FABCEBA-8E32-4264-91CF-7981664DA93C}</author>
  </authors>
  <commentList>
    <comment ref="E5" authorId="0" shapeId="0" xr:uid="{9CB53BDD-194E-4641-BD02-421847F56277}">
      <text>
        <t>[Threaded comment]
Your version of Excel allows you to read this threaded comment; however, any edits to it will get removed if the file is opened in a newer version of Excel. Learn more: https://go.microsoft.com/fwlink/?linkid=870924
Comment:
    Equation 25</t>
      </text>
    </comment>
    <comment ref="E6" authorId="1" shapeId="0" xr:uid="{13B09567-6D27-4A0E-9FEB-D3FE8717F0C5}">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7" authorId="2" shapeId="0" xr:uid="{77602D5E-4C65-402A-B985-FEF4E11EC3D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8" authorId="3" shapeId="0" xr:uid="{3FABCEBA-8E32-4264-91CF-7981664DA93C}">
      <text>
        <t>[Threaded comment]
Your version of Excel allows you to read this threaded comment; however, any edits to it will get removed if the file is opened in a newer version of Excel. Learn more: https://go.microsoft.com/fwlink/?linkid=870924
Comment:
    T for equation 25</t>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tc={EDFBE444-4C2A-4919-A4EC-D91F70D3C0EE}</author>
    <author>tc={3BB1EF0C-D2F0-4867-A4D2-4232DA872D18}</author>
    <author>tc={7F4C4063-A3EF-419A-A171-A982FF433E74}</author>
    <author>tc={55E58DF9-D3A5-4975-84BE-32CFEEB3292C}</author>
    <author>tc={41BD3998-AF2E-4901-A37D-81B35E2A945E}</author>
    <author>tc={23FE49A9-9F23-49C6-BEE1-683C67BD1520}</author>
    <author>tc={F0309D05-1286-45D5-B3B6-561A60F7D5BE}</author>
    <author>tc={68EC8BE3-98A6-4EBA-9729-6DD5D723CD70}</author>
  </authors>
  <commentList>
    <comment ref="E5" authorId="0" shapeId="0" xr:uid="{EDFBE444-4C2A-4919-A4EC-D91F70D3C0EE}">
      <text>
        <t>[Threaded comment]
Your version of Excel allows you to read this threaded comment; however, any edits to it will get removed if the file is opened in a newer version of Excel. Learn more: https://go.microsoft.com/fwlink/?linkid=870924
Comment:
    Equation 26</t>
      </text>
    </comment>
    <comment ref="E6" authorId="1" shapeId="0" xr:uid="{3BB1EF0C-D2F0-4867-A4D2-4232DA872D18}">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7" authorId="2" shapeId="0" xr:uid="{7F4C4063-A3EF-419A-A171-A982FF433E74}">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9" authorId="3" shapeId="0" xr:uid="{55E58DF9-D3A5-4975-84BE-32CFEEB3292C}">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0" authorId="4" shapeId="0" xr:uid="{41BD3998-AF2E-4901-A37D-81B35E2A945E}">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 authorId="5" shapeId="0" xr:uid="{23FE49A9-9F23-49C6-BEE1-683C67BD1520}">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 authorId="6" shapeId="0" xr:uid="{F0309D05-1286-45D5-B3B6-561A60F7D5BE}">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 authorId="7" shapeId="0" xr:uid="{68EC8BE3-98A6-4EBA-9729-6DD5D723CD7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tc={AE7E6DDF-437F-45A3-A8BF-636DE39BB924}</author>
    <author>tc={6C00FBFE-3E65-41AB-8523-67BAFE3DB011}</author>
    <author>tc={DCC9771F-B175-42E5-B1A7-206F9FE51F86}</author>
    <author>tc={E8E150CF-B8CA-4233-B6BC-207D19A92A0C}</author>
    <author>tc={46382F46-4433-42A9-9045-1D78FE4E583A}</author>
    <author>tc={D5D82C61-A8AC-4A4B-982B-B98CD6188157}</author>
    <author>tc={7F8604FF-3B8B-414D-A8B0-FA298812C484}</author>
    <author>tc={BFC92038-AF87-4794-BA96-50615F94FE70}</author>
    <author>tc={C4942E49-0387-423B-9E68-8AC12DFEB414}</author>
    <author>tc={0A47A049-75C1-48A6-8438-EFE3116A06D2}</author>
    <author>tc={63CB382B-BA14-4287-B085-240D8D5E7BEA}</author>
    <author>tc={1531C213-E2FB-44D8-9AD1-2B3C4448D384}</author>
    <author>tc={6E4DA71C-C147-47CA-9BD3-01E7388B03B4}</author>
    <author>tc={2EA955A0-0016-423E-A8A4-787E7A3BCE2C}</author>
    <author>tc={F85C93A4-D648-45B8-8135-B3EFFAB4A2DE}</author>
    <author>tc={1091A1DB-C3D2-48CC-8FC5-4AC53901CE94}</author>
    <author>tc={EB187213-F194-4BCF-A27A-917138BCFBE3}</author>
    <author>tc={F0FA32A6-2A03-4E84-8C9F-1728F71C268D}</author>
    <author>tc={78D3FC9A-29E4-47F4-828F-3FAEEFD07758}</author>
    <author>tc={CA75C56A-3138-4622-8D2B-178F943974E3}</author>
    <author>tc={38B2FD66-B86A-475B-B98E-333712A8DA35}</author>
    <author>tc={BA8EDDF7-2A53-4BC6-9D84-24CC2B0CA419}</author>
    <author>tc={6264E0FA-63B3-45CE-B6F3-1CDDFF48A36B}</author>
    <author>tc={D1E127FB-3688-40EF-B4FE-58B9B608983C}</author>
    <author>tc={A8719E00-F57D-4A5A-8B8A-0274C7BF7B90}</author>
    <author>tc={44E60A70-8A4F-4099-81FA-391C71BDAADC}</author>
    <author>tc={C151D992-75BD-4E0C-AC0E-E5CA90B06560}</author>
    <author>tc={BDA85022-69BF-4F8D-B5F2-BE0DA4ECDD2D}</author>
    <author>tc={66FEF4C6-377C-4218-B2EB-C9B937789E05}</author>
    <author>tc={533CEA30-6126-472D-9CBA-E675BC186D30}</author>
    <author>tc={71CABB3C-7A43-4FE5-9C8D-01822F330B89}</author>
    <author>tc={466E1B2C-F833-4784-B197-EC1C68265E50}</author>
    <author>tc={6B2B74F3-6839-4BD7-9569-99701B549152}</author>
    <author>tc={2E61D585-0C7B-4C81-ACA9-2A0230E14405}</author>
    <author>tc={D64C5583-99E5-4F78-8682-9CD491EAEF70}</author>
    <author>tc={DEF8F176-CDE3-4836-AFD3-9D2AC3581C5E}</author>
    <author>tc={BE0337C2-8AEB-400D-BEE8-0F2222A048FB}</author>
    <author>tc={22A2926B-A50E-4107-9CCB-41023D7B3FAC}</author>
    <author>tc={958A4C6F-ED5B-41A7-B199-C4DED4397881}</author>
    <author>tc={531F18E4-157C-4F59-BF43-3DC637A6F329}</author>
    <author>tc={A3F57754-FD98-4204-946B-401683352A4F}</author>
    <author>tc={86243B37-E026-45A9-8CD8-05EB0FA65B1C}</author>
    <author>tc={A1617A8D-EE0A-46E0-9335-5987F1CC788C}</author>
    <author>tc={1CC2E0FC-61A4-48B8-A3C0-933F748FC00B}</author>
    <author>tc={EAA0D1A7-2DB2-448B-BAAD-B906E0FD9450}</author>
    <author>tc={F360C895-6CA3-41A8-B224-A6B061938A63}</author>
    <author>tc={6DC3008C-5BE4-45A6-8A62-A76AC469AC75}</author>
    <author>tc={AE1F935B-F42D-4FA4-8B26-81B08E7F791D}</author>
    <author>tc={0F19603D-0D1F-49D3-8B7B-63BA86D5C5A4}</author>
    <author>tc={3D7B3D93-FED6-4C85-9255-3CFE457BE765}</author>
    <author>tc={374E20BB-BDB3-4144-ADAC-2A95FB904F90}</author>
    <author>tc={F8DC32C2-6CBD-4B0B-AC3C-A13AB3F11C8B}</author>
    <author>tc={261CC18B-83F3-494F-AEDC-5C69844A2E88}</author>
    <author>tc={01908FE6-99E8-4657-947C-0231D61E4FD9}</author>
    <author>tc={0BDDC299-D567-4A17-AD48-4E8829AFD8D5}</author>
    <author>tc={C17F3638-4C44-4174-87AB-43CCD3565CD5}</author>
    <author>tc={CAD432AA-22E7-4EC2-ABC6-7343F838DBD0}</author>
    <author>tc={721E5CEA-5191-4BFF-8CC2-92E22BF64548}</author>
    <author>tc={6E29FCD9-DA51-487B-8356-1E3DBAACB731}</author>
    <author>tc={F4DFD1B8-7490-4611-842E-300B35D91D23}</author>
    <author>tc={11F84DFE-45F5-48C3-B374-CAA694C7EBBF}</author>
    <author>tc={54720FD0-054D-4431-A1FE-4A2A9BABFEF2}</author>
    <author>tc={77CB11BE-8E60-406D-B6C3-89F8399C665F}</author>
    <author>tc={0814F5A0-602B-41A2-B445-3ECD9C345CA8}</author>
    <author>tc={6390C3F8-C80B-40E4-B219-2E7061731638}</author>
    <author>tc={22AEF9D2-D9E3-463D-8890-FEFA8187C966}</author>
    <author>tc={9B2FB45A-9D10-4AB0-88E2-56C23AB927D9}</author>
    <author>tc={C7785851-8C68-4374-92E4-C16B4D6B261E}</author>
    <author>tc={F9304850-A8BB-4416-B23E-3D34D8480DFF}</author>
    <author>tc={F3795940-BAEB-4936-8899-F09E5AA9621C}</author>
    <author>tc={737E7FD4-6D51-46AB-95AA-7ED04BEC43A4}</author>
    <author>tc={6BAC5BF1-18C7-45E0-BC04-2221B8C192A0}</author>
    <author>tc={A70394A2-EEEB-44DF-8393-0DF51903A46E}</author>
  </authors>
  <commentList>
    <comment ref="E12" authorId="0" shapeId="0" xr:uid="{AE7E6DDF-437F-45A3-A8BF-636DE39BB924}">
      <text>
        <t>[Threaded comment]
Your version of Excel allows you to read this threaded comment; however, any edits to it will get removed if the file is opened in a newer version of Excel. Learn more: https://go.microsoft.com/fwlink/?linkid=870924
Comment:
    Equation 3</t>
      </text>
    </comment>
    <comment ref="E13" authorId="1" shapeId="0" xr:uid="{6C00FBFE-3E65-41AB-8523-67BAFE3DB01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4" authorId="2" shapeId="0" xr:uid="{DCC9771F-B175-42E5-B1A7-206F9FE51F86}">
      <text>
        <t>[Threaded comment]
Your version of Excel allows you to read this threaded comment; however, any edits to it will get removed if the file is opened in a newer version of Excel. Learn more: https://go.microsoft.com/fwlink/?linkid=870924
Comment:
    Equation 4</t>
      </text>
    </comment>
    <comment ref="E15" authorId="3" shapeId="0" xr:uid="{E8E150CF-B8CA-4233-B6BC-207D19A92A0C}">
      <text>
        <t>[Threaded comment]
Your version of Excel allows you to read this threaded comment; however, any edits to it will get removed if the file is opened in a newer version of Excel. Learn more: https://go.microsoft.com/fwlink/?linkid=870924
Comment:
    Equation 5</t>
      </text>
    </comment>
    <comment ref="E16" authorId="4" shapeId="0" xr:uid="{46382F46-4433-42A9-9045-1D78FE4E583A}">
      <text>
        <t>[Threaded comment]
Your version of Excel allows you to read this threaded comment; however, any edits to it will get removed if the file is opened in a newer version of Excel. Learn more: https://go.microsoft.com/fwlink/?linkid=870924
Comment:
    A for equation 4</t>
      </text>
    </comment>
    <comment ref="E17" authorId="5" shapeId="0" xr:uid="{D5D82C61-A8AC-4A4B-982B-B98CD6188157}">
      <text>
        <t>[Threaded comment]
Your version of Excel allows you to read this threaded comment; however, any edits to it will get removed if the file is opened in a newer version of Excel. Learn more: https://go.microsoft.com/fwlink/?linkid=870924
Comment:
    Equation 6</t>
      </text>
    </comment>
    <comment ref="E18" authorId="6" shapeId="0" xr:uid="{7F8604FF-3B8B-414D-A8B0-FA298812C484}">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0" authorId="7" shapeId="0" xr:uid="{BFC92038-AF87-4794-BA96-50615F94FE70}">
      <text>
        <t>[Threaded comment]
Your version of Excel allows you to read this threaded comment; however, any edits to it will get removed if the file is opened in a newer version of Excel. Learn more: https://go.microsoft.com/fwlink/?linkid=870924
Comment:
    Equation 7</t>
      </text>
    </comment>
    <comment ref="E21" authorId="8" shapeId="0" xr:uid="{C4942E49-0387-423B-9E68-8AC12DFEB414}">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2" authorId="9" shapeId="0" xr:uid="{0A47A049-75C1-48A6-8438-EFE3116A06D2}">
      <text>
        <t>[Threaded comment]
Your version of Excel allows you to read this threaded comment; however, any edits to it will get removed if the file is opened in a newer version of Excel. Learn more: https://go.microsoft.com/fwlink/?linkid=870924
Comment:
    Equation 8</t>
      </text>
    </comment>
    <comment ref="E23" authorId="10" shapeId="0" xr:uid="{63CB382B-BA14-4287-B085-240D8D5E7BE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25" authorId="11" shapeId="0" xr:uid="{1531C213-E2FB-44D8-9AD1-2B3C4448D384}">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27" authorId="12" shapeId="0" xr:uid="{6E4DA71C-C147-47CA-9BD3-01E7388B03B4}">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28" authorId="13" shapeId="0" xr:uid="{2EA955A0-0016-423E-A8A4-787E7A3BCE2C}">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29" authorId="14" shapeId="0" xr:uid="{F85C93A4-D648-45B8-8135-B3EFFAB4A2DE}">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0" authorId="15" shapeId="0" xr:uid="{1091A1DB-C3D2-48CC-8FC5-4AC53901CE9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1" authorId="16" shapeId="0" xr:uid="{EB187213-F194-4BCF-A27A-917138BCFBE3}">
      <text>
        <t>[Threaded comment]
Your version of Excel allows you to read this threaded comment; however, any edits to it will get removed if the file is opened in a newer version of Excel. Learn more: https://go.microsoft.com/fwlink/?linkid=870924
Comment:
    Equation 2</t>
      </text>
    </comment>
    <comment ref="E32" authorId="17" shapeId="0" xr:uid="{F0FA32A6-2A03-4E84-8C9F-1728F71C268D}">
      <text>
        <t>[Threaded comment]
Your version of Excel allows you to read this threaded comment; however, any edits to it will get removed if the file is opened in a newer version of Excel. Learn more: https://go.microsoft.com/fwlink/?linkid=870924
Comment:
    Equation 1</t>
      </text>
    </comment>
    <comment ref="E33" authorId="18" shapeId="0" xr:uid="{78D3FC9A-29E4-47F4-828F-3FAEEFD07758}">
      <text>
        <t>[Threaded comment]
Your version of Excel allows you to read this threaded comment; however, any edits to it will get removed if the file is opened in a newer version of Excel. Learn more: https://go.microsoft.com/fwlink/?linkid=870924
Comment:
    Equation 2</t>
      </text>
    </comment>
    <comment ref="E35" authorId="19" shapeId="0" xr:uid="{CA75C56A-3138-4622-8D2B-178F943974E3}">
      <text>
        <t>[Threaded comment]
Your version of Excel allows you to read this threaded comment; however, any edits to it will get removed if the file is opened in a newer version of Excel. Learn more: https://go.microsoft.com/fwlink/?linkid=870924
Comment:
    Equation 11</t>
      </text>
    </comment>
    <comment ref="E36" authorId="20" shapeId="0" xr:uid="{38B2FD66-B86A-475B-B98E-333712A8DA35}">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37" authorId="21" shapeId="0" xr:uid="{BA8EDDF7-2A53-4BC6-9D84-24CC2B0CA41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38" authorId="22" shapeId="0" xr:uid="{6264E0FA-63B3-45CE-B6F3-1CDDFF48A36B}">
      <text>
        <t>[Threaded comment]
Your version of Excel allows you to read this threaded comment; however, any edits to it will get removed if the file is opened in a newer version of Excel. Learn more: https://go.microsoft.com/fwlink/?linkid=870924
Comment:
    T for equation 11</t>
      </text>
    </comment>
    <comment ref="E42" authorId="23" shapeId="0" xr:uid="{D1E127FB-3688-40EF-B4FE-58B9B608983C}">
      <text>
        <t>[Threaded comment]
Your version of Excel allows you to read this threaded comment; however, any edits to it will get removed if the file is opened in a newer version of Excel. Learn more: https://go.microsoft.com/fwlink/?linkid=870924
Comment:
    Equation 22</t>
      </text>
    </comment>
    <comment ref="E43" authorId="24" shapeId="0" xr:uid="{A8719E00-F57D-4A5A-8B8A-0274C7BF7B90}">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44" authorId="25" shapeId="0" xr:uid="{44E60A70-8A4F-4099-81FA-391C71BDAADC}">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45" authorId="26" shapeId="0" xr:uid="{C151D992-75BD-4E0C-AC0E-E5CA90B06560}">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46" authorId="27" shapeId="0" xr:uid="{BDA85022-69BF-4F8D-B5F2-BE0DA4ECDD2D}">
      <text>
        <t>[Threaded comment]
Your version of Excel allows you to read this threaded comment; however, any edits to it will get removed if the file is opened in a newer version of Excel. Learn more: https://go.microsoft.com/fwlink/?linkid=870924
Comment:
    Equation 23</t>
      </text>
    </comment>
    <comment ref="E47" authorId="28" shapeId="0" xr:uid="{66FEF4C6-377C-4218-B2EB-C9B937789E0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62" authorId="29" shapeId="0" xr:uid="{533CEA30-6126-472D-9CBA-E675BC186D30}">
      <text>
        <t>[Threaded comment]
Your version of Excel allows you to read this threaded comment; however, any edits to it will get removed if the file is opened in a newer version of Excel. Learn more: https://go.microsoft.com/fwlink/?linkid=870924
Comment:
    Equation 12</t>
      </text>
    </comment>
    <comment ref="E63" authorId="30" shapeId="0" xr:uid="{71CABB3C-7A43-4FE5-9C8D-01822F330B8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64" authorId="31" shapeId="0" xr:uid="{466E1B2C-F833-4784-B197-EC1C68265E50}">
      <text>
        <t>[Threaded comment]
Your version of Excel allows you to read this threaded comment; however, any edits to it will get removed if the file is opened in a newer version of Excel. Learn more: https://go.microsoft.com/fwlink/?linkid=870924
Comment:
    Equation 13</t>
      </text>
    </comment>
    <comment ref="E65" authorId="32" shapeId="0" xr:uid="{6B2B74F3-6839-4BD7-9569-99701B54915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66" authorId="33" shapeId="0" xr:uid="{2E61D585-0C7B-4C81-ACA9-2A0230E14405}">
      <text>
        <t>[Threaded comment]
Your version of Excel allows you to read this threaded comment; however, any edits to it will get removed if the file is opened in a newer version of Excel. Learn more: https://go.microsoft.com/fwlink/?linkid=870924
Comment:
    Equation 14</t>
      </text>
    </comment>
    <comment ref="E67" authorId="34" shapeId="0" xr:uid="{D64C5583-99E5-4F78-8682-9CD491EAEF70}">
      <text>
        <t>[Threaded comment]
Your version of Excel allows you to read this threaded comment; however, any edits to it will get removed if the file is opened in a newer version of Excel. Learn more: https://go.microsoft.com/fwlink/?linkid=870924
Comment:
    Equation 15</t>
      </text>
    </comment>
    <comment ref="E68" authorId="35" shapeId="0" xr:uid="{DEF8F176-CDE3-4836-AFD3-9D2AC3581C5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70" authorId="36" shapeId="0" xr:uid="{BE0337C2-8AEB-400D-BEE8-0F2222A048FB}">
      <text>
        <t>[Threaded comment]
Your version of Excel allows you to read this threaded comment; however, any edits to it will get removed if the file is opened in a newer version of Excel. Learn more: https://go.microsoft.com/fwlink/?linkid=870924
Comment:
    Equation 16</t>
      </text>
    </comment>
    <comment ref="E71" authorId="37" shapeId="0" xr:uid="{22A2926B-A50E-4107-9CCB-41023D7B3FAC}">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72" authorId="38" shapeId="0" xr:uid="{958A4C6F-ED5B-41A7-B199-C4DED4397881}">
      <text>
        <t>[Threaded comment]
Your version of Excel allows you to read this threaded comment; however, any edits to it will get removed if the file is opened in a newer version of Excel. Learn more: https://go.microsoft.com/fwlink/?linkid=870924
Comment:
    Equation 17</t>
      </text>
    </comment>
    <comment ref="E73" authorId="39" shapeId="0" xr:uid="{531F18E4-157C-4F59-BF43-3DC637A6F32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75" authorId="40" shapeId="0" xr:uid="{A3F57754-FD98-4204-946B-401683352A4F}">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77" authorId="41" shapeId="0" xr:uid="{86243B37-E026-45A9-8CD8-05EB0FA65B1C}">
      <text>
        <t>[Threaded comment]
Your version of Excel allows you to read this threaded comment; however, any edits to it will get removed if the file is opened in a newer version of Excel. Learn more: https://go.microsoft.com/fwlink/?linkid=870924
Comment:
    Equation 12?</t>
      </text>
    </comment>
    <comment ref="E78" authorId="42" shapeId="0" xr:uid="{A1617A8D-EE0A-46E0-9335-5987F1CC788C}">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79" authorId="43" shapeId="0" xr:uid="{1CC2E0FC-61A4-48B8-A3C0-933F748FC00B}">
      <text>
        <t>[Threaded comment]
Your version of Excel allows you to read this threaded comment; however, any edits to it will get removed if the file is opened in a newer version of Excel. Learn more: https://go.microsoft.com/fwlink/?linkid=870924
Comment:
    Equation 13</t>
      </text>
    </comment>
    <comment ref="E80" authorId="44" shapeId="0" xr:uid="{EAA0D1A7-2DB2-448B-BAAD-B906E0FD9450}">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1" authorId="45" shapeId="0" xr:uid="{F360C895-6CA3-41A8-B224-A6B061938A63}">
      <text>
        <t>[Threaded comment]
Your version of Excel allows you to read this threaded comment; however, any edits to it will get removed if the file is opened in a newer version of Excel. Learn more: https://go.microsoft.com/fwlink/?linkid=870924
Comment:
    Equation 14</t>
      </text>
    </comment>
    <comment ref="E82" authorId="46" shapeId="0" xr:uid="{6DC3008C-5BE4-45A6-8A62-A76AC469AC75}">
      <text>
        <t>[Threaded comment]
Your version of Excel allows you to read this threaded comment; however, any edits to it will get removed if the file is opened in a newer version of Excel. Learn more: https://go.microsoft.com/fwlink/?linkid=870924
Comment:
    Equation 15</t>
      </text>
    </comment>
    <comment ref="E83" authorId="47" shapeId="0" xr:uid="{AE1F935B-F42D-4FA4-8B26-81B08E7F791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5" authorId="48" shapeId="0" xr:uid="{0F19603D-0D1F-49D3-8B7B-63BA86D5C5A4}">
      <text>
        <t>[Threaded comment]
Your version of Excel allows you to read this threaded comment; however, any edits to it will get removed if the file is opened in a newer version of Excel. Learn more: https://go.microsoft.com/fwlink/?linkid=870924
Comment:
    Equation 18</t>
      </text>
    </comment>
    <comment ref="E86" authorId="49" shapeId="0" xr:uid="{3D7B3D93-FED6-4C85-9255-3CFE457BE765}">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87" authorId="50" shapeId="0" xr:uid="{374E20BB-BDB3-4144-ADAC-2A95FB904F9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88" authorId="51" shapeId="0" xr:uid="{F8DC32C2-6CBD-4B0B-AC3C-A13AB3F11C8B}">
      <text>
        <t>[Threaded comment]
Your version of Excel allows you to read this threaded comment; however, any edits to it will get removed if the file is opened in a newer version of Excel. Learn more: https://go.microsoft.com/fwlink/?linkid=870924
Comment:
    For equation 18</t>
      </text>
    </comment>
    <comment ref="E89" authorId="52" shapeId="0" xr:uid="{261CC18B-83F3-494F-AEDC-5C69844A2E88}">
      <text>
        <t>[Threaded comment]
Your version of Excel allows you to read this threaded comment; however, any edits to it will get removed if the file is opened in a newer version of Excel. Learn more: https://go.microsoft.com/fwlink/?linkid=870924
Comment:
    For equation 18</t>
      </text>
    </comment>
    <comment ref="E90" authorId="53" shapeId="0" xr:uid="{01908FE6-99E8-4657-947C-0231D61E4FD9}">
      <text>
        <t>[Threaded comment]
Your version of Excel allows you to read this threaded comment; however, any edits to it will get removed if the file is opened in a newer version of Excel. Learn more: https://go.microsoft.com/fwlink/?linkid=870924
Comment:
    Equation 19</t>
      </text>
    </comment>
    <comment ref="E91" authorId="54" shapeId="0" xr:uid="{0BDDC299-D567-4A17-AD48-4E8829AFD8D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92" authorId="55" shapeId="0" xr:uid="{C17F3638-4C44-4174-87AB-43CCD3565CD5}">
      <text>
        <t>[Threaded comment]
Your version of Excel allows you to read this threaded comment; however, any edits to it will get removed if the file is opened in a newer version of Excel. Learn more: https://go.microsoft.com/fwlink/?linkid=870924
Comment:
    P for equation 19</t>
      </text>
    </comment>
    <comment ref="E94" authorId="56" shapeId="0" xr:uid="{CAD432AA-22E7-4EC2-ABC6-7343F838DBD0}">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95" authorId="57" shapeId="0" xr:uid="{721E5CEA-5191-4BFF-8CC2-92E22BF64548}">
      <text>
        <t>[Threaded comment]
Your version of Excel allows you to read this threaded comment; however, any edits to it will get removed if the file is opened in a newer version of Excel. Learn more: https://go.microsoft.com/fwlink/?linkid=870924
Comment:
    date</t>
      </text>
    </comment>
    <comment ref="E104" authorId="58" shapeId="0" xr:uid="{6E29FCD9-DA51-487B-8356-1E3DBAACB731}">
      <text>
        <t>[Threaded comment]
Your version of Excel allows you to read this threaded comment; however, any edits to it will get removed if the file is opened in a newer version of Excel. Learn more: https://go.microsoft.com/fwlink/?linkid=870924
Comment:
    Equation 24</t>
      </text>
    </comment>
    <comment ref="E105" authorId="59" shapeId="0" xr:uid="{F4DFD1B8-7490-4611-842E-300B35D91D23}">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06" authorId="60" shapeId="0" xr:uid="{11F84DFE-45F5-48C3-B374-CAA694C7EBBF}">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08" authorId="61" shapeId="0" xr:uid="{54720FD0-054D-4431-A1FE-4A2A9BABFEF2}">
      <text>
        <t>[Threaded comment]
Your version of Excel allows you to read this threaded comment; however, any edits to it will get removed if the file is opened in a newer version of Excel. Learn more: https://go.microsoft.com/fwlink/?linkid=870924
Comment:
    Equation 25</t>
      </text>
    </comment>
    <comment ref="E109" authorId="62" shapeId="0" xr:uid="{77CB11BE-8E60-406D-B6C3-89F8399C665F}">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10" authorId="63" shapeId="0" xr:uid="{0814F5A0-602B-41A2-B445-3ECD9C345CA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11" authorId="64" shapeId="0" xr:uid="{6390C3F8-C80B-40E4-B219-2E7061731638}">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13" authorId="65" shapeId="0" xr:uid="{22AEF9D2-D9E3-463D-8890-FEFA8187C966}">
      <text>
        <t>[Threaded comment]
Your version of Excel allows you to read this threaded comment; however, any edits to it will get removed if the file is opened in a newer version of Excel. Learn more: https://go.microsoft.com/fwlink/?linkid=870924
Comment:
    Equation 26</t>
      </text>
    </comment>
    <comment ref="E114" authorId="66" shapeId="0" xr:uid="{9B2FB45A-9D10-4AB0-88E2-56C23AB927D9}">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15" authorId="67" shapeId="0" xr:uid="{C7785851-8C68-4374-92E4-C16B4D6B261E}">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17" authorId="68" shapeId="0" xr:uid="{F9304850-A8BB-4416-B23E-3D34D8480DFF}">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18" authorId="69" shapeId="0" xr:uid="{F3795940-BAEB-4936-8899-F09E5AA9621C}">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9" authorId="70" shapeId="0" xr:uid="{737E7FD4-6D51-46AB-95AA-7ED04BEC43A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0" authorId="71" shapeId="0" xr:uid="{6BAC5BF1-18C7-45E0-BC04-2221B8C192A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21" authorId="72" shapeId="0" xr:uid="{A70394A2-EEEB-44DF-8393-0DF51903A46E}">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tc={7AC586FF-6E3C-447F-962B-6554BB1D192E}</author>
    <author>tc={A35C36C3-803A-48F8-B6CF-B4684CDDC606}</author>
    <author>tc={33664538-2B02-491F-A07B-D5A98AEB4DE3}</author>
    <author>tc={7C5F32D0-6392-4BA6-A003-D85129D0BE82}</author>
    <author>tc={17F37E2C-C7CF-4550-92F7-45AF1A1A55DE}</author>
    <author>tc={97D401EA-903D-4D96-8666-B48C6E95D6C0}</author>
    <author>tc={8B75F175-8452-4CA1-9B6C-ED5E86F526EF}</author>
    <author>tc={C1FDDD2F-4812-45D4-B2B4-AF9FEF6EEBC3}</author>
    <author>tc={742B5DD9-7FCB-4532-BD7A-0E37300BD3AC}</author>
    <author>tc={ABD50941-98BA-42E7-AE1D-6519B3F9D30C}</author>
    <author>tc={B93BCB2D-469E-4257-B05C-F94E4B73E0BC}</author>
    <author>tc={8FF08E30-CE83-45B2-919F-D7A92EFF28D5}</author>
    <author>tc={3098B5AA-05C4-4E7C-8249-8B8C0308BB14}</author>
    <author>tc={CD0FEB78-6FF1-4654-82B3-2B844E242109}</author>
    <author>tc={04D88C67-5C7C-454A-8B11-3B79298F8377}</author>
    <author>tc={6488BCD8-9134-4717-B492-B8FD441E6109}</author>
    <author>tc={135CF094-BD8A-4DCD-A0EC-7802FECF8730}</author>
    <author>tc={8D30A7EA-C885-445F-B994-4F0AEF400BC0}</author>
    <author>tc={0B229ED4-B82E-4802-AD20-2FB3039B3BAE}</author>
  </authors>
  <commentList>
    <comment ref="E10" authorId="0" shapeId="0" xr:uid="{7AC586FF-6E3C-447F-962B-6554BB1D192E}">
      <text>
        <t>[Threaded comment]
Your version of Excel allows you to read this threaded comment; however, any edits to it will get removed if the file is opened in a newer version of Excel. Learn more: https://go.microsoft.com/fwlink/?linkid=870924
Comment:
    Equation 3</t>
      </text>
    </comment>
    <comment ref="E11" authorId="1" shapeId="0" xr:uid="{A35C36C3-803A-48F8-B6CF-B4684CDDC606}">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2" authorId="2" shapeId="0" xr:uid="{33664538-2B02-491F-A07B-D5A98AEB4DE3}">
      <text>
        <t>[Threaded comment]
Your version of Excel allows you to read this threaded comment; however, any edits to it will get removed if the file is opened in a newer version of Excel. Learn more: https://go.microsoft.com/fwlink/?linkid=870924
Comment:
    Equation 4</t>
      </text>
    </comment>
    <comment ref="E13" authorId="3" shapeId="0" xr:uid="{7C5F32D0-6392-4BA6-A003-D85129D0BE82}">
      <text>
        <t>[Threaded comment]
Your version of Excel allows you to read this threaded comment; however, any edits to it will get removed if the file is opened in a newer version of Excel. Learn more: https://go.microsoft.com/fwlink/?linkid=870924
Comment:
    Equation 5</t>
      </text>
    </comment>
    <comment ref="E14" authorId="4" shapeId="0" xr:uid="{17F37E2C-C7CF-4550-92F7-45AF1A1A55DE}">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 authorId="5" shapeId="0" xr:uid="{97D401EA-903D-4D96-8666-B48C6E95D6C0}">
      <text>
        <t>[Threaded comment]
Your version of Excel allows you to read this threaded comment; however, any edits to it will get removed if the file is opened in a newer version of Excel. Learn more: https://go.microsoft.com/fwlink/?linkid=870924
Comment:
    Equation 6</t>
      </text>
    </comment>
    <comment ref="E16" authorId="6" shapeId="0" xr:uid="{8B75F175-8452-4CA1-9B6C-ED5E86F526EF}">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8" authorId="7" shapeId="0" xr:uid="{C1FDDD2F-4812-45D4-B2B4-AF9FEF6EEBC3}">
      <text>
        <t>[Threaded comment]
Your version of Excel allows you to read this threaded comment; however, any edits to it will get removed if the file is opened in a newer version of Excel. Learn more: https://go.microsoft.com/fwlink/?linkid=870924
Comment:
    Equation 7</t>
      </text>
    </comment>
    <comment ref="E19" authorId="8" shapeId="0" xr:uid="{742B5DD9-7FCB-4532-BD7A-0E37300BD3A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0" authorId="9" shapeId="0" xr:uid="{ABD50941-98BA-42E7-AE1D-6519B3F9D30C}">
      <text>
        <t>[Threaded comment]
Your version of Excel allows you to read this threaded comment; however, any edits to it will get removed if the file is opened in a newer version of Excel. Learn more: https://go.microsoft.com/fwlink/?linkid=870924
Comment:
    Equation 8</t>
      </text>
    </comment>
    <comment ref="E21" authorId="10" shapeId="0" xr:uid="{B93BCB2D-469E-4257-B05C-F94E4B73E0B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23" authorId="11" shapeId="0" xr:uid="{8FF08E30-CE83-45B2-919F-D7A92EFF28D5}">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25" authorId="12" shapeId="0" xr:uid="{3098B5AA-05C4-4E7C-8249-8B8C0308BB14}">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26" authorId="13" shapeId="0" xr:uid="{CD0FEB78-6FF1-4654-82B3-2B844E24210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27" authorId="14" shapeId="0" xr:uid="{04D88C67-5C7C-454A-8B11-3B79298F8377}">
      <text>
        <t>[Threaded comment]
Your version of Excel allows you to read this threaded comment; however, any edits to it will get removed if the file is opened in a newer version of Excel. Learn more: https://go.microsoft.com/fwlink/?linkid=870924
Comment:
    u1 for equation 2</t>
      </text>
    </comment>
    <comment ref="E28" authorId="15" shapeId="0" xr:uid="{6488BCD8-9134-4717-B492-B8FD441E610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29" authorId="16" shapeId="0" xr:uid="{135CF094-BD8A-4DCD-A0EC-7802FECF8730}">
      <text>
        <t>[Threaded comment]
Your version of Excel allows you to read this threaded comment; however, any edits to it will get removed if the file is opened in a newer version of Excel. Learn more: https://go.microsoft.com/fwlink/?linkid=870924
Comment:
    Equation 2</t>
      </text>
    </comment>
    <comment ref="E30" authorId="17" shapeId="0" xr:uid="{8D30A7EA-C885-445F-B994-4F0AEF400BC0}">
      <text>
        <t>[Threaded comment]
Your version of Excel allows you to read this threaded comment; however, any edits to it will get removed if the file is opened in a newer version of Excel. Learn more: https://go.microsoft.com/fwlink/?linkid=870924
Comment:
    Equation 1</t>
      </text>
    </comment>
    <comment ref="E31" authorId="18" shapeId="0" xr:uid="{0B229ED4-B82E-4802-AD20-2FB3039B3BAE}">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tc={6727FD55-6DC5-4641-9801-C4B9CB78E67E}</author>
    <author>tc={799527A2-40A1-4792-940A-3D69D190E981}</author>
    <author>tc={8810038C-B6DD-45EB-99E1-A544539D10A1}</author>
    <author>tc={B2F246E0-61D1-49D4-B0A4-574088F4D9A5}</author>
    <author>tc={D6657A1B-C93B-4E30-B98B-950C1E3AF13C}</author>
    <author>tc={39196F97-E0D3-476C-8211-82CEECC0DB1A}</author>
    <author>tc={B54B45E2-1CA0-4817-9DB2-4C7EFC38FCE5}</author>
    <author>tc={F4EC0A38-0105-4F28-96ED-D0993E3B1022}</author>
    <author>tc={38AE5B1B-CBE6-4485-AB8E-977F73BC80DA}</author>
    <author>tc={C3751A01-7E0F-44B1-93B7-16F1B89B9287}</author>
    <author>tc={4D68E214-AA4E-4453-9E56-408FDD7DF3AC}</author>
    <author>tc={27BEF145-4313-4817-B842-409E26DA52F1}</author>
  </authors>
  <commentList>
    <comment ref="E5" authorId="0" shapeId="0" xr:uid="{6727FD55-6DC5-4641-9801-C4B9CB78E67E}">
      <text>
        <t>[Threaded comment]
Your version of Excel allows you to read this threaded comment; however, any edits to it will get removed if the file is opened in a newer version of Excel. Learn more: https://go.microsoft.com/fwlink/?linkid=870924
Comment:
    Equation 3</t>
      </text>
    </comment>
    <comment ref="E6" authorId="1" shapeId="0" xr:uid="{799527A2-40A1-4792-940A-3D69D190E98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7" authorId="2" shapeId="0" xr:uid="{8810038C-B6DD-45EB-99E1-A544539D10A1}">
      <text>
        <t>[Threaded comment]
Your version of Excel allows you to read this threaded comment; however, any edits to it will get removed if the file is opened in a newer version of Excel. Learn more: https://go.microsoft.com/fwlink/?linkid=870924
Comment:
    Equation 4</t>
      </text>
    </comment>
    <comment ref="E8" authorId="3" shapeId="0" xr:uid="{B2F246E0-61D1-49D4-B0A4-574088F4D9A5}">
      <text>
        <t>[Threaded comment]
Your version of Excel allows you to read this threaded comment; however, any edits to it will get removed if the file is opened in a newer version of Excel. Learn more: https://go.microsoft.com/fwlink/?linkid=870924
Comment:
    Equation 5</t>
      </text>
    </comment>
    <comment ref="E9" authorId="4" shapeId="0" xr:uid="{D6657A1B-C93B-4E30-B98B-950C1E3AF13C}">
      <text>
        <t>[Threaded comment]
Your version of Excel allows you to read this threaded comment; however, any edits to it will get removed if the file is opened in a newer version of Excel. Learn more: https://go.microsoft.com/fwlink/?linkid=870924
Comment:
    A for equation 4</t>
      </text>
    </comment>
    <comment ref="E10" authorId="5" shapeId="0" xr:uid="{39196F97-E0D3-476C-8211-82CEECC0DB1A}">
      <text>
        <t>[Threaded comment]
Your version of Excel allows you to read this threaded comment; however, any edits to it will get removed if the file is opened in a newer version of Excel. Learn more: https://go.microsoft.com/fwlink/?linkid=870924
Comment:
    Equation 6</t>
      </text>
    </comment>
    <comment ref="E11" authorId="6" shapeId="0" xr:uid="{B54B45E2-1CA0-4817-9DB2-4C7EFC38FCE5}">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3" authorId="7" shapeId="0" xr:uid="{F4EC0A38-0105-4F28-96ED-D0993E3B1022}">
      <text>
        <t>[Threaded comment]
Your version of Excel allows you to read this threaded comment; however, any edits to it will get removed if the file is opened in a newer version of Excel. Learn more: https://go.microsoft.com/fwlink/?linkid=870924
Comment:
    Equation 7</t>
      </text>
    </comment>
    <comment ref="E14" authorId="8" shapeId="0" xr:uid="{38AE5B1B-CBE6-4485-AB8E-977F73BC80D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5" authorId="9" shapeId="0" xr:uid="{C3751A01-7E0F-44B1-93B7-16F1B89B9287}">
      <text>
        <t>[Threaded comment]
Your version of Excel allows you to read this threaded comment; however, any edits to it will get removed if the file is opened in a newer version of Excel. Learn more: https://go.microsoft.com/fwlink/?linkid=870924
Comment:
    Equation 8</t>
      </text>
    </comment>
    <comment ref="E16" authorId="10" shapeId="0" xr:uid="{4D68E214-AA4E-4453-9E56-408FDD7DF3A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8" authorId="11" shapeId="0" xr:uid="{27BEF145-4313-4817-B842-409E26DA52F1}">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tc={4A8C6A39-4FEF-4D30-96DF-A425D38A2495}</author>
    <author>tc={7115BCDB-1B84-4391-BFD9-39306D7A9B6E}</author>
    <author>tc={85E22CC2-BD59-4D9B-A2AF-BF7DA3C0A9C6}</author>
    <author>tc={2C677D21-92A5-44E6-8CA3-9F77A75965F5}</author>
    <author>tc={B865B052-10FB-4D4A-936D-47D6801286DF}</author>
  </authors>
  <commentList>
    <comment ref="E5" authorId="0" shapeId="0" xr:uid="{4A8C6A39-4FEF-4D30-96DF-A425D38A2495}">
      <text>
        <t>[Threaded comment]
Your version of Excel allows you to read this threaded comment; however, any edits to it will get removed if the file is opened in a newer version of Excel. Learn more: https://go.microsoft.com/fwlink/?linkid=870924
Comment:
    Equation 7</t>
      </text>
    </comment>
    <comment ref="E6" authorId="1" shapeId="0" xr:uid="{7115BCDB-1B84-4391-BFD9-39306D7A9B6E}">
      <text>
        <t>[Threaded comment]
Your version of Excel allows you to read this threaded comment; however, any edits to it will get removed if the file is opened in a newer version of Excel. Learn more: https://go.microsoft.com/fwlink/?linkid=870924
Comment:
    wi for equation 6</t>
      </text>
    </comment>
    <comment ref="E7" authorId="2" shapeId="0" xr:uid="{85E22CC2-BD59-4D9B-A2AF-BF7DA3C0A9C6}">
      <text>
        <t>[Threaded comment]
Your version of Excel allows you to read this threaded comment; however, any edits to it will get removed if the file is opened in a newer version of Excel. Learn more: https://go.microsoft.com/fwlink/?linkid=870924
Comment:
    Equation 8</t>
      </text>
    </comment>
    <comment ref="E8" authorId="3" shapeId="0" xr:uid="{2C677D21-92A5-44E6-8CA3-9F77A75965F5}">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0" authorId="4" shapeId="0" xr:uid="{B865B052-10FB-4D4A-936D-47D6801286DF}">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tc={9E539B06-D2DC-4E88-B5EE-60B1F30DFE31}</author>
    <author>tc={85F907FD-B890-4455-9F9C-082F12569F6B}</author>
    <author>tc={6CCB6BCA-4BA7-4A8F-8FE8-2D03DC07654E}</author>
    <author>tc={14FBDD7B-0D12-4D65-B711-AC2F18E52AD9}</author>
    <author>tc={C5E566FC-CC04-446D-A9E1-58518DF3CD37}</author>
    <author>tc={B32E5202-54BC-4F7C-8552-0DCC39605744}</author>
    <author>tc={FDC47A8C-EA71-4E23-9B44-D606FB1A6E8F}</author>
    <author>tc={5528C25A-89CF-4471-9D9E-D20EB99AFF43}</author>
    <author>tc={C40A7647-CAAF-4EF5-9100-7B24A085C011}</author>
    <author>tc={065C5E4C-B57D-45F6-9C84-05AF760A330A}</author>
    <author>tc={568CEB30-9E33-4C2F-B148-91C5448A6B03}</author>
    <author>tc={F36BB4E5-4FFF-47B0-BA9B-E04020D299B2}</author>
    <author>tc={9F380A23-E5D0-4232-B94C-8C965D8DAC89}</author>
    <author>tc={11D7D33E-ED0A-49D7-BF26-223FECE13231}</author>
    <author>tc={53A0F9EA-A06A-467F-939A-D796C6192E4B}</author>
    <author>tc={640242E9-8C7C-47AF-A168-15CF5556B6AA}</author>
    <author>tc={B74F99E3-2B8E-4759-BC98-5E50D623B489}</author>
    <author>tc={37C9EE2B-29F7-464B-A129-34ABBCC54870}</author>
    <author>tc={4F9D267A-B1A5-4FD9-837C-F959E3D524CF}</author>
    <author>tc={FF3B4F4D-660D-4971-AD54-3102E62D8D28}</author>
    <author>tc={E3A8452F-3D67-4B27-8C72-C385DD36440C}</author>
    <author>tc={6E252954-91FB-45D4-8EF1-75EB298D596F}</author>
    <author>tc={30598A38-F6F1-47C8-8797-F7688CAEB27F}</author>
    <author>tc={CBE3C88C-076C-4316-9FBB-2040682FBE9A}</author>
    <author>tc={DF7ED01B-ABA5-4896-A2AE-1BAE0C7564C0}</author>
    <author>tc={4E5FF715-4DC5-4E78-937E-A70599B35BD9}</author>
    <author>tc={8E06D14B-C0AD-4CD6-939F-94FF28832AF8}</author>
    <author>tc={B8E5A2E9-79A5-4E3F-8149-70F49B6D6E27}</author>
    <author>tc={E7F4DFC2-765A-4AD0-A97E-AF7C59F1359C}</author>
    <author>tc={EFA686FE-2A84-4849-8BBA-62B712E075C8}</author>
    <author>tc={BA162553-889A-4297-9B5C-E1A03E2CF8E6}</author>
    <author>tc={5A43A508-B432-4579-981E-8884C6AF0489}</author>
    <author>tc={DAD47FCB-6FDA-42E1-B120-3D63D9B05AD4}</author>
    <author>tc={88142AEA-43DE-4753-B7A7-BB5A43C07E24}</author>
    <author>tc={60596C12-953C-4B57-961A-EFED3FCC9C12}</author>
    <author>tc={213D1B8F-7903-42D1-A1F6-283882CA2A50}</author>
    <author>tc={D1ABA7A6-FC48-48AF-BBDE-752F9C2D2E3E}</author>
    <author>tc={85B96B92-9D6E-404F-94B5-BCB7E0999ECB}</author>
    <author>tc={9BC4B267-80CA-40F1-A82A-7E24D47DFE8D}</author>
    <author>tc={2D44458C-0C6A-4B2B-BBFE-D1A6817B72A3}</author>
    <author>tc={20429124-D54B-40F0-A1B6-1BC24685A728}</author>
    <author>tc={F676850C-FEFB-4C24-8C97-96F46183E9FF}</author>
    <author>tc={150720D8-A7B3-4DD7-B4DD-41CEB5C5E66C}</author>
    <author>tc={A60E7133-EA72-4B4C-B869-49F0C09E4DBC}</author>
    <author>tc={C315B369-BAB8-4051-93E8-F6907EC6E2DF}</author>
    <author>tc={052FE103-0FCF-401D-9E4C-EEE08DB6F9FD}</author>
    <author>tc={4317197F-C41A-4FEF-B385-C388C4899E33}</author>
    <author>tc={17988A63-AAFF-4FBE-B2A2-6594FCE59DF6}</author>
    <author>tc={A5535360-B3EB-4470-88A9-6ADCF340DA4F}</author>
    <author>tc={002DA28E-98C9-48DC-A2DC-D97FC5A4DB4E}</author>
    <author>tc={E98705F1-41A4-4F53-88AB-1463D4E19766}</author>
    <author>tc={B5A7D9B8-70CC-4003-870D-D26C416EB422}</author>
    <author>tc={705C6A2C-6C80-4683-A42F-F6F8810C1CB5}</author>
    <author>tc={423CFB0D-0370-431E-9E05-AE470C0A654C}</author>
    <author>tc={B71161A7-42D3-472A-86EF-A2F10B65BE1B}</author>
    <author>tc={568D6087-C41B-4A87-89E3-B871A8981713}</author>
    <author>tc={E645CFF2-8852-4FF2-AF4C-D56D83098F4F}</author>
    <author>tc={34EAF3B5-DDFB-4DB6-A799-821956CF6EEA}</author>
    <author>tc={49C826DF-3CA7-46DF-B587-EC6980A132E9}</author>
    <author>tc={8D4765AE-8DF9-4703-87B7-2AAF7A3F2428}</author>
    <author>tc={557072D1-CE01-4E03-A157-0B275F4E52F2}</author>
    <author>tc={0458710C-C574-4C58-A456-D80DA33E78DC}</author>
    <author>tc={D6347AEF-3453-403E-AA9B-1377A7C63B45}</author>
    <author>tc={F1494888-F62C-4685-92D9-E1512E8531B6}</author>
    <author>tc={D1E7DC37-2BF1-4541-A68D-89E095CC6BB0}</author>
    <author>tc={1C861C39-DF31-4FF9-A4B7-F8018DB16145}</author>
    <author>tc={BAAD878C-A47C-474C-BF15-73F70AD42DC5}</author>
    <author>tc={21ACA440-B692-4043-9DE2-09D2BA8EBD32}</author>
    <author>tc={E7742FCB-0019-4028-B1A9-A372679BD53D}</author>
    <author>tc={66E19E22-BDA7-46DE-A444-021F5D7D9ADF}</author>
    <author>tc={C7EB5800-8C5D-4FBA-BD6D-A7AD524964A7}</author>
    <author>tc={D90F0DF1-13E3-4A10-947B-298F179837FC}</author>
    <author>tc={A379CE2F-1F7C-4EAC-860E-7122F41A1C67}</author>
    <author>tc={CC82BC52-0811-4DE3-A000-EB7112E34A26}</author>
    <author>tc={1D04F58A-AE47-4E0A-8506-35E1B128A88B}</author>
    <author>tc={13738CB3-E948-46FB-9C31-3E3533E085E9}</author>
    <author>tc={DA213232-F92C-4CA1-B090-3DEA7955E304}</author>
    <author>tc={1D4C3CD1-562C-416C-BAD5-41386C0D339A}</author>
    <author>tc={910D4A9A-A8B4-4B00-A925-3E812E8EB82A}</author>
    <author>tc={96274FFA-A157-47A9-979E-132BCBD63A3A}</author>
    <author>tc={33372BAF-F028-4A99-9D41-A8D40FD282A3}</author>
    <author>tc={5098787D-C909-4E0B-9F09-64DE8E0C2589}</author>
    <author>tc={BC992BA2-58F5-4E3B-AF2A-1ABF3F627533}</author>
    <author>tc={4CC28205-8CE2-4D28-AEC8-1CFECC2E6C21}</author>
    <author>tc={388FFE7F-8CA2-4708-8205-41353E48CE8D}</author>
    <author>tc={89408810-E876-409A-AC2B-7253303310A6}</author>
    <author>tc={246A878D-F877-432F-B1C4-C8FDB3873957}</author>
    <author>tc={BB8E8FC6-893F-4FDD-97B4-2F980026BFCE}</author>
    <author>tc={0AE29EEB-6B26-472F-B1BB-2ABA74281E3A}</author>
    <author>tc={EE7A9DD9-9125-47AE-AD63-97D62FA4FB41}</author>
    <author>tc={9F6A1704-DCAA-4BDC-B8FA-1B4B9E1ADC07}</author>
    <author>tc={33A76B2D-2F8A-4A8D-BA7E-77AE668A548B}</author>
    <author>tc={ADAEDCCE-A795-42C0-804A-011249A714E7}</author>
    <author>tc={9D377F25-E7BB-4256-8EB7-405E19F6F03C}</author>
    <author>tc={76EE5A90-6FBD-46A4-83F1-446CE02C9254}</author>
    <author>tc={DFCA3E43-8616-4108-80FC-2E449BAC58D1}</author>
    <author>tc={57B50E1C-84DA-4CA8-A4F4-4BC653F4E0D2}</author>
    <author>tc={F79030E8-2F27-4274-AE20-0123B48A353A}</author>
    <author>tc={BE68EECE-3348-40D2-BC76-AA61DCB164F4}</author>
    <author>tc={86655917-AA42-46C3-9355-C3C850B811F3}</author>
    <author>tc={17188B97-312C-4223-AB74-93396AA09621}</author>
    <author>tc={54522B89-B6C6-4080-89CA-0D7671A6EEDD}</author>
    <author>tc={F0C2C463-9530-40AC-9C71-988A5646E099}</author>
    <author>tc={57B22603-CD67-4901-959D-DCE0F6528561}</author>
    <author>tc={491FFC9E-C398-4930-9EEC-0EE8D85BD64C}</author>
    <author>tc={72178F64-B8FD-4EE6-BF59-5848685B6657}</author>
    <author>tc={8A2E38B2-E9AA-4FDF-81DB-794547D39D85}</author>
    <author>tc={5F85F644-8140-4F6D-B123-22BAA167E454}</author>
    <author>tc={4D542A37-7AE2-4275-AB6C-E6528F41184C}</author>
    <author>tc={7C912981-F6B8-4543-80AF-096ECE76813D}</author>
    <author>tc={B55AD417-E2FC-451D-B939-921A214F744F}</author>
    <author>tc={E0B03691-4474-4438-B175-5C882A57476F}</author>
    <author>tc={EC825739-802F-4B28-8ED8-98A3EA171830}</author>
    <author>tc={A561049D-2868-4020-962F-15AD102C1A03}</author>
    <author>tc={6207B5A8-7319-4DD0-B2A5-7E481BEFCE23}</author>
    <author>tc={7FD300A4-A6EA-40EF-965B-DA80238953D5}</author>
    <author>tc={A6EA4FE4-E4F7-4DFA-8398-8841DC60DFD5}</author>
    <author>tc={A7877285-7D9C-4EBC-B331-EDECCD0DD443}</author>
    <author>tc={8ABDA2D6-E123-4B6F-816C-AD721C37AB2E}</author>
    <author>tc={CE3441FF-3A11-440C-9C3B-0D0A20AABBF1}</author>
    <author>tc={DC491B58-1129-4BC8-A1C0-1BB81B97502A}</author>
    <author>tc={53FDFF63-B7A9-4EAD-BCDD-605B0E552785}</author>
    <author>tc={51906391-C256-4D8F-A864-63515D769D02}</author>
    <author>tc={C98E62AD-4DBB-4EC1-AD30-C0BD3C779047}</author>
    <author>tc={CCDFA39C-0BEF-487F-9FCA-C07F10A6A629}</author>
    <author>tc={196AD2C9-33B5-44AB-B879-9C61E646BADF}</author>
    <author>tc={DDDFE32E-4798-4C6C-ADC2-1ACA0FD631A1}</author>
    <author>tc={ABE333F9-52B4-49FE-8F6F-03A65FFD7B76}</author>
    <author>tc={36105295-67F4-453D-A9C9-E4CE92DD116E}</author>
    <author>tc={B2E604E2-FFD9-4351-9237-40D492EEB389}</author>
    <author>tc={97BE9621-0B0A-487F-95DB-140F284C8063}</author>
    <author>tc={7AC425B4-FCEF-46FF-A5B2-7CA6B51F36A4}</author>
    <author>tc={F099DCB5-7C0B-4DB5-85B3-E957D3499404}</author>
    <author>tc={4616636F-B2E6-4F20-BFF1-F63555ED02F0}</author>
    <author>tc={3E7F1964-80B8-47AF-8629-E26A9141CD90}</author>
    <author>tc={F69CBD29-0511-45E1-A3D1-28186799EB63}</author>
    <author>tc={1098BFFF-BEDB-4E37-A9E3-F016FDD1E9A4}</author>
    <author>tc={FAA2A452-38D4-4331-94AF-B0672BC7CFF0}</author>
    <author>tc={37309807-889F-4453-B381-59FBCD18E9D3}</author>
    <author>tc={9759D971-5639-4DCA-9A31-08FA747D6DA5}</author>
    <author>tc={F8379491-1938-44D2-8370-FEC4AC24BB92}</author>
    <author>tc={7AB5FE00-2111-412D-88D9-F2694B6CE7AC}</author>
    <author>tc={55FCC465-CDCC-4312-BCDC-7836984A4382}</author>
    <author>tc={6C6A1499-FBCA-40B6-8EED-81879D487358}</author>
    <author>tc={15433B75-72DA-4C42-A4FF-9C0AB4BA2468}</author>
    <author>tc={B09E4E24-2884-4811-90AD-2271CCEB72B7}</author>
    <author>tc={876C2417-5D3D-4263-B819-28200D1405C8}</author>
    <author>tc={29FB69F7-9BEC-40D4-9F5C-1252328430F8}</author>
    <author>tc={BBA1529C-E7CF-4902-A456-DC7F4D9F9FDA}</author>
    <author>tc={8C598608-A57C-4514-BEB2-20E16B869CBD}</author>
    <author>tc={799922EB-7F9C-46AE-9BBF-8CDD6ED9AAD1}</author>
    <author>tc={9206FA7C-2C60-405A-B862-AF4B3B2D59EC}</author>
    <author>tc={82AB769A-C147-41DA-8D6B-EFABA6304C66}</author>
    <author>tc={744E6E52-6A5A-4213-B412-FEE5E459A79F}</author>
    <author>tc={BAA3F184-2262-481B-878E-9994DC79912E}</author>
    <author>tc={5CCA5AF3-25C8-42D7-8A65-CE807EB43C6C}</author>
    <author>tc={19FD7256-C95A-4FCC-91E6-9E662CCE6DEA}</author>
    <author>tc={67F881DE-7CF4-4F3F-8A70-8B3202B1CF52}</author>
    <author>tc={71F612AB-5EBC-4940-A536-250BB7DCA2DB}</author>
    <author>tc={370AC846-67D3-434C-84F9-6054F19860F6}</author>
  </authors>
  <commentList>
    <comment ref="E17" authorId="0" shapeId="0" xr:uid="{9E539B06-D2DC-4E88-B5EE-60B1F30DFE31}">
      <text>
        <t>[Threaded comment]
Your version of Excel allows you to read this threaded comment; however, any edits to it will get removed if the file is opened in a newer version of Excel. Learn more: https://go.microsoft.com/fwlink/?linkid=870924
Comment:
    Equation 9</t>
      </text>
    </comment>
    <comment ref="E19" authorId="1" shapeId="0" xr:uid="{85F907FD-B890-4455-9F9C-082F12569F6B}">
      <text>
        <t>[Threaded comment]
Your version of Excel allows you to read this threaded comment; however, any edits to it will get removed if the file is opened in a newer version of Excel. Learn more: https://go.microsoft.com/fwlink/?linkid=870924
Comment:
    Equation 10</t>
      </text>
    </comment>
    <comment ref="E20" authorId="2" shapeId="0" xr:uid="{6CCB6BCA-4BA7-4A8F-8FE8-2D03DC07654E}">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21" authorId="3" shapeId="0" xr:uid="{14FBDD7B-0D12-4D65-B711-AC2F18E52AD9}">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22" authorId="4" shapeId="0" xr:uid="{C5E566FC-CC04-446D-A9E1-58518DF3CD37}">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23" authorId="5" shapeId="0" xr:uid="{B32E5202-54BC-4F7C-8552-0DCC39605744}">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4" authorId="6" shapeId="0" xr:uid="{FDC47A8C-EA71-4E23-9B44-D606FB1A6E8F}">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6" authorId="7" shapeId="0" xr:uid="{5528C25A-89CF-4471-9D9E-D20EB99AFF43}">
      <text>
        <t>[Threaded comment]
Your version of Excel allows you to read this threaded comment; however, any edits to it will get removed if the file is opened in a newer version of Excel. Learn more: https://go.microsoft.com/fwlink/?linkid=870924
Comment:
    Equation 3</t>
      </text>
    </comment>
    <comment ref="E27" authorId="8" shapeId="0" xr:uid="{C40A7647-CAAF-4EF5-9100-7B24A085C01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8" authorId="9" shapeId="0" xr:uid="{065C5E4C-B57D-45F6-9C84-05AF760A330A}">
      <text>
        <t>[Threaded comment]
Your version of Excel allows you to read this threaded comment; however, any edits to it will get removed if the file is opened in a newer version of Excel. Learn more: https://go.microsoft.com/fwlink/?linkid=870924
Comment:
    Equation 4</t>
      </text>
    </comment>
    <comment ref="E29" authorId="10" shapeId="0" xr:uid="{568CEB30-9E33-4C2F-B148-91C5448A6B03}">
      <text>
        <t>[Threaded comment]
Your version of Excel allows you to read this threaded comment; however, any edits to it will get removed if the file is opened in a newer version of Excel. Learn more: https://go.microsoft.com/fwlink/?linkid=870924
Comment:
    Equation 5</t>
      </text>
    </comment>
    <comment ref="E30" authorId="11" shapeId="0" xr:uid="{F36BB4E5-4FFF-47B0-BA9B-E04020D299B2}">
      <text>
        <t>[Threaded comment]
Your version of Excel allows you to read this threaded comment; however, any edits to it will get removed if the file is opened in a newer version of Excel. Learn more: https://go.microsoft.com/fwlink/?linkid=870924
Comment:
    A for equation 4</t>
      </text>
    </comment>
    <comment ref="E31" authorId="12" shapeId="0" xr:uid="{9F380A23-E5D0-4232-B94C-8C965D8DAC89}">
      <text>
        <t>[Threaded comment]
Your version of Excel allows you to read this threaded comment; however, any edits to it will get removed if the file is opened in a newer version of Excel. Learn more: https://go.microsoft.com/fwlink/?linkid=870924
Comment:
    Equation 6</t>
      </text>
    </comment>
    <comment ref="E32" authorId="13" shapeId="0" xr:uid="{11D7D33E-ED0A-49D7-BF26-223FECE13231}">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4" authorId="14" shapeId="0" xr:uid="{53A0F9EA-A06A-467F-939A-D796C6192E4B}">
      <text>
        <t>[Threaded comment]
Your version of Excel allows you to read this threaded comment; however, any edits to it will get removed if the file is opened in a newer version of Excel. Learn more: https://go.microsoft.com/fwlink/?linkid=870924
Comment:
    Equation 7</t>
      </text>
    </comment>
    <comment ref="E35" authorId="15" shapeId="0" xr:uid="{640242E9-8C7C-47AF-A168-15CF5556B6A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6" authorId="16" shapeId="0" xr:uid="{B74F99E3-2B8E-4759-BC98-5E50D623B489}">
      <text>
        <t>[Threaded comment]
Your version of Excel allows you to read this threaded comment; however, any edits to it will get removed if the file is opened in a newer version of Excel. Learn more: https://go.microsoft.com/fwlink/?linkid=870924
Comment:
    Equation 8</t>
      </text>
    </comment>
    <comment ref="E37" authorId="17" shapeId="0" xr:uid="{37C9EE2B-29F7-464B-A129-34ABBCC54870}">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9" authorId="18" shapeId="0" xr:uid="{4F9D267A-B1A5-4FD9-837C-F959E3D524CF}">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41" authorId="19" shapeId="0" xr:uid="{FF3B4F4D-660D-4971-AD54-3102E62D8D28}">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42" authorId="20" shapeId="0" xr:uid="{E3A8452F-3D67-4B27-8C72-C385DD36440C}">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43" authorId="21" shapeId="0" xr:uid="{6E252954-91FB-45D4-8EF1-75EB298D596F}">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4" authorId="22" shapeId="0" xr:uid="{30598A38-F6F1-47C8-8797-F7688CAEB27F}">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5" authorId="23" shapeId="0" xr:uid="{CBE3C88C-076C-4316-9FBB-2040682FBE9A}">
      <text>
        <t>[Threaded comment]
Your version of Excel allows you to read this threaded comment; however, any edits to it will get removed if the file is opened in a newer version of Excel. Learn more: https://go.microsoft.com/fwlink/?linkid=870924
Comment:
    Equation 2</t>
      </text>
    </comment>
    <comment ref="E46" authorId="24" shapeId="0" xr:uid="{DF7ED01B-ABA5-4896-A2AE-1BAE0C7564C0}">
      <text>
        <t>[Threaded comment]
Your version of Excel allows you to read this threaded comment; however, any edits to it will get removed if the file is opened in a newer version of Excel. Learn more: https://go.microsoft.com/fwlink/?linkid=870924
Comment:
    Equation 1</t>
      </text>
    </comment>
    <comment ref="E47" authorId="25" shapeId="0" xr:uid="{4E5FF715-4DC5-4E78-937E-A70599B35BD9}">
      <text>
        <t>[Threaded comment]
Your version of Excel allows you to read this threaded comment; however, any edits to it will get removed if the file is opened in a newer version of Excel. Learn more: https://go.microsoft.com/fwlink/?linkid=870924
Comment:
    Equation 2</t>
      </text>
    </comment>
    <comment ref="E49" authorId="26" shapeId="0" xr:uid="{8E06D14B-C0AD-4CD6-939F-94FF28832AF8}">
      <text>
        <t>[Threaded comment]
Your version of Excel allows you to read this threaded comment; however, any edits to it will get removed if the file is opened in a newer version of Excel. Learn more: https://go.microsoft.com/fwlink/?linkid=870924
Comment:
    Equation 11</t>
      </text>
    </comment>
    <comment ref="E50" authorId="27" shapeId="0" xr:uid="{B8E5A2E9-79A5-4E3F-8149-70F49B6D6E27}">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1" authorId="28" shapeId="0" xr:uid="{E7F4DFC2-765A-4AD0-A97E-AF7C59F1359C}">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2" authorId="29" shapeId="0" xr:uid="{EFA686FE-2A84-4849-8BBA-62B712E075C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6" authorId="30" shapeId="0" xr:uid="{BA162553-889A-4297-9B5C-E1A03E2CF8E6}">
      <text>
        <t>[Threaded comment]
Your version of Excel allows you to read this threaded comment; however, any edits to it will get removed if the file is opened in a newer version of Excel. Learn more: https://go.microsoft.com/fwlink/?linkid=870924
Comment:
    Equation 22</t>
      </text>
    </comment>
    <comment ref="E57" authorId="31" shapeId="0" xr:uid="{5A43A508-B432-4579-981E-8884C6AF0489}">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8" authorId="32" shapeId="0" xr:uid="{DAD47FCB-6FDA-42E1-B120-3D63D9B05AD4}">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9" authorId="33" shapeId="0" xr:uid="{88142AEA-43DE-4753-B7A7-BB5A43C07E24}">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60" authorId="34" shapeId="0" xr:uid="{60596C12-953C-4B57-961A-EFED3FCC9C12}">
      <text>
        <t>[Threaded comment]
Your version of Excel allows you to read this threaded comment; however, any edits to it will get removed if the file is opened in a newer version of Excel. Learn more: https://go.microsoft.com/fwlink/?linkid=870924
Comment:
    Equation 23</t>
      </text>
    </comment>
    <comment ref="E61" authorId="35" shapeId="0" xr:uid="{213D1B8F-7903-42D1-A1F6-283882CA2A50}">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4" authorId="36" shapeId="0" xr:uid="{D1ABA7A6-FC48-48AF-BBDE-752F9C2D2E3E}">
      <text>
        <t>[Threaded comment]
Your version of Excel allows you to read this threaded comment; however, any edits to it will get removed if the file is opened in a newer version of Excel. Learn more: https://go.microsoft.com/fwlink/?linkid=870924
Comment:
    Equation 20</t>
      </text>
    </comment>
    <comment ref="E76" authorId="37" shapeId="0" xr:uid="{85B96B92-9D6E-404F-94B5-BCB7E0999ECB}">
      <text>
        <t>[Threaded comment]
Your version of Excel allows you to read this threaded comment; however, any edits to it will get removed if the file is opened in a newer version of Excel. Learn more: https://go.microsoft.com/fwlink/?linkid=870924
Comment:
    Equation 21</t>
      </text>
    </comment>
    <comment ref="E77" authorId="38" shapeId="0" xr:uid="{9BC4B267-80CA-40F1-A82A-7E24D47DFE8D}">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8" authorId="39" shapeId="0" xr:uid="{2D44458C-0C6A-4B2B-BBFE-D1A6817B72A3}">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9" authorId="40" shapeId="0" xr:uid="{20429124-D54B-40F0-A1B6-1BC24685A728}">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80" authorId="41" shapeId="0" xr:uid="{F676850C-FEFB-4C24-8C97-96F46183E9FF}">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81" authorId="42" shapeId="0" xr:uid="{150720D8-A7B3-4DD7-B4DD-41CEB5C5E66C}">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5" authorId="43" shapeId="0" xr:uid="{A60E7133-EA72-4B4C-B869-49F0C09E4DBC}">
      <text>
        <t>[Threaded comment]
Your version of Excel allows you to read this threaded comment; however, any edits to it will get removed if the file is opened in a newer version of Excel. Learn more: https://go.microsoft.com/fwlink/?linkid=870924
Comment:
    Equation 12</t>
      </text>
    </comment>
    <comment ref="E86" authorId="44" shapeId="0" xr:uid="{C315B369-BAB8-4051-93E8-F6907EC6E2DF}">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7" authorId="45" shapeId="0" xr:uid="{052FE103-0FCF-401D-9E4C-EEE08DB6F9FD}">
      <text>
        <t>[Threaded comment]
Your version of Excel allows you to read this threaded comment; however, any edits to it will get removed if the file is opened in a newer version of Excel. Learn more: https://go.microsoft.com/fwlink/?linkid=870924
Comment:
    Equation 13</t>
      </text>
    </comment>
    <comment ref="E88" authorId="46" shapeId="0" xr:uid="{4317197F-C41A-4FEF-B385-C388C4899E3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9" authorId="47" shapeId="0" xr:uid="{17988A63-AAFF-4FBE-B2A2-6594FCE59DF6}">
      <text>
        <t>[Threaded comment]
Your version of Excel allows you to read this threaded comment; however, any edits to it will get removed if the file is opened in a newer version of Excel. Learn more: https://go.microsoft.com/fwlink/?linkid=870924
Comment:
    Equation 14</t>
      </text>
    </comment>
    <comment ref="E90" authorId="48" shapeId="0" xr:uid="{A5535360-B3EB-4470-88A9-6ADCF340DA4F}">
      <text>
        <t>[Threaded comment]
Your version of Excel allows you to read this threaded comment; however, any edits to it will get removed if the file is opened in a newer version of Excel. Learn more: https://go.microsoft.com/fwlink/?linkid=870924
Comment:
    Equation 15</t>
      </text>
    </comment>
    <comment ref="E91" authorId="49" shapeId="0" xr:uid="{002DA28E-98C9-48DC-A2DC-D97FC5A4DB4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93" authorId="50" shapeId="0" xr:uid="{E98705F1-41A4-4F53-88AB-1463D4E19766}">
      <text>
        <t>[Threaded comment]
Your version of Excel allows you to read this threaded comment; however, any edits to it will get removed if the file is opened in a newer version of Excel. Learn more: https://go.microsoft.com/fwlink/?linkid=870924
Comment:
    Equation 16</t>
      </text>
    </comment>
    <comment ref="E94" authorId="51" shapeId="0" xr:uid="{B5A7D9B8-70CC-4003-870D-D26C416EB422}">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5" authorId="52" shapeId="0" xr:uid="{705C6A2C-6C80-4683-A42F-F6F8810C1CB5}">
      <text>
        <t>[Threaded comment]
Your version of Excel allows you to read this threaded comment; however, any edits to it will get removed if the file is opened in a newer version of Excel. Learn more: https://go.microsoft.com/fwlink/?linkid=870924
Comment:
    Equation 17</t>
      </text>
    </comment>
    <comment ref="E96" authorId="53" shapeId="0" xr:uid="{423CFB0D-0370-431E-9E05-AE470C0A654C}">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8" authorId="54" shapeId="0" xr:uid="{B71161A7-42D3-472A-86EF-A2F10B65BE1B}">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100" authorId="55" shapeId="0" xr:uid="{568D6087-C41B-4A87-89E3-B871A8981713}">
      <text>
        <t>[Threaded comment]
Your version of Excel allows you to read this threaded comment; however, any edits to it will get removed if the file is opened in a newer version of Excel. Learn more: https://go.microsoft.com/fwlink/?linkid=870924
Comment:
    Equation 12?</t>
      </text>
    </comment>
    <comment ref="E101" authorId="56" shapeId="0" xr:uid="{E645CFF2-8852-4FF2-AF4C-D56D83098F4F}">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102" authorId="57" shapeId="0" xr:uid="{34EAF3B5-DDFB-4DB6-A799-821956CF6EEA}">
      <text>
        <t>[Threaded comment]
Your version of Excel allows you to read this threaded comment; however, any edits to it will get removed if the file is opened in a newer version of Excel. Learn more: https://go.microsoft.com/fwlink/?linkid=870924
Comment:
    Equation 13</t>
      </text>
    </comment>
    <comment ref="E103" authorId="58" shapeId="0" xr:uid="{49C826DF-3CA7-46DF-B587-EC6980A132E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4" authorId="59" shapeId="0" xr:uid="{8D4765AE-8DF9-4703-87B7-2AAF7A3F2428}">
      <text>
        <t>[Threaded comment]
Your version of Excel allows you to read this threaded comment; however, any edits to it will get removed if the file is opened in a newer version of Excel. Learn more: https://go.microsoft.com/fwlink/?linkid=870924
Comment:
    Equation 14</t>
      </text>
    </comment>
    <comment ref="E105" authorId="60" shapeId="0" xr:uid="{557072D1-CE01-4E03-A157-0B275F4E52F2}">
      <text>
        <t>[Threaded comment]
Your version of Excel allows you to read this threaded comment; however, any edits to it will get removed if the file is opened in a newer version of Excel. Learn more: https://go.microsoft.com/fwlink/?linkid=870924
Comment:
    Equation 15</t>
      </text>
    </comment>
    <comment ref="E106" authorId="61" shapeId="0" xr:uid="{0458710C-C574-4C58-A456-D80DA33E78DC}">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8" authorId="62" shapeId="0" xr:uid="{D6347AEF-3453-403E-AA9B-1377A7C63B45}">
      <text>
        <t>[Threaded comment]
Your version of Excel allows you to read this threaded comment; however, any edits to it will get removed if the file is opened in a newer version of Excel. Learn more: https://go.microsoft.com/fwlink/?linkid=870924
Comment:
    Equation 18</t>
      </text>
    </comment>
    <comment ref="E109" authorId="63" shapeId="0" xr:uid="{F1494888-F62C-4685-92D9-E1512E8531B6}">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10" authorId="64" shapeId="0" xr:uid="{D1E7DC37-2BF1-4541-A68D-89E095CC6BB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11" authorId="65" shapeId="0" xr:uid="{1C861C39-DF31-4FF9-A4B7-F8018DB16145}">
      <text>
        <t>[Threaded comment]
Your version of Excel allows you to read this threaded comment; however, any edits to it will get removed if the file is opened in a newer version of Excel. Learn more: https://go.microsoft.com/fwlink/?linkid=870924
Comment:
    For equation 18</t>
      </text>
    </comment>
    <comment ref="E112" authorId="66" shapeId="0" xr:uid="{BAAD878C-A47C-474C-BF15-73F70AD42DC5}">
      <text>
        <t>[Threaded comment]
Your version of Excel allows you to read this threaded comment; however, any edits to it will get removed if the file is opened in a newer version of Excel. Learn more: https://go.microsoft.com/fwlink/?linkid=870924
Comment:
    For equation 18</t>
      </text>
    </comment>
    <comment ref="E113" authorId="67" shapeId="0" xr:uid="{21ACA440-B692-4043-9DE2-09D2BA8EBD32}">
      <text>
        <t>[Threaded comment]
Your version of Excel allows you to read this threaded comment; however, any edits to it will get removed if the file is opened in a newer version of Excel. Learn more: https://go.microsoft.com/fwlink/?linkid=870924
Comment:
    Equation 19</t>
      </text>
    </comment>
    <comment ref="E114" authorId="68" shapeId="0" xr:uid="{E7742FCB-0019-4028-B1A9-A372679BD53D}">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5" authorId="69" shapeId="0" xr:uid="{66E19E22-BDA7-46DE-A444-021F5D7D9ADF}">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7" authorId="70" shapeId="0" xr:uid="{C7EB5800-8C5D-4FBA-BD6D-A7AD524964A7}">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8" authorId="71" shapeId="0" xr:uid="{D90F0DF1-13E3-4A10-947B-298F179837FC}">
      <text>
        <t>[Threaded comment]
Your version of Excel allows you to read this threaded comment; however, any edits to it will get removed if the file is opened in a newer version of Excel. Learn more: https://go.microsoft.com/fwlink/?linkid=870924
Comment:
    date</t>
      </text>
    </comment>
    <comment ref="E127" authorId="72" shapeId="0" xr:uid="{A379CE2F-1F7C-4EAC-860E-7122F41A1C67}">
      <text>
        <t>[Threaded comment]
Your version of Excel allows you to read this threaded comment; however, any edits to it will get removed if the file is opened in a newer version of Excel. Learn more: https://go.microsoft.com/fwlink/?linkid=870924
Comment:
    Equation 24</t>
      </text>
    </comment>
    <comment ref="E128" authorId="73" shapeId="0" xr:uid="{CC82BC52-0811-4DE3-A000-EB7112E34A26}">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9" authorId="74" shapeId="0" xr:uid="{1D04F58A-AE47-4E0A-8506-35E1B128A88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31" authorId="75" shapeId="0" xr:uid="{13738CB3-E948-46FB-9C31-3E3533E085E9}">
      <text>
        <t>[Threaded comment]
Your version of Excel allows you to read this threaded comment; however, any edits to it will get removed if the file is opened in a newer version of Excel. Learn more: https://go.microsoft.com/fwlink/?linkid=870924
Comment:
    Equation 25</t>
      </text>
    </comment>
    <comment ref="E132" authorId="76" shapeId="0" xr:uid="{DA213232-F92C-4CA1-B090-3DEA7955E304}">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33" authorId="77" shapeId="0" xr:uid="{1D4C3CD1-562C-416C-BAD5-41386C0D339A}">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4" authorId="78" shapeId="0" xr:uid="{910D4A9A-A8B4-4B00-A925-3E812E8EB82A}">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6" authorId="79" shapeId="0" xr:uid="{96274FFA-A157-47A9-979E-132BCBD63A3A}">
      <text>
        <t>[Threaded comment]
Your version of Excel allows you to read this threaded comment; however, any edits to it will get removed if the file is opened in a newer version of Excel. Learn more: https://go.microsoft.com/fwlink/?linkid=870924
Comment:
    Equation 26</t>
      </text>
    </comment>
    <comment ref="E137" authorId="80" shapeId="0" xr:uid="{33372BAF-F028-4A99-9D41-A8D40FD282A3}">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8" authorId="81" shapeId="0" xr:uid="{5098787D-C909-4E0B-9F09-64DE8E0C2589}">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40" authorId="82" shapeId="0" xr:uid="{BC992BA2-58F5-4E3B-AF2A-1ABF3F627533}">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41" authorId="83" shapeId="0" xr:uid="{4CC28205-8CE2-4D28-AEC8-1CFECC2E6C21}">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42" authorId="84" shapeId="0" xr:uid="{388FFE7F-8CA2-4708-8205-41353E48CE8D}">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43" authorId="85" shapeId="0" xr:uid="{89408810-E876-409A-AC2B-7253303310A6}">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4" authorId="86" shapeId="0" xr:uid="{246A878D-F877-432F-B1C4-C8FDB3873957}">
      <text>
        <t>[Threaded comment]
Your version of Excel allows you to read this threaded comment; however, any edits to it will get removed if the file is opened in a newer version of Excel. Learn more: https://go.microsoft.com/fwlink/?linkid=870924
Comment:
    Equation 27</t>
      </text>
    </comment>
    <comment ref="E155" authorId="87" shapeId="0" xr:uid="{BB8E8FC6-893F-4FDD-97B4-2F980026BFCE}">
      <text>
        <t>[Threaded comment]
Your version of Excel allows you to read this threaded comment; however, any edits to it will get removed if the file is opened in a newer version of Excel. Learn more: https://go.microsoft.com/fwlink/?linkid=870924
Comment:
    Equation 3</t>
      </text>
    </comment>
    <comment ref="E156" authorId="88" shapeId="0" xr:uid="{0AE29EEB-6B26-472F-B1BB-2ABA74281E3A}">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7" authorId="89" shapeId="0" xr:uid="{EE7A9DD9-9125-47AE-AD63-97D62FA4FB41}">
      <text>
        <t>[Threaded comment]
Your version of Excel allows you to read this threaded comment; however, any edits to it will get removed if the file is opened in a newer version of Excel. Learn more: https://go.microsoft.com/fwlink/?linkid=870924
Comment:
    Equation 4</t>
      </text>
    </comment>
    <comment ref="E158" authorId="90" shapeId="0" xr:uid="{9F6A1704-DCAA-4BDC-B8FA-1B4B9E1ADC07}">
      <text>
        <t>[Threaded comment]
Your version of Excel allows you to read this threaded comment; however, any edits to it will get removed if the file is opened in a newer version of Excel. Learn more: https://go.microsoft.com/fwlink/?linkid=870924
Comment:
    Equation 5</t>
      </text>
    </comment>
    <comment ref="E159" authorId="91" shapeId="0" xr:uid="{33A76B2D-2F8A-4A8D-BA7E-77AE668A548B}">
      <text>
        <t>[Threaded comment]
Your version of Excel allows you to read this threaded comment; however, any edits to it will get removed if the file is opened in a newer version of Excel. Learn more: https://go.microsoft.com/fwlink/?linkid=870924
Comment:
    A for equation 4</t>
      </text>
    </comment>
    <comment ref="E160" authorId="92" shapeId="0" xr:uid="{ADAEDCCE-A795-42C0-804A-011249A714E7}">
      <text>
        <t>[Threaded comment]
Your version of Excel allows you to read this threaded comment; however, any edits to it will get removed if the file is opened in a newer version of Excel. Learn more: https://go.microsoft.com/fwlink/?linkid=870924
Comment:
    Equation 6</t>
      </text>
    </comment>
    <comment ref="E161" authorId="93" shapeId="0" xr:uid="{9D377F25-E7BB-4256-8EB7-405E19F6F03C}">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63" authorId="94" shapeId="0" xr:uid="{76EE5A90-6FBD-46A4-83F1-446CE02C9254}">
      <text>
        <t>[Threaded comment]
Your version of Excel allows you to read this threaded comment; however, any edits to it will get removed if the file is opened in a newer version of Excel. Learn more: https://go.microsoft.com/fwlink/?linkid=870924
Comment:
    Equation 7</t>
      </text>
    </comment>
    <comment ref="E164" authorId="95" shapeId="0" xr:uid="{DFCA3E43-8616-4108-80FC-2E449BAC58D1}">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5" authorId="96" shapeId="0" xr:uid="{57B50E1C-84DA-4CA8-A4F4-4BC653F4E0D2}">
      <text>
        <t>[Threaded comment]
Your version of Excel allows you to read this threaded comment; however, any edits to it will get removed if the file is opened in a newer version of Excel. Learn more: https://go.microsoft.com/fwlink/?linkid=870924
Comment:
    Equation 8</t>
      </text>
    </comment>
    <comment ref="E166" authorId="97" shapeId="0" xr:uid="{F79030E8-2F27-4274-AE20-0123B48A353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8" authorId="98" shapeId="0" xr:uid="{BE68EECE-3348-40D2-BC76-AA61DCB164F4}">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70" authorId="99" shapeId="0" xr:uid="{86655917-AA42-46C3-9355-C3C850B811F3}">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71" authorId="100" shapeId="0" xr:uid="{17188B97-312C-4223-AB74-93396AA09621}">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72" authorId="101" shapeId="0" xr:uid="{54522B89-B6C6-4080-89CA-0D7671A6EEDD}">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73" authorId="102" shapeId="0" xr:uid="{F0C2C463-9530-40AC-9C71-988A5646E09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4" authorId="103" shapeId="0" xr:uid="{57B22603-CD67-4901-959D-DCE0F6528561}">
      <text>
        <t>[Threaded comment]
Your version of Excel allows you to read this threaded comment; however, any edits to it will get removed if the file is opened in a newer version of Excel. Learn more: https://go.microsoft.com/fwlink/?linkid=870924
Comment:
    Equation 2</t>
      </text>
    </comment>
    <comment ref="E175" authorId="104" shapeId="0" xr:uid="{491FFC9E-C398-4930-9EEC-0EE8D85BD64C}">
      <text>
        <t>[Threaded comment]
Your version of Excel allows you to read this threaded comment; however, any edits to it will get removed if the file is opened in a newer version of Excel. Learn more: https://go.microsoft.com/fwlink/?linkid=870924
Comment:
    Equation 1</t>
      </text>
    </comment>
    <comment ref="E176" authorId="105" shapeId="0" xr:uid="{72178F64-B8FD-4EE6-BF59-5848685B6657}">
      <text>
        <t>[Threaded comment]
Your version of Excel allows you to read this threaded comment; however, any edits to it will get removed if the file is opened in a newer version of Excel. Learn more: https://go.microsoft.com/fwlink/?linkid=870924
Comment:
    Equation 2</t>
      </text>
    </comment>
    <comment ref="E178" authorId="106" shapeId="0" xr:uid="{8A2E38B2-E9AA-4FDF-81DB-794547D39D85}">
      <text>
        <t>[Threaded comment]
Your version of Excel allows you to read this threaded comment; however, any edits to it will get removed if the file is opened in a newer version of Excel. Learn more: https://go.microsoft.com/fwlink/?linkid=870924
Comment:
    Equation 11</t>
      </text>
    </comment>
    <comment ref="E179" authorId="107" shapeId="0" xr:uid="{5F85F644-8140-4F6D-B123-22BAA167E454}">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80" authorId="108" shapeId="0" xr:uid="{4D542A37-7AE2-4275-AB6C-E6528F41184C}">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81" authorId="109" shapeId="0" xr:uid="{7C912981-F6B8-4543-80AF-096ECE76813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5" authorId="110" shapeId="0" xr:uid="{B55AD417-E2FC-451D-B939-921A214F744F}">
      <text>
        <t>[Threaded comment]
Your version of Excel allows you to read this threaded comment; however, any edits to it will get removed if the file is opened in a newer version of Excel. Learn more: https://go.microsoft.com/fwlink/?linkid=870924
Comment:
    Equation 22</t>
      </text>
    </comment>
    <comment ref="E186" authorId="111" shapeId="0" xr:uid="{E0B03691-4474-4438-B175-5C882A57476F}">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7" authorId="112" shapeId="0" xr:uid="{EC825739-802F-4B28-8ED8-98A3EA171830}">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8" authorId="113" shapeId="0" xr:uid="{A561049D-2868-4020-962F-15AD102C1A03}">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9" authorId="114" shapeId="0" xr:uid="{6207B5A8-7319-4DD0-B2A5-7E481BEFCE23}">
      <text>
        <t>[Threaded comment]
Your version of Excel allows you to read this threaded comment; however, any edits to it will get removed if the file is opened in a newer version of Excel. Learn more: https://go.microsoft.com/fwlink/?linkid=870924
Comment:
    Equation 23</t>
      </text>
    </comment>
    <comment ref="E190" authorId="115" shapeId="0" xr:uid="{7FD300A4-A6EA-40EF-965B-DA80238953D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5" authorId="116" shapeId="0" xr:uid="{A6EA4FE4-E4F7-4DFA-8398-8841DC60DFD5}">
      <text>
        <t>[Threaded comment]
Your version of Excel allows you to read this threaded comment; however, any edits to it will get removed if the file is opened in a newer version of Excel. Learn more: https://go.microsoft.com/fwlink/?linkid=870924
Comment:
    Equation 12</t>
      </text>
    </comment>
    <comment ref="E206" authorId="117" shapeId="0" xr:uid="{A7877285-7D9C-4EBC-B331-EDECCD0DD44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7" authorId="118" shapeId="0" xr:uid="{8ABDA2D6-E123-4B6F-816C-AD721C37AB2E}">
      <text>
        <t>[Threaded comment]
Your version of Excel allows you to read this threaded comment; however, any edits to it will get removed if the file is opened in a newer version of Excel. Learn more: https://go.microsoft.com/fwlink/?linkid=870924
Comment:
    Equation 13</t>
      </text>
    </comment>
    <comment ref="E208" authorId="119" shapeId="0" xr:uid="{CE3441FF-3A11-440C-9C3B-0D0A20AABBF1}">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9" authorId="120" shapeId="0" xr:uid="{DC491B58-1129-4BC8-A1C0-1BB81B97502A}">
      <text>
        <t>[Threaded comment]
Your version of Excel allows you to read this threaded comment; however, any edits to it will get removed if the file is opened in a newer version of Excel. Learn more: https://go.microsoft.com/fwlink/?linkid=870924
Comment:
    Equation 14</t>
      </text>
    </comment>
    <comment ref="E210" authorId="121" shapeId="0" xr:uid="{53FDFF63-B7A9-4EAD-BCDD-605B0E552785}">
      <text>
        <t>[Threaded comment]
Your version of Excel allows you to read this threaded comment; however, any edits to it will get removed if the file is opened in a newer version of Excel. Learn more: https://go.microsoft.com/fwlink/?linkid=870924
Comment:
    Equation 15</t>
      </text>
    </comment>
    <comment ref="E211" authorId="122" shapeId="0" xr:uid="{51906391-C256-4D8F-A864-63515D769D0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13" authorId="123" shapeId="0" xr:uid="{C98E62AD-4DBB-4EC1-AD30-C0BD3C779047}">
      <text>
        <t>[Threaded comment]
Your version of Excel allows you to read this threaded comment; however, any edits to it will get removed if the file is opened in a newer version of Excel. Learn more: https://go.microsoft.com/fwlink/?linkid=870924
Comment:
    Equation 16</t>
      </text>
    </comment>
    <comment ref="E214" authorId="124" shapeId="0" xr:uid="{CCDFA39C-0BEF-487F-9FCA-C07F10A6A629}">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5" authorId="125" shapeId="0" xr:uid="{196AD2C9-33B5-44AB-B879-9C61E646BADF}">
      <text>
        <t>[Threaded comment]
Your version of Excel allows you to read this threaded comment; however, any edits to it will get removed if the file is opened in a newer version of Excel. Learn more: https://go.microsoft.com/fwlink/?linkid=870924
Comment:
    Equation 17</t>
      </text>
    </comment>
    <comment ref="E216" authorId="126" shapeId="0" xr:uid="{DDDFE32E-4798-4C6C-ADC2-1ACA0FD631A1}">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8" authorId="127" shapeId="0" xr:uid="{ABE333F9-52B4-49FE-8F6F-03A65FFD7B76}">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20" authorId="128" shapeId="0" xr:uid="{36105295-67F4-453D-A9C9-E4CE92DD116E}">
      <text>
        <t>[Threaded comment]
Your version of Excel allows you to read this threaded comment; however, any edits to it will get removed if the file is opened in a newer version of Excel. Learn more: https://go.microsoft.com/fwlink/?linkid=870924
Comment:
    Equation 12?</t>
      </text>
    </comment>
    <comment ref="E221" authorId="129" shapeId="0" xr:uid="{B2E604E2-FFD9-4351-9237-40D492EEB389}">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22" authorId="130" shapeId="0" xr:uid="{97BE9621-0B0A-487F-95DB-140F284C8063}">
      <text>
        <t>[Threaded comment]
Your version of Excel allows you to read this threaded comment; however, any edits to it will get removed if the file is opened in a newer version of Excel. Learn more: https://go.microsoft.com/fwlink/?linkid=870924
Comment:
    Equation 13</t>
      </text>
    </comment>
    <comment ref="E223" authorId="131" shapeId="0" xr:uid="{7AC425B4-FCEF-46FF-A5B2-7CA6B51F36A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4" authorId="132" shapeId="0" xr:uid="{F099DCB5-7C0B-4DB5-85B3-E957D3499404}">
      <text>
        <t>[Threaded comment]
Your version of Excel allows you to read this threaded comment; however, any edits to it will get removed if the file is opened in a newer version of Excel. Learn more: https://go.microsoft.com/fwlink/?linkid=870924
Comment:
    Equation 14</t>
      </text>
    </comment>
    <comment ref="E225" authorId="133" shapeId="0" xr:uid="{4616636F-B2E6-4F20-BFF1-F63555ED02F0}">
      <text>
        <t>[Threaded comment]
Your version of Excel allows you to read this threaded comment; however, any edits to it will get removed if the file is opened in a newer version of Excel. Learn more: https://go.microsoft.com/fwlink/?linkid=870924
Comment:
    Equation 15</t>
      </text>
    </comment>
    <comment ref="E226" authorId="134" shapeId="0" xr:uid="{3E7F1964-80B8-47AF-8629-E26A9141CD9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8" authorId="135" shapeId="0" xr:uid="{F69CBD29-0511-45E1-A3D1-28186799EB63}">
      <text>
        <t>[Threaded comment]
Your version of Excel allows you to read this threaded comment; however, any edits to it will get removed if the file is opened in a newer version of Excel. Learn more: https://go.microsoft.com/fwlink/?linkid=870924
Comment:
    Equation 18</t>
      </text>
    </comment>
    <comment ref="E229" authorId="136" shapeId="0" xr:uid="{1098BFFF-BEDB-4E37-A9E3-F016FDD1E9A4}">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30" authorId="137" shapeId="0" xr:uid="{FAA2A452-38D4-4331-94AF-B0672BC7CFF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31" authorId="138" shapeId="0" xr:uid="{37309807-889F-4453-B381-59FBCD18E9D3}">
      <text>
        <t>[Threaded comment]
Your version of Excel allows you to read this threaded comment; however, any edits to it will get removed if the file is opened in a newer version of Excel. Learn more: https://go.microsoft.com/fwlink/?linkid=870924
Comment:
    For equation 18</t>
      </text>
    </comment>
    <comment ref="E232" authorId="139" shapeId="0" xr:uid="{9759D971-5639-4DCA-9A31-08FA747D6DA5}">
      <text>
        <t>[Threaded comment]
Your version of Excel allows you to read this threaded comment; however, any edits to it will get removed if the file is opened in a newer version of Excel. Learn more: https://go.microsoft.com/fwlink/?linkid=870924
Comment:
    For equation 18</t>
      </text>
    </comment>
    <comment ref="E233" authorId="140" shapeId="0" xr:uid="{F8379491-1938-44D2-8370-FEC4AC24BB92}">
      <text>
        <t>[Threaded comment]
Your version of Excel allows you to read this threaded comment; however, any edits to it will get removed if the file is opened in a newer version of Excel. Learn more: https://go.microsoft.com/fwlink/?linkid=870924
Comment:
    Equation 19</t>
      </text>
    </comment>
    <comment ref="E234" authorId="141" shapeId="0" xr:uid="{7AB5FE00-2111-412D-88D9-F2694B6CE7AC}">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5" authorId="142" shapeId="0" xr:uid="{55FCC465-CDCC-4312-BCDC-7836984A4382}">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7" authorId="143" shapeId="0" xr:uid="{6C6A1499-FBCA-40B6-8EED-81879D487358}">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8" authorId="144" shapeId="0" xr:uid="{15433B75-72DA-4C42-A4FF-9C0AB4BA2468}">
      <text>
        <t>[Threaded comment]
Your version of Excel allows you to read this threaded comment; however, any edits to it will get removed if the file is opened in a newer version of Excel. Learn more: https://go.microsoft.com/fwlink/?linkid=870924
Comment:
    date</t>
      </text>
    </comment>
    <comment ref="E247" authorId="145" shapeId="0" xr:uid="{B09E4E24-2884-4811-90AD-2271CCEB72B7}">
      <text>
        <t>[Threaded comment]
Your version of Excel allows you to read this threaded comment; however, any edits to it will get removed if the file is opened in a newer version of Excel. Learn more: https://go.microsoft.com/fwlink/?linkid=870924
Comment:
    Equation 24</t>
      </text>
    </comment>
    <comment ref="E248" authorId="146" shapeId="0" xr:uid="{876C2417-5D3D-4263-B819-28200D1405C8}">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9" authorId="147" shapeId="0" xr:uid="{29FB69F7-9BEC-40D4-9F5C-1252328430F8}">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51" authorId="148" shapeId="0" xr:uid="{BBA1529C-E7CF-4902-A456-DC7F4D9F9FDA}">
      <text>
        <t>[Threaded comment]
Your version of Excel allows you to read this threaded comment; however, any edits to it will get removed if the file is opened in a newer version of Excel. Learn more: https://go.microsoft.com/fwlink/?linkid=870924
Comment:
    Equation 25</t>
      </text>
    </comment>
    <comment ref="E252" authorId="149" shapeId="0" xr:uid="{8C598608-A57C-4514-BEB2-20E16B869CBD}">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53" authorId="150" shapeId="0" xr:uid="{799922EB-7F9C-46AE-9BBF-8CDD6ED9AAD1}">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4" authorId="151" shapeId="0" xr:uid="{9206FA7C-2C60-405A-B862-AF4B3B2D59EC}">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6" authorId="152" shapeId="0" xr:uid="{82AB769A-C147-41DA-8D6B-EFABA6304C66}">
      <text>
        <t>[Threaded comment]
Your version of Excel allows you to read this threaded comment; however, any edits to it will get removed if the file is opened in a newer version of Excel. Learn more: https://go.microsoft.com/fwlink/?linkid=870924
Comment:
    Equation 26</t>
      </text>
    </comment>
    <comment ref="E257" authorId="153" shapeId="0" xr:uid="{744E6E52-6A5A-4213-B412-FEE5E459A79F}">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8" authorId="154" shapeId="0" xr:uid="{BAA3F184-2262-481B-878E-9994DC79912E}">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60" authorId="155" shapeId="0" xr:uid="{5CCA5AF3-25C8-42D7-8A65-CE807EB43C6C}">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61" authorId="156" shapeId="0" xr:uid="{19FD7256-C95A-4FCC-91E6-9E662CCE6DEA}">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62" authorId="157" shapeId="0" xr:uid="{67F881DE-7CF4-4F3F-8A70-8B3202B1CF5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63" authorId="158" shapeId="0" xr:uid="{71F612AB-5EBC-4940-A536-250BB7DCA2D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4" authorId="159" shapeId="0" xr:uid="{370AC846-67D3-434C-84F9-6054F19860F6}">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tc={67FF03FA-C130-4D5C-A75F-EB08EA9EE546}</author>
  </authors>
  <commentList>
    <comment ref="E5" authorId="0" shapeId="0" xr:uid="{67FF03FA-C130-4D5C-A75F-EB08EA9EE546}">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tc={EA51461C-68F1-47D8-90FE-DB3301426383}</author>
    <author>tc={25E8D9CD-8DEF-456E-B8F7-2CA7C93EB299}</author>
    <author>tc={CA11E997-FFB3-494A-8A6A-D3D79BE0A70C}</author>
    <author>tc={43D85769-C191-48F0-A742-ECFB17AA872A}</author>
    <author>tc={9A8D9D38-709F-4D7B-9FA9-8F34FF8275A3}</author>
    <author>tc={2F0502D1-5901-4506-9964-844CDD7BD90B}</author>
    <author>tc={24E02E8A-E135-4A9B-83CB-EA8D3E8F8D7D}</author>
  </authors>
  <commentList>
    <comment ref="E5" authorId="0" shapeId="0" xr:uid="{EA51461C-68F1-47D8-90FE-DB3301426383}">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6" authorId="1" shapeId="0" xr:uid="{25E8D9CD-8DEF-456E-B8F7-2CA7C93EB29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7" authorId="2" shapeId="0" xr:uid="{CA11E997-FFB3-494A-8A6A-D3D79BE0A70C}">
      <text>
        <t>[Threaded comment]
Your version of Excel allows you to read this threaded comment; however, any edits to it will get removed if the file is opened in a newer version of Excel. Learn more: https://go.microsoft.com/fwlink/?linkid=870924
Comment:
    u1 for equation 2</t>
      </text>
    </comment>
    <comment ref="E8" authorId="3" shapeId="0" xr:uid="{43D85769-C191-48F0-A742-ECFB17AA872A}">
      <text>
        <t>[Threaded comment]
Your version of Excel allows you to read this threaded comment; however, any edits to it will get removed if the file is opened in a newer version of Excel. Learn more: https://go.microsoft.com/fwlink/?linkid=870924
Comment:
    u2 for equation 2</t>
      </text>
    </comment>
    <comment ref="E9" authorId="4" shapeId="0" xr:uid="{9A8D9D38-709F-4D7B-9FA9-8F34FF8275A3}">
      <text>
        <t>[Threaded comment]
Your version of Excel allows you to read this threaded comment; however, any edits to it will get removed if the file is opened in a newer version of Excel. Learn more: https://go.microsoft.com/fwlink/?linkid=870924
Comment:
    Equation 2</t>
      </text>
    </comment>
    <comment ref="E10" authorId="5" shapeId="0" xr:uid="{2F0502D1-5901-4506-9964-844CDD7BD90B}">
      <text>
        <t>[Threaded comment]
Your version of Excel allows you to read this threaded comment; however, any edits to it will get removed if the file is opened in a newer version of Excel. Learn more: https://go.microsoft.com/fwlink/?linkid=870924
Comment:
    Equation 1</t>
      </text>
    </comment>
    <comment ref="E11" authorId="6" shapeId="0" xr:uid="{24E02E8A-E135-4A9B-83CB-EA8D3E8F8D7D}">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tc={C67D1022-3206-41FC-9504-6B83EC3643C1}</author>
    <author>tc={5E972338-466D-4A85-A3B9-0A3919AE54C3}</author>
    <author>tc={3A389444-1921-42BF-AEA6-4201FBA470FA}</author>
    <author>tc={B7A93122-50C2-41E5-B000-108B62EC0C8F}</author>
  </authors>
  <commentList>
    <comment ref="E5" authorId="0" shapeId="0" xr:uid="{C67D1022-3206-41FC-9504-6B83EC3643C1}">
      <text>
        <t>[Threaded comment]
Your version of Excel allows you to read this threaded comment; however, any edits to it will get removed if the file is opened in a newer version of Excel. Learn more: https://go.microsoft.com/fwlink/?linkid=870924
Comment:
    Equation 11</t>
      </text>
    </comment>
    <comment ref="E6" authorId="1" shapeId="0" xr:uid="{5E972338-466D-4A85-A3B9-0A3919AE54C3}">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7" authorId="2" shapeId="0" xr:uid="{3A389444-1921-42BF-AEA6-4201FBA470FA}">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8" authorId="3" shapeId="0" xr:uid="{B7A93122-50C2-41E5-B000-108B62EC0C8F}">
      <text>
        <t>[Threaded comment]
Your version of Excel allows you to read this threaded comment; however, any edits to it will get removed if the file is opened in a newer version of Excel. Learn more: https://go.microsoft.com/fwlink/?linkid=870924
Comment:
    T for equation 11</t>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tc={F4DCD997-CC3C-41CC-9B8B-907CA05CC928}</author>
    <author>tc={6BDB42B9-2CEE-45B2-BC77-D3A889D0A789}</author>
    <author>tc={8B7FBECF-13E5-4E67-997A-8CA3FC492D5B}</author>
    <author>tc={07BCAF89-5128-44B0-88DC-A3CE33D6D4BD}</author>
    <author>tc={A08DF429-CF8F-4735-91B6-499EAEF745A9}</author>
    <author>tc={546B6A49-A6F7-4419-BD4F-1026E4C01225}</author>
    <author>tc={B8A69B38-7E25-4FEC-96A0-87AE700AD280}</author>
    <author>tc={C2DF1A21-2DB7-4146-8B7A-4EA759DF2739}</author>
    <author>tc={5338F36C-3B37-492C-B924-686F511AD19C}</author>
    <author>tc={DB6A9FC7-2AE3-4BA1-BA89-DCE0EE1E4EBC}</author>
    <author>tc={FE1F8CCE-4DE3-403C-977B-4BA81E021C19}</author>
    <author>tc={88E4865B-39C4-45EB-8636-68640C56047E}</author>
    <author>tc={0A58C090-BC42-4DA5-B947-32633E3BF004}</author>
    <author>tc={A572B326-9FE1-4CAA-BED0-324773D93261}</author>
    <author>tc={8DE4A091-A214-48AC-B5F1-0427C544B87D}</author>
    <author>tc={294C5B2D-899F-480E-83E3-63429163A88D}</author>
    <author>tc={F51A0093-ED02-42E0-A1DD-4EE05530A5D9}</author>
    <author>tc={DC60F2D5-36A5-4D35-AF1C-57F8987606C2}</author>
    <author>tc={03EC65E5-D1FB-49ED-9BB6-4E4FD1AD9340}</author>
    <author>tc={B7C789B5-6DDB-4937-86EF-296CA72028B1}</author>
    <author>tc={7E41F2EE-01F9-4707-9852-383C4F44777A}</author>
    <author>tc={57E8BBF6-2F28-4700-AB62-444F5BE7A8D5}</author>
    <author>tc={1463245D-4D7F-4ADD-860D-14DE286538D6}</author>
    <author>tc={8BE63896-CF57-44DD-B7B6-FE2BB7FF3CCA}</author>
    <author>tc={B014D66F-C7F2-4F47-902B-8EBD2C31D9B2}</author>
    <author>tc={8103FB23-EBC6-4C7D-928A-9721CC5D9481}</author>
    <author>tc={21BC9B8B-99A8-4A8D-9942-08CDD145A987}</author>
    <author>tc={F02323A3-3BB4-4F87-98E6-1C799BCDA045}</author>
    <author>tc={405AA74A-E9D6-4188-8405-1E325FBCE2DF}</author>
    <author>tc={0005FB61-C387-40A3-B770-E583F3B35FEA}</author>
    <author>tc={1FC5B5C5-EA27-4FF5-BA2D-2E00B00D8F99}</author>
    <author>tc={87ED912D-B98D-4077-9CB4-16281CB9832E}</author>
    <author>tc={37090A20-2D17-43E1-81BB-2EC73D05A674}</author>
    <author>tc={61337984-47E8-4EA7-A1BB-3556F9891286}</author>
    <author>tc={F8F837C5-0E47-4E0F-ADF5-696DB6200484}</author>
  </authors>
  <commentList>
    <comment ref="E7" authorId="0" shapeId="0" xr:uid="{F4DCD997-CC3C-41CC-9B8B-907CA05CC928}">
      <text>
        <t>[Threaded comment]
Your version of Excel allows you to read this threaded comment; however, any edits to it will get removed if the file is opened in a newer version of Excel. Learn more: https://go.microsoft.com/fwlink/?linkid=870924
Comment:
    Equation 22</t>
      </text>
    </comment>
    <comment ref="E8" authorId="1" shapeId="0" xr:uid="{6BDB42B9-2CEE-45B2-BC77-D3A889D0A789}">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9" authorId="2" shapeId="0" xr:uid="{8B7FBECF-13E5-4E67-997A-8CA3FC492D5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0" authorId="3" shapeId="0" xr:uid="{07BCAF89-5128-44B0-88DC-A3CE33D6D4BD}">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1" authorId="4" shapeId="0" xr:uid="{A08DF429-CF8F-4735-91B6-499EAEF745A9}">
      <text>
        <t>[Threaded comment]
Your version of Excel allows you to read this threaded comment; however, any edits to it will get removed if the file is opened in a newer version of Excel. Learn more: https://go.microsoft.com/fwlink/?linkid=870924
Comment:
    Equation 23</t>
      </text>
    </comment>
    <comment ref="E12" authorId="5" shapeId="0" xr:uid="{546B6A49-A6F7-4419-BD4F-1026E4C0122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6" authorId="6" shapeId="0" xr:uid="{B8A69B38-7E25-4FEC-96A0-87AE700AD280}">
      <text>
        <t>[Threaded comment]
Your version of Excel allows you to read this threaded comment; however, any edits to it will get removed if the file is opened in a newer version of Excel. Learn more: https://go.microsoft.com/fwlink/?linkid=870924
Comment:
    Equation 12</t>
      </text>
    </comment>
    <comment ref="E27" authorId="7" shapeId="0" xr:uid="{C2DF1A21-2DB7-4146-8B7A-4EA759DF273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8" authorId="8" shapeId="0" xr:uid="{5338F36C-3B37-492C-B924-686F511AD19C}">
      <text>
        <t>[Threaded comment]
Your version of Excel allows you to read this threaded comment; however, any edits to it will get removed if the file is opened in a newer version of Excel. Learn more: https://go.microsoft.com/fwlink/?linkid=870924
Comment:
    Equation 13</t>
      </text>
    </comment>
    <comment ref="E29" authorId="9" shapeId="0" xr:uid="{DB6A9FC7-2AE3-4BA1-BA89-DCE0EE1E4EB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30" authorId="10" shapeId="0" xr:uid="{FE1F8CCE-4DE3-403C-977B-4BA81E021C19}">
      <text>
        <t>[Threaded comment]
Your version of Excel allows you to read this threaded comment; however, any edits to it will get removed if the file is opened in a newer version of Excel. Learn more: https://go.microsoft.com/fwlink/?linkid=870924
Comment:
    Equation 14</t>
      </text>
    </comment>
    <comment ref="E31" authorId="11" shapeId="0" xr:uid="{88E4865B-39C4-45EB-8636-68640C56047E}">
      <text>
        <t>[Threaded comment]
Your version of Excel allows you to read this threaded comment; however, any edits to it will get removed if the file is opened in a newer version of Excel. Learn more: https://go.microsoft.com/fwlink/?linkid=870924
Comment:
    Equation 15</t>
      </text>
    </comment>
    <comment ref="E32" authorId="12" shapeId="0" xr:uid="{0A58C090-BC42-4DA5-B947-32633E3BF00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34" authorId="13" shapeId="0" xr:uid="{A572B326-9FE1-4CAA-BED0-324773D93261}">
      <text>
        <t>[Threaded comment]
Your version of Excel allows you to read this threaded comment; however, any edits to it will get removed if the file is opened in a newer version of Excel. Learn more: https://go.microsoft.com/fwlink/?linkid=870924
Comment:
    Equation 16</t>
      </text>
    </comment>
    <comment ref="E35" authorId="14" shapeId="0" xr:uid="{8DE4A091-A214-48AC-B5F1-0427C544B87D}">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36" authorId="15" shapeId="0" xr:uid="{294C5B2D-899F-480E-83E3-63429163A88D}">
      <text>
        <t>[Threaded comment]
Your version of Excel allows you to read this threaded comment; however, any edits to it will get removed if the file is opened in a newer version of Excel. Learn more: https://go.microsoft.com/fwlink/?linkid=870924
Comment:
    Equation 17</t>
      </text>
    </comment>
    <comment ref="E37" authorId="16" shapeId="0" xr:uid="{F51A0093-ED02-42E0-A1DD-4EE05530A5D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39" authorId="17" shapeId="0" xr:uid="{DC60F2D5-36A5-4D35-AF1C-57F8987606C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41" authorId="18" shapeId="0" xr:uid="{03EC65E5-D1FB-49ED-9BB6-4E4FD1AD9340}">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19" shapeId="0" xr:uid="{B7C789B5-6DDB-4937-86EF-296CA72028B1}">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43" authorId="20" shapeId="0" xr:uid="{7E41F2EE-01F9-4707-9852-383C4F44777A}">
      <text>
        <t>[Threaded comment]
Your version of Excel allows you to read this threaded comment; however, any edits to it will get removed if the file is opened in a newer version of Excel. Learn more: https://go.microsoft.com/fwlink/?linkid=870924
Comment:
    Equation 13</t>
      </text>
    </comment>
    <comment ref="E44" authorId="21" shapeId="0" xr:uid="{57E8BBF6-2F28-4700-AB62-444F5BE7A8D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5" authorId="22" shapeId="0" xr:uid="{1463245D-4D7F-4ADD-860D-14DE286538D6}">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23" shapeId="0" xr:uid="{8BE63896-CF57-44DD-B7B6-FE2BB7FF3CCA}">
      <text>
        <t>[Threaded comment]
Your version of Excel allows you to read this threaded comment; however, any edits to it will get removed if the file is opened in a newer version of Excel. Learn more: https://go.microsoft.com/fwlink/?linkid=870924
Comment:
    Equation 15</t>
      </text>
    </comment>
    <comment ref="E47" authorId="24" shapeId="0" xr:uid="{B014D66F-C7F2-4F47-902B-8EBD2C31D9B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9" authorId="25" shapeId="0" xr:uid="{8103FB23-EBC6-4C7D-928A-9721CC5D9481}">
      <text>
        <t>[Threaded comment]
Your version of Excel allows you to read this threaded comment; however, any edits to it will get removed if the file is opened in a newer version of Excel. Learn more: https://go.microsoft.com/fwlink/?linkid=870924
Comment:
    Equation 18</t>
      </text>
    </comment>
    <comment ref="E50" authorId="26" shapeId="0" xr:uid="{21BC9B8B-99A8-4A8D-9942-08CDD145A987}">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51" authorId="27" shapeId="0" xr:uid="{F02323A3-3BB4-4F87-98E6-1C799BCDA045}">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52" authorId="28" shapeId="0" xr:uid="{405AA74A-E9D6-4188-8405-1E325FBCE2DF}">
      <text>
        <t>[Threaded comment]
Your version of Excel allows you to read this threaded comment; however, any edits to it will get removed if the file is opened in a newer version of Excel. Learn more: https://go.microsoft.com/fwlink/?linkid=870924
Comment:
    For equation 18</t>
      </text>
    </comment>
    <comment ref="E53" authorId="29" shapeId="0" xr:uid="{0005FB61-C387-40A3-B770-E583F3B35FEA}">
      <text>
        <t>[Threaded comment]
Your version of Excel allows you to read this threaded comment; however, any edits to it will get removed if the file is opened in a newer version of Excel. Learn more: https://go.microsoft.com/fwlink/?linkid=870924
Comment:
    For equation 18</t>
      </text>
    </comment>
    <comment ref="E54" authorId="30" shapeId="0" xr:uid="{1FC5B5C5-EA27-4FF5-BA2D-2E00B00D8F99}">
      <text>
        <t>[Threaded comment]
Your version of Excel allows you to read this threaded comment; however, any edits to it will get removed if the file is opened in a newer version of Excel. Learn more: https://go.microsoft.com/fwlink/?linkid=870924
Comment:
    Equation 19</t>
      </text>
    </comment>
    <comment ref="E55" authorId="31" shapeId="0" xr:uid="{87ED912D-B98D-4077-9CB4-16281CB9832E}">
      <text>
        <t>[Threaded comment]
Your version of Excel allows you to read this threaded comment; however, any edits to it will get removed if the file is opened in a newer version of Excel. Learn more: https://go.microsoft.com/fwlink/?linkid=870924
Comment:
    a for equation 19</t>
      </text>
    </comment>
    <comment ref="E56" authorId="32" shapeId="0" xr:uid="{37090A20-2D17-43E1-81BB-2EC73D05A674}">
      <text>
        <t>[Threaded comment]
Your version of Excel allows you to read this threaded comment; however, any edits to it will get removed if the file is opened in a newer version of Excel. Learn more: https://go.microsoft.com/fwlink/?linkid=870924
Comment:
    P for equation 19</t>
      </text>
    </comment>
    <comment ref="E58" authorId="33" shapeId="0" xr:uid="{61337984-47E8-4EA7-A1BB-3556F9891286}">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59" authorId="34" shapeId="0" xr:uid="{F8F837C5-0E47-4E0F-ADF5-696DB6200484}">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tc={7C48DEEC-0E22-42D4-B307-54DBA53DE7F2}</author>
    <author>tc={3314D0E8-D90F-475A-A7F6-F5C511E4B812}</author>
    <author>tc={0E38EA3A-B348-4903-A689-B0EFE10CA06B}</author>
    <author>tc={76646CE7-051C-4156-9D04-B9BBE5C73DB3}</author>
    <author>tc={84D63CA5-4401-45E1-8B30-85D2716636C7}</author>
    <author>tc={7B9B5B48-1787-4886-B0A5-E94FDAFBDD80}</author>
  </authors>
  <commentList>
    <comment ref="E5" authorId="0" shapeId="0" xr:uid="{7C48DEEC-0E22-42D4-B307-54DBA53DE7F2}">
      <text>
        <t>[Threaded comment]
Your version of Excel allows you to read this threaded comment; however, any edits to it will get removed if the file is opened in a newer version of Excel. Learn more: https://go.microsoft.com/fwlink/?linkid=870924
Comment:
    Equation 22</t>
      </text>
    </comment>
    <comment ref="E6" authorId="1" shapeId="0" xr:uid="{3314D0E8-D90F-475A-A7F6-F5C511E4B812}">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7" authorId="2" shapeId="0" xr:uid="{0E38EA3A-B348-4903-A689-B0EFE10CA06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8" authorId="3" shapeId="0" xr:uid="{76646CE7-051C-4156-9D04-B9BBE5C73DB3}">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9" authorId="4" shapeId="0" xr:uid="{84D63CA5-4401-45E1-8B30-85D2716636C7}">
      <text>
        <t>[Threaded comment]
Your version of Excel allows you to read this threaded comment; however, any edits to it will get removed if the file is opened in a newer version of Excel. Learn more: https://go.microsoft.com/fwlink/?linkid=870924
Comment:
    Equation 23</t>
      </text>
    </comment>
    <comment ref="E10" authorId="5" shapeId="0" xr:uid="{7B9B5B48-1787-4886-B0A5-E94FDAFBDD80}">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tc={8F4CB83E-97F0-4874-97AF-800315241973}</author>
    <author>tc={4A3CBDE3-7F71-4562-94F5-36383BAAF579}</author>
    <author>tc={2062AAC6-9F23-4E30-ACF9-B7733B242451}</author>
    <author>tc={44A0BB27-B405-4ACE-AB71-53BE15988335}</author>
    <author>tc={0D6F3121-613E-4C2D-9CCF-195211806E5C}</author>
    <author>tc={36DF2643-EB0B-4701-9CED-8354544B08FB}</author>
    <author>tc={B725CF2F-FC58-412B-8AD2-450C9F4C328D}</author>
    <author>tc={98E412B6-2E53-414F-AAC4-72BAFC2E4404}</author>
    <author>tc={47F4B97E-640C-4815-A6AE-27F462EBC39E}</author>
    <author>tc={7D300E3B-73F5-41B3-AEB7-74AB119F7B2C}</author>
    <author>tc={77C51D64-C762-49F0-8954-57B9C533E5B2}</author>
    <author>tc={F4FF037C-8B52-4AB1-9FBA-338EDF082400}</author>
    <author>tc={47F7F14C-CBC2-4318-A706-A134F124EA7A}</author>
    <author>tc={BDB9297A-7DEF-4EFB-82A5-0F7C10EDEBB4}</author>
    <author>tc={7F13251F-58CA-44DE-9907-9598BBE1CBB2}</author>
    <author>tc={16EA93E0-6131-4700-AA77-907AF10FFADB}</author>
    <author>tc={C4D5604A-A083-41E6-B93F-B24FC1BC064F}</author>
    <author>tc={081F83E9-52B1-4B2E-B028-8207F93A1590}</author>
    <author>tc={26FD91D1-A48C-4E28-86F1-D6E9984F99CB}</author>
    <author>tc={DBD6DAC8-AEA4-4C81-94D4-CBA5FEAF6982}</author>
    <author>tc={778CAB2D-5C82-48AB-B3FB-AA4DB2231DB0}</author>
    <author>tc={0673ACEF-B70A-491F-8B48-CD231C72FAE7}</author>
    <author>tc={5595B0FF-008B-4F39-A633-3CD574DA97B5}</author>
    <author>tc={5E3C106B-2A18-41B4-B5C7-A5A592AE7DAB}</author>
    <author>tc={1311D3DF-E46C-4E3C-903E-573572F3D6D6}</author>
    <author>tc={464E3B09-A6C0-41AF-902B-6E91C8CCA158}</author>
    <author>tc={8A46A7E0-4846-44C8-B883-17D784DE7F8C}</author>
    <author>tc={BAB96B86-14C1-41F5-8444-6D928A63D17D}</author>
    <author>tc={D2570441-7318-4ABE-9ADC-41F6FAF54F7B}</author>
  </authors>
  <commentList>
    <comment ref="E7" authorId="0" shapeId="0" xr:uid="{8F4CB83E-97F0-4874-97AF-800315241973}">
      <text>
        <t>[Threaded comment]
Your version of Excel allows you to read this threaded comment; however, any edits to it will get removed if the file is opened in a newer version of Excel. Learn more: https://go.microsoft.com/fwlink/?linkid=870924
Comment:
    Equation 12</t>
      </text>
    </comment>
    <comment ref="E8" authorId="1" shapeId="0" xr:uid="{4A3CBDE3-7F71-4562-94F5-36383BAAF57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9" authorId="2" shapeId="0" xr:uid="{2062AAC6-9F23-4E30-ACF9-B7733B242451}">
      <text>
        <t>[Threaded comment]
Your version of Excel allows you to read this threaded comment; however, any edits to it will get removed if the file is opened in a newer version of Excel. Learn more: https://go.microsoft.com/fwlink/?linkid=870924
Comment:
    Equation 13</t>
      </text>
    </comment>
    <comment ref="E10" authorId="3" shapeId="0" xr:uid="{44A0BB27-B405-4ACE-AB71-53BE1598833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1" authorId="4" shapeId="0" xr:uid="{0D6F3121-613E-4C2D-9CCF-195211806E5C}">
      <text>
        <t>[Threaded comment]
Your version of Excel allows you to read this threaded comment; however, any edits to it will get removed if the file is opened in a newer version of Excel. Learn more: https://go.microsoft.com/fwlink/?linkid=870924
Comment:
    Equation 14</t>
      </text>
    </comment>
    <comment ref="E12" authorId="5" shapeId="0" xr:uid="{36DF2643-EB0B-4701-9CED-8354544B08FB}">
      <text>
        <t>[Threaded comment]
Your version of Excel allows you to read this threaded comment; however, any edits to it will get removed if the file is opened in a newer version of Excel. Learn more: https://go.microsoft.com/fwlink/?linkid=870924
Comment:
    Equation 15</t>
      </text>
    </comment>
    <comment ref="E13" authorId="6" shapeId="0" xr:uid="{B725CF2F-FC58-412B-8AD2-450C9F4C328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5" authorId="7" shapeId="0" xr:uid="{98E412B6-2E53-414F-AAC4-72BAFC2E4404}">
      <text>
        <t>[Threaded comment]
Your version of Excel allows you to read this threaded comment; however, any edits to it will get removed if the file is opened in a newer version of Excel. Learn more: https://go.microsoft.com/fwlink/?linkid=870924
Comment:
    Equation 16</t>
      </text>
    </comment>
    <comment ref="E16" authorId="8" shapeId="0" xr:uid="{47F4B97E-640C-4815-A6AE-27F462EBC39E}">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17" authorId="9" shapeId="0" xr:uid="{7D300E3B-73F5-41B3-AEB7-74AB119F7B2C}">
      <text>
        <t>[Threaded comment]
Your version of Excel allows you to read this threaded comment; however, any edits to it will get removed if the file is opened in a newer version of Excel. Learn more: https://go.microsoft.com/fwlink/?linkid=870924
Comment:
    Equation 17</t>
      </text>
    </comment>
    <comment ref="E18" authorId="10" shapeId="0" xr:uid="{77C51D64-C762-49F0-8954-57B9C533E5B2}">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0" authorId="11" shapeId="0" xr:uid="{F4FF037C-8B52-4AB1-9FBA-338EDF082400}">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2" authorId="12" shapeId="0" xr:uid="{47F7F14C-CBC2-4318-A706-A134F124EA7A}">
      <text>
        <t>[Threaded comment]
Your version of Excel allows you to read this threaded comment; however, any edits to it will get removed if the file is opened in a newer version of Excel. Learn more: https://go.microsoft.com/fwlink/?linkid=870924
Comment:
    Equation 12?</t>
      </text>
    </comment>
    <comment ref="E23" authorId="13" shapeId="0" xr:uid="{BDB9297A-7DEF-4EFB-82A5-0F7C10EDEBB4}">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4" authorId="14" shapeId="0" xr:uid="{7F13251F-58CA-44DE-9907-9598BBE1CBB2}">
      <text>
        <t>[Threaded comment]
Your version of Excel allows you to read this threaded comment; however, any edits to it will get removed if the file is opened in a newer version of Excel. Learn more: https://go.microsoft.com/fwlink/?linkid=870924
Comment:
    Equation 13</t>
      </text>
    </comment>
    <comment ref="E25" authorId="15" shapeId="0" xr:uid="{16EA93E0-6131-4700-AA77-907AF10FFAD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6" authorId="16" shapeId="0" xr:uid="{C4D5604A-A083-41E6-B93F-B24FC1BC064F}">
      <text>
        <t>[Threaded comment]
Your version of Excel allows you to read this threaded comment; however, any edits to it will get removed if the file is opened in a newer version of Excel. Learn more: https://go.microsoft.com/fwlink/?linkid=870924
Comment:
    Equation 14</t>
      </text>
    </comment>
    <comment ref="E27" authorId="17" shapeId="0" xr:uid="{081F83E9-52B1-4B2E-B028-8207F93A1590}">
      <text>
        <t>[Threaded comment]
Your version of Excel allows you to read this threaded comment; however, any edits to it will get removed if the file is opened in a newer version of Excel. Learn more: https://go.microsoft.com/fwlink/?linkid=870924
Comment:
    Equation 15</t>
      </text>
    </comment>
    <comment ref="E28" authorId="18" shapeId="0" xr:uid="{26FD91D1-A48C-4E28-86F1-D6E9984F99CB}">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30" authorId="19" shapeId="0" xr:uid="{DBD6DAC8-AEA4-4C81-94D4-CBA5FEAF6982}">
      <text>
        <t>[Threaded comment]
Your version of Excel allows you to read this threaded comment; however, any edits to it will get removed if the file is opened in a newer version of Excel. Learn more: https://go.microsoft.com/fwlink/?linkid=870924
Comment:
    Equation 18</t>
      </text>
    </comment>
    <comment ref="E31" authorId="20" shapeId="0" xr:uid="{778CAB2D-5C82-48AB-B3FB-AA4DB2231DB0}">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32" authorId="21" shapeId="0" xr:uid="{0673ACEF-B70A-491F-8B48-CD231C72FAE7}">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33" authorId="22" shapeId="0" xr:uid="{5595B0FF-008B-4F39-A633-3CD574DA97B5}">
      <text>
        <t>[Threaded comment]
Your version of Excel allows you to read this threaded comment; however, any edits to it will get removed if the file is opened in a newer version of Excel. Learn more: https://go.microsoft.com/fwlink/?linkid=870924
Comment:
    For equation 18</t>
      </text>
    </comment>
    <comment ref="E34" authorId="23" shapeId="0" xr:uid="{5E3C106B-2A18-41B4-B5C7-A5A592AE7DAB}">
      <text>
        <t>[Threaded comment]
Your version of Excel allows you to read this threaded comment; however, any edits to it will get removed if the file is opened in a newer version of Excel. Learn more: https://go.microsoft.com/fwlink/?linkid=870924
Comment:
    For equation 18</t>
      </text>
    </comment>
    <comment ref="E35" authorId="24" shapeId="0" xr:uid="{1311D3DF-E46C-4E3C-903E-573572F3D6D6}">
      <text>
        <t>[Threaded comment]
Your version of Excel allows you to read this threaded comment; however, any edits to it will get removed if the file is opened in a newer version of Excel. Learn more: https://go.microsoft.com/fwlink/?linkid=870924
Comment:
    Equation 19</t>
      </text>
    </comment>
    <comment ref="E36" authorId="25" shapeId="0" xr:uid="{464E3B09-A6C0-41AF-902B-6E91C8CCA158}">
      <text>
        <t>[Threaded comment]
Your version of Excel allows you to read this threaded comment; however, any edits to it will get removed if the file is opened in a newer version of Excel. Learn more: https://go.microsoft.com/fwlink/?linkid=870924
Comment:
    a for equation 19</t>
      </text>
    </comment>
    <comment ref="E37" authorId="26" shapeId="0" xr:uid="{8A46A7E0-4846-44C8-B883-17D784DE7F8C}">
      <text>
        <t>[Threaded comment]
Your version of Excel allows you to read this threaded comment; however, any edits to it will get removed if the file is opened in a newer version of Excel. Learn more: https://go.microsoft.com/fwlink/?linkid=870924
Comment:
    P for equation 19</t>
      </text>
    </comment>
    <comment ref="E39" authorId="27" shapeId="0" xr:uid="{BAB96B86-14C1-41F5-8444-6D928A63D17D}">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40" authorId="28" shapeId="0" xr:uid="{D2570441-7318-4ABE-9ADC-41F6FAF54F7B}">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tc={147B1756-55E5-4060-BA70-581F7A145306}</author>
    <author>tc={D44A76A6-95BD-4657-B393-81811D897674}</author>
    <author>tc={37EA998F-6C13-4808-8CC8-F39F6E7BF2D7}</author>
    <author>tc={34493F27-F74D-4F9A-8A29-B1992F39A6D4}</author>
    <author>tc={8470A9FC-20CD-42A9-A308-7F899011082B}</author>
    <author>tc={BEB618CE-AC97-4B43-A92E-3ED3951B6418}</author>
    <author>tc={B4BBC195-7332-4243-A891-64CADFD8E4C4}</author>
    <author>tc={19E3830F-92EC-4468-BEFC-38FDA0EE0138}</author>
    <author>tc={35CB59DA-26E5-4D51-8F85-294D4A46EB4B}</author>
    <author>tc={5C0FD968-A160-4ACF-8DE8-0D18B517C27E}</author>
    <author>tc={99099D13-7357-4BA3-A4BC-BC445ABD9D61}</author>
    <author>tc={02C1F168-3929-4180-BBD8-4C604D600E77}</author>
  </authors>
  <commentList>
    <comment ref="E5" authorId="0" shapeId="0" xr:uid="{147B1756-55E5-4060-BA70-581F7A145306}">
      <text>
        <t>[Threaded comment]
Your version of Excel allows you to read this threaded comment; however, any edits to it will get removed if the file is opened in a newer version of Excel. Learn more: https://go.microsoft.com/fwlink/?linkid=870924
Comment:
    Equation 12</t>
      </text>
    </comment>
    <comment ref="E6" authorId="1" shapeId="0" xr:uid="{D44A76A6-95BD-4657-B393-81811D897674}">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7" authorId="2" shapeId="0" xr:uid="{37EA998F-6C13-4808-8CC8-F39F6E7BF2D7}">
      <text>
        <t>[Threaded comment]
Your version of Excel allows you to read this threaded comment; however, any edits to it will get removed if the file is opened in a newer version of Excel. Learn more: https://go.microsoft.com/fwlink/?linkid=870924
Comment:
    Equation 13</t>
      </text>
    </comment>
    <comment ref="E8" authorId="3" shapeId="0" xr:uid="{34493F27-F74D-4F9A-8A29-B1992F39A6D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 authorId="4" shapeId="0" xr:uid="{8470A9FC-20CD-42A9-A308-7F899011082B}">
      <text>
        <t>[Threaded comment]
Your version of Excel allows you to read this threaded comment; however, any edits to it will get removed if the file is opened in a newer version of Excel. Learn more: https://go.microsoft.com/fwlink/?linkid=870924
Comment:
    Equation 14</t>
      </text>
    </comment>
    <comment ref="E10" authorId="5" shapeId="0" xr:uid="{BEB618CE-AC97-4B43-A92E-3ED3951B6418}">
      <text>
        <t>[Threaded comment]
Your version of Excel allows you to read this threaded comment; however, any edits to it will get removed if the file is opened in a newer version of Excel. Learn more: https://go.microsoft.com/fwlink/?linkid=870924
Comment:
    Equation 15</t>
      </text>
    </comment>
    <comment ref="E11" authorId="6" shapeId="0" xr:uid="{B4BBC195-7332-4243-A891-64CADFD8E4C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3" authorId="7" shapeId="0" xr:uid="{19E3830F-92EC-4468-BEFC-38FDA0EE0138}">
      <text>
        <t>[Threaded comment]
Your version of Excel allows you to read this threaded comment; however, any edits to it will get removed if the file is opened in a newer version of Excel. Learn more: https://go.microsoft.com/fwlink/?linkid=870924
Comment:
    Equation 16</t>
      </text>
    </comment>
    <comment ref="E14" authorId="8" shapeId="0" xr:uid="{35CB59DA-26E5-4D51-8F85-294D4A46EB4B}">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15" authorId="9" shapeId="0" xr:uid="{5C0FD968-A160-4ACF-8DE8-0D18B517C27E}">
      <text>
        <t>[Threaded comment]
Your version of Excel allows you to read this threaded comment; however, any edits to it will get removed if the file is opened in a newer version of Excel. Learn more: https://go.microsoft.com/fwlink/?linkid=870924
Comment:
    Equation 17</t>
      </text>
    </comment>
    <comment ref="E16" authorId="10" shapeId="0" xr:uid="{99099D13-7357-4BA3-A4BC-BC445ABD9D61}">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18" authorId="11" shapeId="0" xr:uid="{02C1F168-3929-4180-BBD8-4C604D600E7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tc={FC70376A-620E-4F19-A3E5-A4FAF6FB87FF}</author>
    <author>tc={72BFB540-6176-4F21-8768-4E4F175C52D1}</author>
    <author>tc={6F461468-DB59-4B26-B137-704D8CCDCB56}</author>
    <author>tc={830C583B-8B2C-4E60-A11F-05888B7F3299}</author>
    <author>tc={7A881304-3525-41EB-89E1-7952206569DC}</author>
  </authors>
  <commentList>
    <comment ref="E5" authorId="0" shapeId="0" xr:uid="{FC70376A-620E-4F19-A3E5-A4FAF6FB87FF}">
      <text>
        <t>[Threaded comment]
Your version of Excel allows you to read this threaded comment; however, any edits to it will get removed if the file is opened in a newer version of Excel. Learn more: https://go.microsoft.com/fwlink/?linkid=870924
Comment:
    Equation 16</t>
      </text>
    </comment>
    <comment ref="E6" authorId="1" shapeId="0" xr:uid="{72BFB540-6176-4F21-8768-4E4F175C52D1}">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7" authorId="2" shapeId="0" xr:uid="{6F461468-DB59-4B26-B137-704D8CCDCB56}">
      <text>
        <t>[Threaded comment]
Your version of Excel allows you to read this threaded comment; however, any edits to it will get removed if the file is opened in a newer version of Excel. Learn more: https://go.microsoft.com/fwlink/?linkid=870924
Comment:
    Equation 17</t>
      </text>
    </comment>
    <comment ref="E8" authorId="3" shapeId="0" xr:uid="{830C583B-8B2C-4E60-A11F-05888B7F329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10" authorId="4" shapeId="0" xr:uid="{7A881304-3525-41EB-89E1-7952206569DC}">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tc={A49182CC-9622-4C40-8E23-EC2925F74DD8}</author>
  </authors>
  <commentList>
    <comment ref="E5" authorId="0" shapeId="0" xr:uid="{A49182CC-9622-4C40-8E23-EC2925F74DD8}">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tc={73A4457B-0E8E-4BA2-B41C-9A6FEBE97F3B}</author>
    <author>tc={AD9B6192-D095-4E99-BD44-281301E1A182}</author>
    <author>tc={02712D1E-5D60-4321-8278-1A7E41A27A06}</author>
    <author>tc={11B74098-26F4-41F2-8880-11E8AEAECAAB}</author>
    <author>tc={FF941A78-885B-434E-92ED-C682ABEFBBEC}</author>
    <author>tc={EF78CAAD-0D23-48BF-B2D6-F44C637376FF}</author>
    <author>tc={216A63DB-2C22-4DBE-88A2-218D68606574}</author>
    <author>tc={426F787F-8878-4F0B-B890-A4882CD06341}</author>
    <author>tc={6AB36F4A-D728-47FB-97D0-7131F794D148}</author>
    <author>tc={CD558306-5C58-4626-B50F-598FDC35ACF8}</author>
    <author>tc={C111EB4B-11B9-4F17-BF43-2739AE9B9DE9}</author>
    <author>tc={3270127E-C5F0-465C-862D-CA91DFC5655B}</author>
    <author>tc={A9332A19-BD34-4DCA-A824-99DCF060456E}</author>
    <author>tc={4B6BEB05-DD11-40AD-9D64-4C3C0687F0F1}</author>
    <author>tc={ED039F0B-FE98-4510-AA84-26D599A4C307}</author>
    <author>tc={8F70814C-D6B6-4F13-B975-6C9BB2D18D42}</author>
  </authors>
  <commentList>
    <comment ref="E5" authorId="0" shapeId="0" xr:uid="{73A4457B-0E8E-4BA2-B41C-9A6FEBE97F3B}">
      <text>
        <t>[Threaded comment]
Your version of Excel allows you to read this threaded comment; however, any edits to it will get removed if the file is opened in a newer version of Excel. Learn more: https://go.microsoft.com/fwlink/?linkid=870924
Comment:
    Equation 12?</t>
      </text>
    </comment>
    <comment ref="E6" authorId="1" shapeId="0" xr:uid="{AD9B6192-D095-4E99-BD44-281301E1A182}">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7" authorId="2" shapeId="0" xr:uid="{02712D1E-5D60-4321-8278-1A7E41A27A06}">
      <text>
        <t>[Threaded comment]
Your version of Excel allows you to read this threaded comment; however, any edits to it will get removed if the file is opened in a newer version of Excel. Learn more: https://go.microsoft.com/fwlink/?linkid=870924
Comment:
    Equation 13</t>
      </text>
    </comment>
    <comment ref="E8" authorId="3" shapeId="0" xr:uid="{11B74098-26F4-41F2-8880-11E8AEAECAA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 authorId="4" shapeId="0" xr:uid="{FF941A78-885B-434E-92ED-C682ABEFBBEC}">
      <text>
        <t>[Threaded comment]
Your version of Excel allows you to read this threaded comment; however, any edits to it will get removed if the file is opened in a newer version of Excel. Learn more: https://go.microsoft.com/fwlink/?linkid=870924
Comment:
    Equation 14</t>
      </text>
    </comment>
    <comment ref="E10" authorId="5" shapeId="0" xr:uid="{EF78CAAD-0D23-48BF-B2D6-F44C637376FF}">
      <text>
        <t>[Threaded comment]
Your version of Excel allows you to read this threaded comment; however, any edits to it will get removed if the file is opened in a newer version of Excel. Learn more: https://go.microsoft.com/fwlink/?linkid=870924
Comment:
    Equation 15</t>
      </text>
    </comment>
    <comment ref="E11" authorId="6" shapeId="0" xr:uid="{216A63DB-2C22-4DBE-88A2-218D6860657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3" authorId="7" shapeId="0" xr:uid="{426F787F-8878-4F0B-B890-A4882CD06341}">
      <text>
        <t>[Threaded comment]
Your version of Excel allows you to read this threaded comment; however, any edits to it will get removed if the file is opened in a newer version of Excel. Learn more: https://go.microsoft.com/fwlink/?linkid=870924
Comment:
    Equation 18</t>
      </text>
    </comment>
    <comment ref="E14" authorId="8" shapeId="0" xr:uid="{6AB36F4A-D728-47FB-97D0-7131F794D148}">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5" authorId="9" shapeId="0" xr:uid="{CD558306-5C58-4626-B50F-598FDC35ACF8}">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6" authorId="10" shapeId="0" xr:uid="{C111EB4B-11B9-4F17-BF43-2739AE9B9DE9}">
      <text>
        <t>[Threaded comment]
Your version of Excel allows you to read this threaded comment; however, any edits to it will get removed if the file is opened in a newer version of Excel. Learn more: https://go.microsoft.com/fwlink/?linkid=870924
Comment:
    For equation 18</t>
      </text>
    </comment>
    <comment ref="E17" authorId="11" shapeId="0" xr:uid="{3270127E-C5F0-465C-862D-CA91DFC5655B}">
      <text>
        <t>[Threaded comment]
Your version of Excel allows you to read this threaded comment; however, any edits to it will get removed if the file is opened in a newer version of Excel. Learn more: https://go.microsoft.com/fwlink/?linkid=870924
Comment:
    For equation 18</t>
      </text>
    </comment>
    <comment ref="E18" authorId="12" shapeId="0" xr:uid="{A9332A19-BD34-4DCA-A824-99DCF060456E}">
      <text>
        <t>[Threaded comment]
Your version of Excel allows you to read this threaded comment; however, any edits to it will get removed if the file is opened in a newer version of Excel. Learn more: https://go.microsoft.com/fwlink/?linkid=870924
Comment:
    Equation 19</t>
      </text>
    </comment>
    <comment ref="E19" authorId="13" shapeId="0" xr:uid="{4B6BEB05-DD11-40AD-9D64-4C3C0687F0F1}">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0" authorId="14" shapeId="0" xr:uid="{ED039F0B-FE98-4510-AA84-26D599A4C307}">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2" authorId="15" shapeId="0" xr:uid="{8F70814C-D6B6-4F13-B975-6C9BB2D18D42}">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tc={193DCC85-5455-426C-853B-7EB838229FFA}</author>
    <author>tc={E1A9883E-23A2-48B7-860B-CBA296923522}</author>
    <author>tc={1CA7019D-A55F-4840-BE68-7F0668C32406}</author>
    <author>tc={8AE3635E-B2E2-4B8B-B3B0-90C4423136CA}</author>
    <author>tc={C22C9A21-8C76-4D45-A38A-9019B2FE19FE}</author>
    <author>tc={BD1F78D8-3F6C-42A0-BE7E-FD853A59CC12}</author>
    <author>tc={2ABACD8D-44CE-4944-9426-69AB681547AA}</author>
    <author>tc={95ED7203-419F-4D08-A878-02D3527EBBEC}</author>
    <author>tc={DFA8DF8A-06FC-484D-A5CF-15FA27928190}</author>
    <author>tc={7B9B3433-75A4-40C9-BBAB-D6E3C41102CA}</author>
    <author>tc={0CDA3AC2-56E5-45D8-AC06-6CC83C32AB9D}</author>
    <author>tc={07E91479-C0D3-4533-98D7-FCFDEB0AFED3}</author>
    <author>tc={9E581560-8247-403C-B258-D22FAAD81B78}</author>
    <author>tc={8BCEBE6E-9EC4-46B9-B7B7-2BE500745EE8}</author>
    <author>tc={C826EEE2-973A-451A-A44C-6AB8C0F870A7}</author>
    <author>tc={644C3363-ADB9-46BE-B622-D051C379AADD}</author>
    <author>tc={0087C9F6-E3A3-47FA-9A5D-043A2E74B371}</author>
    <author>tc={32FD45A3-F5DF-47EC-8620-AE4BE0391E73}</author>
    <author>tc={9527A7F2-B6F4-4DD7-8FE0-78EAC922AABC}</author>
    <author>tc={0CC6C12F-5D19-4A9C-BD8D-74E9C2C79B59}</author>
    <author>tc={7F4BD7C5-76E3-4EB5-883C-DBD8A16BF0FE}</author>
    <author>tc={640B6324-B2FA-4E4C-8AE5-C103EDF8FF30}</author>
    <author>tc={E4192666-6566-4CE1-B71B-BB21824ECDE3}</author>
    <author>tc={B80C4A05-96CA-4705-A143-1347FDD1FB67}</author>
    <author>tc={13C6B012-2661-40A9-9993-B87AFEF2F2AF}</author>
    <author>tc={E5F8EFC1-A59F-45BA-BBA5-0C248920EE21}</author>
    <author>tc={AEE2991D-3677-47C9-9232-01A0E7E8F710}</author>
    <author>tc={0D15F2D2-3D0E-428E-A477-2DC216E7DCAD}</author>
    <author>tc={9E239E1D-D67C-43F5-A6F2-3AD1678A2523}</author>
    <author>tc={D2405866-24DC-4078-8554-F47246642A3A}</author>
    <author>tc={A8805EC2-1CAD-475B-833F-19854F42710E}</author>
    <author>tc={F7A6F578-CD43-417F-90BE-16DD23538945}</author>
    <author>tc={56EA6E62-8AE6-4381-95C1-10CBA1F0519B}</author>
    <author>tc={B97D529B-6FA6-4ACF-8AAA-F68A37975C22}</author>
    <author>tc={6E710E8B-92B0-4AB4-BDBB-AE6A6CC1EFA1}</author>
    <author>tc={9E5A316F-C172-4296-A5BB-4B50B75E7BC4}</author>
    <author>tc={7CA1FA2E-5092-4979-A71B-E67367D1AEC1}</author>
    <author>tc={56C0F946-B9E2-443D-8CB8-013B8BAA9B6C}</author>
    <author>tc={DD89206B-136D-4A2D-BC01-27E4D5397267}</author>
    <author>tc={D8FD0376-C463-48C7-B48A-B02668388DD1}</author>
    <author>tc={FC0A42E9-F03B-44A1-B549-B54A93BFAD70}</author>
    <author>tc={E6A7BA03-D233-4BF6-850A-544E0918361B}</author>
    <author>tc={2AA191D3-312F-4EFF-AC86-713D59513EE3}</author>
    <author>tc={9DA8586A-B5F6-4A4E-AA88-C824AD05F063}</author>
    <author>tc={3D1228D6-FC45-47F1-88A5-D567830A6AD9}</author>
    <author>tc={F395289F-1CF8-4843-AF45-17E7FB807F40}</author>
    <author>tc={6E728680-BBD1-48BA-8F3A-6B9085B0FC09}</author>
    <author>tc={63B91250-A435-43B8-9199-AA9D88D6D694}</author>
    <author>tc={D85F6BAB-79E8-4919-AA16-CE1C766597DE}</author>
    <author>tc={60A188C1-1C73-4B40-A403-2C2B5C0427F4}</author>
    <author>tc={25CC7548-633E-43DB-9FD1-D24106AD5301}</author>
    <author>tc={D69D6951-AAD2-40A5-9DAB-8FBEBA6DAF61}</author>
    <author>tc={16ECB7F6-B7B9-490B-ACA5-282079D8EFCA}</author>
    <author>tc={5DE119F7-BCEE-4671-9EDA-5D0048D261AD}</author>
    <author>tc={F57EB55D-4CB4-4D5F-9A53-B990F0D214D0}</author>
    <author>tc={238BEFC2-D30B-4A8F-BB28-8A841D6792BC}</author>
    <author>tc={B507D02B-23DF-4A71-86C8-7EC57462C7F7}</author>
    <author>tc={FDE11396-9ED2-47EC-B0E2-3777E67B3AA8}</author>
    <author>tc={AB2D349F-4D77-46C3-8B3B-00A074ACF827}</author>
    <author>tc={2C418F74-BD2E-4B4F-B6E7-110076609F77}</author>
    <author>tc={337575A1-7DAF-4BB1-929F-0E22E296B5CB}</author>
    <author>tc={1C5806FE-25EC-40A2-BF60-8A0BB9E3D94D}</author>
    <author>tc={B4325A53-E1CC-4484-9037-4B19B6640573}</author>
    <author>tc={72E1C20A-9B19-4918-990C-7945F6F6E564}</author>
    <author>tc={4DB04C9B-2652-472B-82CC-6421E60524D5}</author>
    <author>tc={BEF5743D-04A2-47E4-9A36-0659EA98A729}</author>
    <author>tc={13A8348B-5656-48DE-A555-691E8BB7AA53}</author>
    <author>tc={985FE5B4-95B9-4135-948B-EB02D1F4E834}</author>
    <author>tc={7AEA99EE-C14A-4EF0-95D7-5BDE9903AED9}</author>
    <author>tc={8087ADE0-04A1-4D48-B71B-A45A4D483996}</author>
    <author>tc={7C7F20AC-0F7E-4C27-9CCD-86DCFF0023C4}</author>
    <author>tc={1875F749-F9FD-42E8-B7DE-1A8116B68EE2}</author>
    <author>tc={6FFA3C86-29B8-462B-97F3-4C893349F33B}</author>
    <author>tc={6B5A0F00-D42C-4EA4-8D21-4C25DCE46A34}</author>
    <author>tc={0846EF33-154E-4C4E-845B-7612D38CADE3}</author>
    <author>tc={8DF30725-41EF-4D6B-AC60-770806AF0B88}</author>
    <author>tc={4E54972C-A621-4DDF-A831-AFE88CAF9B6E}</author>
    <author>tc={DA178A16-0586-41EE-8F93-D3947113544C}</author>
    <author>tc={9D57DCD2-E110-4CB9-8220-5BBA2A9013A0}</author>
    <author>tc={CA582E1D-9046-4CBC-9C52-49312F1450DE}</author>
    <author>tc={520E90A4-C005-4589-84AD-D8C137BEC7E3}</author>
    <author>tc={54A9CCAA-E4C1-4320-8EE6-DCCFA05E4877}</author>
    <author>tc={4FA58F26-2BF2-43AC-9F33-7D3645CA288F}</author>
    <author>tc={27E41BEE-A3EF-481D-AF66-82F306E95685}</author>
    <author>tc={7D9CF5F4-E451-4707-BBEA-6920C3E380F2}</author>
    <author>tc={6A12C629-34EB-4434-9715-D4903C2C145E}</author>
    <author>tc={BF30298D-3CDA-49CD-9882-2F546815A729}</author>
    <author>tc={FEBBC373-C2DF-47D1-88DE-5819D6CE3C5B}</author>
    <author>tc={76C4F503-A77E-46A3-8168-9ECB032144C0}</author>
    <author>tc={F5F3A181-F1FB-4C85-94B5-9D97E3CBD3C7}</author>
    <author>tc={DDDDC69E-834D-474B-9988-E4F18F1BCC79}</author>
    <author>tc={875DB33E-95F4-40A0-8169-FAD7213FEE46}</author>
    <author>tc={B3D1B65B-A956-451C-A6BE-6BEF6964437E}</author>
    <author>tc={A86BB9CC-B54B-4A0B-BCBA-F57D697FF2D6}</author>
    <author>tc={94CCEC28-EE34-46D4-9ED9-D27A17AA5421}</author>
    <author>tc={0833E53B-79A8-4D59-8F73-83D979C3E478}</author>
    <author>tc={F6F0ACB2-721D-4744-BD1F-63018FF904EE}</author>
    <author>tc={44F2E363-8AAC-4CA4-AC7F-244736867F5D}</author>
    <author>tc={1905FE04-5DCD-4105-B2FC-D986C6218C65}</author>
    <author>tc={26B4DE85-AB21-486D-A807-030F999E5967}</author>
    <author>tc={7194E3C7-F8F4-4204-951D-FB2218E3FE24}</author>
    <author>tc={EE82FDBF-BCE0-4123-B0AF-E79330C42466}</author>
    <author>tc={3AB3A63F-3C9B-4094-AB4A-2710F39993A9}</author>
    <author>tc={EF759621-E3B7-4594-AC8E-76B05C689931}</author>
    <author>tc={C8D74175-331B-4305-BCAF-7EE0EA3B9243}</author>
    <author>tc={EF3D907A-195C-4396-B23A-97236C978E59}</author>
    <author>tc={46A5723C-E91E-47B5-8AC8-2585F418F2E6}</author>
    <author>tc={690EC276-BDAE-4BA2-B2D3-0BB144D30632}</author>
    <author>tc={2924C288-A68C-4020-A25B-6F2BDA8D4A53}</author>
    <author>tc={1DEA75E1-9414-4C39-891C-BC0DF16741FD}</author>
    <author>tc={3084C6D2-BF34-4BAC-BBC3-340C3D154E2B}</author>
    <author>tc={E60721BA-F71F-451F-AB8D-032B1BE50234}</author>
    <author>tc={342C8ABD-39AB-4507-8E97-35284AAFFD8C}</author>
    <author>tc={3E58BFD8-2666-4808-AD35-B92BB1BCAEA2}</author>
    <author>tc={DCDB822A-583D-4BEF-BB72-84718B7AAD69}</author>
    <author>tc={6A2217A1-7B73-4A70-A8B3-AF1B67CB2705}</author>
    <author>tc={C662479D-F1AF-4277-B8BC-B1B80A690BDB}</author>
    <author>tc={4B5DDB44-8B3E-41F7-959B-E204B0299C6C}</author>
    <author>tc={3709EC15-4680-4E7F-AA8C-933F690D19D9}</author>
    <author>tc={092D3014-5004-4520-8908-7672C712A473}</author>
    <author>tc={B139516E-C7A6-4F3C-813D-7643551381CB}</author>
    <author>tc={13C2ECB5-80A2-4E77-99FF-A8CD927CD366}</author>
    <author>tc={4D2CAE2A-2782-45A2-B91B-295A347F08EA}</author>
    <author>tc={16C91B07-6471-486F-9926-03169E17C01E}</author>
    <author>tc={0E20BD1F-1D89-48D6-9188-34F696A2F70A}</author>
    <author>tc={571F1B99-53B2-4DE1-AEC7-D53F07EC4092}</author>
    <author>tc={DBF749F0-B934-42B3-A51D-508ABDA5F852}</author>
    <author>tc={F8D269F5-4A4B-4F2A-AFDA-6A6C359184A2}</author>
    <author>tc={09C8B70D-28C2-4FCF-9C6D-E654B6DF8657}</author>
    <author>tc={169A809C-A4B7-427A-99CA-1DD421172F66}</author>
    <author>tc={3EEA85A6-2C67-4847-908C-F64BB24557CD}</author>
    <author>tc={B1C15CAF-14B6-4BDE-B569-8912EDA6EDE1}</author>
    <author>tc={C7F4C9C4-FB5C-4677-B5A8-1D25B306417C}</author>
    <author>tc={66E30537-7500-4248-8608-0853761E001C}</author>
    <author>tc={62C02FE6-AB7F-4FEF-B0A4-B0497FEE400D}</author>
    <author>tc={3F027C50-E795-4CD0-A179-E7B1E2AFEF71}</author>
    <author>tc={C46DF5A0-1B89-4CFD-9F9F-64B9F97D133D}</author>
    <author>tc={E4EF1CA6-C4BA-4046-A287-125AC58AD1E9}</author>
    <author>tc={9965EF55-264D-41F7-8F36-CF5644A6F784}</author>
    <author>tc={3005583D-FEAE-4550-8566-114060484CE4}</author>
    <author>tc={CF88604F-B3BE-466F-BBF3-5585ACB0640D}</author>
    <author>tc={2E0D58E4-89AB-474A-8005-D15B100ECBF5}</author>
    <author>tc={04DC5737-B11E-4F67-B221-A0D28D718823}</author>
    <author>tc={66387E9B-C12D-4668-A303-E46C2D1C05AB}</author>
    <author>tc={F7897D7E-CFD2-43BC-8A4D-A2ECA81CC5F4}</author>
    <author>tc={737648F7-4266-4D72-B8EC-7E7FBE49EDB1}</author>
    <author>tc={AF4E16C4-0DF7-4B2C-9B7E-C7933E128F84}</author>
    <author>tc={0DE1EB49-17A7-48C7-B5A8-02B0E25F33F6}</author>
    <author>tc={C3536F7B-067B-4F6D-B576-134D23E4E42D}</author>
    <author>tc={4AA5D372-7DD6-47CC-ACC3-50F30A952D1C}</author>
    <author>tc={AA3DE2D0-9398-4969-92F5-8894E17591A6}</author>
    <author>tc={59DB3DD5-3F6E-495F-9AA1-9948853948DA}</author>
    <author>tc={A4017819-E6A4-43E1-8DBA-EA4FBD704E17}</author>
    <author>tc={BF6E8C8B-64B3-43FA-BAB7-AE48BA851B30}</author>
    <author>tc={9F61E18C-483E-477F-B301-9E3DB44690A4}</author>
    <author>tc={DBBBCFBA-B9DA-4A5A-823F-E11FDB0C0D59}</author>
    <author>tc={CF49869B-D00E-4E7B-9811-AED314F399C9}</author>
    <author>tc={80023493-07F9-4BB9-B004-039D5C0E067E}</author>
    <author>tc={67CD27C9-006E-4614-8AA7-E0D16098F420}</author>
    <author>tc={7F1FF554-101A-4AE6-9577-2FBE19E24204}</author>
  </authors>
  <commentList>
    <comment ref="E16" authorId="0" shapeId="0" xr:uid="{193DCC85-5455-426C-853B-7EB838229FFA}">
      <text>
        <t>[Threaded comment]
Your version of Excel allows you to read this threaded comment; however, any edits to it will get removed if the file is opened in a newer version of Excel. Learn more: https://go.microsoft.com/fwlink/?linkid=870924
Comment:
    Equation 9</t>
      </text>
    </comment>
    <comment ref="E18" authorId="1" shapeId="0" xr:uid="{E1A9883E-23A2-48B7-860B-CBA296923522}">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2" shapeId="0" xr:uid="{1CA7019D-A55F-4840-BE68-7F0668C32406}">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20" authorId="3" shapeId="0" xr:uid="{8AE3635E-B2E2-4B8B-B3B0-90C4423136CA}">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21" authorId="4" shapeId="0" xr:uid="{C22C9A21-8C76-4D45-A38A-9019B2FE19FE}">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22" authorId="5" shapeId="0" xr:uid="{BD1F78D8-3F6C-42A0-BE7E-FD853A59CC12}">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3" authorId="6" shapeId="0" xr:uid="{2ABACD8D-44CE-4944-9426-69AB681547AA}">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5" authorId="7" shapeId="0" xr:uid="{95ED7203-419F-4D08-A878-02D3527EBBEC}">
      <text>
        <t>[Threaded comment]
Your version of Excel allows you to read this threaded comment; however, any edits to it will get removed if the file is opened in a newer version of Excel. Learn more: https://go.microsoft.com/fwlink/?linkid=870924
Comment:
    Equation 3</t>
      </text>
    </comment>
    <comment ref="E26" authorId="8" shapeId="0" xr:uid="{DFA8DF8A-06FC-484D-A5CF-15FA27928190}">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7" authorId="9" shapeId="0" xr:uid="{7B9B3433-75A4-40C9-BBAB-D6E3C41102CA}">
      <text>
        <t>[Threaded comment]
Your version of Excel allows you to read this threaded comment; however, any edits to it will get removed if the file is opened in a newer version of Excel. Learn more: https://go.microsoft.com/fwlink/?linkid=870924
Comment:
    Equation 4</t>
      </text>
    </comment>
    <comment ref="E28" authorId="10" shapeId="0" xr:uid="{0CDA3AC2-56E5-45D8-AC06-6CC83C32AB9D}">
      <text>
        <t>[Threaded comment]
Your version of Excel allows you to read this threaded comment; however, any edits to it will get removed if the file is opened in a newer version of Excel. Learn more: https://go.microsoft.com/fwlink/?linkid=870924
Comment:
    Equation 5</t>
      </text>
    </comment>
    <comment ref="E29" authorId="11" shapeId="0" xr:uid="{07E91479-C0D3-4533-98D7-FCFDEB0AFED3}">
      <text>
        <t>[Threaded comment]
Your version of Excel allows you to read this threaded comment; however, any edits to it will get removed if the file is opened in a newer version of Excel. Learn more: https://go.microsoft.com/fwlink/?linkid=870924
Comment:
    A for equation 4</t>
      </text>
    </comment>
    <comment ref="E30" authorId="12" shapeId="0" xr:uid="{9E581560-8247-403C-B258-D22FAAD81B78}">
      <text>
        <t>[Threaded comment]
Your version of Excel allows you to read this threaded comment; however, any edits to it will get removed if the file is opened in a newer version of Excel. Learn more: https://go.microsoft.com/fwlink/?linkid=870924
Comment:
    Equation 6</t>
      </text>
    </comment>
    <comment ref="E31" authorId="13" shapeId="0" xr:uid="{8BCEBE6E-9EC4-46B9-B7B7-2BE500745EE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3" authorId="14" shapeId="0" xr:uid="{C826EEE2-973A-451A-A44C-6AB8C0F870A7}">
      <text>
        <t>[Threaded comment]
Your version of Excel allows you to read this threaded comment; however, any edits to it will get removed if the file is opened in a newer version of Excel. Learn more: https://go.microsoft.com/fwlink/?linkid=870924
Comment:
    Equation 7</t>
      </text>
    </comment>
    <comment ref="E34" authorId="15" shapeId="0" xr:uid="{644C3363-ADB9-46BE-B622-D051C379AADD}">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5" authorId="16" shapeId="0" xr:uid="{0087C9F6-E3A3-47FA-9A5D-043A2E74B371}">
      <text>
        <t>[Threaded comment]
Your version of Excel allows you to read this threaded comment; however, any edits to it will get removed if the file is opened in a newer version of Excel. Learn more: https://go.microsoft.com/fwlink/?linkid=870924
Comment:
    Equation 8</t>
      </text>
    </comment>
    <comment ref="E36" authorId="17" shapeId="0" xr:uid="{32FD45A3-F5DF-47EC-8620-AE4BE0391E73}">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8" authorId="18" shapeId="0" xr:uid="{9527A7F2-B6F4-4DD7-8FE0-78EAC922AABC}">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40" authorId="19" shapeId="0" xr:uid="{0CC6C12F-5D19-4A9C-BD8D-74E9C2C79B59}">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41" authorId="20" shapeId="0" xr:uid="{7F4BD7C5-76E3-4EB5-883C-DBD8A16BF0FE}">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42" authorId="21" shapeId="0" xr:uid="{640B6324-B2FA-4E4C-8AE5-C103EDF8FF3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3" authorId="22" shapeId="0" xr:uid="{E4192666-6566-4CE1-B71B-BB21824ECDE3}">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4" authorId="23" shapeId="0" xr:uid="{B80C4A05-96CA-4705-A143-1347FDD1FB67}">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4" shapeId="0" xr:uid="{13C6B012-2661-40A9-9993-B87AFEF2F2AF}">
      <text>
        <t>[Threaded comment]
Your version of Excel allows you to read this threaded comment; however, any edits to it will get removed if the file is opened in a newer version of Excel. Learn more: https://go.microsoft.com/fwlink/?linkid=870924
Comment:
    Equation 1</t>
      </text>
    </comment>
    <comment ref="E46" authorId="25" shapeId="0" xr:uid="{E5F8EFC1-A59F-45BA-BBA5-0C248920EE21}">
      <text>
        <t>[Threaded comment]
Your version of Excel allows you to read this threaded comment; however, any edits to it will get removed if the file is opened in a newer version of Excel. Learn more: https://go.microsoft.com/fwlink/?linkid=870924
Comment:
    Equation 2</t>
      </text>
    </comment>
    <comment ref="E48" authorId="26" shapeId="0" xr:uid="{AEE2991D-3677-47C9-9232-01A0E7E8F710}">
      <text>
        <t>[Threaded comment]
Your version of Excel allows you to read this threaded comment; however, any edits to it will get removed if the file is opened in a newer version of Excel. Learn more: https://go.microsoft.com/fwlink/?linkid=870924
Comment:
    Equation 11</t>
      </text>
    </comment>
    <comment ref="E49" authorId="27" shapeId="0" xr:uid="{0D15F2D2-3D0E-428E-A477-2DC216E7DCAD}">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0" authorId="28" shapeId="0" xr:uid="{9E239E1D-D67C-43F5-A6F2-3AD1678A252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1" authorId="29" shapeId="0" xr:uid="{D2405866-24DC-4078-8554-F47246642A3A}">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5" authorId="30" shapeId="0" xr:uid="{A8805EC2-1CAD-475B-833F-19854F42710E}">
      <text>
        <t>[Threaded comment]
Your version of Excel allows you to read this threaded comment; however, any edits to it will get removed if the file is opened in a newer version of Excel. Learn more: https://go.microsoft.com/fwlink/?linkid=870924
Comment:
    Equation 22</t>
      </text>
    </comment>
    <comment ref="E56" authorId="31" shapeId="0" xr:uid="{F7A6F578-CD43-417F-90BE-16DD23538945}">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7" authorId="32" shapeId="0" xr:uid="{56EA6E62-8AE6-4381-95C1-10CBA1F0519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8" authorId="33" shapeId="0" xr:uid="{B97D529B-6FA6-4ACF-8AAA-F68A37975C22}">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9" authorId="34" shapeId="0" xr:uid="{6E710E8B-92B0-4AB4-BDBB-AE6A6CC1EFA1}">
      <text>
        <t>[Threaded comment]
Your version of Excel allows you to read this threaded comment; however, any edits to it will get removed if the file is opened in a newer version of Excel. Learn more: https://go.microsoft.com/fwlink/?linkid=870924
Comment:
    Equation 23</t>
      </text>
    </comment>
    <comment ref="E60" authorId="35" shapeId="0" xr:uid="{9E5A316F-C172-4296-A5BB-4B50B75E7BC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3" authorId="36" shapeId="0" xr:uid="{7CA1FA2E-5092-4979-A71B-E67367D1AEC1}">
      <text>
        <t>[Threaded comment]
Your version of Excel allows you to read this threaded comment; however, any edits to it will get removed if the file is opened in a newer version of Excel. Learn more: https://go.microsoft.com/fwlink/?linkid=870924
Comment:
    Equation 20</t>
      </text>
    </comment>
    <comment ref="E75" authorId="37" shapeId="0" xr:uid="{56C0F946-B9E2-443D-8CB8-013B8BAA9B6C}">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38" shapeId="0" xr:uid="{DD89206B-136D-4A2D-BC01-27E4D5397267}">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7" authorId="39" shapeId="0" xr:uid="{D8FD0376-C463-48C7-B48A-B02668388DD1}">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8" authorId="40" shapeId="0" xr:uid="{FC0A42E9-F03B-44A1-B549-B54A93BFAD7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9" authorId="41" shapeId="0" xr:uid="{E6A7BA03-D233-4BF6-850A-544E0918361B}">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80" authorId="42" shapeId="0" xr:uid="{2AA191D3-312F-4EFF-AC86-713D59513EE3}">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4" authorId="43" shapeId="0" xr:uid="{9DA8586A-B5F6-4A4E-AA88-C824AD05F063}">
      <text>
        <t>[Threaded comment]
Your version of Excel allows you to read this threaded comment; however, any edits to it will get removed if the file is opened in a newer version of Excel. Learn more: https://go.microsoft.com/fwlink/?linkid=870924
Comment:
    Equation 12</t>
      </text>
    </comment>
    <comment ref="E85" authorId="44" shapeId="0" xr:uid="{3D1228D6-FC45-47F1-88A5-D567830A6AD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6" authorId="45" shapeId="0" xr:uid="{F395289F-1CF8-4843-AF45-17E7FB807F40}">
      <text>
        <t>[Threaded comment]
Your version of Excel allows you to read this threaded comment; however, any edits to it will get removed if the file is opened in a newer version of Excel. Learn more: https://go.microsoft.com/fwlink/?linkid=870924
Comment:
    Equation 13</t>
      </text>
    </comment>
    <comment ref="E87" authorId="46" shapeId="0" xr:uid="{6E728680-BBD1-48BA-8F3A-6B9085B0FC0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8" authorId="47" shapeId="0" xr:uid="{63B91250-A435-43B8-9199-AA9D88D6D694}">
      <text>
        <t>[Threaded comment]
Your version of Excel allows you to read this threaded comment; however, any edits to it will get removed if the file is opened in a newer version of Excel. Learn more: https://go.microsoft.com/fwlink/?linkid=870924
Comment:
    Equation 14</t>
      </text>
    </comment>
    <comment ref="E89" authorId="48" shapeId="0" xr:uid="{D85F6BAB-79E8-4919-AA16-CE1C766597DE}">
      <text>
        <t>[Threaded comment]
Your version of Excel allows you to read this threaded comment; however, any edits to it will get removed if the file is opened in a newer version of Excel. Learn more: https://go.microsoft.com/fwlink/?linkid=870924
Comment:
    Equation 15</t>
      </text>
    </comment>
    <comment ref="E90" authorId="49" shapeId="0" xr:uid="{60A188C1-1C73-4B40-A403-2C2B5C0427F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92" authorId="50" shapeId="0" xr:uid="{25CC7548-633E-43DB-9FD1-D24106AD5301}">
      <text>
        <t>[Threaded comment]
Your version of Excel allows you to read this threaded comment; however, any edits to it will get removed if the file is opened in a newer version of Excel. Learn more: https://go.microsoft.com/fwlink/?linkid=870924
Comment:
    Equation 16</t>
      </text>
    </comment>
    <comment ref="E93" authorId="51" shapeId="0" xr:uid="{D69D6951-AAD2-40A5-9DAB-8FBEBA6DAF61}">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4" authorId="52" shapeId="0" xr:uid="{16ECB7F6-B7B9-490B-ACA5-282079D8EFCA}">
      <text>
        <t>[Threaded comment]
Your version of Excel allows you to read this threaded comment; however, any edits to it will get removed if the file is opened in a newer version of Excel. Learn more: https://go.microsoft.com/fwlink/?linkid=870924
Comment:
    Equation 17</t>
      </text>
    </comment>
    <comment ref="E95" authorId="53" shapeId="0" xr:uid="{5DE119F7-BCEE-4671-9EDA-5D0048D261A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7" authorId="54" shapeId="0" xr:uid="{F57EB55D-4CB4-4D5F-9A53-B990F0D214D0}">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9" authorId="55" shapeId="0" xr:uid="{238BEFC2-D30B-4A8F-BB28-8A841D6792BC}">
      <text>
        <t>[Threaded comment]
Your version of Excel allows you to read this threaded comment; however, any edits to it will get removed if the file is opened in a newer version of Excel. Learn more: https://go.microsoft.com/fwlink/?linkid=870924
Comment:
    Equation 12?</t>
      </text>
    </comment>
    <comment ref="E100" authorId="56" shapeId="0" xr:uid="{B507D02B-23DF-4A71-86C8-7EC57462C7F7}">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101" authorId="57" shapeId="0" xr:uid="{FDE11396-9ED2-47EC-B0E2-3777E67B3AA8}">
      <text>
        <t>[Threaded comment]
Your version of Excel allows you to read this threaded comment; however, any edits to it will get removed if the file is opened in a newer version of Excel. Learn more: https://go.microsoft.com/fwlink/?linkid=870924
Comment:
    Equation 13</t>
      </text>
    </comment>
    <comment ref="E102" authorId="58" shapeId="0" xr:uid="{AB2D349F-4D77-46C3-8B3B-00A074ACF827}">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3" authorId="59" shapeId="0" xr:uid="{2C418F74-BD2E-4B4F-B6E7-110076609F77}">
      <text>
        <t>[Threaded comment]
Your version of Excel allows you to read this threaded comment; however, any edits to it will get removed if the file is opened in a newer version of Excel. Learn more: https://go.microsoft.com/fwlink/?linkid=870924
Comment:
    Equation 14</t>
      </text>
    </comment>
    <comment ref="E104" authorId="60" shapeId="0" xr:uid="{337575A1-7DAF-4BB1-929F-0E22E296B5CB}">
      <text>
        <t>[Threaded comment]
Your version of Excel allows you to read this threaded comment; however, any edits to it will get removed if the file is opened in a newer version of Excel. Learn more: https://go.microsoft.com/fwlink/?linkid=870924
Comment:
    Equation 15</t>
      </text>
    </comment>
    <comment ref="E105" authorId="61" shapeId="0" xr:uid="{1C5806FE-25EC-40A2-BF60-8A0BB9E3D94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7" authorId="62" shapeId="0" xr:uid="{B4325A53-E1CC-4484-9037-4B19B6640573}">
      <text>
        <t>[Threaded comment]
Your version of Excel allows you to read this threaded comment; however, any edits to it will get removed if the file is opened in a newer version of Excel. Learn more: https://go.microsoft.com/fwlink/?linkid=870924
Comment:
    Equation 18</t>
      </text>
    </comment>
    <comment ref="E108" authorId="63" shapeId="0" xr:uid="{72E1C20A-9B19-4918-990C-7945F6F6E564}">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9" authorId="64" shapeId="0" xr:uid="{4DB04C9B-2652-472B-82CC-6421E60524D5}">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10" authorId="65" shapeId="0" xr:uid="{BEF5743D-04A2-47E4-9A36-0659EA98A729}">
      <text>
        <t>[Threaded comment]
Your version of Excel allows you to read this threaded comment; however, any edits to it will get removed if the file is opened in a newer version of Excel. Learn more: https://go.microsoft.com/fwlink/?linkid=870924
Comment:
    For equation 18</t>
      </text>
    </comment>
    <comment ref="E111" authorId="66" shapeId="0" xr:uid="{13A8348B-5656-48DE-A555-691E8BB7AA53}">
      <text>
        <t>[Threaded comment]
Your version of Excel allows you to read this threaded comment; however, any edits to it will get removed if the file is opened in a newer version of Excel. Learn more: https://go.microsoft.com/fwlink/?linkid=870924
Comment:
    For equation 18</t>
      </text>
    </comment>
    <comment ref="E112" authorId="67" shapeId="0" xr:uid="{985FE5B4-95B9-4135-948B-EB02D1F4E834}">
      <text>
        <t>[Threaded comment]
Your version of Excel allows you to read this threaded comment; however, any edits to it will get removed if the file is opened in a newer version of Excel. Learn more: https://go.microsoft.com/fwlink/?linkid=870924
Comment:
    Equation 19</t>
      </text>
    </comment>
    <comment ref="E113" authorId="68" shapeId="0" xr:uid="{7AEA99EE-C14A-4EF0-95D7-5BDE9903AED9}">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4" authorId="69" shapeId="0" xr:uid="{8087ADE0-04A1-4D48-B71B-A45A4D483996}">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6" authorId="70" shapeId="0" xr:uid="{7C7F20AC-0F7E-4C27-9CCD-86DCFF0023C4}">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7" authorId="71" shapeId="0" xr:uid="{1875F749-F9FD-42E8-B7DE-1A8116B68EE2}">
      <text>
        <t>[Threaded comment]
Your version of Excel allows you to read this threaded comment; however, any edits to it will get removed if the file is opened in a newer version of Excel. Learn more: https://go.microsoft.com/fwlink/?linkid=870924
Comment:
    date</t>
      </text>
    </comment>
    <comment ref="E126" authorId="72" shapeId="0" xr:uid="{6FFA3C86-29B8-462B-97F3-4C893349F33B}">
      <text>
        <t>[Threaded comment]
Your version of Excel allows you to read this threaded comment; however, any edits to it will get removed if the file is opened in a newer version of Excel. Learn more: https://go.microsoft.com/fwlink/?linkid=870924
Comment:
    Equation 24</t>
      </text>
    </comment>
    <comment ref="E127" authorId="73" shapeId="0" xr:uid="{6B5A0F00-D42C-4EA4-8D21-4C25DCE46A3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8" authorId="74" shapeId="0" xr:uid="{0846EF33-154E-4C4E-845B-7612D38CADE3}">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30" authorId="75" shapeId="0" xr:uid="{8DF30725-41EF-4D6B-AC60-770806AF0B88}">
      <text>
        <t>[Threaded comment]
Your version of Excel allows you to read this threaded comment; however, any edits to it will get removed if the file is opened in a newer version of Excel. Learn more: https://go.microsoft.com/fwlink/?linkid=870924
Comment:
    Equation 25</t>
      </text>
    </comment>
    <comment ref="E131" authorId="76" shapeId="0" xr:uid="{4E54972C-A621-4DDF-A831-AFE88CAF9B6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32" authorId="77" shapeId="0" xr:uid="{DA178A16-0586-41EE-8F93-D3947113544C}">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3" authorId="78" shapeId="0" xr:uid="{9D57DCD2-E110-4CB9-8220-5BBA2A9013A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5" authorId="79" shapeId="0" xr:uid="{CA582E1D-9046-4CBC-9C52-49312F1450DE}">
      <text>
        <t>[Threaded comment]
Your version of Excel allows you to read this threaded comment; however, any edits to it will get removed if the file is opened in a newer version of Excel. Learn more: https://go.microsoft.com/fwlink/?linkid=870924
Comment:
    Equation 26</t>
      </text>
    </comment>
    <comment ref="E136" authorId="80" shapeId="0" xr:uid="{520E90A4-C005-4589-84AD-D8C137BEC7E3}">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7" authorId="81" shapeId="0" xr:uid="{54A9CCAA-E4C1-4320-8EE6-DCCFA05E4877}">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9" authorId="82" shapeId="0" xr:uid="{4FA58F26-2BF2-43AC-9F33-7D3645CA288F}">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40" authorId="83" shapeId="0" xr:uid="{27E41BEE-A3EF-481D-AF66-82F306E95685}">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41" authorId="84" shapeId="0" xr:uid="{7D9CF5F4-E451-4707-BBEA-6920C3E380F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42" authorId="85" shapeId="0" xr:uid="{6A12C629-34EB-4434-9715-D4903C2C145E}">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3" authorId="86" shapeId="0" xr:uid="{BF30298D-3CDA-49CD-9882-2F546815A729}">
      <text>
        <t>[Threaded comment]
Your version of Excel allows you to read this threaded comment; however, any edits to it will get removed if the file is opened in a newer version of Excel. Learn more: https://go.microsoft.com/fwlink/?linkid=870924
Comment:
    Equation 27</t>
      </text>
    </comment>
    <comment ref="E154" authorId="87" shapeId="0" xr:uid="{FEBBC373-C2DF-47D1-88DE-5819D6CE3C5B}">
      <text>
        <t>[Threaded comment]
Your version of Excel allows you to read this threaded comment; however, any edits to it will get removed if the file is opened in a newer version of Excel. Learn more: https://go.microsoft.com/fwlink/?linkid=870924
Comment:
    Equation 3</t>
      </text>
    </comment>
    <comment ref="E155" authorId="88" shapeId="0" xr:uid="{76C4F503-A77E-46A3-8168-9ECB032144C0}">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6" authorId="89" shapeId="0" xr:uid="{F5F3A181-F1FB-4C85-94B5-9D97E3CBD3C7}">
      <text>
        <t>[Threaded comment]
Your version of Excel allows you to read this threaded comment; however, any edits to it will get removed if the file is opened in a newer version of Excel. Learn more: https://go.microsoft.com/fwlink/?linkid=870924
Comment:
    Equation 4</t>
      </text>
    </comment>
    <comment ref="E157" authorId="90" shapeId="0" xr:uid="{DDDDC69E-834D-474B-9988-E4F18F1BCC79}">
      <text>
        <t>[Threaded comment]
Your version of Excel allows you to read this threaded comment; however, any edits to it will get removed if the file is opened in a newer version of Excel. Learn more: https://go.microsoft.com/fwlink/?linkid=870924
Comment:
    Equation 5</t>
      </text>
    </comment>
    <comment ref="E158" authorId="91" shapeId="0" xr:uid="{875DB33E-95F4-40A0-8169-FAD7213FEE46}">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9" authorId="92" shapeId="0" xr:uid="{B3D1B65B-A956-451C-A6BE-6BEF6964437E}">
      <text>
        <t>[Threaded comment]
Your version of Excel allows you to read this threaded comment; however, any edits to it will get removed if the file is opened in a newer version of Excel. Learn more: https://go.microsoft.com/fwlink/?linkid=870924
Comment:
    Equation 6</t>
      </text>
    </comment>
    <comment ref="E160" authorId="93" shapeId="0" xr:uid="{A86BB9CC-B54B-4A0B-BCBA-F57D697FF2D6}">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62" authorId="94" shapeId="0" xr:uid="{94CCEC28-EE34-46D4-9ED9-D27A17AA5421}">
      <text>
        <t>[Threaded comment]
Your version of Excel allows you to read this threaded comment; however, any edits to it will get removed if the file is opened in a newer version of Excel. Learn more: https://go.microsoft.com/fwlink/?linkid=870924
Comment:
    Equation 7</t>
      </text>
    </comment>
    <comment ref="E163" authorId="95" shapeId="0" xr:uid="{0833E53B-79A8-4D59-8F73-83D979C3E478}">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4" authorId="96" shapeId="0" xr:uid="{F6F0ACB2-721D-4744-BD1F-63018FF904EE}">
      <text>
        <t>[Threaded comment]
Your version of Excel allows you to read this threaded comment; however, any edits to it will get removed if the file is opened in a newer version of Excel. Learn more: https://go.microsoft.com/fwlink/?linkid=870924
Comment:
    Equation 8</t>
      </text>
    </comment>
    <comment ref="E165" authorId="97" shapeId="0" xr:uid="{44F2E363-8AAC-4CA4-AC7F-244736867F5D}">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7" authorId="98" shapeId="0" xr:uid="{1905FE04-5DCD-4105-B2FC-D986C6218C65}">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9" authorId="99" shapeId="0" xr:uid="{26B4DE85-AB21-486D-A807-030F999E5967}">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70" authorId="100" shapeId="0" xr:uid="{7194E3C7-F8F4-4204-951D-FB2218E3FE24}">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71" authorId="101" shapeId="0" xr:uid="{EE82FDBF-BCE0-4123-B0AF-E79330C42466}">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72" authorId="102" shapeId="0" xr:uid="{3AB3A63F-3C9B-4094-AB4A-2710F39993A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3" authorId="103" shapeId="0" xr:uid="{EF759621-E3B7-4594-AC8E-76B05C689931}">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4" shapeId="0" xr:uid="{C8D74175-331B-4305-BCAF-7EE0EA3B9243}">
      <text>
        <t>[Threaded comment]
Your version of Excel allows you to read this threaded comment; however, any edits to it will get removed if the file is opened in a newer version of Excel. Learn more: https://go.microsoft.com/fwlink/?linkid=870924
Comment:
    Equation 1</t>
      </text>
    </comment>
    <comment ref="E175" authorId="105" shapeId="0" xr:uid="{EF3D907A-195C-4396-B23A-97236C978E59}">
      <text>
        <t>[Threaded comment]
Your version of Excel allows you to read this threaded comment; however, any edits to it will get removed if the file is opened in a newer version of Excel. Learn more: https://go.microsoft.com/fwlink/?linkid=870924
Comment:
    Equation 2</t>
      </text>
    </comment>
    <comment ref="E177" authorId="106" shapeId="0" xr:uid="{46A5723C-E91E-47B5-8AC8-2585F418F2E6}">
      <text>
        <t>[Threaded comment]
Your version of Excel allows you to read this threaded comment; however, any edits to it will get removed if the file is opened in a newer version of Excel. Learn more: https://go.microsoft.com/fwlink/?linkid=870924
Comment:
    Equation 11</t>
      </text>
    </comment>
    <comment ref="E178" authorId="107" shapeId="0" xr:uid="{690EC276-BDAE-4BA2-B2D3-0BB144D30632}">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9" authorId="108" shapeId="0" xr:uid="{2924C288-A68C-4020-A25B-6F2BDA8D4A5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80" authorId="109" shapeId="0" xr:uid="{1DEA75E1-9414-4C39-891C-BC0DF16741F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4" authorId="110" shapeId="0" xr:uid="{3084C6D2-BF34-4BAC-BBC3-340C3D154E2B}">
      <text>
        <t>[Threaded comment]
Your version of Excel allows you to read this threaded comment; however, any edits to it will get removed if the file is opened in a newer version of Excel. Learn more: https://go.microsoft.com/fwlink/?linkid=870924
Comment:
    Equation 22</t>
      </text>
    </comment>
    <comment ref="E185" authorId="111" shapeId="0" xr:uid="{E60721BA-F71F-451F-AB8D-032B1BE50234}">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6" authorId="112" shapeId="0" xr:uid="{342C8ABD-39AB-4507-8E97-35284AAFFD8C}">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7" authorId="113" shapeId="0" xr:uid="{3E58BFD8-2666-4808-AD35-B92BB1BCAEA2}">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8" authorId="114" shapeId="0" xr:uid="{DCDB822A-583D-4BEF-BB72-84718B7AAD69}">
      <text>
        <t>[Threaded comment]
Your version of Excel allows you to read this threaded comment; however, any edits to it will get removed if the file is opened in a newer version of Excel. Learn more: https://go.microsoft.com/fwlink/?linkid=870924
Comment:
    Equation 23</t>
      </text>
    </comment>
    <comment ref="E189" authorId="115" shapeId="0" xr:uid="{6A2217A1-7B73-4A70-A8B3-AF1B67CB270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4" authorId="116" shapeId="0" xr:uid="{C662479D-F1AF-4277-B8BC-B1B80A690BDB}">
      <text>
        <t>[Threaded comment]
Your version of Excel allows you to read this threaded comment; however, any edits to it will get removed if the file is opened in a newer version of Excel. Learn more: https://go.microsoft.com/fwlink/?linkid=870924
Comment:
    Equation 12</t>
      </text>
    </comment>
    <comment ref="E205" authorId="117" shapeId="0" xr:uid="{4B5DDB44-8B3E-41F7-959B-E204B0299C6C}">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6" authorId="118" shapeId="0" xr:uid="{3709EC15-4680-4E7F-AA8C-933F690D19D9}">
      <text>
        <t>[Threaded comment]
Your version of Excel allows you to read this threaded comment; however, any edits to it will get removed if the file is opened in a newer version of Excel. Learn more: https://go.microsoft.com/fwlink/?linkid=870924
Comment:
    Equation 13</t>
      </text>
    </comment>
    <comment ref="E207" authorId="119" shapeId="0" xr:uid="{092D3014-5004-4520-8908-7672C712A47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8" authorId="120" shapeId="0" xr:uid="{B139516E-C7A6-4F3C-813D-7643551381CB}">
      <text>
        <t>[Threaded comment]
Your version of Excel allows you to read this threaded comment; however, any edits to it will get removed if the file is opened in a newer version of Excel. Learn more: https://go.microsoft.com/fwlink/?linkid=870924
Comment:
    Equation 14</t>
      </text>
    </comment>
    <comment ref="E209" authorId="121" shapeId="0" xr:uid="{13C2ECB5-80A2-4E77-99FF-A8CD927CD366}">
      <text>
        <t>[Threaded comment]
Your version of Excel allows you to read this threaded comment; however, any edits to it will get removed if the file is opened in a newer version of Excel. Learn more: https://go.microsoft.com/fwlink/?linkid=870924
Comment:
    Equation 15</t>
      </text>
    </comment>
    <comment ref="E210" authorId="122" shapeId="0" xr:uid="{4D2CAE2A-2782-45A2-B91B-295A347F08E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12" authorId="123" shapeId="0" xr:uid="{16C91B07-6471-486F-9926-03169E17C01E}">
      <text>
        <t>[Threaded comment]
Your version of Excel allows you to read this threaded comment; however, any edits to it will get removed if the file is opened in a newer version of Excel. Learn more: https://go.microsoft.com/fwlink/?linkid=870924
Comment:
    Equation 16</t>
      </text>
    </comment>
    <comment ref="E213" authorId="124" shapeId="0" xr:uid="{0E20BD1F-1D89-48D6-9188-34F696A2F70A}">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4" authorId="125" shapeId="0" xr:uid="{571F1B99-53B2-4DE1-AEC7-D53F07EC4092}">
      <text>
        <t>[Threaded comment]
Your version of Excel allows you to read this threaded comment; however, any edits to it will get removed if the file is opened in a newer version of Excel. Learn more: https://go.microsoft.com/fwlink/?linkid=870924
Comment:
    Equation 17</t>
      </text>
    </comment>
    <comment ref="E215" authorId="126" shapeId="0" xr:uid="{DBF749F0-B934-42B3-A51D-508ABDA5F852}">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7" authorId="127" shapeId="0" xr:uid="{F8D269F5-4A4B-4F2A-AFDA-6A6C359184A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9" authorId="128" shapeId="0" xr:uid="{09C8B70D-28C2-4FCF-9C6D-E654B6DF8657}">
      <text>
        <t>[Threaded comment]
Your version of Excel allows you to read this threaded comment; however, any edits to it will get removed if the file is opened in a newer version of Excel. Learn more: https://go.microsoft.com/fwlink/?linkid=870924
Comment:
    Equation 12?</t>
      </text>
    </comment>
    <comment ref="E220" authorId="129" shapeId="0" xr:uid="{169A809C-A4B7-427A-99CA-1DD421172F66}">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21" authorId="130" shapeId="0" xr:uid="{3EEA85A6-2C67-4847-908C-F64BB24557CD}">
      <text>
        <t>[Threaded comment]
Your version of Excel allows you to read this threaded comment; however, any edits to it will get removed if the file is opened in a newer version of Excel. Learn more: https://go.microsoft.com/fwlink/?linkid=870924
Comment:
    Equation 13</t>
      </text>
    </comment>
    <comment ref="E222" authorId="131" shapeId="0" xr:uid="{B1C15CAF-14B6-4BDE-B569-8912EDA6EDE1}">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3" authorId="132" shapeId="0" xr:uid="{C7F4C9C4-FB5C-4677-B5A8-1D25B306417C}">
      <text>
        <t>[Threaded comment]
Your version of Excel allows you to read this threaded comment; however, any edits to it will get removed if the file is opened in a newer version of Excel. Learn more: https://go.microsoft.com/fwlink/?linkid=870924
Comment:
    Equation 14</t>
      </text>
    </comment>
    <comment ref="E224" authorId="133" shapeId="0" xr:uid="{66E30537-7500-4248-8608-0853761E001C}">
      <text>
        <t>[Threaded comment]
Your version of Excel allows you to read this threaded comment; however, any edits to it will get removed if the file is opened in a newer version of Excel. Learn more: https://go.microsoft.com/fwlink/?linkid=870924
Comment:
    Equation 15</t>
      </text>
    </comment>
    <comment ref="E225" authorId="134" shapeId="0" xr:uid="{62C02FE6-AB7F-4FEF-B0A4-B0497FEE400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7" authorId="135" shapeId="0" xr:uid="{3F027C50-E795-4CD0-A179-E7B1E2AFEF71}">
      <text>
        <t>[Threaded comment]
Your version of Excel allows you to read this threaded comment; however, any edits to it will get removed if the file is opened in a newer version of Excel. Learn more: https://go.microsoft.com/fwlink/?linkid=870924
Comment:
    Equation 18</t>
      </text>
    </comment>
    <comment ref="E228" authorId="136" shapeId="0" xr:uid="{C46DF5A0-1B89-4CFD-9F9F-64B9F97D133D}">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9" authorId="137" shapeId="0" xr:uid="{E4EF1CA6-C4BA-4046-A287-125AC58AD1E9}">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30" authorId="138" shapeId="0" xr:uid="{9965EF55-264D-41F7-8F36-CF5644A6F784}">
      <text>
        <t>[Threaded comment]
Your version of Excel allows you to read this threaded comment; however, any edits to it will get removed if the file is opened in a newer version of Excel. Learn more: https://go.microsoft.com/fwlink/?linkid=870924
Comment:
    For equation 18</t>
      </text>
    </comment>
    <comment ref="E231" authorId="139" shapeId="0" xr:uid="{3005583D-FEAE-4550-8566-114060484CE4}">
      <text>
        <t>[Threaded comment]
Your version of Excel allows you to read this threaded comment; however, any edits to it will get removed if the file is opened in a newer version of Excel. Learn more: https://go.microsoft.com/fwlink/?linkid=870924
Comment:
    For equation 18</t>
      </text>
    </comment>
    <comment ref="E232" authorId="140" shapeId="0" xr:uid="{CF88604F-B3BE-466F-BBF3-5585ACB0640D}">
      <text>
        <t>[Threaded comment]
Your version of Excel allows you to read this threaded comment; however, any edits to it will get removed if the file is opened in a newer version of Excel. Learn more: https://go.microsoft.com/fwlink/?linkid=870924
Comment:
    Equation 19</t>
      </text>
    </comment>
    <comment ref="E233" authorId="141" shapeId="0" xr:uid="{2E0D58E4-89AB-474A-8005-D15B100ECBF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4" authorId="142" shapeId="0" xr:uid="{04DC5737-B11E-4F67-B221-A0D28D718823}">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6" authorId="143" shapeId="0" xr:uid="{66387E9B-C12D-4668-A303-E46C2D1C05AB}">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7" authorId="144" shapeId="0" xr:uid="{F7897D7E-CFD2-43BC-8A4D-A2ECA81CC5F4}">
      <text>
        <t>[Threaded comment]
Your version of Excel allows you to read this threaded comment; however, any edits to it will get removed if the file is opened in a newer version of Excel. Learn more: https://go.microsoft.com/fwlink/?linkid=870924
Comment:
    date</t>
      </text>
    </comment>
    <comment ref="E246" authorId="145" shapeId="0" xr:uid="{737648F7-4266-4D72-B8EC-7E7FBE49EDB1}">
      <text>
        <t>[Threaded comment]
Your version of Excel allows you to read this threaded comment; however, any edits to it will get removed if the file is opened in a newer version of Excel. Learn more: https://go.microsoft.com/fwlink/?linkid=870924
Comment:
    Equation 24</t>
      </text>
    </comment>
    <comment ref="E247" authorId="146" shapeId="0" xr:uid="{AF4E16C4-0DF7-4B2C-9B7E-C7933E128F8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8" authorId="147" shapeId="0" xr:uid="{0DE1EB49-17A7-48C7-B5A8-02B0E25F33F6}">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50" authorId="148" shapeId="0" xr:uid="{C3536F7B-067B-4F6D-B576-134D23E4E42D}">
      <text>
        <t>[Threaded comment]
Your version of Excel allows you to read this threaded comment; however, any edits to it will get removed if the file is opened in a newer version of Excel. Learn more: https://go.microsoft.com/fwlink/?linkid=870924
Comment:
    Equation 25</t>
      </text>
    </comment>
    <comment ref="E251" authorId="149" shapeId="0" xr:uid="{4AA5D372-7DD6-47CC-ACC3-50F30A952D1C}">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52" authorId="150" shapeId="0" xr:uid="{AA3DE2D0-9398-4969-92F5-8894E17591A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3" authorId="151" shapeId="0" xr:uid="{59DB3DD5-3F6E-495F-9AA1-9948853948DA}">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5" authorId="152" shapeId="0" xr:uid="{A4017819-E6A4-43E1-8DBA-EA4FBD704E17}">
      <text>
        <t>[Threaded comment]
Your version of Excel allows you to read this threaded comment; however, any edits to it will get removed if the file is opened in a newer version of Excel. Learn more: https://go.microsoft.com/fwlink/?linkid=870924
Comment:
    Equation 26</t>
      </text>
    </comment>
    <comment ref="E256" authorId="153" shapeId="0" xr:uid="{BF6E8C8B-64B3-43FA-BAB7-AE48BA851B30}">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7" authorId="154" shapeId="0" xr:uid="{9F61E18C-483E-477F-B301-9E3DB44690A4}">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9" authorId="155" shapeId="0" xr:uid="{DBBBCFBA-B9DA-4A5A-823F-E11FDB0C0D59}">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60" authorId="156" shapeId="0" xr:uid="{CF49869B-D00E-4E7B-9811-AED314F399C9}">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61" authorId="157" shapeId="0" xr:uid="{80023493-07F9-4BB9-B004-039D5C0E067E}">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62" authorId="158" shapeId="0" xr:uid="{67CD27C9-006E-4614-8AA7-E0D16098F42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3" authorId="159" shapeId="0" xr:uid="{7F1FF554-101A-4AE6-9577-2FBE19E24204}">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tc={073EF58B-56BA-4596-BB3D-91CC84C47095}</author>
    <author>tc={93D53491-1D53-4708-9A50-BCA5A75428FF}</author>
    <author>tc={01290E34-AB9E-4FC3-92C8-918188C69A18}</author>
    <author>tc={11993DB6-2E7E-41CE-8ED2-D0D4A43EED6F}</author>
    <author>tc={ED79282A-7AE8-4A1F-9EEE-C9FF154D9985}</author>
    <author>tc={533ABFB3-6C60-413E-87A5-1398C9E66140}</author>
    <author>tc={5F1FFC6E-63B5-46C9-9697-0E0786AC3993}</author>
    <author>tc={916B8349-CD41-478E-B5F0-A470376B3271}</author>
    <author>tc={9697C6A7-7203-40F0-852C-788AF785BD76}</author>
  </authors>
  <commentList>
    <comment ref="E5" authorId="0" shapeId="0" xr:uid="{073EF58B-56BA-4596-BB3D-91CC84C47095}">
      <text>
        <t>[Threaded comment]
Your version of Excel allows you to read this threaded comment; however, any edits to it will get removed if the file is opened in a newer version of Excel. Learn more: https://go.microsoft.com/fwlink/?linkid=870924
Comment:
    Equation 18</t>
      </text>
    </comment>
    <comment ref="E6" authorId="1" shapeId="0" xr:uid="{93D53491-1D53-4708-9A50-BCA5A75428FF}">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7" authorId="2" shapeId="0" xr:uid="{01290E34-AB9E-4FC3-92C8-918188C69A18}">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8" authorId="3" shapeId="0" xr:uid="{11993DB6-2E7E-41CE-8ED2-D0D4A43EED6F}">
      <text>
        <t>[Threaded comment]
Your version of Excel allows you to read this threaded comment; however, any edits to it will get removed if the file is opened in a newer version of Excel. Learn more: https://go.microsoft.com/fwlink/?linkid=870924
Comment:
    For equation 18</t>
      </text>
    </comment>
    <comment ref="E9" authorId="4" shapeId="0" xr:uid="{ED79282A-7AE8-4A1F-9EEE-C9FF154D9985}">
      <text>
        <t>[Threaded comment]
Your version of Excel allows you to read this threaded comment; however, any edits to it will get removed if the file is opened in a newer version of Excel. Learn more: https://go.microsoft.com/fwlink/?linkid=870924
Comment:
    For equation 18</t>
      </text>
    </comment>
    <comment ref="E10" authorId="5" shapeId="0" xr:uid="{533ABFB3-6C60-413E-87A5-1398C9E66140}">
      <text>
        <t>[Threaded comment]
Your version of Excel allows you to read this threaded comment; however, any edits to it will get removed if the file is opened in a newer version of Excel. Learn more: https://go.microsoft.com/fwlink/?linkid=870924
Comment:
    Equation 19</t>
      </text>
    </comment>
    <comment ref="E11" authorId="6" shapeId="0" xr:uid="{5F1FFC6E-63B5-46C9-9697-0E0786AC3993}">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2" authorId="7" shapeId="0" xr:uid="{916B8349-CD41-478E-B5F0-A470376B3271}">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4" authorId="8" shapeId="0" xr:uid="{9697C6A7-7203-40F0-852C-788AF785BD76}">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tc={AD4AC052-6635-4F52-A908-8347DD3BB042}</author>
    <author>tc={2DAAF999-79D2-406E-AE71-1F62FC5BE9A2}</author>
    <author>tc={48F17167-B033-4FE7-8782-A26DE8B21066}</author>
  </authors>
  <commentList>
    <comment ref="E9" authorId="0" shapeId="0" xr:uid="{AD4AC052-6635-4F52-A908-8347DD3BB042}">
      <text>
        <t>[Threaded comment]
Your version of Excel allows you to read this threaded comment; however, any edits to it will get removed if the file is opened in a newer version of Excel. Learn more: https://go.microsoft.com/fwlink/?linkid=870924
Comment:
    Equation 24</t>
      </text>
    </comment>
    <comment ref="E10" authorId="1" shapeId="0" xr:uid="{2DAAF999-79D2-406E-AE71-1F62FC5BE9A2}">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1" authorId="2" shapeId="0" xr:uid="{48F17167-B033-4FE7-8782-A26DE8B21066}">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tc={370295E8-0C0B-4B89-87A2-A550BD9EF496}</author>
    <author>tc={43E48D55-4471-4A29-9E81-E23840A3D7A5}</author>
    <author>tc={B4C2566B-3C06-4059-AE96-21C674409CF8}</author>
    <author>tc={78743D18-0090-409C-9C2A-4649F6EA45E5}</author>
  </authors>
  <commentList>
    <comment ref="E5" authorId="0" shapeId="0" xr:uid="{370295E8-0C0B-4B89-87A2-A550BD9EF496}">
      <text>
        <t>[Threaded comment]
Your version of Excel allows you to read this threaded comment; however, any edits to it will get removed if the file is opened in a newer version of Excel. Learn more: https://go.microsoft.com/fwlink/?linkid=870924
Comment:
    Equation 25</t>
      </text>
    </comment>
    <comment ref="E6" authorId="1" shapeId="0" xr:uid="{43E48D55-4471-4A29-9E81-E23840A3D7A5}">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7" authorId="2" shapeId="0" xr:uid="{B4C2566B-3C06-4059-AE96-21C674409CF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8" authorId="3" shapeId="0" xr:uid="{78743D18-0090-409C-9C2A-4649F6EA45E5}">
      <text>
        <t>[Threaded comment]
Your version of Excel allows you to read this threaded comment; however, any edits to it will get removed if the file is opened in a newer version of Excel. Learn more: https://go.microsoft.com/fwlink/?linkid=870924
Comment:
    T for equation 25</t>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tc={02E73014-13B1-4EB9-9EB6-2A10065E1856}</author>
    <author>tc={18A228A5-4980-4D8E-AA6A-52AF3FC1CA24}</author>
    <author>tc={DC67EA6B-AE0A-4E1F-B1D5-2F41FFAF36F9}</author>
    <author>tc={7B14FEAF-BFD1-473D-BEE8-DADC5377AEED}</author>
    <author>tc={747F9247-EABE-4FFC-95D8-061256B7A695}</author>
    <author>tc={DEE03AD8-6D38-4F97-9651-61E5BCBE5D6F}</author>
    <author>tc={9B5AB545-70D7-455F-9FD7-B73BC5A6884C}</author>
    <author>tc={560C19AA-FD7D-4785-9292-03CCE6C28280}</author>
  </authors>
  <commentList>
    <comment ref="E5" authorId="0" shapeId="0" xr:uid="{02E73014-13B1-4EB9-9EB6-2A10065E1856}">
      <text>
        <t>[Threaded comment]
Your version of Excel allows you to read this threaded comment; however, any edits to it will get removed if the file is opened in a newer version of Excel. Learn more: https://go.microsoft.com/fwlink/?linkid=870924
Comment:
    Equation 26</t>
      </text>
    </comment>
    <comment ref="E6" authorId="1" shapeId="0" xr:uid="{18A228A5-4980-4D8E-AA6A-52AF3FC1CA24}">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7" authorId="2" shapeId="0" xr:uid="{DC67EA6B-AE0A-4E1F-B1D5-2F41FFAF36F9}">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9" authorId="3" shapeId="0" xr:uid="{7B14FEAF-BFD1-473D-BEE8-DADC5377AEE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0" authorId="4" shapeId="0" xr:uid="{747F9247-EABE-4FFC-95D8-061256B7A695}">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 authorId="5" shapeId="0" xr:uid="{DEE03AD8-6D38-4F97-9651-61E5BCBE5D6F}">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 authorId="6" shapeId="0" xr:uid="{9B5AB545-70D7-455F-9FD7-B73BC5A6884C}">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 authorId="7" shapeId="0" xr:uid="{560C19AA-FD7D-4785-9292-03CCE6C2828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4.xml><?xml version="1.0" encoding="utf-8"?>
<comments xmlns="http://schemas.openxmlformats.org/spreadsheetml/2006/main" xmlns:mc="http://schemas.openxmlformats.org/markup-compatibility/2006" xmlns:xr="http://schemas.microsoft.com/office/spreadsheetml/2014/revision" mc:Ignorable="xr">
  <authors>
    <author>tc={4E14AC8B-D871-4249-B867-CBC71D8D4B11}</author>
    <author>tc={858D3CFD-307A-4ED6-BCF9-03E0CA3C356E}</author>
    <author>tc={F00068ED-23CC-455B-B51C-863CA1236FB2}</author>
    <author>tc={0F74A222-B183-4690-8114-1BEB8AA8CDB0}</author>
    <author>tc={5EA1538F-60E7-4614-B677-7F836A801275}</author>
  </authors>
  <commentList>
    <comment ref="E5" authorId="0" shapeId="0" xr:uid="{4E14AC8B-D871-4249-B867-CBC71D8D4B11}">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 authorId="1" shapeId="0" xr:uid="{858D3CFD-307A-4ED6-BCF9-03E0CA3C356E}">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7" authorId="2" shapeId="0" xr:uid="{F00068ED-23CC-455B-B51C-863CA1236FB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8" authorId="3" shapeId="0" xr:uid="{0F74A222-B183-4690-8114-1BEB8AA8CDB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9" authorId="4" shapeId="0" xr:uid="{5EA1538F-60E7-4614-B677-7F836A801275}">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5.xml><?xml version="1.0" encoding="utf-8"?>
<comments xmlns="http://schemas.openxmlformats.org/spreadsheetml/2006/main" xmlns:mc="http://schemas.openxmlformats.org/markup-compatibility/2006" xmlns:xr="http://schemas.microsoft.com/office/spreadsheetml/2014/revision" mc:Ignorable="xr">
  <authors>
    <author>tc={5395E4ED-8E97-4C31-A4C6-364C59365269}</author>
    <author>tc={505B7186-E588-481C-BEDA-892A4FE6CF8A}</author>
    <author>tc={933A460E-5D67-4408-A7A4-307958991CD4}</author>
    <author>tc={20841765-1B89-4D34-A5F0-AAB8C2FE9F95}</author>
    <author>tc={0A849BD7-1275-47AA-A026-274BC4665A77}</author>
    <author>tc={6D340ED4-4AFC-4997-A68F-F4EB5E57CF80}</author>
    <author>tc={FAD10F96-4F2F-47C9-9346-F6AE729B713C}</author>
    <author>tc={092EBF23-CBA1-4689-AC4C-A1AF68EBAFBB}</author>
    <author>tc={EE6EAF6D-824A-4A82-9365-B6155B55802C}</author>
    <author>tc={C05CF809-F26F-4C6F-822B-6E4A3E7CB414}</author>
    <author>tc={4FD490D3-7D00-4F88-A0C4-EFFFA0782071}</author>
    <author>tc={43328B9A-582A-4F25-9C2F-74366EE00560}</author>
    <author>tc={49964E15-A021-4706-8226-93C8D0EB0394}</author>
    <author>tc={E5F21A3D-06D4-4F9B-A8AB-A470DCE9133B}</author>
    <author>tc={6387DA71-2AE7-4E2E-AFD6-224DE502F990}</author>
    <author>tc={9B218C3B-1108-4383-87D2-5E7279CA69AB}</author>
    <author>tc={C02E2908-383D-4A3F-AE09-CA984AF18B63}</author>
    <author>tc={CF5906AA-5F0A-45CF-8944-DA003A0016FC}</author>
    <author>tc={375F0F08-3A0B-4183-B8A0-C7C71505827A}</author>
    <author>tc={E5E78005-0C4B-4F26-98A7-0C70AFEE68CA}</author>
    <author>tc={B113D47C-873B-49FD-8944-5E2D06802FDF}</author>
    <author>tc={30A93166-5C1F-4AEF-A2EB-B6D16C9AF7BE}</author>
    <author>tc={EF05025C-C1C9-4FE7-BFCE-22F83A11A426}</author>
    <author>tc={90DDFE0D-1713-49F6-8D00-AEA15BB71320}</author>
    <author>tc={03C650AE-0820-4755-9A88-D621173310A8}</author>
    <author>tc={6BC16FCB-5171-45FF-A24E-BDAC95DA1E73}</author>
    <author>tc={3657E7F3-476A-406C-BFCB-E0A92714B987}</author>
    <author>tc={37DD455C-0DE0-48EB-BCC4-195C769F7763}</author>
    <author>tc={766D7441-4353-4D1E-8756-14D3C0B221B9}</author>
    <author>tc={3DE1675B-8E73-4527-A462-871D9DEE86FD}</author>
    <author>tc={2AA32A8A-2ED8-4A49-88FC-BC68840E5E6B}</author>
    <author>tc={6DEF38BA-D631-443A-84FF-914D23A4DCA6}</author>
    <author>tc={8D0F2CAE-8724-4A6E-870F-811215803AD2}</author>
    <author>tc={A6CA24D4-7ABF-4120-82C1-9A678D6D8D79}</author>
    <author>tc={F674E242-2600-4E83-AF45-1A4186B7CC9B}</author>
    <author>tc={AE98A35F-71B0-4F38-ABC7-D38637E20245}</author>
    <author>tc={C25C2F9C-EA3F-4B82-B90C-8A49BDAA668D}</author>
    <author>tc={B93DE298-EFE3-4500-B887-8774A45B16B9}</author>
    <author>tc={DFF00C2F-E7FC-477B-9C6A-DBAD486F235C}</author>
    <author>tc={C9C84ACF-039D-48D2-84EE-FD7C49AB7F0B}</author>
    <author>tc={FB779869-679B-4339-B22C-B391BBEF9CB0}</author>
    <author>tc={8F80E26D-1183-46B2-BA06-2B37F79533BA}</author>
    <author>tc={7C5DDDCA-9978-4B47-B434-3C29BC6BBD8D}</author>
    <author>tc={B9EF3C69-5CD6-4175-B371-7092310AF65F}</author>
    <author>tc={E3A9574F-2BBF-47EE-BF58-0FFBB44C5C41}</author>
    <author>tc={FDBD1AD0-32AD-43D4-AAF0-A5ACA4FB7D58}</author>
    <author>tc={6B139F29-5534-4792-BA5A-800E217BEBE6}</author>
    <author>tc={5C79D388-4CAE-436C-92A2-41A31A6BD1F2}</author>
    <author>tc={B7852F9F-F0AB-46AB-A335-28E3CCF99908}</author>
    <author>tc={93CBB25E-687F-462F-90F4-CC0F58D402DA}</author>
    <author>tc={42822335-4185-447E-BD3A-AC69A0D22965}</author>
    <author>tc={B6239ABD-2CAF-4B3C-B0C4-BF9F82F89507}</author>
    <author>tc={76BEADFE-892C-4E01-B1A8-212DAB6A619E}</author>
    <author>tc={09482853-FD32-4D06-81F3-B3CE5CC46C98}</author>
    <author>tc={0C26BE9D-22E2-4986-817F-C88CC0CCE96C}</author>
    <author>tc={FA7125EC-8056-48FC-82A5-EFA83F9DCF9B}</author>
    <author>tc={63927D50-705C-4089-8DD4-976B33DA5700}</author>
    <author>tc={26D46455-2E0F-4216-A3C7-9345E6B43C32}</author>
    <author>tc={B3661AF0-2FD8-451E-A0C1-E54F8AD6A215}</author>
    <author>tc={5FEC04C5-408F-4EF8-86E6-CED63D20AE85}</author>
    <author>tc={5B14B476-88C6-4678-8987-2054476F02B4}</author>
    <author>tc={B9EB7191-D50A-477C-A1F5-203C86275C59}</author>
    <author>tc={BA9DBAA9-2FF7-413B-A15D-EC3142CA3B95}</author>
    <author>tc={0066C2F0-BF05-4FDC-9A5D-5CEE54D83B62}</author>
    <author>tc={AE3DF0B0-543C-44FE-881F-6D486C3D70CC}</author>
    <author>tc={64A7822A-20C6-4BCC-ABAE-F20BCE09FC32}</author>
    <author>tc={6069DFA3-4BC2-4ECB-8AD7-A6F437C12386}</author>
    <author>tc={7504F200-D56E-4899-8738-0F2C2FEE3E86}</author>
    <author>tc={8D4860E2-2361-4CC0-BDEA-F7424FD6F122}</author>
    <author>tc={F050DA93-6E0E-45CE-9FFC-60700D166C38}</author>
    <author>tc={0E0BA09D-3805-4DF4-BB1E-BA13C48607DF}</author>
    <author>tc={4F1292A5-F221-4971-8497-FB784DE95CE0}</author>
    <author>tc={68CB1664-C91E-4B67-B958-8D0D38AEB5DB}</author>
    <author>tc={07FEE29C-F6F2-49A1-ADD1-CC05EE4FD73E}</author>
    <author>tc={934EF5C6-05C2-4D28-BED3-46BC48BE3DB1}</author>
    <author>tc={EA6235FB-3646-41DE-AC20-ED7638E510D1}</author>
    <author>tc={4181E392-CCE7-43BA-85FC-C12EC158E6A6}</author>
    <author>tc={ECFE04B7-017A-474C-AA92-343C01860980}</author>
    <author>tc={E04AB917-B8DF-4373-8D1C-355C3CAE7FEC}</author>
    <author>tc={5B81D85D-BDDC-4356-843B-BE34007B7EE4}</author>
    <author>tc={2A897D52-E039-4214-B04E-AE985705D60E}</author>
    <author>tc={D52CB14A-7EBF-4025-B5DA-0569E8802C1B}</author>
    <author>tc={FE8BBF56-F81B-4810-9F48-3D954F7D299D}</author>
    <author>tc={6901AD89-8ECC-40F8-BC25-E75CA838039D}</author>
    <author>tc={752411A2-571C-43B9-B670-BE9DF626E7A4}</author>
    <author>tc={BD37DA5A-4035-464F-AF7A-82948E12E5ED}</author>
    <author>tc={4C0A1631-5658-4694-AA69-B8EC562B0917}</author>
    <author>tc={52E0F034-75BE-4B5B-A3C5-D8C48BB693AC}</author>
    <author>tc={338C226E-F0C3-4DCD-A8FD-8E6434B019BF}</author>
    <author>tc={45778C49-D148-42DC-80A8-144F16D5E7FB}</author>
    <author>tc={C7B41709-9AFF-4B14-B042-2410B14844EE}</author>
    <author>tc={F6CDDA67-3D34-469B-8BFA-65D9D4B49EB5}</author>
    <author>tc={DEA5E291-B2B3-4E18-AAD8-8126E24A5CAD}</author>
    <author>tc={946DDE23-52D5-41EB-83B6-22BC91347D99}</author>
    <author>tc={4731F6D5-D516-4D75-97E6-80C65AAF26D1}</author>
    <author>tc={6455C62C-67C6-40A4-8555-4C5974E0C555}</author>
    <author>tc={7502877F-F0BA-4BC4-8386-698B1BC402B5}</author>
    <author>tc={8D3242EC-6EAA-4F9A-8FE5-789B04D8639A}</author>
    <author>tc={BEDD4BD7-E311-4B2E-BD3B-6C8F751ED1B6}</author>
    <author>tc={57CF954A-79D0-41FB-B99D-8173E81F3585}</author>
    <author>tc={68670FF7-4143-49D2-9E39-FF4E3848CCE4}</author>
    <author>tc={6C8B2C55-5598-4688-87D1-FEFF37E84B10}</author>
    <author>tc={F47FF2E1-E63D-4FBD-A7EC-FB02A5E7501D}</author>
    <author>tc={7434F1E1-AB6E-4A3C-A82A-EF2BC0106337}</author>
    <author>tc={00A9AC24-0F5E-45DF-8B23-88109C084165}</author>
    <author>tc={5C7F8F2D-FB4F-477C-BB5A-A7031388D165}</author>
    <author>tc={FB7B2188-9844-41B9-B846-44568A7B4144}</author>
    <author>tc={1F2E3A6C-662E-421B-98DD-065AF20E9664}</author>
    <author>tc={88FA476D-EBF5-4C81-8019-E82623DCF98D}</author>
    <author>tc={35D3E893-709F-460E-B9BB-E1F73B6930C8}</author>
    <author>tc={CF886F23-595A-4F3B-B7DC-EBB21F63E451}</author>
    <author>tc={EAA01034-919F-4738-8ACE-B34471AB6C9B}</author>
    <author>tc={DF7247BA-6CB7-4C95-A79E-4E84A9F43965}</author>
    <author>tc={78A502C9-E3E9-4465-A007-6DBCC6C4294C}</author>
    <author>tc={A9BF4E76-20E1-450A-9554-01D007BF8B0A}</author>
    <author>tc={2F23F473-C5F1-416C-9D70-51131A163FC1}</author>
    <author>tc={D32FB39B-0ACF-4AB8-9D01-9367B2B69C62}</author>
    <author>tc={9CCDA31D-D1C6-482D-964D-B48F8FCC06A3}</author>
    <author>tc={7E9C0F6A-6867-4C77-8CAC-D5F98EE66E27}</author>
    <author>tc={EA2AACF0-3D09-4195-832C-555FBD7F7B73}</author>
    <author>tc={91003DC4-A4AF-4615-B582-4A349F67DB8D}</author>
    <author>tc={B32DC052-8D07-4253-8D10-A20D78C69016}</author>
    <author>tc={806B5DA8-7A2E-4EB7-BEAE-6768717984AA}</author>
    <author>tc={9E901F67-A14C-488D-BCE2-092E090C54A9}</author>
    <author>tc={94B8CC6F-FB49-441E-8854-20B063ABABD4}</author>
    <author>tc={55B63918-361A-40F2-8CD7-8CB43FE07465}</author>
    <author>tc={EC8BDF2E-AC42-421E-8B0C-D1926373AD2B}</author>
    <author>tc={67588FB2-BC98-4E18-AA8D-FB7B467D1D22}</author>
    <author>tc={58056765-9003-4589-9E22-EBFAAB6851E5}</author>
    <author>tc={05755DBF-9214-46A4-9ACF-563C4CB84F7E}</author>
    <author>tc={DC48B31A-7E11-49E3-BC7E-841473C0AD1C}</author>
    <author>tc={139A11FB-3AC2-48EF-8093-1E223EEF24BF}</author>
    <author>tc={A08DEECF-1B27-48CC-9765-1931F2CD76C4}</author>
    <author>tc={09DD68B4-C32F-49AF-A434-D87AE11D7B9A}</author>
    <author>tc={C861A880-0F19-47A4-A904-1FC9457CE766}</author>
    <author>tc={AB1ECE8F-637D-43E2-BE38-4CC7E5FA8452}</author>
    <author>tc={222DB80D-9186-4531-BAA6-0495F009341A}</author>
    <author>tc={44CBAEEB-ED02-4E2C-8434-4E4A6A6ED2CE}</author>
    <author>tc={BC7C4AC7-9FE8-44C2-A4AE-684F6C6C356F}</author>
    <author>tc={9667B96A-AB69-4C88-9E83-1FAC5A475089}</author>
    <author>tc={12056774-F44A-48E8-A149-1C5BF428E91D}</author>
    <author>tc={8A91DEF5-33B6-44F8-B406-A86207EDE5B2}</author>
    <author>tc={06DF3378-D8B1-4D3B-BBD7-64119BC463E9}</author>
    <author>tc={DBABC8CF-8C58-43F1-82C1-92D17F591977}</author>
    <author>tc={9E2AE846-D0F8-4A0D-8B3C-6BA0B0F9944B}</author>
    <author>tc={5B98CB54-CADD-4400-891C-8F7FFE8D36FE}</author>
    <author>tc={00A8C96D-9E7C-4497-A40C-45EF851F44F2}</author>
    <author>tc={A2C37DBB-57B2-4254-B31D-996FD61C022C}</author>
    <author>tc={FBFC8D37-9CAD-4936-A7ED-06D2AFE8F1B4}</author>
    <author>tc={FBBB84B6-6714-48AD-B829-342A14A2219E}</author>
    <author>tc={C6E2099C-ECD0-4A60-A470-73D0DAE77EC4}</author>
    <author>tc={665D414A-5083-4B18-973E-084443ADBF1D}</author>
    <author>tc={9A7E6582-EE7B-4093-B787-DE22BD051971}</author>
    <author>tc={DD94B9D9-1424-42CD-8DAB-68EB3DB2376D}</author>
    <author>tc={834B378E-9FD5-4605-BDEF-F135393DE83C}</author>
    <author>tc={FCEBF18A-96CB-4D3B-9DB0-045AC3A9FA7D}</author>
    <author>tc={B7D0F031-3F02-4059-A0A0-62A6EEC30F42}</author>
    <author>tc={C5649AEA-9A2A-497F-9255-D2943F3E1D27}</author>
    <author>tc={A3CC95F7-83D5-4A2D-A75F-537E932DCB69}</author>
    <author>tc={D696AB4C-8329-4866-8CCD-DDF4381FFA0E}</author>
  </authors>
  <commentList>
    <comment ref="E13" authorId="0" shapeId="0" xr:uid="{5395E4ED-8E97-4C31-A4C6-364C59365269}">
      <text>
        <t>[Threaded comment]
Your version of Excel allows you to read this threaded comment; however, any edits to it will get removed if the file is opened in a newer version of Excel. Learn more: https://go.microsoft.com/fwlink/?linkid=870924
Comment:
    Equation 9</t>
      </text>
    </comment>
    <comment ref="E15" authorId="1" shapeId="0" xr:uid="{505B7186-E588-481C-BEDA-892A4FE6CF8A}">
      <text>
        <t>[Threaded comment]
Your version of Excel allows you to read this threaded comment; however, any edits to it will get removed if the file is opened in a newer version of Excel. Learn more: https://go.microsoft.com/fwlink/?linkid=870924
Comment:
    Equation 10</t>
      </text>
    </comment>
    <comment ref="E16" authorId="2" shapeId="0" xr:uid="{933A460E-5D67-4408-A7A4-307958991CD4}">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7" authorId="3" shapeId="0" xr:uid="{20841765-1B89-4D34-A5F0-AAB8C2FE9F95}">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8" authorId="4" shapeId="0" xr:uid="{0A849BD7-1275-47AA-A026-274BC4665A77}">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9" authorId="5" shapeId="0" xr:uid="{6D340ED4-4AFC-4997-A68F-F4EB5E57CF80}">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0" authorId="6" shapeId="0" xr:uid="{FAD10F96-4F2F-47C9-9346-F6AE729B713C}">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2" authorId="7" shapeId="0" xr:uid="{092EBF23-CBA1-4689-AC4C-A1AF68EBAFBB}">
      <text>
        <t>[Threaded comment]
Your version of Excel allows you to read this threaded comment; however, any edits to it will get removed if the file is opened in a newer version of Excel. Learn more: https://go.microsoft.com/fwlink/?linkid=870924
Comment:
    Equation 3</t>
      </text>
    </comment>
    <comment ref="E23" authorId="8" shapeId="0" xr:uid="{EE6EAF6D-824A-4A82-9365-B6155B55802C}">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4" authorId="9" shapeId="0" xr:uid="{C05CF809-F26F-4C6F-822B-6E4A3E7CB414}">
      <text>
        <t>[Threaded comment]
Your version of Excel allows you to read this threaded comment; however, any edits to it will get removed if the file is opened in a newer version of Excel. Learn more: https://go.microsoft.com/fwlink/?linkid=870924
Comment:
    Equation 4</t>
      </text>
    </comment>
    <comment ref="E25" authorId="10" shapeId="0" xr:uid="{4FD490D3-7D00-4F88-A0C4-EFFFA0782071}">
      <text>
        <t>[Threaded comment]
Your version of Excel allows you to read this threaded comment; however, any edits to it will get removed if the file is opened in a newer version of Excel. Learn more: https://go.microsoft.com/fwlink/?linkid=870924
Comment:
    Equation 5</t>
      </text>
    </comment>
    <comment ref="E26" authorId="11" shapeId="0" xr:uid="{43328B9A-582A-4F25-9C2F-74366EE00560}">
      <text>
        <t>[Threaded comment]
Your version of Excel allows you to read this threaded comment; however, any edits to it will get removed if the file is opened in a newer version of Excel. Learn more: https://go.microsoft.com/fwlink/?linkid=870924
Comment:
    A for equation 4</t>
      </text>
    </comment>
    <comment ref="E27" authorId="12" shapeId="0" xr:uid="{49964E15-A021-4706-8226-93C8D0EB0394}">
      <text>
        <t>[Threaded comment]
Your version of Excel allows you to read this threaded comment; however, any edits to it will get removed if the file is opened in a newer version of Excel. Learn more: https://go.microsoft.com/fwlink/?linkid=870924
Comment:
    Equation 6</t>
      </text>
    </comment>
    <comment ref="E28" authorId="13" shapeId="0" xr:uid="{E5F21A3D-06D4-4F9B-A8AB-A470DCE9133B}">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0" authorId="14" shapeId="0" xr:uid="{6387DA71-2AE7-4E2E-AFD6-224DE502F990}">
      <text>
        <t>[Threaded comment]
Your version of Excel allows you to read this threaded comment; however, any edits to it will get removed if the file is opened in a newer version of Excel. Learn more: https://go.microsoft.com/fwlink/?linkid=870924
Comment:
    Equation 7</t>
      </text>
    </comment>
    <comment ref="E31" authorId="15" shapeId="0" xr:uid="{9B218C3B-1108-4383-87D2-5E7279CA69AB}">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2" authorId="16" shapeId="0" xr:uid="{C02E2908-383D-4A3F-AE09-CA984AF18B63}">
      <text>
        <t>[Threaded comment]
Your version of Excel allows you to read this threaded comment; however, any edits to it will get removed if the file is opened in a newer version of Excel. Learn more: https://go.microsoft.com/fwlink/?linkid=870924
Comment:
    Equation 8</t>
      </text>
    </comment>
    <comment ref="E33" authorId="17" shapeId="0" xr:uid="{CF5906AA-5F0A-45CF-8944-DA003A0016F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5" authorId="18" shapeId="0" xr:uid="{375F0F08-3A0B-4183-B8A0-C7C71505827A}">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7" authorId="19" shapeId="0" xr:uid="{E5E78005-0C4B-4F26-98A7-0C70AFEE68CA}">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8" authorId="20" shapeId="0" xr:uid="{B113D47C-873B-49FD-8944-5E2D06802FD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 authorId="21" shapeId="0" xr:uid="{30A93166-5C1F-4AEF-A2EB-B6D16C9AF7BE}">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0" authorId="22" shapeId="0" xr:uid="{EF05025C-C1C9-4FE7-BFCE-22F83A11A426}">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1" authorId="23" shapeId="0" xr:uid="{90DDFE0D-1713-49F6-8D00-AEA15BB71320}">
      <text>
        <t>[Threaded comment]
Your version of Excel allows you to read this threaded comment; however, any edits to it will get removed if the file is opened in a newer version of Excel. Learn more: https://go.microsoft.com/fwlink/?linkid=870924
Comment:
    Equation 2</t>
      </text>
    </comment>
    <comment ref="E42" authorId="24" shapeId="0" xr:uid="{03C650AE-0820-4755-9A88-D621173310A8}">
      <text>
        <t>[Threaded comment]
Your version of Excel allows you to read this threaded comment; however, any edits to it will get removed if the file is opened in a newer version of Excel. Learn more: https://go.microsoft.com/fwlink/?linkid=870924
Comment:
    Equation 1</t>
      </text>
    </comment>
    <comment ref="E43" authorId="25" shapeId="0" xr:uid="{6BC16FCB-5171-45FF-A24E-BDAC95DA1E73}">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6" shapeId="0" xr:uid="{3657E7F3-476A-406C-BFCB-E0A92714B987}">
      <text>
        <t>[Threaded comment]
Your version of Excel allows you to read this threaded comment; however, any edits to it will get removed if the file is opened in a newer version of Excel. Learn more: https://go.microsoft.com/fwlink/?linkid=870924
Comment:
    Equation 11</t>
      </text>
    </comment>
    <comment ref="E46" authorId="27" shapeId="0" xr:uid="{37DD455C-0DE0-48EB-BCC4-195C769F7763}">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7" authorId="28" shapeId="0" xr:uid="{766D7441-4353-4D1E-8756-14D3C0B221B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8" authorId="29" shapeId="0" xr:uid="{3DE1675B-8E73-4527-A462-871D9DEE86F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2" authorId="30" shapeId="0" xr:uid="{2AA32A8A-2ED8-4A49-88FC-BC68840E5E6B}">
      <text>
        <t>[Threaded comment]
Your version of Excel allows you to read this threaded comment; however, any edits to it will get removed if the file is opened in a newer version of Excel. Learn more: https://go.microsoft.com/fwlink/?linkid=870924
Comment:
    Equation 22</t>
      </text>
    </comment>
    <comment ref="E53" authorId="31" shapeId="0" xr:uid="{6DEF38BA-D631-443A-84FF-914D23A4DCA6}">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4" authorId="32" shapeId="0" xr:uid="{8D0F2CAE-8724-4A6E-870F-811215803AD2}">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5" authorId="33" shapeId="0" xr:uid="{A6CA24D4-7ABF-4120-82C1-9A678D6D8D79}">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6" authorId="34" shapeId="0" xr:uid="{F674E242-2600-4E83-AF45-1A4186B7CC9B}">
      <text>
        <t>[Threaded comment]
Your version of Excel allows you to read this threaded comment; however, any edits to it will get removed if the file is opened in a newer version of Excel. Learn more: https://go.microsoft.com/fwlink/?linkid=870924
Comment:
    Equation 23</t>
      </text>
    </comment>
    <comment ref="E57" authorId="35" shapeId="0" xr:uid="{AE98A35F-71B0-4F38-ABC7-D38637E2024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0" authorId="36" shapeId="0" xr:uid="{C25C2F9C-EA3F-4B82-B90C-8A49BDAA668D}">
      <text>
        <t>[Threaded comment]
Your version of Excel allows you to read this threaded comment; however, any edits to it will get removed if the file is opened in a newer version of Excel. Learn more: https://go.microsoft.com/fwlink/?linkid=870924
Comment:
    Equation 20</t>
      </text>
    </comment>
    <comment ref="E72" authorId="37" shapeId="0" xr:uid="{B93DE298-EFE3-4500-B887-8774A45B16B9}">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38" shapeId="0" xr:uid="{DFF00C2F-E7FC-477B-9C6A-DBAD486F235C}">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4" authorId="39" shapeId="0" xr:uid="{C9C84ACF-039D-48D2-84EE-FD7C49AB7F0B}">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5" authorId="40" shapeId="0" xr:uid="{FB779869-679B-4339-B22C-B391BBEF9CB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6" authorId="41" shapeId="0" xr:uid="{8F80E26D-1183-46B2-BA06-2B37F79533BA}">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7" authorId="42" shapeId="0" xr:uid="{7C5DDDCA-9978-4B47-B434-3C29BC6BBD8D}">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1" authorId="43" shapeId="0" xr:uid="{B9EF3C69-5CD6-4175-B371-7092310AF65F}">
      <text>
        <t>[Threaded comment]
Your version of Excel allows you to read this threaded comment; however, any edits to it will get removed if the file is opened in a newer version of Excel. Learn more: https://go.microsoft.com/fwlink/?linkid=870924
Comment:
    Equation 12</t>
      </text>
    </comment>
    <comment ref="E82" authorId="44" shapeId="0" xr:uid="{E3A9574F-2BBF-47EE-BF58-0FFBB44C5C41}">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3" authorId="45" shapeId="0" xr:uid="{FDBD1AD0-32AD-43D4-AAF0-A5ACA4FB7D58}">
      <text>
        <t>[Threaded comment]
Your version of Excel allows you to read this threaded comment; however, any edits to it will get removed if the file is opened in a newer version of Excel. Learn more: https://go.microsoft.com/fwlink/?linkid=870924
Comment:
    Equation 13</t>
      </text>
    </comment>
    <comment ref="E84" authorId="46" shapeId="0" xr:uid="{6B139F29-5534-4792-BA5A-800E217BEBE6}">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5" authorId="47" shapeId="0" xr:uid="{5C79D388-4CAE-436C-92A2-41A31A6BD1F2}">
      <text>
        <t>[Threaded comment]
Your version of Excel allows you to read this threaded comment; however, any edits to it will get removed if the file is opened in a newer version of Excel. Learn more: https://go.microsoft.com/fwlink/?linkid=870924
Comment:
    Equation 14</t>
      </text>
    </comment>
    <comment ref="E86" authorId="48" shapeId="0" xr:uid="{B7852F9F-F0AB-46AB-A335-28E3CCF99908}">
      <text>
        <t>[Threaded comment]
Your version of Excel allows you to read this threaded comment; however, any edits to it will get removed if the file is opened in a newer version of Excel. Learn more: https://go.microsoft.com/fwlink/?linkid=870924
Comment:
    Equation 15</t>
      </text>
    </comment>
    <comment ref="E87" authorId="49" shapeId="0" xr:uid="{93CBB25E-687F-462F-90F4-CC0F58D402D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9" authorId="50" shapeId="0" xr:uid="{42822335-4185-447E-BD3A-AC69A0D22965}">
      <text>
        <t>[Threaded comment]
Your version of Excel allows you to read this threaded comment; however, any edits to it will get removed if the file is opened in a newer version of Excel. Learn more: https://go.microsoft.com/fwlink/?linkid=870924
Comment:
    Equation 16</t>
      </text>
    </comment>
    <comment ref="E90" authorId="51" shapeId="0" xr:uid="{B6239ABD-2CAF-4B3C-B0C4-BF9F82F89507}">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1" authorId="52" shapeId="0" xr:uid="{76BEADFE-892C-4E01-B1A8-212DAB6A619E}">
      <text>
        <t>[Threaded comment]
Your version of Excel allows you to read this threaded comment; however, any edits to it will get removed if the file is opened in a newer version of Excel. Learn more: https://go.microsoft.com/fwlink/?linkid=870924
Comment:
    Equation 17</t>
      </text>
    </comment>
    <comment ref="E92" authorId="53" shapeId="0" xr:uid="{09482853-FD32-4D06-81F3-B3CE5CC46C98}">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4" authorId="54" shapeId="0" xr:uid="{0C26BE9D-22E2-4986-817F-C88CC0CCE96C}">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6" authorId="55" shapeId="0" xr:uid="{FA7125EC-8056-48FC-82A5-EFA83F9DCF9B}">
      <text>
        <t>[Threaded comment]
Your version of Excel allows you to read this threaded comment; however, any edits to it will get removed if the file is opened in a newer version of Excel. Learn more: https://go.microsoft.com/fwlink/?linkid=870924
Comment:
    Equation 12?</t>
      </text>
    </comment>
    <comment ref="E97" authorId="56" shapeId="0" xr:uid="{63927D50-705C-4089-8DD4-976B33DA5700}">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8" authorId="57" shapeId="0" xr:uid="{26D46455-2E0F-4216-A3C7-9345E6B43C32}">
      <text>
        <t>[Threaded comment]
Your version of Excel allows you to read this threaded comment; however, any edits to it will get removed if the file is opened in a newer version of Excel. Learn more: https://go.microsoft.com/fwlink/?linkid=870924
Comment:
    Equation 13</t>
      </text>
    </comment>
    <comment ref="E99" authorId="58" shapeId="0" xr:uid="{B3661AF0-2FD8-451E-A0C1-E54F8AD6A21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0" authorId="59" shapeId="0" xr:uid="{5FEC04C5-408F-4EF8-86E6-CED63D20AE85}">
      <text>
        <t>[Threaded comment]
Your version of Excel allows you to read this threaded comment; however, any edits to it will get removed if the file is opened in a newer version of Excel. Learn more: https://go.microsoft.com/fwlink/?linkid=870924
Comment:
    Equation 14</t>
      </text>
    </comment>
    <comment ref="E101" authorId="60" shapeId="0" xr:uid="{5B14B476-88C6-4678-8987-2054476F02B4}">
      <text>
        <t>[Threaded comment]
Your version of Excel allows you to read this threaded comment; however, any edits to it will get removed if the file is opened in a newer version of Excel. Learn more: https://go.microsoft.com/fwlink/?linkid=870924
Comment:
    Equation 15</t>
      </text>
    </comment>
    <comment ref="E102" authorId="61" shapeId="0" xr:uid="{B9EB7191-D50A-477C-A1F5-203C86275C59}">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4" authorId="62" shapeId="0" xr:uid="{BA9DBAA9-2FF7-413B-A15D-EC3142CA3B95}">
      <text>
        <t>[Threaded comment]
Your version of Excel allows you to read this threaded comment; however, any edits to it will get removed if the file is opened in a newer version of Excel. Learn more: https://go.microsoft.com/fwlink/?linkid=870924
Comment:
    Equation 18</t>
      </text>
    </comment>
    <comment ref="E105" authorId="63" shapeId="0" xr:uid="{0066C2F0-BF05-4FDC-9A5D-5CEE54D83B62}">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6" authorId="64" shapeId="0" xr:uid="{AE3DF0B0-543C-44FE-881F-6D486C3D70CC}">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7" authorId="65" shapeId="0" xr:uid="{64A7822A-20C6-4BCC-ABAE-F20BCE09FC32}">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6" shapeId="0" xr:uid="{6069DFA3-4BC2-4ECB-8AD7-A6F437C12386}">
      <text>
        <t>[Threaded comment]
Your version of Excel allows you to read this threaded comment; however, any edits to it will get removed if the file is opened in a newer version of Excel. Learn more: https://go.microsoft.com/fwlink/?linkid=870924
Comment:
    For equation 18</t>
      </text>
    </comment>
    <comment ref="E109" authorId="67" shapeId="0" xr:uid="{7504F200-D56E-4899-8738-0F2C2FEE3E86}">
      <text>
        <t>[Threaded comment]
Your version of Excel allows you to read this threaded comment; however, any edits to it will get removed if the file is opened in a newer version of Excel. Learn more: https://go.microsoft.com/fwlink/?linkid=870924
Comment:
    Equation 19</t>
      </text>
    </comment>
    <comment ref="E110" authorId="68" shapeId="0" xr:uid="{8D4860E2-2361-4CC0-BDEA-F7424FD6F12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1" authorId="69" shapeId="0" xr:uid="{F050DA93-6E0E-45CE-9FFC-60700D166C38}">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3" authorId="70" shapeId="0" xr:uid="{0E0BA09D-3805-4DF4-BB1E-BA13C48607DF}">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4" authorId="71" shapeId="0" xr:uid="{4F1292A5-F221-4971-8497-FB784DE95CE0}">
      <text>
        <t>[Threaded comment]
Your version of Excel allows you to read this threaded comment; however, any edits to it will get removed if the file is opened in a newer version of Excel. Learn more: https://go.microsoft.com/fwlink/?linkid=870924
Comment:
    date</t>
      </text>
    </comment>
    <comment ref="E123" authorId="72" shapeId="0" xr:uid="{68CB1664-C91E-4B67-B958-8D0D38AEB5DB}">
      <text>
        <t>[Threaded comment]
Your version of Excel allows you to read this threaded comment; however, any edits to it will get removed if the file is opened in a newer version of Excel. Learn more: https://go.microsoft.com/fwlink/?linkid=870924
Comment:
    Equation 24</t>
      </text>
    </comment>
    <comment ref="E124" authorId="73" shapeId="0" xr:uid="{07FEE29C-F6F2-49A1-ADD1-CC05EE4FD73E}">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5" authorId="74" shapeId="0" xr:uid="{934EF5C6-05C2-4D28-BED3-46BC48BE3DB1}">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7" authorId="75" shapeId="0" xr:uid="{EA6235FB-3646-41DE-AC20-ED7638E510D1}">
      <text>
        <t>[Threaded comment]
Your version of Excel allows you to read this threaded comment; however, any edits to it will get removed if the file is opened in a newer version of Excel. Learn more: https://go.microsoft.com/fwlink/?linkid=870924
Comment:
    Equation 25</t>
      </text>
    </comment>
    <comment ref="E128" authorId="76" shapeId="0" xr:uid="{4181E392-CCE7-43BA-85FC-C12EC158E6A6}">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9" authorId="77" shapeId="0" xr:uid="{ECFE04B7-017A-474C-AA92-343C01860980}">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0" authorId="78" shapeId="0" xr:uid="{E04AB917-B8DF-4373-8D1C-355C3CAE7FEC}">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2" authorId="79" shapeId="0" xr:uid="{5B81D85D-BDDC-4356-843B-BE34007B7EE4}">
      <text>
        <t>[Threaded comment]
Your version of Excel allows you to read this threaded comment; however, any edits to it will get removed if the file is opened in a newer version of Excel. Learn more: https://go.microsoft.com/fwlink/?linkid=870924
Comment:
    Equation 26</t>
      </text>
    </comment>
    <comment ref="E133" authorId="80" shapeId="0" xr:uid="{2A897D52-E039-4214-B04E-AE985705D60E}">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4" authorId="81" shapeId="0" xr:uid="{D52CB14A-7EBF-4025-B5DA-0569E8802C1B}">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6" authorId="82" shapeId="0" xr:uid="{FE8BBF56-F81B-4810-9F48-3D954F7D299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7" authorId="83" shapeId="0" xr:uid="{6901AD89-8ECC-40F8-BC25-E75CA838039D}">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8" authorId="84" shapeId="0" xr:uid="{752411A2-571C-43B9-B670-BE9DF626E7A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9" authorId="85" shapeId="0" xr:uid="{BD37DA5A-4035-464F-AF7A-82948E12E5ED}">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0" authorId="86" shapeId="0" xr:uid="{4C0A1631-5658-4694-AA69-B8EC562B0917}">
      <text>
        <t>[Threaded comment]
Your version of Excel allows you to read this threaded comment; however, any edits to it will get removed if the file is opened in a newer version of Excel. Learn more: https://go.microsoft.com/fwlink/?linkid=870924
Comment:
    Equation 27</t>
      </text>
    </comment>
    <comment ref="E151" authorId="87" shapeId="0" xr:uid="{52E0F034-75BE-4B5B-A3C5-D8C48BB693AC}">
      <text>
        <t>[Threaded comment]
Your version of Excel allows you to read this threaded comment; however, any edits to it will get removed if the file is opened in a newer version of Excel. Learn more: https://go.microsoft.com/fwlink/?linkid=870924
Comment:
    Equation 3</t>
      </text>
    </comment>
    <comment ref="E152" authorId="88" shapeId="0" xr:uid="{338C226E-F0C3-4DCD-A8FD-8E6434B019BF}">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3" authorId="89" shapeId="0" xr:uid="{45778C49-D148-42DC-80A8-144F16D5E7FB}">
      <text>
        <t>[Threaded comment]
Your version of Excel allows you to read this threaded comment; however, any edits to it will get removed if the file is opened in a newer version of Excel. Learn more: https://go.microsoft.com/fwlink/?linkid=870924
Comment:
    Equation 4</t>
      </text>
    </comment>
    <comment ref="E154" authorId="90" shapeId="0" xr:uid="{C7B41709-9AFF-4B14-B042-2410B14844EE}">
      <text>
        <t>[Threaded comment]
Your version of Excel allows you to read this threaded comment; however, any edits to it will get removed if the file is opened in a newer version of Excel. Learn more: https://go.microsoft.com/fwlink/?linkid=870924
Comment:
    Equation 5</t>
      </text>
    </comment>
    <comment ref="E155" authorId="91" shapeId="0" xr:uid="{F6CDDA67-3D34-469B-8BFA-65D9D4B49EB5}">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6" authorId="92" shapeId="0" xr:uid="{DEA5E291-B2B3-4E18-AAD8-8126E24A5CAD}">
      <text>
        <t>[Threaded comment]
Your version of Excel allows you to read this threaded comment; however, any edits to it will get removed if the file is opened in a newer version of Excel. Learn more: https://go.microsoft.com/fwlink/?linkid=870924
Comment:
    Equation 6</t>
      </text>
    </comment>
    <comment ref="E157" authorId="93" shapeId="0" xr:uid="{946DDE23-52D5-41EB-83B6-22BC91347D99}">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59" authorId="94" shapeId="0" xr:uid="{4731F6D5-D516-4D75-97E6-80C65AAF26D1}">
      <text>
        <t>[Threaded comment]
Your version of Excel allows you to read this threaded comment; however, any edits to it will get removed if the file is opened in a newer version of Excel. Learn more: https://go.microsoft.com/fwlink/?linkid=870924
Comment:
    Equation 7</t>
      </text>
    </comment>
    <comment ref="E160" authorId="95" shapeId="0" xr:uid="{6455C62C-67C6-40A4-8555-4C5974E0C555}">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1" authorId="96" shapeId="0" xr:uid="{7502877F-F0BA-4BC4-8386-698B1BC402B5}">
      <text>
        <t>[Threaded comment]
Your version of Excel allows you to read this threaded comment; however, any edits to it will get removed if the file is opened in a newer version of Excel. Learn more: https://go.microsoft.com/fwlink/?linkid=870924
Comment:
    Equation 8</t>
      </text>
    </comment>
    <comment ref="E162" authorId="97" shapeId="0" xr:uid="{8D3242EC-6EAA-4F9A-8FE5-789B04D8639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4" authorId="98" shapeId="0" xr:uid="{BEDD4BD7-E311-4B2E-BD3B-6C8F751ED1B6}">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6" authorId="99" shapeId="0" xr:uid="{57CF954A-79D0-41FB-B99D-8173E81F3585}">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67" authorId="100" shapeId="0" xr:uid="{68670FF7-4143-49D2-9E39-FF4E3848CCE4}">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68" authorId="101" shapeId="0" xr:uid="{6C8B2C55-5598-4688-87D1-FEFF37E84B1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69" authorId="102" shapeId="0" xr:uid="{F47FF2E1-E63D-4FBD-A7EC-FB02A5E7501D}">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0" authorId="103" shapeId="0" xr:uid="{7434F1E1-AB6E-4A3C-A82A-EF2BC0106337}">
      <text>
        <t>[Threaded comment]
Your version of Excel allows you to read this threaded comment; however, any edits to it will get removed if the file is opened in a newer version of Excel. Learn more: https://go.microsoft.com/fwlink/?linkid=870924
Comment:
    Equation 2</t>
      </text>
    </comment>
    <comment ref="E171" authorId="104" shapeId="0" xr:uid="{00A9AC24-0F5E-45DF-8B23-88109C084165}">
      <text>
        <t>[Threaded comment]
Your version of Excel allows you to read this threaded comment; however, any edits to it will get removed if the file is opened in a newer version of Excel. Learn more: https://go.microsoft.com/fwlink/?linkid=870924
Comment:
    Equation 1</t>
      </text>
    </comment>
    <comment ref="E172" authorId="105" shapeId="0" xr:uid="{5C7F8F2D-FB4F-477C-BB5A-A7031388D165}">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6" shapeId="0" xr:uid="{FB7B2188-9844-41B9-B846-44568A7B4144}">
      <text>
        <t>[Threaded comment]
Your version of Excel allows you to read this threaded comment; however, any edits to it will get removed if the file is opened in a newer version of Excel. Learn more: https://go.microsoft.com/fwlink/?linkid=870924
Comment:
    Equation 11</t>
      </text>
    </comment>
    <comment ref="E175" authorId="107" shapeId="0" xr:uid="{1F2E3A6C-662E-421B-98DD-065AF20E9664}">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6" authorId="108" shapeId="0" xr:uid="{88FA476D-EBF5-4C81-8019-E82623DCF98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77" authorId="109" shapeId="0" xr:uid="{35D3E893-709F-460E-B9BB-E1F73B6930C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1" authorId="110" shapeId="0" xr:uid="{CF886F23-595A-4F3B-B7DC-EBB21F63E451}">
      <text>
        <t>[Threaded comment]
Your version of Excel allows you to read this threaded comment; however, any edits to it will get removed if the file is opened in a newer version of Excel. Learn more: https://go.microsoft.com/fwlink/?linkid=870924
Comment:
    Equation 22</t>
      </text>
    </comment>
    <comment ref="E182" authorId="111" shapeId="0" xr:uid="{EAA01034-919F-4738-8ACE-B34471AB6C9B}">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3" authorId="112" shapeId="0" xr:uid="{DF7247BA-6CB7-4C95-A79E-4E84A9F43965}">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4" authorId="113" shapeId="0" xr:uid="{78A502C9-E3E9-4465-A007-6DBCC6C4294C}">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5" authorId="114" shapeId="0" xr:uid="{A9BF4E76-20E1-450A-9554-01D007BF8B0A}">
      <text>
        <t>[Threaded comment]
Your version of Excel allows you to read this threaded comment; however, any edits to it will get removed if the file is opened in a newer version of Excel. Learn more: https://go.microsoft.com/fwlink/?linkid=870924
Comment:
    Equation 23</t>
      </text>
    </comment>
    <comment ref="E186" authorId="115" shapeId="0" xr:uid="{2F23F473-C5F1-416C-9D70-51131A163FC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1" authorId="116" shapeId="0" xr:uid="{D32FB39B-0ACF-4AB8-9D01-9367B2B69C62}">
      <text>
        <t>[Threaded comment]
Your version of Excel allows you to read this threaded comment; however, any edits to it will get removed if the file is opened in a newer version of Excel. Learn more: https://go.microsoft.com/fwlink/?linkid=870924
Comment:
    Equation 12</t>
      </text>
    </comment>
    <comment ref="E202" authorId="117" shapeId="0" xr:uid="{9CCDA31D-D1C6-482D-964D-B48F8FCC06A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3" authorId="118" shapeId="0" xr:uid="{7E9C0F6A-6867-4C77-8CAC-D5F98EE66E27}">
      <text>
        <t>[Threaded comment]
Your version of Excel allows you to read this threaded comment; however, any edits to it will get removed if the file is opened in a newer version of Excel. Learn more: https://go.microsoft.com/fwlink/?linkid=870924
Comment:
    Equation 13</t>
      </text>
    </comment>
    <comment ref="E204" authorId="119" shapeId="0" xr:uid="{EA2AACF0-3D09-4195-832C-555FBD7F7B7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5" authorId="120" shapeId="0" xr:uid="{91003DC4-A4AF-4615-B582-4A349F67DB8D}">
      <text>
        <t>[Threaded comment]
Your version of Excel allows you to read this threaded comment; however, any edits to it will get removed if the file is opened in a newer version of Excel. Learn more: https://go.microsoft.com/fwlink/?linkid=870924
Comment:
    Equation 14</t>
      </text>
    </comment>
    <comment ref="E206" authorId="121" shapeId="0" xr:uid="{B32DC052-8D07-4253-8D10-A20D78C69016}">
      <text>
        <t>[Threaded comment]
Your version of Excel allows you to read this threaded comment; however, any edits to it will get removed if the file is opened in a newer version of Excel. Learn more: https://go.microsoft.com/fwlink/?linkid=870924
Comment:
    Equation 15</t>
      </text>
    </comment>
    <comment ref="E207" authorId="122" shapeId="0" xr:uid="{806B5DA8-7A2E-4EB7-BEAE-6768717984A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09" authorId="123" shapeId="0" xr:uid="{9E901F67-A14C-488D-BCE2-092E090C54A9}">
      <text>
        <t>[Threaded comment]
Your version of Excel allows you to read this threaded comment; however, any edits to it will get removed if the file is opened in a newer version of Excel. Learn more: https://go.microsoft.com/fwlink/?linkid=870924
Comment:
    Equation 16</t>
      </text>
    </comment>
    <comment ref="E210" authorId="124" shapeId="0" xr:uid="{94B8CC6F-FB49-441E-8854-20B063ABABD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1" authorId="125" shapeId="0" xr:uid="{55B63918-361A-40F2-8CD7-8CB43FE07465}">
      <text>
        <t>[Threaded comment]
Your version of Excel allows you to read this threaded comment; however, any edits to it will get removed if the file is opened in a newer version of Excel. Learn more: https://go.microsoft.com/fwlink/?linkid=870924
Comment:
    Equation 17</t>
      </text>
    </comment>
    <comment ref="E212" authorId="126" shapeId="0" xr:uid="{EC8BDF2E-AC42-421E-8B0C-D1926373AD2B}">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4" authorId="127" shapeId="0" xr:uid="{67588FB2-BC98-4E18-AA8D-FB7B467D1D2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6" authorId="128" shapeId="0" xr:uid="{58056765-9003-4589-9E22-EBFAAB6851E5}">
      <text>
        <t>[Threaded comment]
Your version of Excel allows you to read this threaded comment; however, any edits to it will get removed if the file is opened in a newer version of Excel. Learn more: https://go.microsoft.com/fwlink/?linkid=870924
Comment:
    Equation 12?</t>
      </text>
    </comment>
    <comment ref="E217" authorId="129" shapeId="0" xr:uid="{05755DBF-9214-46A4-9ACF-563C4CB84F7E}">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18" authorId="130" shapeId="0" xr:uid="{DC48B31A-7E11-49E3-BC7E-841473C0AD1C}">
      <text>
        <t>[Threaded comment]
Your version of Excel allows you to read this threaded comment; however, any edits to it will get removed if the file is opened in a newer version of Excel. Learn more: https://go.microsoft.com/fwlink/?linkid=870924
Comment:
    Equation 13</t>
      </text>
    </comment>
    <comment ref="E219" authorId="131" shapeId="0" xr:uid="{139A11FB-3AC2-48EF-8093-1E223EEF24BF}">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0" authorId="132" shapeId="0" xr:uid="{A08DEECF-1B27-48CC-9765-1931F2CD76C4}">
      <text>
        <t>[Threaded comment]
Your version of Excel allows you to read this threaded comment; however, any edits to it will get removed if the file is opened in a newer version of Excel. Learn more: https://go.microsoft.com/fwlink/?linkid=870924
Comment:
    Equation 14</t>
      </text>
    </comment>
    <comment ref="E221" authorId="133" shapeId="0" xr:uid="{09DD68B4-C32F-49AF-A434-D87AE11D7B9A}">
      <text>
        <t>[Threaded comment]
Your version of Excel allows you to read this threaded comment; however, any edits to it will get removed if the file is opened in a newer version of Excel. Learn more: https://go.microsoft.com/fwlink/?linkid=870924
Comment:
    Equation 15</t>
      </text>
    </comment>
    <comment ref="E222" authorId="134" shapeId="0" xr:uid="{C861A880-0F19-47A4-A904-1FC9457CE766}">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4" authorId="135" shapeId="0" xr:uid="{AB1ECE8F-637D-43E2-BE38-4CC7E5FA8452}">
      <text>
        <t>[Threaded comment]
Your version of Excel allows you to read this threaded comment; however, any edits to it will get removed if the file is opened in a newer version of Excel. Learn more: https://go.microsoft.com/fwlink/?linkid=870924
Comment:
    Equation 18</t>
      </text>
    </comment>
    <comment ref="E225" authorId="136" shapeId="0" xr:uid="{222DB80D-9186-4531-BAA6-0495F009341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6" authorId="137" shapeId="0" xr:uid="{44CBAEEB-ED02-4E2C-8434-4E4A6A6ED2CE}">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27" authorId="138" shapeId="0" xr:uid="{BC7C4AC7-9FE8-44C2-A4AE-684F6C6C356F}">
      <text>
        <t>[Threaded comment]
Your version of Excel allows you to read this threaded comment; however, any edits to it will get removed if the file is opened in a newer version of Excel. Learn more: https://go.microsoft.com/fwlink/?linkid=870924
Comment:
    For equation 18</t>
      </text>
    </comment>
    <comment ref="E228" authorId="139" shapeId="0" xr:uid="{9667B96A-AB69-4C88-9E83-1FAC5A475089}">
      <text>
        <t>[Threaded comment]
Your version of Excel allows you to read this threaded comment; however, any edits to it will get removed if the file is opened in a newer version of Excel. Learn more: https://go.microsoft.com/fwlink/?linkid=870924
Comment:
    For equation 18</t>
      </text>
    </comment>
    <comment ref="E229" authorId="140" shapeId="0" xr:uid="{12056774-F44A-48E8-A149-1C5BF428E91D}">
      <text>
        <t>[Threaded comment]
Your version of Excel allows you to read this threaded comment; however, any edits to it will get removed if the file is opened in a newer version of Excel. Learn more: https://go.microsoft.com/fwlink/?linkid=870924
Comment:
    Equation 19</t>
      </text>
    </comment>
    <comment ref="E230" authorId="141" shapeId="0" xr:uid="{8A91DEF5-33B6-44F8-B406-A86207EDE5B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1" authorId="142" shapeId="0" xr:uid="{06DF3378-D8B1-4D3B-BBD7-64119BC463E9}">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3" authorId="143" shapeId="0" xr:uid="{DBABC8CF-8C58-43F1-82C1-92D17F591977}">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4" authorId="144" shapeId="0" xr:uid="{9E2AE846-D0F8-4A0D-8B3C-6BA0B0F9944B}">
      <text>
        <t>[Threaded comment]
Your version of Excel allows you to read this threaded comment; however, any edits to it will get removed if the file is opened in a newer version of Excel. Learn more: https://go.microsoft.com/fwlink/?linkid=870924
Comment:
    date</t>
      </text>
    </comment>
    <comment ref="E243" authorId="145" shapeId="0" xr:uid="{5B98CB54-CADD-4400-891C-8F7FFE8D36FE}">
      <text>
        <t>[Threaded comment]
Your version of Excel allows you to read this threaded comment; however, any edits to it will get removed if the file is opened in a newer version of Excel. Learn more: https://go.microsoft.com/fwlink/?linkid=870924
Comment:
    Equation 24</t>
      </text>
    </comment>
    <comment ref="E244" authorId="146" shapeId="0" xr:uid="{00A8C96D-9E7C-4497-A40C-45EF851F44F2}">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5" authorId="147" shapeId="0" xr:uid="{A2C37DBB-57B2-4254-B31D-996FD61C022C}">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47" authorId="148" shapeId="0" xr:uid="{FBFC8D37-9CAD-4936-A7ED-06D2AFE8F1B4}">
      <text>
        <t>[Threaded comment]
Your version of Excel allows you to read this threaded comment; however, any edits to it will get removed if the file is opened in a newer version of Excel. Learn more: https://go.microsoft.com/fwlink/?linkid=870924
Comment:
    Equation 25</t>
      </text>
    </comment>
    <comment ref="E248" authorId="149" shapeId="0" xr:uid="{FBBB84B6-6714-48AD-B829-342A14A2219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49" authorId="150" shapeId="0" xr:uid="{C6E2099C-ECD0-4A60-A470-73D0DAE77EC4}">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0" authorId="151" shapeId="0" xr:uid="{665D414A-5083-4B18-973E-084443ADBF1D}">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2" authorId="152" shapeId="0" xr:uid="{9A7E6582-EE7B-4093-B787-DE22BD051971}">
      <text>
        <t>[Threaded comment]
Your version of Excel allows you to read this threaded comment; however, any edits to it will get removed if the file is opened in a newer version of Excel. Learn more: https://go.microsoft.com/fwlink/?linkid=870924
Comment:
    Equation 26</t>
      </text>
    </comment>
    <comment ref="E253" authorId="153" shapeId="0" xr:uid="{DD94B9D9-1424-42CD-8DAB-68EB3DB2376D}">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4" authorId="154" shapeId="0" xr:uid="{834B378E-9FD5-4605-BDEF-F135393DE83C}">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6" authorId="155" shapeId="0" xr:uid="{FCEBF18A-96CB-4D3B-9DB0-045AC3A9FA7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57" authorId="156" shapeId="0" xr:uid="{B7D0F031-3F02-4059-A0A0-62A6EEC30F42}">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58" authorId="157" shapeId="0" xr:uid="{C5649AEA-9A2A-497F-9255-D2943F3E1D27}">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59" authorId="158" shapeId="0" xr:uid="{A3CC95F7-83D5-4A2D-A75F-537E932DCB69}">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0" authorId="159" shapeId="0" xr:uid="{D696AB4C-8329-4866-8CCD-DDF4381FFA0E}">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tc={217496B4-29DB-4B15-AF00-86306A04E94B}</author>
    <author>tc={EECB04B8-59A3-47B5-A35E-3C03DA3C51F1}</author>
    <author>tc={0253E3FC-A4B3-425B-B560-3851ABAD1FFA}</author>
  </authors>
  <commentList>
    <comment ref="E10" authorId="0" shapeId="0" xr:uid="{217496B4-29DB-4B15-AF00-86306A04E94B}">
      <text>
        <t>[Threaded comment]
Your version of Excel allows you to read this threaded comment; however, any edits to it will get removed if the file is opened in a newer version of Excel. Learn more: https://go.microsoft.com/fwlink/?linkid=870924
Comment:
    Equation 54</t>
      </text>
    </comment>
    <comment ref="E15" authorId="1" shapeId="0" xr:uid="{EECB04B8-59A3-47B5-A35E-3C03DA3C51F1}">
      <text>
        <t>[Threaded comment]
Your version of Excel allows you to read this threaded comment; however, any edits to it will get removed if the file is opened in a newer version of Excel. Learn more: https://go.microsoft.com/fwlink/?linkid=870924
Comment:
    Equation 11</t>
      </text>
    </comment>
    <comment ref="E18" authorId="2" shapeId="0" xr:uid="{0253E3FC-A4B3-425B-B560-3851ABAD1FFA}">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sharedStrings.xml><?xml version="1.0" encoding="utf-8"?>
<sst xmlns="http://schemas.openxmlformats.org/spreadsheetml/2006/main" count="25559" uniqueCount="784">
  <si>
    <t>Net_ERR_Calculation</t>
  </si>
  <si>
    <t>Description</t>
  </si>
  <si>
    <t>Schema Type</t>
  </si>
  <si>
    <t>Verifiable Credentials</t>
  </si>
  <si>
    <t>Required Field</t>
  </si>
  <si>
    <t>Field Type</t>
  </si>
  <si>
    <t>Parameter</t>
  </si>
  <si>
    <t>Visibility</t>
  </si>
  <si>
    <t>Question</t>
  </si>
  <si>
    <t>Allow Multiple Answers</t>
  </si>
  <si>
    <t>Answer</t>
  </si>
  <si>
    <t>Yes</t>
  </si>
  <si>
    <t>Project_Boundary</t>
  </si>
  <si>
    <t>Project Boundary</t>
  </si>
  <si>
    <t>No</t>
  </si>
  <si>
    <t>Help text</t>
  </si>
  <si>
    <t>Use the dropdowns below to indicate whether each described GHG source is included or excluded in your project activity. This selection will define which sources are accounted for in your quantification and reporting. Note that SOC emissions are always included, so only one option will be available for that dropdown.</t>
  </si>
  <si>
    <t>Enum</t>
  </si>
  <si>
    <t>Baseline CH4 Source - Bi (enum)</t>
  </si>
  <si>
    <t>Baseline CH4 Source - Biomass Burning</t>
  </si>
  <si>
    <t>Included</t>
  </si>
  <si>
    <t>Baseline N2O Source - Bi (enum)</t>
  </si>
  <si>
    <t>Baseline N2O Source - Biomass Burning</t>
  </si>
  <si>
    <t>Excluded</t>
  </si>
  <si>
    <t>Baseline CO2 Source - Fo (enum)</t>
  </si>
  <si>
    <t>Baseline CO2 Source - Fossil Fuel</t>
  </si>
  <si>
    <t>Baseline CH4 Source - Ma (enum)</t>
  </si>
  <si>
    <t>Baseline CH4 Source - Manure Deposition</t>
  </si>
  <si>
    <t>Baseline N2O Source - Ma (enum)</t>
  </si>
  <si>
    <t>Baseline N2O Source - Manure Deposition</t>
  </si>
  <si>
    <t>Baseline N2O Source - Us (enum)</t>
  </si>
  <si>
    <t>Baseline N2O Source - Use of Nitrogen-Fixing Species</t>
  </si>
  <si>
    <t>Baseline CO2 Source - SO (enum)</t>
  </si>
  <si>
    <t>Baseline CO2 Source - SOC</t>
  </si>
  <si>
    <t>Baseline CH4 Source - So (enum)</t>
  </si>
  <si>
    <t>Baseline CH4 Source - Soil Methanogenesis</t>
  </si>
  <si>
    <t>Baseline CO2 Source - Ab (enum)</t>
  </si>
  <si>
    <t>Baseline CO2 Source - Aboveground Woody Biomass</t>
  </si>
  <si>
    <t>Baseline CH4 Source - En (enum)</t>
  </si>
  <si>
    <t>Baseline CH4 Source - Enteric Fermentation</t>
  </si>
  <si>
    <t>Baseline N2O Source - Fe (enum)</t>
  </si>
  <si>
    <t>Baseline N2O Source - Use of Nitrogen Fertilizers</t>
  </si>
  <si>
    <t>Baseline CO2 Source - Li (enum)</t>
  </si>
  <si>
    <t>Baseline CO2 Source - Liming</t>
  </si>
  <si>
    <t>Help Text</t>
  </si>
  <si>
    <t>The selections you made for baseline emission sources' inclusion or exclusion will be used to determine the GHG sources for the project scenario. Ensure your answers accurately reflect the sources relevant to your project.</t>
  </si>
  <si>
    <t>String</t>
  </si>
  <si>
    <t/>
  </si>
  <si>
    <t>Hidden</t>
  </si>
  <si>
    <t>Project CH4 Source - Biomass Burning</t>
  </si>
  <si>
    <t>Project N2O Source - Biomass Burning</t>
  </si>
  <si>
    <t>Project CO2 Source - Fossil Fuel</t>
  </si>
  <si>
    <t>Project CH4 Source - Manure Deposition</t>
  </si>
  <si>
    <t>Project N2O Source - Manure Deposition</t>
  </si>
  <si>
    <t>Project N2O Source - Use of Nitrogen-Fixing Species</t>
  </si>
  <si>
    <t>Project CO2 Source - SOC</t>
  </si>
  <si>
    <t>Project CH4 Source - Soil Methanogenesis</t>
  </si>
  <si>
    <t>Project CO2 Source - Aboveground Woody Biomass</t>
  </si>
  <si>
    <t>Project CH4 Source - Enteric Fermentation</t>
  </si>
  <si>
    <t>Project N2O Source - Use of Nitrogen Fertilizers</t>
  </si>
  <si>
    <t>Project CO2 Source - Liming</t>
  </si>
  <si>
    <t>Quantification_Approach</t>
  </si>
  <si>
    <t>Quantification Approach</t>
  </si>
  <si>
    <t>N2O (Nitrogen fertilizer (enum)</t>
  </si>
  <si>
    <t>Select the quantification approach for N₂O emissions from nitrogen fertilizer, manure deposition, and nitrogen-fixing species:</t>
  </si>
  <si>
    <t>Approach 1: Measure and Model</t>
  </si>
  <si>
    <t>SOC (enum)</t>
  </si>
  <si>
    <t>Select the quantification approach for SOC emissions:
Approach 1: Measure and model.
Approach 2: Measure and remeasure.</t>
  </si>
  <si>
    <t>Approach 2: Measure and Remeasure</t>
  </si>
  <si>
    <t>Biomass Burning - CH4 &amp; N2O GHG Source</t>
  </si>
  <si>
    <t>Fossil Fuel Combustion - CO2 GHG Source</t>
  </si>
  <si>
    <t>Manure Deposition - N2O GHG Source</t>
  </si>
  <si>
    <t>Manure Deposition - CH4 GHG Source</t>
  </si>
  <si>
    <t>N-Fixing Species - N2O GHG Source</t>
  </si>
  <si>
    <t>SOC - CO2 GHG Source</t>
  </si>
  <si>
    <t>Soil Methanogenesis - CH4 GHG Source</t>
  </si>
  <si>
    <t>Woody Biomass - CO2 GHG Source</t>
  </si>
  <si>
    <t>Enteric Fermentation - CH4 GHG Source</t>
  </si>
  <si>
    <t>Nitrogen Fertilizer - N2O GHG Source</t>
  </si>
  <si>
    <t>Liming - CO2 GHG Source</t>
  </si>
  <si>
    <t>GHG_Emissions_C_Pool</t>
  </si>
  <si>
    <t>Yearly GHG Emissions and Carbon Pools</t>
  </si>
  <si>
    <t>Number</t>
  </si>
  <si>
    <t>Year t</t>
  </si>
  <si>
    <t>QA1_CH4_ERs</t>
  </si>
  <si>
    <t>Quantification Approach 1: Measure &amp; Model - CH4 Emissions Reductions</t>
  </si>
  <si>
    <t>QA1_CH4_ERs_Unit_i</t>
  </si>
  <si>
    <t>Quantification Approach 1: Measure &amp; Model - CH4 Emissions Per Unit i</t>
  </si>
  <si>
    <t>Quantification Unit ID</t>
  </si>
  <si>
    <t>FZTZJMA00A</t>
  </si>
  <si>
    <t xml:space="preserve">Area of quantification unit i (ha) </t>
  </si>
  <si>
    <t>QA1_CH4_Baseline</t>
  </si>
  <si>
    <t>Quantification Approach 1: Measure &amp; Model - CH4 Baseline Emissions</t>
  </si>
  <si>
    <t>QA1_CH4_Soil_Methan_Baselin</t>
  </si>
  <si>
    <t>Baseline Soil Methanogenesis Methane Emissions</t>
  </si>
  <si>
    <t xml:space="preserve">Areal mean methane emissions from SOC pool in the baseline scenario for quantification unit i in year t (t CO2e/ha) </t>
  </si>
  <si>
    <t xml:space="preserve">Global warming potential for CH4 (t CO2e/t CH4) </t>
  </si>
  <si>
    <t xml:space="preserve">Modeled methane emissions from soil in the baseline scenario for quantification unit i in year t, calculated by modeling soil methane fluxes over the course of the preceding year (t CO2e/ha) </t>
  </si>
  <si>
    <t>QA1_CH4_Project</t>
  </si>
  <si>
    <t>Quantification Approach 1: Measure &amp; Model - CH4 Project Emissions</t>
  </si>
  <si>
    <t>QA1_CH4_Soil_Methan_Project</t>
  </si>
  <si>
    <t>QA1 Project Soil Methanogenesis Methane Emissions</t>
  </si>
  <si>
    <t xml:space="preserve">Areal mean methane emissions from SOC pool in the project scenario for quantification unit i in year t (t CO2e/ha) </t>
  </si>
  <si>
    <t xml:space="preserve">Modeled methane emissions from soil in the project scenario for quantification unit i in year t, calculated by modeling soil methane fluxes over the course of the preceding year (t CO2e/ha) </t>
  </si>
  <si>
    <t>Methane Emission Reductions from the SOC Pool</t>
  </si>
  <si>
    <t>QA1_N2O_ERs</t>
  </si>
  <si>
    <t>Quantification Approach 1: Measure &amp; Model - N2O Emissions Reductions</t>
  </si>
  <si>
    <t>QA1_N2O_ERs_Unit_i</t>
  </si>
  <si>
    <t>Quantification Approach 1: Measure &amp; Model - N2O Emissions Per Unit i</t>
  </si>
  <si>
    <t>QA1_N2O_Baseline</t>
  </si>
  <si>
    <t>Quantification Approach 1: Measure &amp; Model - N2O Baseline Emissions</t>
  </si>
  <si>
    <t>QA1_N2O_Fertilizers_NFixing_Bas</t>
  </si>
  <si>
    <t>Quantification Approach 1: Nitrogen Inputs - Baseline</t>
  </si>
  <si>
    <t xml:space="preserve">Areal mean direct and indirect nitrous oxide emissions due to nitrogen inputs to soils in the baseline scenario for quantification unit i in year t (t CO2e/ha) </t>
  </si>
  <si>
    <t xml:space="preserve">Global warming potential for N2O (t CO2e/t N2O) </t>
  </si>
  <si>
    <t xml:space="preserve">Modeled nitrous oxide emissions from soil in the baseline scenario for quantification unit i in year t, calculated by modeling soil fluxes of nitrogen forms over the course of the preceding year (t N2O/ha) </t>
  </si>
  <si>
    <t>QA1_N2O_Project</t>
  </si>
  <si>
    <t>Quantification Approach 1: Measure &amp; Model - N2O Project Emissions</t>
  </si>
  <si>
    <t>QA1_N2O_Fertilizers_NFixing_Pro</t>
  </si>
  <si>
    <t>QA1 Project Nitrogen Inputs Nitrous Oxide Emissions</t>
  </si>
  <si>
    <t xml:space="preserve">Areal mean direct and indirect nitrous oxide emissions due to nitrogen inputs to soils in the project scenario for quantification unit i in year t (t CO2e/ha) </t>
  </si>
  <si>
    <t xml:space="preserve">Modeled nitrous oxide emissions from soil in the project scenario for quantification unit i in year t, calculated by modeling soil fluxes of nitrogen forms over the course of the preceding year (t N2O/ha) </t>
  </si>
  <si>
    <t>Nitrous Oxide Emission Reductions from Nitrification/Denitrification</t>
  </si>
  <si>
    <t>QA1_CO2_SOC_ERs</t>
  </si>
  <si>
    <t>Quantification Approach 1: Measure &amp; Model - SOC CO2 Emissions Reductions</t>
  </si>
  <si>
    <t>QA1_CO2_SOC_ERs_Unit_i</t>
  </si>
  <si>
    <t>Quantification Approach 1: Model Input Data by Unit ID</t>
  </si>
  <si>
    <t>QA1_CO2_SOC_Baseline</t>
  </si>
  <si>
    <t>Quantification Approach 1: SOC Baseline Scenario</t>
  </si>
  <si>
    <t>The following data points are required to collect yearly input data for calculating SOC (Soil Organic Carbon) stocks, adhering to Quantification Approach 1. Please ensure accurate and complete data entry to facilitate precise calculations.</t>
  </si>
  <si>
    <t>QA1_CO2_SOC_Input_Year_t</t>
  </si>
  <si>
    <t>Quantification Approach 1: Model Input Data by Year t</t>
  </si>
  <si>
    <t>t</t>
  </si>
  <si>
    <t>Site ID</t>
  </si>
  <si>
    <t>QA1_CO2_SOC_Input_Stratum_ID</t>
  </si>
  <si>
    <t>Quantification Approach 1: Model Input Data by Stratum ID</t>
  </si>
  <si>
    <t>Stratum ID</t>
  </si>
  <si>
    <t>1704871_1</t>
  </si>
  <si>
    <t>Stratum Area</t>
  </si>
  <si>
    <t>Scenario</t>
  </si>
  <si>
    <t>Initialization</t>
  </si>
  <si>
    <t>Average by Stratum</t>
  </si>
  <si>
    <t>SOC (tCO2e/ha)</t>
  </si>
  <si>
    <t>Quantification unit i SOC stock change in the baseline scenario in year t</t>
  </si>
  <si>
    <t xml:space="preserve">Modeled SOC stocks in the baseline scenario for quantification unit i in year t, calculated by modeling SOC stock changes over the course of the preceding year (t CO2e/ha) </t>
  </si>
  <si>
    <t xml:space="preserve">Estimated carbon stocks in the SOC pool in the baseline scenario for quantification unit i at the end of year t (t CO2e/ha)  </t>
  </si>
  <si>
    <t>QA1_CO2_SOC_Project</t>
  </si>
  <si>
    <t>Quantification Approach 1: SOC Project Scenario</t>
  </si>
  <si>
    <t>Quantification unit i SOC stock change in the project scenario in year t</t>
  </si>
  <si>
    <t xml:space="preserve">Modeled SOC stocks in project scenario for quantification unit i in year t, calculated by modeling SOC stock changes over the course of the preceding year (t CO2e/ha) </t>
  </si>
  <si>
    <t xml:space="preserve">Estimated carbon stocks in the SOC pool in the project scenario for quantification unit i at the end of year t (t CO2e/ha)  </t>
  </si>
  <si>
    <t>Quantification unit SOC stock change in the baseline scenario in year t</t>
  </si>
  <si>
    <t>Quantification unit SOC stock change in the project scenario in year t</t>
  </si>
  <si>
    <t xml:space="preserve">Changes the sign of the Uncertainty UNCt,CO2 from positive to negative when the SOC stock change between project and baseline scenario is negative (see note below) ensuring a conservative application of uncertainty when SOC losses result in emissions instead of removals.  </t>
  </si>
  <si>
    <t>QA2_CO2_SOC_ERs</t>
  </si>
  <si>
    <t>Quantification Approach 2: Measure &amp; Remeasure - SOC CO2 Emissions Reductions</t>
  </si>
  <si>
    <t>QA2_CO2_SOC_ERs_Unit_i</t>
  </si>
  <si>
    <t>Quantification Approach 2: Model Input Data by Unit ID</t>
  </si>
  <si>
    <t>QA2_CO2_SOC_Baseline</t>
  </si>
  <si>
    <t>Quantification Approach 2: SOC Baseline Scenario</t>
  </si>
  <si>
    <t>The following data points are required to collect yearly input data for calculating SOC (Soil Organic Carbon) stocks, adhering to Quantification Approach 2. Please ensure accurate and complete data entry to facilitate precise calculations.</t>
  </si>
  <si>
    <t>QA2_CO2_SOC_Input_Year_t</t>
  </si>
  <si>
    <t>Quantification Approach 2: Model Input Data by Year t</t>
  </si>
  <si>
    <t>QA2_CO2_SOC_Input_Stratum</t>
  </si>
  <si>
    <t>Quantification Approach 2: Model Input Data by Stratum ID</t>
  </si>
  <si>
    <t>QA2_CO2_SOC_Project</t>
  </si>
  <si>
    <t>Quantification Approach 2: SOC Project Scenario</t>
  </si>
  <si>
    <t>QA3_DefaultFactors_ERs</t>
  </si>
  <si>
    <t>Quantification Approach 3: Default Factors - Emissions Reductions</t>
  </si>
  <si>
    <t>QA3_DefaultFactors_ERs_Unit_i</t>
  </si>
  <si>
    <t>Quantification Approach 3: Default Factors - Emissions Per Unit i</t>
  </si>
  <si>
    <t>QA3_DefaultFactors_Baseline</t>
  </si>
  <si>
    <t>Quantification Approach 3: Default Factors - Baseline</t>
  </si>
  <si>
    <t>CO2_FossilFuel_Baseline</t>
  </si>
  <si>
    <t>Baseline Fossil Fuel Carbon Dioxide Emissions</t>
  </si>
  <si>
    <t>CO2_FF_Baseline_Data_ByType</t>
  </si>
  <si>
    <t>Baseline Fossil Fuel Data by Type</t>
  </si>
  <si>
    <t xml:space="preserve">Type of fossil fuel (gasoline, diesel or other)  </t>
  </si>
  <si>
    <t>Diesel</t>
  </si>
  <si>
    <t xml:space="preserve">Carbon dioxide emissions from fossil fuel combustion in the baseline scenario in vehicle/equipment type j for quantification unit i in year t (t CO2e) </t>
  </si>
  <si>
    <t xml:space="preserve">Consumption of fossil fuel type j for quantification unit i in year t (liters) </t>
  </si>
  <si>
    <t xml:space="preserve">Emission factor for combustion of fossil fuel type j (t CO2e/liter) </t>
  </si>
  <si>
    <t xml:space="preserve">Areal mean carbon dioxide emissions from fossil fuel combustion in the baseline scenario for quantification unit i in year t (t CO2e/ha) </t>
  </si>
  <si>
    <t xml:space="preserve">Carbon dioxide emissions from fossil fuel combustion in the baseline scenario for all vehicle/equipment type j for quantification unit i in year t (t CO2e) </t>
  </si>
  <si>
    <t>CO2_Liming_Baseline</t>
  </si>
  <si>
    <t>Baseline Liming Carbon Dioxide Emissions</t>
  </si>
  <si>
    <t xml:space="preserve">Amount of calcitic limestone (CaCO3) applied to quantification unit i in year t (tonnes) </t>
  </si>
  <si>
    <t xml:space="preserve">Emission factor for calcitic limestone (0.12) (t C/t of limestone) </t>
  </si>
  <si>
    <t xml:space="preserve">Amount of dolomite (CaMg(CO3)2) applied to quantification unit i in year t (tonnes) </t>
  </si>
  <si>
    <t>Emission factor for dolomite (0.13) (t C/t of dolomite)</t>
  </si>
  <si>
    <t xml:space="preserve">Carbon dioxide emissions from liming in the baseline scenario for quantification unit i in year t (t CO2e) </t>
  </si>
  <si>
    <t xml:space="preserve">Areal mean carbon dioxide emissions from liming in the baseline scenario for quantification unit i in year t (t CO2e/ha) </t>
  </si>
  <si>
    <t xml:space="preserve">Molar mass ratio of CO2 to C applied to convert CO2-C emissions to CO2 emissions </t>
  </si>
  <si>
    <t>CH4_Enteric_Baseline</t>
  </si>
  <si>
    <t>Baseline Enteric Fermentation Methane Emissions</t>
  </si>
  <si>
    <t>Livestock_Data_ByType_Base</t>
  </si>
  <si>
    <t>Baseline Livestock Enteric Fermentation Data by Type</t>
  </si>
  <si>
    <t xml:space="preserve">Type of livestock </t>
  </si>
  <si>
    <t>Sheep</t>
  </si>
  <si>
    <t xml:space="preserve">Productivity system </t>
  </si>
  <si>
    <t>P</t>
  </si>
  <si>
    <t xml:space="preserve">Population of grazing livestock of type l in quantification unit i for productivity system P in year t in the baseline scenario (head numbers) </t>
  </si>
  <si>
    <t>Enteric fermentation emission factor for livestock type l in productivity system P (kg CH4/(head × year)</t>
  </si>
  <si>
    <t xml:space="preserve">Areal mean methane emissions from livestock enteric fermentation in the baseline scenario for quantification unit i in year t (t CO2e/ha) </t>
  </si>
  <si>
    <t xml:space="preserve">Conversion factor from kg to t </t>
  </si>
  <si>
    <t>CH4_Manure_Baseline</t>
  </si>
  <si>
    <t>Baseline Manure Deposition Methane Emissions</t>
  </si>
  <si>
    <t>CH4_Manure_Data_ByType_Baseline</t>
  </si>
  <si>
    <t>Baseline Manure Deposition Data by Type</t>
  </si>
  <si>
    <t>Manure management system</t>
  </si>
  <si>
    <t>S</t>
  </si>
  <si>
    <t>Fraction of total annual volatile solids for each livestock type l in quantification unit i, that is managed in manure management system S in the project area, for productivity system P (dimensionless)</t>
  </si>
  <si>
    <t>Average weight in the baseline scenario of livestock type l for quantification unit i in productivity system P in year t (kg animal mass/head)</t>
  </si>
  <si>
    <t>Default volatile solids excretion rate for livestock type l for productivity system P (kg volatile solids/(1000 kg animal mass × day))</t>
  </si>
  <si>
    <t>Emission factor for methane emissions from manure deposition for livestock type l for productivity system P in manure management system S (g CH4/kg volatile solids)</t>
  </si>
  <si>
    <t>Average volatile solids excretion per head for livestock type l in quantification unit i for productivity system P in year t (kg volatile solids/(head × day)</t>
  </si>
  <si>
    <t>Conversion factor kg per tonne</t>
  </si>
  <si>
    <t xml:space="preserve">Days per year </t>
  </si>
  <si>
    <r>
      <t>∑ (Pop</t>
    </r>
    <r>
      <rPr>
        <vertAlign val="subscript"/>
        <sz val="11"/>
        <rFont val="Calibri"/>
        <family val="2"/>
      </rPr>
      <t>bsl,l,i,t,P</t>
    </r>
    <r>
      <rPr>
        <sz val="11"/>
        <rFont val="Calibri"/>
        <family val="2"/>
      </rPr>
      <t xml:space="preserve"> × VS</t>
    </r>
    <r>
      <rPr>
        <vertAlign val="subscript"/>
        <sz val="11"/>
        <rFont val="Calibri"/>
        <family val="2"/>
      </rPr>
      <t>l,i,t,P</t>
    </r>
    <r>
      <rPr>
        <sz val="11"/>
        <rFont val="Calibri"/>
        <family val="2"/>
      </rPr>
      <t xml:space="preserve"> × AWMS</t>
    </r>
    <r>
      <rPr>
        <vertAlign val="subscript"/>
        <sz val="11"/>
        <rFont val="Calibri"/>
        <family val="2"/>
      </rPr>
      <t>l,i,t,P,S</t>
    </r>
    <r>
      <rPr>
        <sz val="11"/>
        <rFont val="Calibri"/>
        <family val="2"/>
      </rPr>
      <t xml:space="preserve"> × EF</t>
    </r>
    <r>
      <rPr>
        <vertAlign val="subscript"/>
        <sz val="11"/>
        <rFont val="Calibri"/>
        <family val="2"/>
      </rPr>
      <t>CH4,md,l,P,S</t>
    </r>
    <r>
      <rPr>
        <sz val="11"/>
        <rFont val="Calibri"/>
        <family val="2"/>
      </rPr>
      <t>)</t>
    </r>
  </si>
  <si>
    <t xml:space="preserve"> Baseline areal mean CH4 emissions from manure deposition in the baseline scenario for quantification unit i in year t (t CO2e/ha) </t>
  </si>
  <si>
    <t xml:space="preserve">Conversion factor from grams to tonnes </t>
  </si>
  <si>
    <t>CH4_Biomass_Baseline</t>
  </si>
  <si>
    <t>Baseline Biomass Burning Methane Emissions</t>
  </si>
  <si>
    <t>CH4_BiomassData_ByType_Baseline</t>
  </si>
  <si>
    <t>Baseline Methane Emissions Data from Biomass Burning by Type</t>
  </si>
  <si>
    <t>Type of agricultural residue</t>
  </si>
  <si>
    <t>phytomass</t>
  </si>
  <si>
    <t xml:space="preserve">Combustion factor for agricultural residue type c (proportion of prefire fuel biomass consumed) </t>
  </si>
  <si>
    <t>Methane emission factor for the burning of agricultural residue type c (g CH4/kg dry matter burned)</t>
  </si>
  <si>
    <t>Mass of agricultural residues of type c burned in the baseline scenario for quantification unit i in year t (kg)</t>
  </si>
  <si>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</si>
  <si>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</si>
  <si>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t xml:space="preserve">Methane emissions in the baseline scenario from biomass burning for quantification unit i in year t (t CO2e/ha) </t>
  </si>
  <si>
    <t>N2O_NFert_Baseline</t>
  </si>
  <si>
    <t>Baseline Nitrogen Fertilizer Nitrous Oxide Emissions</t>
  </si>
  <si>
    <t>SyntheticFertilizer_Data_Baseli</t>
  </si>
  <si>
    <t>Baseline Synthetic N Fertilizer Data by Type</t>
  </si>
  <si>
    <t xml:space="preserve">Synthetic N fertilizer type </t>
  </si>
  <si>
    <t>Anhydrous Ammonia</t>
  </si>
  <si>
    <t xml:space="preserve">Mass of N-containing synthetic fertilizer type SF applied to quantification unit i in year t in the baseline scenario (t fertilizer) </t>
  </si>
  <si>
    <t xml:space="preserve">N content of synthetic fertilizer type SF (t N/t fertilizer) </t>
  </si>
  <si>
    <t xml:space="preserve">Synthetic N fertilizer applied to quantification unit i in year t in the baseline scenario (t N) </t>
  </si>
  <si>
    <t>OrganicFertilizer_Data_Baseline</t>
  </si>
  <si>
    <t>Baseline Organic N Fertilizer Data by Type</t>
  </si>
  <si>
    <t>Organic N fertilizer type</t>
  </si>
  <si>
    <t>Sheep Manure</t>
  </si>
  <si>
    <t>Mass of N-containing organic fertilizer type OF applied to quantification unit i in year t in the baseline scenario (t fertilizer)</t>
  </si>
  <si>
    <t>N content of organic fertilizer type OF (t N/t fertilizer)</t>
  </si>
  <si>
    <t xml:space="preserve">Organic N fertilizer applied to quantification unit i in year t in the baseline scenario (t N) </t>
  </si>
  <si>
    <t>Emission factor for nitrous oxide emissions from N additions from synthetic fertilizers, organic amendments, and crop residues (t N2ON/t N applied)</t>
  </si>
  <si>
    <t xml:space="preserve">Areal mean direct nitrous oxide emissions due to fertilizer use in the baseline scenario for quantification unit i in year t (t CO2e/ha) </t>
  </si>
  <si>
    <t xml:space="preserve">Fraction of all synthetic N added to soils that volatilizes as NH3 and NOx (dimensionless) </t>
  </si>
  <si>
    <t xml:space="preserve">Fraction of all organic N added to soils and N in manure and urine deposited on soils that volatilizes as NH3 and NOx (dimensionless) </t>
  </si>
  <si>
    <t xml:space="preserve">Emission factor for nitrous oxide emissions from atmospheric deposition of N on soils and water surfaces (t N2O-N/(t NH3-N + NOxN volatilized)) </t>
  </si>
  <si>
    <t xml:space="preserve">Indirect nitrous oxide emissions produced from atmospheric deposition of N volatilized due to fertilizer use in the baseline scenario in quantification unit i in year t (t CO2e) </t>
  </si>
  <si>
    <t xml:space="preserve">Fraction of N (synthetic or organic) added to soils and in manure and urine deposited on soils that is lost through leaching and runoff, in regions where leaching and runoff occurs (dimensionless)  </t>
  </si>
  <si>
    <t xml:space="preserve">Emission factor for nitrous oxide emissions from leaching and runoff (t N2O-N/t N leached and runoff) </t>
  </si>
  <si>
    <t>Indirect nitrous oxide emissions produced from leaching and runoff of N, in regions where leaching and runoff occurs, due to fertilizer use in the baseline scenario in quantification unit i in year t (t CO2e)</t>
  </si>
  <si>
    <t xml:space="preserve">Indirect nitrous oxide emissions due to fertilizer use in the baseline scenario for quantification unit i in year t (t CO2e/ha) </t>
  </si>
  <si>
    <t>Nitrous oxide emissions due to fertilizer use in the baseline scenario for quantification unit i in year t (t CO2e/ha)</t>
  </si>
  <si>
    <t>N2O_Manure_Baseline</t>
  </si>
  <si>
    <t>Baseline Manure Deposition Nitrous Oxide Emissions</t>
  </si>
  <si>
    <t>N2O_ManureData_ByType_Baseline</t>
  </si>
  <si>
    <t>Baseline Manure Deposition Livestock Data by Type</t>
  </si>
  <si>
    <t>Type of livestock</t>
  </si>
  <si>
    <t xml:space="preserve">Manure management system </t>
  </si>
  <si>
    <t xml:space="preserve">S </t>
  </si>
  <si>
    <t xml:space="preserve">Fraction of total annual volatile solids for each livestock type l in quantification unit i, that is managed in manure management system S in the project area, for productivity system P (dimensionless) </t>
  </si>
  <si>
    <t xml:space="preserve">Average annual nitrogen excretion per head of livestock type l for productivity system P (kg N deposited/(head × year)) </t>
  </si>
  <si>
    <t xml:space="preserve">Emission factor for nitrous oxide from manure and urine deposited on soils by livestock type l for manure management system S (kg N2O-N/kg N input) </t>
  </si>
  <si>
    <t>Baseline fraction of total annual N excretion for each livestock type l for quantification unit i in year t that is deposited on the project area (%)</t>
  </si>
  <si>
    <t xml:space="preserve">Amount of nitrogen in manure and urine deposited on soils by livestock type l for productivity system P in quantification unit i in year t (t N) </t>
  </si>
  <si>
    <t xml:space="preserve">Indirect nitrous oxide emissions produced from leaching and runoff of N, in regions where leaching and runoff occurs, as a result of manure deposition for quantification unit i in year t. Equal to zero where annual precipitation is less than potential evapotranspiration, unless irrigation is employed (t CO2e) </t>
  </si>
  <si>
    <t xml:space="preserve">Indirect nitrous oxide emissions produced from atmospheric deposition of N volatilized due to manure deposition for quantification unit i in year t (t CO2e) </t>
  </si>
  <si>
    <t xml:space="preserve">Areal mean direct nitrous oxide emissions due to manure deposition in the baseline scenario for quantification unit i for productivity system P and manure management system S in year t (t CO2e/ha) </t>
  </si>
  <si>
    <t xml:space="preserve">Areal mean indirect nitrous oxide emissions due to manure deposition in the baseline scenario for quantification unit i in year t (t CO2e/ha) </t>
  </si>
  <si>
    <t xml:space="preserve">Areal mean nitrous oxide emissions due to manure deposition in the baseline scenario for quantification unit i in year t (t CO2e/ha) </t>
  </si>
  <si>
    <t>N2O_NFixing_Baseline</t>
  </si>
  <si>
    <t>Baseline Nitrogen Fixing Nitrous Oxide Emissions</t>
  </si>
  <si>
    <t>NFixingSpecies_Data_Baseline</t>
  </si>
  <si>
    <t>Baseline N-Fixing Species by Type</t>
  </si>
  <si>
    <t xml:space="preserve">Type of N-fixing species </t>
  </si>
  <si>
    <t>g</t>
  </si>
  <si>
    <t xml:space="preserve">Annual dry matter (above- and belowground) of N-fixing species g returned to soils for quantification unit i in year t (t d.m.) </t>
  </si>
  <si>
    <t xml:space="preserve">Fraction of N in dry matter for N-fixing species g (t N/t d.m.) </t>
  </si>
  <si>
    <t xml:space="preserve">Amount of N in N-fixing species (above- and belowground) returned to soils in the baseline scenario for quantification unit i in year t (t N) </t>
  </si>
  <si>
    <t xml:space="preserve">Areal mean nitrous oxide emissions from crop residues due to the use of N-fixing species in the baseline scenario for quantification unit i in year t (t CO2e/ha) </t>
  </si>
  <si>
    <t>N2O_Biomass_Baseline</t>
  </si>
  <si>
    <t>Baseline Biomass Burning Nitrous Oxide Emissions</t>
  </si>
  <si>
    <t>N2O_BiomassData_ByType_Baseline</t>
  </si>
  <si>
    <t>Baseline Nitrous Oxide Emissions Data from Biomass Burning by Type</t>
  </si>
  <si>
    <t>Nitrous oxide emission factor for the burning of agricultural residue type c (g N2O/kg dry matter burned)</t>
  </si>
  <si>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</si>
  <si>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</si>
  <si>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t xml:space="preserve">Areal mean nitrous oxide emissions in the baseline scenario from biomass burning for quantification unit i in year t (t CO2e/ha) </t>
  </si>
  <si>
    <t>NitrousOxide_SoilInputs_Baselin</t>
  </si>
  <si>
    <t>Baseline Nitrification/Denitrification Nitrous Oxide Emissions</t>
  </si>
  <si>
    <t xml:space="preserve">Nitrous oxide emissions due to nitrogen inputs to soils in the baseline scenario for quantification unit i in year t (t CO2e/ha) </t>
  </si>
  <si>
    <t>QA3_DefaultFactors_Project</t>
  </si>
  <si>
    <t>Quantification Approach 3: Default Factors - Project</t>
  </si>
  <si>
    <t>CO2_FossilFuel_Project</t>
  </si>
  <si>
    <t>Project Fossil Fuel Carbon Dioxide Emissions</t>
  </si>
  <si>
    <t>CO2_FF_Project_Data_ByType</t>
  </si>
  <si>
    <t>Project Fossil Fuel Data by Type</t>
  </si>
  <si>
    <t xml:space="preserve">Carbon dioxide emissions from fossil fuel combustion in the project scenario in vehicle/equipment type j for quantification unit i in year t (t CO2e) </t>
  </si>
  <si>
    <t xml:space="preserve">Areal mean carbon dioxide emissions from fossil fuel combustion in the project scenario for quantification unit i in year t (t CO2e/ha) </t>
  </si>
  <si>
    <t xml:space="preserve">Carbon dioxide emissions from fossil fuel combustion in the project scenario for all vehicle/equipment type j for quantification unit i in year t (t CO2e) </t>
  </si>
  <si>
    <t>CO2_Liming_Project</t>
  </si>
  <si>
    <t>Project Liming Carbon Dioxide Emissions</t>
  </si>
  <si>
    <t xml:space="preserve">Carbon dioxide emissions from liming in the project scenario for quantification unit i in year t (t CO2e) </t>
  </si>
  <si>
    <t xml:space="preserve">Areal mean carbon dioxide emissions from liming in the project scenario for quantification unit i in year t (t CO2e/ha) </t>
  </si>
  <si>
    <t>CH4_Enteric_Project</t>
  </si>
  <si>
    <t>Project Enteric Fermentation Methane Emissions</t>
  </si>
  <si>
    <t>Livestock_Data_ByType_Project</t>
  </si>
  <si>
    <t>Project Livestock Enteric Fermentation Data by Type</t>
  </si>
  <si>
    <t xml:space="preserve">Population of grazing livestock of type l in quantification unit i for productivity system P in year t in the project scenario (head numbers) </t>
  </si>
  <si>
    <t xml:space="preserve">Areal mean methane emissions from livestock enteric fermentation in the project scenario for quantification unit i in year t (t CO2e/ha) </t>
  </si>
  <si>
    <t>CH4_Manure_Project</t>
  </si>
  <si>
    <t>Project Manure Deposition Methane Emissions</t>
  </si>
  <si>
    <t>CH4_Manure_Data_ByType_Project</t>
  </si>
  <si>
    <t>Project Manure Deposition Data by Type</t>
  </si>
  <si>
    <t>Average weight in the project scenario of livestock type l for quantification unit i in productivity system P in year t (kg animal mass/head)</t>
  </si>
  <si>
    <r>
      <t>∑ (Pop</t>
    </r>
    <r>
      <rPr>
        <vertAlign val="subscript"/>
        <sz val="11"/>
        <rFont val="Calibri"/>
        <family val="2"/>
      </rPr>
      <t>wp,l,i,t,P</t>
    </r>
    <r>
      <rPr>
        <sz val="11"/>
        <rFont val="Calibri"/>
        <family val="2"/>
      </rPr>
      <t xml:space="preserve"> × VS</t>
    </r>
    <r>
      <rPr>
        <vertAlign val="subscript"/>
        <sz val="11"/>
        <rFont val="Calibri"/>
        <family val="2"/>
      </rPr>
      <t>l,i,t,P</t>
    </r>
    <r>
      <rPr>
        <sz val="11"/>
        <rFont val="Calibri"/>
        <family val="2"/>
      </rPr>
      <t xml:space="preserve"> × AWMS</t>
    </r>
    <r>
      <rPr>
        <vertAlign val="subscript"/>
        <sz val="11"/>
        <rFont val="Calibri"/>
        <family val="2"/>
      </rPr>
      <t>l,i,t,P,S</t>
    </r>
    <r>
      <rPr>
        <sz val="11"/>
        <rFont val="Calibri"/>
        <family val="2"/>
      </rPr>
      <t xml:space="preserve"> × EF</t>
    </r>
    <r>
      <rPr>
        <vertAlign val="subscript"/>
        <sz val="11"/>
        <rFont val="Calibri"/>
        <family val="2"/>
      </rPr>
      <t>CH4,md,l,P,S</t>
    </r>
    <r>
      <rPr>
        <sz val="11"/>
        <rFont val="Calibri"/>
        <family val="2"/>
      </rPr>
      <t>)</t>
    </r>
  </si>
  <si>
    <t xml:space="preserve">Project areal mean CH4 emissions from manure deposition in the project scenario for quantification unit i in year t (t CO2e/ha) </t>
  </si>
  <si>
    <t>CH4_Biomass_Project</t>
  </si>
  <si>
    <t>Project Biomass Burning Methane Emissions</t>
  </si>
  <si>
    <t>CH4_BiomassData_ByType_Project</t>
  </si>
  <si>
    <t>Project Methane Emissions Data from Biomass Burning by Type</t>
  </si>
  <si>
    <t>Mass of agricultural residues of type c burned in the project scenario for quantification unit i in year t (kg)</t>
  </si>
  <si>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</si>
  <si>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</si>
  <si>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t xml:space="preserve">Methane emissions in the project scenario from biomass burning for quantification unit i in year t (t CO2e/ha) </t>
  </si>
  <si>
    <t>N2O_NFert_Project</t>
  </si>
  <si>
    <t>Project Nitrogen Fertilizer Nitrous Oxide Emissions</t>
  </si>
  <si>
    <t>SyntheticFertilizer_Data_Projec</t>
  </si>
  <si>
    <t>Project Synthetic N Fertilizer Data by Type</t>
  </si>
  <si>
    <t xml:space="preserve">Mass of N-containing synthetic fertilizer type SF applied to quantification unit i in year t in the project scenario (t fertilizer) </t>
  </si>
  <si>
    <t xml:space="preserve">Synthetic N fertilizer applied to quantification unit i in year t in the project scenario (t N) </t>
  </si>
  <si>
    <t>OrganicFertilizer_Data_Project</t>
  </si>
  <si>
    <t>Project Organic N Fertilizer Data by Type</t>
  </si>
  <si>
    <t>Mass of N-containing organic fertilizer type OF applied to quantification unit i in year t in the project scenario (t fertilizer)</t>
  </si>
  <si>
    <t xml:space="preserve">Organic N fertilizer applied to quantification unit i in year t in the project scenario (t N) </t>
  </si>
  <si>
    <t xml:space="preserve">Areal mean direct nitrous oxide emissions due to fertilizer use in the project scenario for quantification unit i in year t (t CO2e/ha) </t>
  </si>
  <si>
    <t xml:space="preserve">Indirect nitrous oxide emissions produced from atmospheric deposition of N volatilized due to fertilizer use in the project scenario in quantification unit i in year t (t CO2e) </t>
  </si>
  <si>
    <t>Indirect nitrous oxide emissions produced from leaching and runoff of N, in regions where leaching and runoff occurs, due to fertilizer use in the project scenario in quantification unit i in year t (t CO2e)</t>
  </si>
  <si>
    <t xml:space="preserve">Indirect nitrous oxide emissions due to fertilizer use in the project scenario for quantification unit i in year t (t CO2e/ha) </t>
  </si>
  <si>
    <t>Nitrous oxide emissions due to fertilizer use in the project scenario for quantification unit i in year t (t CO2e/ha)</t>
  </si>
  <si>
    <t>N2O_Manure_Project</t>
  </si>
  <si>
    <t>Project Manure Deposition Nitrous Oxide Emissions</t>
  </si>
  <si>
    <t>N2O_ManureData_ByType_Project</t>
  </si>
  <si>
    <t>Project Manure Deposition Livestock Data by Type</t>
  </si>
  <si>
    <t>Project fraction of total annual N excretion for each livestock type l for quantification unit i in year t that is deposited on the project area (%)</t>
  </si>
  <si>
    <t xml:space="preserve">Areal mean direct nitrous oxide emissions due to manure deposition in the project scenario for quantification unit i for productivity system P and manure management system S in year t (t CO2e/ha) </t>
  </si>
  <si>
    <t xml:space="preserve">Areal mean indirect nitrous oxide emissions due to manure deposition in the project scenario for quantification unit i in year t (t CO2e/ha) </t>
  </si>
  <si>
    <t xml:space="preserve">Areal mean nitrous oxide emissions due to manure deposition in the project scenario for quantification unit i in year t (t CO2e/ha) </t>
  </si>
  <si>
    <t>N2O_NFixing_Project</t>
  </si>
  <si>
    <t>Project Nitrogen Fixing Nitrous Oxide Emissions</t>
  </si>
  <si>
    <t>NFixingSpecies_Data_Project</t>
  </si>
  <si>
    <t>Project N-Fixing Species by Type</t>
  </si>
  <si>
    <t xml:space="preserve">Amount of N in N-fixing species (above- and belowground) returned to soils in the project scenario for quantification unit i in year t (t N) </t>
  </si>
  <si>
    <t xml:space="preserve">Areal mean nitrous oxide emissions from crop residues due to the use of N-fixing species in the project scenario for quantification unit i in year t (t CO2e/ha) </t>
  </si>
  <si>
    <t>N2O_Biomass_Project</t>
  </si>
  <si>
    <t>Project Biomass Burning Nitrous Oxide Emissions</t>
  </si>
  <si>
    <t>N2O_BiomassData_ByType_Project</t>
  </si>
  <si>
    <t>Project Nitrous Oxide Emissions Data from Biomass Burning by Type</t>
  </si>
  <si>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</si>
  <si>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</si>
  <si>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t xml:space="preserve">Areal mean nitrous oxide emissions in the project scenario from biomass burning for quantification unit i in year t (t CO2e/ha) </t>
  </si>
  <si>
    <t>NitrousOxide_SoilInputs_Project</t>
  </si>
  <si>
    <t>Project Nitrification/Denitrification Nitrous Oxide Emissions</t>
  </si>
  <si>
    <t xml:space="preserve">Nitrous oxide emissions due to nitrogen inputs to soils in the project scenario for quantification unit i in year t (t CO2e/ha) </t>
  </si>
  <si>
    <t>Fossil Fuel Combustion Emission Reductions</t>
  </si>
  <si>
    <t>Liming Emission Reductions</t>
  </si>
  <si>
    <t>Methane Emission Reductions from Livestock Enteric Fermentation</t>
  </si>
  <si>
    <t>Methane Emission Reductions from Manure Deposition</t>
  </si>
  <si>
    <t>Methane Emission Reductions from Avoided or Reduced Biomass Burning</t>
  </si>
  <si>
    <t>Nitrous Oxide Emission Reductions from Biomass Burning</t>
  </si>
  <si>
    <t>CO2_Woody_Biomass_CDM</t>
  </si>
  <si>
    <t>CDM Tool Woody Biomass CO2 Emissions</t>
  </si>
  <si>
    <t>CO2_Woody_Biomass_Unit_i</t>
  </si>
  <si>
    <t>Woody Biomass CO2 Emissions Per Unit i</t>
  </si>
  <si>
    <t>AR Tool 14</t>
  </si>
  <si>
    <t>AR Tool 14 Baseline</t>
  </si>
  <si>
    <t>AR Tool 14 - Baseline Scenario</t>
  </si>
  <si>
    <t>Which method did you u (enum)</t>
  </si>
  <si>
    <t>Which method did you use for estimating change in carbon stock in trees?</t>
  </si>
  <si>
    <t>Estimating change in carbon stock in trees in a year</t>
  </si>
  <si>
    <t>BSL-Estimating change in car</t>
  </si>
  <si>
    <t>Estimating change in carbon stock in trees between two points in time</t>
  </si>
  <si>
    <t>Which method did you us (enum)</t>
  </si>
  <si>
    <t>Which method did you use for estimating change in carbon stock in trees between two points of time?</t>
  </si>
  <si>
    <t>no-decrease</t>
  </si>
  <si>
    <t>Tree Demonstration of “no-d</t>
  </si>
  <si>
    <t xml:space="preserve">Demonstration of “no-decrease” </t>
  </si>
  <si>
    <t xml:space="preserve">This method is applicable only in ex-post estimation of change in carbon stock in trees for monitoring of project activities. Project participants may, at the time of a verification, demonstrate that tree biomass in one or more strata has not decreased relative to the tree biomass at the time of the previous verification, by proving that: (a) No harvest has occurred in the stratum since the previous verification; (b) The stratum was not affected by any disturbance (e.g. pest, fire) that would decrease the carbon stock in trees; (c) Remote sensing data or inventory data, including participatory inventory or participatory photo-mapping data, demonstrate that tree crown cover in the stratum has not decreased since the previous verification. </t>
  </si>
  <si>
    <t>If all three conditi tree(enum)</t>
  </si>
  <si>
    <t>If all three conditions above are demonstrated to have been met in a stratum, the change in carbon stock for trees in that stratum since the previous verification can be conservatively estimated as zero. Does this apply to your project?</t>
  </si>
  <si>
    <t>BSL-Estimation by proportionate</t>
  </si>
  <si>
    <t>Estimation by proportionate crown cover</t>
  </si>
  <si>
    <t>Auto Calculate</t>
  </si>
  <si>
    <t>What is the mean annual change in carbon stock in trees in the baseline (ΔCTREE_BSL) in t CO2e yr^-1?</t>
  </si>
  <si>
    <t>Maybe move this</t>
  </si>
  <si>
    <t>Mean annual change in carbon st</t>
  </si>
  <si>
    <t>Mean annual change in carbon stock in trees in the baseline</t>
  </si>
  <si>
    <t>What is the mean annual change in carbon stock in trees in the baseline stratum i (ΔCTREE_BSL,i) in t CO2e yr^-1?</t>
  </si>
  <si>
    <t>What is the carbon fraction of tree biomass (CF_TREE) in t C (t d.m.)^-1?</t>
  </si>
  <si>
    <t>What is the default mean annual increment of above-ground biomass in the forest region (Δb_FOREST) in t d.m. ha^-1 yr^-1?</t>
  </si>
  <si>
    <t>What is the root-shoot ratio for the trees in the baseline (R_TREE)?</t>
  </si>
  <si>
    <t>What is the crown cover of trees in the baseline stratum i (CC_TREE_BSL,i), expressed as a fraction?</t>
  </si>
  <si>
    <t>What is the area of the baseline stratum i, delineated on the basis of tree crown cover at the start of the A/R CDM project activity (A_i) in hectares?</t>
  </si>
  <si>
    <t>Direct Estimating Changes via S</t>
  </si>
  <si>
    <t>Direct estimating changes via sample plot re-measurement</t>
  </si>
  <si>
    <t>What is the change in carbon stock in trees (ΔC_TREE) in tCO2e?</t>
  </si>
  <si>
    <t>What is the change in tree biomass within the biomass estimation strata (ΔB_TREE) in t d.m.?</t>
  </si>
  <si>
    <t>What is the mean change in tree biomass per hectare within the biomass
 estimation strata; t d.m. ha-1? (Δb_TREE)</t>
  </si>
  <si>
    <t>What is the sum of areas of the biomass estimation strata (A) in hectares?</t>
  </si>
  <si>
    <t>What is the uncertainty in ΔC_TREE  in tCO2e?</t>
  </si>
  <si>
    <t>What is the two-sided Student's t-value for a confidence level of 90%?</t>
  </si>
  <si>
    <t>Mean Change In Tree Biomass Per</t>
  </si>
  <si>
    <t>Mean Change In Tree Biomass Per Hectare Within The Biomass Estimation Strata</t>
  </si>
  <si>
    <t>What is the mean change in carbon stock per hectare in tree biomass in stratum i; t d.m. ha-1?</t>
  </si>
  <si>
    <t>What is the ratio of the area of stratum i to the sum of areas of biomass estimation strata (w_i)?</t>
  </si>
  <si>
    <t>What is the variance of mean change in tree biomass per hectare in stratum i (S^2_Δi) in (t d.m. ha^-1)^2?</t>
  </si>
  <si>
    <t>What is the number of sample plots in stratum i (n_i) where tree biomass was re-measured?</t>
  </si>
  <si>
    <t>Change in Tree Biomass per Hect</t>
  </si>
  <si>
    <t>Change in Tree Biomass per Hectare in Plot p in Stratum i</t>
  </si>
  <si>
    <t>What is the change in tree biomass per hectare in plot p in stratum i; t d.m. ha-1 ?</t>
  </si>
  <si>
    <t>Difference of Two Independent S</t>
  </si>
  <si>
    <t>Difference of two independent stock estimations</t>
  </si>
  <si>
    <t>What was the carbon stock in trees at time t1 (tCO2e)?</t>
  </si>
  <si>
    <t>What was the carbon stock in trees at time t2 (tCO2e)?</t>
  </si>
  <si>
    <t>What is the uncertainty in the carbon stock at time t1 (tCO2e)?</t>
  </si>
  <si>
    <t>What is the uncertainty in the carbon stock at time t2 (tCO2e)?</t>
  </si>
  <si>
    <t>Calculate the overall uncertainty in ΔC_TREE (tCO2e).</t>
  </si>
  <si>
    <t>What is the change in carbon stock in trees (tCO2e)?</t>
  </si>
  <si>
    <t>What is the uncertainty percentage?</t>
  </si>
  <si>
    <t>BSL-Estimating change in carbon</t>
  </si>
  <si>
    <t>What is the estimated annual change in carbon stock in trees (ΔCTREE_BSL,t) in t CO2e for year t?</t>
  </si>
  <si>
    <t>What is the carbon stock in trees within the project boundary at time t2 (CTREE_BSL,t2) in t CO2e?</t>
  </si>
  <si>
    <t>What is the carbon stock in trees within the project boundary at time t1 (CTREE_BSL,t1) in t CO2e?</t>
  </si>
  <si>
    <t>What is the time elapsed between two successive estimations (T) in years?</t>
  </si>
  <si>
    <t>BSL-Determination of Estimating</t>
  </si>
  <si>
    <t>Determination of estimating carbon stock in trees at a point of time</t>
  </si>
  <si>
    <t>Which method did you 1 (enum)</t>
  </si>
  <si>
    <t>Which method did you use for estimating carbon stock in trees at a point of time?</t>
  </si>
  <si>
    <t>Estimation by modelling of tree growth and stand development</t>
  </si>
  <si>
    <t>BSL-Updating the previous stock</t>
  </si>
  <si>
    <t>Updating the previous stock by independent measurement of change</t>
  </si>
  <si>
    <t>What is the carbon stock in trees at time t2 (CTREE_BSL,t2) in t CO2e?</t>
  </si>
  <si>
    <t>What is the carbon stock in trees as estimated at time t1 (CTREE_BSL,t1) in t CO2e?</t>
  </si>
  <si>
    <t>What is the change in carbon stock in trees during the period between times t1 and t2 (ΔC_TREE) in t CO2e?</t>
  </si>
  <si>
    <t>What is the uncertainty in ΔC_TREE (u_C) in t CO2e?</t>
  </si>
  <si>
    <t>What is the new uncertainty in the carbon stock at time t2 (u_2) based on updated measurements?</t>
  </si>
  <si>
    <t>What is the new uncertainty in the carbon stock at time t1 (u_1) based on updated measurements?</t>
  </si>
  <si>
    <t>BSL-Estimation by modelling of</t>
  </si>
  <si>
    <t xml:space="preserve">This method is used for ex-ante estimation (projection) of carbon stock in tree biomass. Under this method existing data are used in combination with tree growth models to predict the growth of trees and the development of the tree stand over time. </t>
  </si>
  <si>
    <t xml:space="preserve">Stand parameters such as stocking (e.g. number of stems per hectare or basal area per hectare), age-class structure, and species composition at different points of time are simulated from assumed (planned) tree planting and management practices (e.g. planting density, survival rate, thinning and pruning operations and their timing). </t>
  </si>
  <si>
    <t xml:space="preserve">Tree growth (e.g. diameter or height increment) is simulated by taking into account local tree-growth data from past experience (e.g. age-diameter curves, yield tables, yield curves) while also considering relevant site factors (e.g. soil, terrain, slope, aspect, precipitation) and stand parameters. </t>
  </si>
  <si>
    <t xml:space="preserve">Ex-ante estimation (projection) of carbon stock in tree biomass is not subjected to uncertainty control, although the project participants should use the best available data and models that apply to the project site and the tree species. </t>
  </si>
  <si>
    <t>Does your project apply b(enum)</t>
  </si>
  <si>
    <t>Does your project apply this method for ex-ante estimation (projection) of carbon stock in tree biomass? This method combines existing data with tree growth models to predict growth and stand development over time, simulating parameters such as stocking, age-class structure, and species composition based on planned tree planting and management practices. Tree growth is modeled using local data while considering site factors. Although this projection is not subject to uncertainty control, project participants are expected to use the best available data and models relevant to the project site and tree species.</t>
  </si>
  <si>
    <t>If your answer is 'No,' please change the method for estimating carbon stock in trees at a point in time</t>
  </si>
  <si>
    <t>BSL-Carbon stock in trees at a</t>
  </si>
  <si>
    <t>Carbon stock in trees at a point in time in the baseline scenario</t>
  </si>
  <si>
    <t>Carbon stock in tree biomass within the project boundary at a given point of time in year t in t CO2e.</t>
  </si>
  <si>
    <t xml:space="preserve">Carbon stock in trees within the project boundary at time t1;  t CO2e. </t>
  </si>
  <si>
    <t xml:space="preserve">Carbon stock in trees within the project boundary at time t2;  t CO2e. </t>
  </si>
  <si>
    <t>BSL-Estimation by proportiona</t>
  </si>
  <si>
    <t xml:space="preserve">Estimation by proportionate crown cover </t>
  </si>
  <si>
    <t>What is the mean annual change in carbon stock in trees in the baseline (C_TREE_BSL) in t CO2e yr^-1?</t>
  </si>
  <si>
    <t>BSL-Mean annual change in carbo</t>
  </si>
  <si>
    <t>What is the mean annual change in carbon stock in trees in the baseline stratum i (CTREE_BSL,i) in t CO2e yr^-1?</t>
  </si>
  <si>
    <t>What is the default mean annual increment of above-ground biomass in the forest region (b_FOREST) in t d.m. ha^-1 yr^-1?</t>
  </si>
  <si>
    <t>What is the crown cover of trees in the baseline stratum i (CCTREE_BSL,i), expressed as a fraction?</t>
  </si>
  <si>
    <t>What is the area of the baseline stratum i, delineated on the basis of tree crown cover at the start of the A/R CDM project activity (Ai) in hectares?</t>
  </si>
  <si>
    <t>Measurement of sample plots</t>
  </si>
  <si>
    <t>Which sampling design w (enum)</t>
  </si>
  <si>
    <t>Which sampling design was used for the measurement of sample plots in carbon stock estimation?</t>
  </si>
  <si>
    <t>Stratified random sampling</t>
  </si>
  <si>
    <t>What is the carbon stock in trees within the tree biomass estimation strata (C_TREE) in t CO2e?</t>
  </si>
  <si>
    <t>What is the total tree biomass within the tree biomass estimation strata (B_TREE) in t d.m.?</t>
  </si>
  <si>
    <t>What is the sum of areas of the tree biomass estimation strata (A) in hectares?</t>
  </si>
  <si>
    <t>What is the mean tree biomass per hectare within the tree biomass estimation strata (b_TREE) in t d.m. ha^-1?</t>
  </si>
  <si>
    <t>What is the uncertainty in the carbon stock (u_c) in t CO2e?</t>
  </si>
  <si>
    <t>What is the two-sided Student’s t-value for a confidence level of 90% (t_v,AL)?</t>
  </si>
  <si>
    <t>Mean tree biomass per hectare w</t>
  </si>
  <si>
    <t>Mean tree biomass per hectare within the tree biomass estimation strata</t>
  </si>
  <si>
    <t>What is the mean tree biomass per hectare in stratum i (b_TREE,i) in t d.m. ha^-1?</t>
  </si>
  <si>
    <t>What is the ratio of the area of stratum i to the sum of areas of tree biomass estimation strata (w_i)?</t>
  </si>
  <si>
    <t>What is the variance of tree biomass per hectare across all sample plots in stratum i (S^2_i) in (t d.m. ha^-1)^2?</t>
  </si>
  <si>
    <t>What is the number of sample plots in stratum i (n_i)?</t>
  </si>
  <si>
    <t>Tree Biomass per Hectare in Plo</t>
  </si>
  <si>
    <t>Tree Biomass per Hectare in Plot p of Stratum i</t>
  </si>
  <si>
    <t>What is the tree biomass per hectare in plot p of stratum i (b_TREE,p,i) in t d.m. ha^-1?</t>
  </si>
  <si>
    <t>Double sampling</t>
  </si>
  <si>
    <t>Double Mean tree biomass per he</t>
  </si>
  <si>
    <t>What is the number of sample plots in the sub-sample for stratum i (n_i)?</t>
  </si>
  <si>
    <t>What is the slope of the regression line of tree biomass per hectare against the secondary variable in a sample plot (β)?</t>
  </si>
  <si>
    <t>What is the mean value of the secondary variable across all the sample plots (x')?</t>
  </si>
  <si>
    <t>What is the mean value of the secondary variable in the sub-sample of sample plots (x̄)?</t>
  </si>
  <si>
    <t>What is the variance of mean tree biomass per hectare in stratum i (S^2_i) in (t d.m. ha^-1)^2?</t>
  </si>
  <si>
    <t>What is the ratio of the number of sample plots in the sub-sample to the total number of sample plots (α)?</t>
  </si>
  <si>
    <t>What is the coefficient of correlation between the secondary variable and the tree biomass per hectare in a sample plot, estimated across all the sample plots in the sub-sample (ρ)?</t>
  </si>
  <si>
    <t>Date</t>
  </si>
  <si>
    <t>When was the carbon stock last measured or estimated?</t>
  </si>
  <si>
    <t>2000-01-01</t>
  </si>
  <si>
    <t>Carbon stock in tree biomass within the project boundary at a given point of time in year t (CTREE_BSL,t) in t CO2e.</t>
  </si>
  <si>
    <t>Change in carbon stock in tree biomass within the project boundary in year t  (ΔCTREE_BSL,t) in t CO2e.</t>
  </si>
  <si>
    <t>Which method did you (enum)</t>
  </si>
  <si>
    <t>Which method did you use for estimating change in carbon stock in shrubs?</t>
  </si>
  <si>
    <t>Estimating change in carbon stock in shrubs between two points in time</t>
  </si>
  <si>
    <t>BSL-Estimating Shrub Carbon Sto</t>
  </si>
  <si>
    <t>Estimating Shrub Carbon Stock Change Between Two Points</t>
  </si>
  <si>
    <t>Will you be applying the (enum)</t>
  </si>
  <si>
    <t>Will you be applying the 'no decrease' method to shrubs? This method allows the carbon stock in shrubs for one or more strata to be conservatively estimated as zero if it can be demonstrated that there has been no decrease in carbon stock since the previous verification.</t>
  </si>
  <si>
    <t>Shrub Demonstration of “n</t>
  </si>
  <si>
    <t xml:space="preserve">This method is applicable only in ex-post estimation of change in carbon stock in shrubs for monitoring of project activities. Project participants may, at the time of a verification, demonstrate that shrub biomass in one or more strata has not decreased relative to the tree biomass at the time of the previous verification, by proving that: (a) No harvest has occurred in the stratum since the previous verification; (b) The stratum was not affected by any disturbance (e.g. pest, fire) that would decrease the carbon stock in shrubs; (c) Remote sensing data or inventory data, including participatory inventory or participatory photo-mapping data, demonstrate that shrub crown cover in the stratum has not decreased since the previous verification. </t>
  </si>
  <si>
    <t>If all three conditi (enum)</t>
  </si>
  <si>
    <t>If all three conditions above are demonstrated to have been met in a stratum, the change in carbon stock for shrubs in that stratum since the previous verification can be conservatively estimated as zero. Does this apply to your project?</t>
  </si>
  <si>
    <t>What is the change in carbon stock in shrub biomass during the period between times t1 and t2 (ΔC_SHRUB) in t CO2e?</t>
  </si>
  <si>
    <t>What is the carbon stock in shrub biomass at time t2 (CSHRUB_BSL,t2) in t CO2e?</t>
  </si>
  <si>
    <t>What is the carbon stock in shrub biomass at time t1 (CSHRUB_BSL,t1) in t CO2e?</t>
  </si>
  <si>
    <t>BSL-Estimating change in carb</t>
  </si>
  <si>
    <t>Estimating change in carbon stock in shrubs in a year</t>
  </si>
  <si>
    <t>What is the annual change in carbon stock in shrubs between times t1 and t2 (ΔC_SHRUB,t) in t CO2e?</t>
  </si>
  <si>
    <t>What is the carbon stock in shrubs at time t2 (CSHRUB_BSL,t2) in t CO2e?</t>
  </si>
  <si>
    <t>What is the carbon stock in shrubs at time t1 (CSHRUB_BSL,t1) in t CO2e?</t>
  </si>
  <si>
    <t>What is the time elapsed between the two successive estimations (T) in years?</t>
  </si>
  <si>
    <t>BSL-Estimating carbon stock in</t>
  </si>
  <si>
    <t>Estimating carbon stock in shrubs at a point of time - Baseline Scenario</t>
  </si>
  <si>
    <t>What is the carbon stock in shrubs within the project boundary at a given point in year t (CSHRUB_BSL,t) in t CO2e?</t>
  </si>
  <si>
    <t>What is the carbon fraction of shrub biomass (CF_s) in t C (t d.m.)^-1?</t>
  </si>
  <si>
    <t>What is the Root-shoot ratio for shrubs?</t>
  </si>
  <si>
    <t>Shrub biomass per hectare in sh</t>
  </si>
  <si>
    <t>Shrub biomass per hectare in shrub biomass estimation stratum</t>
  </si>
  <si>
    <t>What is the ratio of shrub biomass per hectare in land with a shrub crown cover of 1.0 (BDR_SF)?</t>
  </si>
  <si>
    <t>What is the default above-ground biomass content per hectare in the forest (b_FOREST) in t d.m. ha^-1?</t>
  </si>
  <si>
    <t>What is the crown cover of shrubs in shrub biomass estimation stratum i (CC_SHRUB,i), expressed as a fraction?</t>
  </si>
  <si>
    <t>What is the area of shrub biomass estimation stratum i (A_SHRUB,i) in hectares?</t>
  </si>
  <si>
    <t>What is the shrub biomass per hectare in shrub biomass estimation stratum i;t d.m. ha-1?</t>
  </si>
  <si>
    <t>Carbon stock in shrub biomass within the project boundary at a given point of time in year t (CSHRUB_BSL,t) in t CO2e.</t>
  </si>
  <si>
    <t>Change in carbon stock in shrub biomass within the project boundary in year t  (ΔCSHRUB_BSL,t) in t CO2e.</t>
  </si>
  <si>
    <t>AR Tool 14 Project</t>
  </si>
  <si>
    <t>AR Tool 14 - Project Scenario</t>
  </si>
  <si>
    <t>Which method did you pro(enum)</t>
  </si>
  <si>
    <t>PROJ-Estimating change in car</t>
  </si>
  <si>
    <t>Which method did yous (enum)</t>
  </si>
  <si>
    <t>Direct Estimating Changes via Sample Plot Re-Measurement</t>
  </si>
  <si>
    <t>What is the uncertainty for the change in carbon stock in trees (uΔc)?</t>
  </si>
  <si>
    <t>Difference of Two Independent Stock Estimations</t>
  </si>
  <si>
    <t>What is the uncertainty for the change in carbon stock in trees during the period between two points of time t1 and t2 (uΔc)?</t>
  </si>
  <si>
    <t>What is the change in carbon stock in trees (ΔCTREE) in tCO2e?</t>
  </si>
  <si>
    <t>What is the uncertainty discount percentage?</t>
  </si>
  <si>
    <t>Proj-Estimating Change in Carb</t>
  </si>
  <si>
    <t>What is the estimated annual change in carbon stock in trees (ΔCTREE_PROJ,t) in t CO2e for year t?</t>
  </si>
  <si>
    <t>What is the carbon stock in trees within the project boundary at time t2 (CTREE_PROJ,t2) in t CO2e?</t>
  </si>
  <si>
    <t>What is the carbon stock in trees within the project boundary at time t1 (CTREE_PROJ,t1) in t CO2e?</t>
  </si>
  <si>
    <t>Proj-Determination of Estimatin</t>
  </si>
  <si>
    <t>Which method did you 2 (enum)</t>
  </si>
  <si>
    <t>Proj-Updating the previous stoc</t>
  </si>
  <si>
    <t>What is the carbon stock in trees at time t2 (CTREE_PROJ,t2) in t CO2e?</t>
  </si>
  <si>
    <t>What is the carbon stock in trees as estimated at time t1 (CTREE_PROJ,t1) in t CO2e?</t>
  </si>
  <si>
    <t>What is the change in carbon stock in trees during the period between times t1 and t2 (ΔCTREE) in t CO2e?</t>
  </si>
  <si>
    <t>What is the new uncertainty in the carbon stock at time t2 (u2) based on updated measurements?</t>
  </si>
  <si>
    <t>What is the new uncertainty in the carbon stock at time t1 (u1) based on updated measurements?</t>
  </si>
  <si>
    <t>Proj-Estimation by modelling of</t>
  </si>
  <si>
    <t>Does your project apply  (enum)</t>
  </si>
  <si>
    <t>Proj-Carbon stock in trees at a</t>
  </si>
  <si>
    <t>Carbon stock in trees at a point in time in the project scenario</t>
  </si>
  <si>
    <t>What is the uncertainty in the carbon stock (uc)?</t>
  </si>
  <si>
    <t>What is the two-sided Student’s t-value for a confidence level of 90% (tvAL)?</t>
  </si>
  <si>
    <t>Carbon stock in tree biomass within the project boundary at a given point of time in year t (CTREE_PROJ,t) in t CO2e.</t>
  </si>
  <si>
    <t>Change in carbon stock in tree biomass within the project boundary in year t  (ΔCTREE_PROJ,t) in t CO2e.</t>
  </si>
  <si>
    <t>Which method did  pro (enum)</t>
  </si>
  <si>
    <t>Proj-Estimating Shrub Carbon St</t>
  </si>
  <si>
    <t>Will you be applying  pr (enum)</t>
  </si>
  <si>
    <t>What is the change in carbon stock in shrub biomass during the period between times t1 and t2 (ΔCSHRUB) in t CO2e?</t>
  </si>
  <si>
    <t>What is the carbon stock in shrub biomass at time t2 (CSHRUB_PROJ,t2) in t CO2e?</t>
  </si>
  <si>
    <t>What is the carbon stock in shrub biomass at time t1 (CSHRUB_PROJ,t1) in t CO2e?</t>
  </si>
  <si>
    <t>Proj-Estimating change in carbo</t>
  </si>
  <si>
    <t>What is the annual change in carbon stock in shrubs between times t1 and t2 (ΔCSHRUB_PROJ,t) in t CO2e?</t>
  </si>
  <si>
    <t>What is the carbon stock in shrubs at time t2 (CSHRUB_PROJ,t2) in t CO2e?</t>
  </si>
  <si>
    <t>What is the carbon stock in shrubs at time t1 (CSHRUB_PROJ,t1) in t CO2e?</t>
  </si>
  <si>
    <t>Proj-Estimating carbon stock in</t>
  </si>
  <si>
    <t>Estimating carbon stock in shrubs at a point of time</t>
  </si>
  <si>
    <t>What is the carbon stock in shrubs within the project boundary at a given point in year t (CSHRUB_PROJ,t) in t CO2e?</t>
  </si>
  <si>
    <t>Carbon stock in shrub biomass within the project boundary at a given point of time in year t (CSHRUB_PROJ,t) in t CO2e.</t>
  </si>
  <si>
    <t>Change in carbon stock in shrub biomass within the project boundary in year t  (ΔCSHRUB_PROJ,t) in t CO2e.</t>
  </si>
  <si>
    <t>Leakage</t>
  </si>
  <si>
    <t>Leakage Org Amend (enum)</t>
  </si>
  <si>
    <t xml:space="preserve"> If new or additional manure, compost, or biosolids are applied in the project and were not applied during the historical look-back period, a deduction for activity-shifting leakage is required. Does the project meet any of the following conditions that exempt it from this deduction?
a) The manure or compost applied in the project is produced on-site from farms within the project area.
b) The manure is documented to have been diverted from an uncontrolled anaerobic lagoon, pond, tank, or pit, from which there is no recovery of methane for generation of heat and/or electricity.
c) The manure, compost, or biosolids are documented to not have been used as a soil amendment.
d) None of the above.</t>
  </si>
  <si>
    <t>d</t>
  </si>
  <si>
    <t>Leakage_Organic_Amendments</t>
  </si>
  <si>
    <t>Leakage from Organic Amendments</t>
  </si>
  <si>
    <t>Identify the year the data corresponds to:</t>
  </si>
  <si>
    <t>Leakage_Organic_Amendment_by_Tp</t>
  </si>
  <si>
    <t>Organic Amendment Leakage Data by Type of Livestock</t>
  </si>
  <si>
    <t>Type of Livestock</t>
  </si>
  <si>
    <t>sheep</t>
  </si>
  <si>
    <t xml:space="preserve">Mass of organic amendment applied as fertilizer in the project area in year t, disaggregated by livestock type l for manure (tonnes) </t>
  </si>
  <si>
    <t xml:space="preserve">Carbon content of organic amendment applied as fertilizer in the project area in year t, disaggregated by livestock type l for manure (t C/t organic amendment) </t>
  </si>
  <si>
    <t>Leakage from organic amendments in year t (t CO2e)</t>
  </si>
  <si>
    <t>If manure or crop residue management is part of the project activity, and the manure or crop residues are diverted from energy applications (e.g., fuel for cookstoves or biomass power generation) in the baseline scenario, there is a risk of leakage. Have you assessed leakage emissions (LEBR,Div,t) using the CDM’s TOOL16: Project and leakage emissions from biomass, Section 6.2?</t>
  </si>
  <si>
    <t>Leakage_for_Diversion_of_Manure</t>
  </si>
  <si>
    <t>Leakage for Diversion of Manure or Crop Residues</t>
  </si>
  <si>
    <t xml:space="preserve">Leakage emissions from the diversion of manure or crop residues from baseline energy applications in year t (t CO2e) </t>
  </si>
  <si>
    <t>Uncertainty</t>
  </si>
  <si>
    <t>Uncertainty deduction for CO2 to be applied in verification period t (decimal)</t>
  </si>
  <si>
    <t>Uncertainty deduction for CH4 to be applied in verification period t (decimal)</t>
  </si>
  <si>
    <t>Uncertainty deduction for N2O to be applied in verification period t (decimal)</t>
  </si>
  <si>
    <t xml:space="preserve">Total carbon stock change in the baseline scenario in year t </t>
  </si>
  <si>
    <t xml:space="preserve">Total carbon stock change in the project scenario in year t </t>
  </si>
  <si>
    <t>Total carbon stock change in the project scenario</t>
  </si>
  <si>
    <t xml:space="preserve">Switches on the first part of Equation (37) when the cumulative carbon stock change in the project scenario is positive, and the second part when the carbon stock change is negative </t>
  </si>
  <si>
    <t>ERRs</t>
  </si>
  <si>
    <t xml:space="preserve">Net GHG Emission Reductions and Removals </t>
  </si>
  <si>
    <t>Identify the year you would like to calculate yearly emission reductions/removals</t>
  </si>
  <si>
    <t xml:space="preserve">Estimated reductions in year t (t CO2e) </t>
  </si>
  <si>
    <t xml:space="preserve">Estimated carbon dioxide removals in year t (t CO2e) </t>
  </si>
  <si>
    <t xml:space="preserve">Leakage allocated to GHG emission reductions in year t (t CO2e) </t>
  </si>
  <si>
    <t xml:space="preserve">Estimated net GHG emission reductions in year t (t CO2e) </t>
  </si>
  <si>
    <t xml:space="preserve">Leakage allocated to carbon dioxide removals in year t (t CO2e) </t>
  </si>
  <si>
    <t xml:space="preserve">Estimated net carbon dioxide removals in year t (t CO2e) </t>
  </si>
  <si>
    <t>Estimated net reductions and removals in year t (t CO2e)</t>
  </si>
  <si>
    <t>Overall project non-permanence risk rating converted to a decimal</t>
  </si>
  <si>
    <t>VCUs</t>
  </si>
  <si>
    <t>Calculation of Verified Carbon Units</t>
  </si>
  <si>
    <t xml:space="preserve">Buffer credits to be deducted from reductions in year t (t CO2e) </t>
  </si>
  <si>
    <t xml:space="preserve">Buffer credits to be deducted from removals in year t (t CO2e) </t>
  </si>
  <si>
    <t xml:space="preserve">Number of Verified Carbon Units resulting from project activities leading to reductions in year t </t>
  </si>
  <si>
    <t xml:space="preserve">Number of Verified Carbon Units resulting from project activities leading to removals in year t </t>
  </si>
  <si>
    <t xml:space="preserve">Number of VCUs in year t (t CO2e) </t>
  </si>
  <si>
    <t>Schema description</t>
  </si>
  <si>
    <t>Sub-Schema</t>
  </si>
  <si>
    <t>GHG Emissions C Pool</t>
  </si>
  <si>
    <t>QA1_Measure_Model_ERs_Unit_i</t>
  </si>
  <si>
    <t>Quantification Approach 1: Measure &amp; Model - Emissions Per Unit i</t>
  </si>
  <si>
    <t>QA1_Measure_Model_Baseline</t>
  </si>
  <si>
    <t>QA1_Measure_Model_Project</t>
  </si>
  <si>
    <t>Maybe include Tool 16</t>
  </si>
  <si>
    <t>Tool 16 for Leakage for Diversion of Manure or Crop Residues</t>
  </si>
  <si>
    <t>Net GHG ERRs</t>
  </si>
  <si>
    <t>Tool</t>
  </si>
  <si>
    <t>Tool Id</t>
  </si>
  <si>
    <t>Leakage Organic Amendments</t>
  </si>
  <si>
    <t>Tool name</t>
  </si>
  <si>
    <t>Tool message id</t>
  </si>
  <si>
    <t>Oganic Amendment Leakage Data by Type of Livestock</t>
  </si>
  <si>
    <t>Leakage Organic Amendments by Type</t>
  </si>
  <si>
    <t>ESM Interpolation Outputs of the Target Layer</t>
  </si>
  <si>
    <t>ESM_Interpolation_Year_t</t>
  </si>
  <si>
    <t>ESM Interpolation Data by Year</t>
  </si>
  <si>
    <t>ESM_Interpolation_StratumID</t>
  </si>
  <si>
    <t>ESM Interpolation Data by Stratum ID</t>
  </si>
  <si>
    <t>1704871_2</t>
  </si>
  <si>
    <t>ESM_Interpolation_ProfileID</t>
  </si>
  <si>
    <t>ESM Interpolation Data by Profile ID</t>
  </si>
  <si>
    <t>Reference</t>
  </si>
  <si>
    <t>c</t>
  </si>
  <si>
    <t>Reference Soil Mass</t>
  </si>
  <si>
    <t>Adjusted Cum SOC Model t (ha)</t>
  </si>
  <si>
    <t>Type</t>
  </si>
  <si>
    <t>initialization</t>
  </si>
  <si>
    <t>Profile ID</t>
  </si>
  <si>
    <t>Stratum Average</t>
  </si>
  <si>
    <t>Woody_Biomass_CO2_Emissions_Per_Unit_i</t>
  </si>
  <si>
    <t>QA1_CH4_Soil_Methanogenesis_Baseline</t>
  </si>
  <si>
    <t>Represents baseline methane (CH₄) emissions from soil methanogenesis in the soil organic carbon (SOC) pool, as calculated under Quantification Approach 1 Section 8.2.5. This includes emissions data specific to methane produced by microbial activity in soils under the baseline scenario.</t>
  </si>
  <si>
    <t>QA1_CH4_Soil_Methanogenesis_Project</t>
  </si>
  <si>
    <t>Represents project methane (CH₄) emissions from soil methanogenesis in the soil organic carbon (SOC) pool, as calculated under Quantification Approach 1 Section 8.2.5. This includes emissions data specific to methane produced by microbial activity in soils under the project scenario.</t>
  </si>
  <si>
    <t>QA1_N2O_Fertilizers_NFixing_Baseline</t>
  </si>
  <si>
    <t>Represents baseline nitrous oxide (N₂O) emissions from nitrogen fertilizers and nitrogen-fixing species, as calculated following Quantification Approach 1 under Section 8.2.9. This includes emissions data specific to the application of nitrogen fertilizers and the contribution of nitrogen-fixing species in the baseline scenario.</t>
  </si>
  <si>
    <t>QA1_N2O_ERs_Project</t>
  </si>
  <si>
    <t>QA1_N2O_Fertilizers_NFixing_Project</t>
  </si>
  <si>
    <t>Represents project nitrous oxide (N₂O) emissions from nitrogen fertilizers and nitrogen-fixing species, as calculated following Quantification Approach 1 under Section 8.2.9. This includes emissions data specific to the application of nitrogen fertilizers and the contribution of nitrogen-fixing species in the project scenario.</t>
  </si>
  <si>
    <t>Contains model input data for SOC stock change quantification, calculated using Quantification Approach 1: Measure and Model. This data reflects the initial conditions and parameters used in the model.</t>
  </si>
  <si>
    <t>Quantification Approach 1: SOC Model Input Data by Unit ID</t>
  </si>
  <si>
    <t>Contains baseline scenario model input data for SOC stock change quantification in the baseline scenario, calculated using Quantification Approach 1: Measure and Model. This data reflects the initial conditions and parameters used in the baseline scenario model.</t>
  </si>
  <si>
    <t>Contains project scenario model input data for SOC stock change quantification in the baseline scenario, calculated using Quantification Approach 1: Measure and Model. This data reflects the initial conditions and parameters used in the baseline scenario model.</t>
  </si>
  <si>
    <t>Contains model input data for SOC stock change quantification by year t, calculated using Quantification Approach 1: Measure and Model. This sheet provides year-specific data reflecting the initial conditions and parameters used to estimate SOC stock changes.</t>
  </si>
  <si>
    <t>Contains model input data for SOC stock change quantification categorized by stratum ID, calculated using Quantification Approach 1: Measure and Model. This sheet provides stratum-specific data reflecting the initial conditions and parameters used to estimate SOC stock changes.</t>
  </si>
  <si>
    <t>Contains baseline scenario model input data for SOC stock change quantification, calculated using Quantification Approach 2: Measure and Remeasure. This data reflects the initial conditions and parameters used in the model.</t>
  </si>
  <si>
    <t>Contains baseline scenario model input data for SOC stock change quantification in the baseline scenario, calculated using Quantification Approach 2: Measure and Remeasure. This data reflects the initial conditions and parameters used in the baseline scenario model.</t>
  </si>
  <si>
    <t>Contains project scenario model input data for SOC stock change quantification in the project scenario, calculated using Quantification Approach 2: Measure and Remeasure. This data reflects the initial conditions and parameters used in the project scenario model.</t>
  </si>
  <si>
    <t>Contains model input data for SOC stock change quantification by year t, calculated using Quantification Approach 2: Measure and Remeasure. This sheet provides year-specific data reflecting the initial conditions and parameters used to estimate SOC stock changes.</t>
  </si>
  <si>
    <t>Quantification Approach 2: Measure and Remeasure Model Input Data by Stratum ID</t>
  </si>
  <si>
    <t>1704858_1</t>
  </si>
  <si>
    <t>Baseline control site (bsl)</t>
  </si>
  <si>
    <t>Contains model input data for SOC stock change quantification categorized by stratum ID, calculated using Quantification Approach 2: Measure and Remeasure. This sheet provides stratum-specific data reflecting the initial conditions and parameters used to estimate SOC stock changes.</t>
  </si>
  <si>
    <t>Represents emission reductions (ERs) calculated using default factors under Quantification Approach 3 for year t. This includes yearly ERs data derived from standardized factors for the specified time period.</t>
  </si>
  <si>
    <t>Represents emission reductions (ERs) calculated using default factors under Quantification Approach 3 for quantification unit i. This includes ERs data specific to the defined unit in the baseline scenario.</t>
  </si>
  <si>
    <t>Represents baseline emissions calculated using default factors under Quantification Approach 3. This includes annual emissions data derived from standardized factors specific to the baseline scenario.</t>
  </si>
  <si>
    <t>Represents project emissions calculated using default factors under Quantification Approach 3. This includes annual emissions data derived from standardized factors specific to the project scenario.</t>
  </si>
  <si>
    <t>For Quantification Approach 3 - 8.2.3 Carbon Dioxide Emissions from Fossil Fuel Combustion - Baseline Scenario</t>
  </si>
  <si>
    <t>For Baseline Scenario 8.2.3 data inputs for j</t>
  </si>
  <si>
    <t>For Quantification Approach 3 - 8.2.3 Carbon Dioxide Emissions from Fossil Fuel Combustion - Project Scenario</t>
  </si>
  <si>
    <t>For Project Scenario 8.2.3 data inputs for j</t>
  </si>
  <si>
    <t>Represents baseline CO₂ emissions from liming activities within quantification unit i. This includes emissions data specific to the application of lime under the baseline scenario.</t>
  </si>
  <si>
    <t>Represents project CO₂ emissions from liming activities within quantification unit i. This includes emissions data specific to the application of lime under the project scenario.</t>
  </si>
  <si>
    <t>CH4_Enteric_Fermentation_Baseline</t>
  </si>
  <si>
    <t>Represents baseline methane (CH₄) emissions from livestock enteric fermentation within quantification unit i, as calculated under Section 8.2.6. This includes emissions specific to livestock activities in the baseline scenario.</t>
  </si>
  <si>
    <t>Livestock_Data_ByType_Baseline</t>
  </si>
  <si>
    <t>For 8.2.6 Baseline Data for livestock of type l in quantification unit i for productivity system P</t>
  </si>
  <si>
    <r>
      <t>Pop</t>
    </r>
    <r>
      <rPr>
        <vertAlign val="subscript"/>
        <sz val="11"/>
        <rFont val="Calibri"/>
        <family val="2"/>
      </rPr>
      <t xml:space="preserve">bsl,i,l,t,P </t>
    </r>
    <r>
      <rPr>
        <sz val="11"/>
        <rFont val="Calibri"/>
        <family val="2"/>
      </rPr>
      <t>* EF</t>
    </r>
    <r>
      <rPr>
        <vertAlign val="subscript"/>
        <sz val="11"/>
        <rFont val="Calibri"/>
        <family val="2"/>
      </rPr>
      <t>ent,l,P</t>
    </r>
  </si>
  <si>
    <t>CH4_Enteric_Fermentation_Project</t>
  </si>
  <si>
    <t>Represents project methane (CH₄) emissions from livestock enteric fermentation within quantification unit i, as calculated under Section 8.2.6. This includes emissions specific to livestock activities in the project scenario.</t>
  </si>
  <si>
    <t>For 8.2.6 Project Data for livestock of type l in quantification unit i for productivity system P</t>
  </si>
  <si>
    <t>CH4_Manure_Deposition_Baseline</t>
  </si>
  <si>
    <t>For 8.2.7 baseline methane (CH₄) emissions from manure deposition within quantification unit i. This includes emissions data specific to livestock manure management under the baseline scenario.</t>
  </si>
  <si>
    <t xml:space="preserve">Baseline areal mean CH4 emissions from manure deposition in the baseline scenario for quantification unit i in year t (t CO2e/ha) </t>
  </si>
  <si>
    <t>CH4_Manure_Deposition_Data_ByType_Baseline</t>
  </si>
  <si>
    <t>For 8.2.7 baseline methane emissions from manure deposition for livestock type l in quantification unit i, that is managed in manure management system S in the project area, for productivity system P</t>
  </si>
  <si>
    <t>CH4_Manure_Deposition_Project</t>
  </si>
  <si>
    <t>For 8.2.7 Project Methane Emissions from Manure Deposition</t>
  </si>
  <si>
    <t>CH4_Manure_Deposition_Data_ByType_Project</t>
  </si>
  <si>
    <t>For 8.2.7 project methane emissions from manure deposition for livestock type l in quantification unit i, that is managed in manure management system S in the project area, for productivity system P</t>
  </si>
  <si>
    <t>CH4_Biomass_Burning_Baseline</t>
  </si>
  <si>
    <t>For 8.2.8 baseline methane (CH₄) emissions from biomass burning within quantification unit i. This includes emissions data specific to methane released during biomass combustion under the baseline scenario</t>
  </si>
  <si>
    <t>For 8.2.8 methane emissions from biomass burning for type c burned in the baseline scenario for quantification unit i in year t</t>
  </si>
  <si>
    <t>CH4_Biomass_Burning_Project</t>
  </si>
  <si>
    <t>For 8.2.8 project methane (CH₄) emissions from biomass burning within quantification unit i. This includes emissions data specific to methane released during biomass combustion under the project scenario</t>
  </si>
  <si>
    <t>For 8.2.8 methane emissions from biomass burning for type c burned in the project scenario for quantification unit i in year t</t>
  </si>
  <si>
    <t>Represents baseline nitrous oxide (N₂O) emissions from nitrogen fertilizers applied within quantification unit i, as calculated under Section 8.2.9. This includes emissions specific to fertilizer usage in the baseline scenario.</t>
  </si>
  <si>
    <t>SyntheticFertilizer_Data_Baseline</t>
  </si>
  <si>
    <t>For Baseline Synthetic Nitrogen Fertilizer Data by Type</t>
  </si>
  <si>
    <t>For Baseline Organic Nitrogen Fertilizer Data by Type</t>
  </si>
  <si>
    <t>Represents project nitrous oxide (N₂O) emissions from nitrogen fertilizers applied within quantification unit i, as calculated under Section 8.2.9. This includes emissions specific to fertilizer usage in the project scenario.</t>
  </si>
  <si>
    <t>SyntheticFertilizer_Data_Project</t>
  </si>
  <si>
    <t>For Project Synthetic Nitrogen Fertilizer Data by Type</t>
  </si>
  <si>
    <t>For Project Organic Nitrogen Fertilizer Data by Type</t>
  </si>
  <si>
    <t>Represents baseline nitrous oxide (N₂O) emissions from manure application within quantification unit i, as calculated under Section 8.2.10. This includes emissions data specific to manure management practices in the baseline scenario.</t>
  </si>
  <si>
    <t>For Baseline Manure Deposition Livestock Data by Type, detailing livestock-specific data for manure deposition under the baseline scenario</t>
  </si>
  <si>
    <t>Represents project nitrous oxide (N₂O) emissions from manure application within quantification unit i, as calculated under Section 8.2.10. This includes emissions data specific to manure management practices in the project scenario.</t>
  </si>
  <si>
    <t>For Project Manure Deposition Livestock Data by Type, detailing livestock-specific data for manure deposition under the project scenario</t>
  </si>
  <si>
    <t>Represents baseline nitrous oxide (N₂O) emissions from nitrogen-fixing species within quantification unit i, as calculated under the baseline scenario. This includes emissions data specific to nitrogen fixation processes in the baseline scenario.</t>
  </si>
  <si>
    <t>For Baseline Nitrogen-Fixing Species Data by Type</t>
  </si>
  <si>
    <t>Represents project nitrous oxide (N₂O) emissions from nitrogen-fixing species within quantification unit i, as calculated under the project scenario. This includes emissions data specific to nitrogen fixation processes in the project scenario.</t>
  </si>
  <si>
    <t>For Project Nitrogen-Fixing Species Data by Type</t>
  </si>
  <si>
    <t>N2O_Biomass_Burning_Baseline</t>
  </si>
  <si>
    <t>Represents baseline nitrous oxide (N₂O) emissions from biomass burning within quantification unit i, as calculated under Section 8.2.11. This includes emissions specific to nitrous oxide released during biomass combustion in the baseline scenario.</t>
  </si>
  <si>
    <t>For Baseline Nitrous Oxide Emissions from Biomass Burning, categorized by biomass type under the baseline scenario</t>
  </si>
  <si>
    <t>N2O_Biomass_Burning_Project</t>
  </si>
  <si>
    <t>Represents project nitrous oxide (N₂O) emissions from biomass burning within quantification unit i, as calculated under Section 8.2.11. This includes emissions specific to nitrous oxide released during biomass combustion in the project scenario.</t>
  </si>
  <si>
    <t>For Project Nitrous Oxide Emissions from Biomass Burning, categorized by biomass type under the project scenario</t>
  </si>
  <si>
    <t>NitrousOxide_SoilInputs_Baseline</t>
  </si>
  <si>
    <t>For 8.2.9 Baseline Nitrous Oxide Emissions due to Nitrogen Inputs to Soils, including all sources of nitrogen applied to soils under the baseline scenario</t>
  </si>
  <si>
    <t>For 8.2.9 Project Nitrous Oxide Emissions due to Nitrogen Inputs to Soils, including all sources of nitrogen applied to soils under the project scenario</t>
  </si>
  <si>
    <t>Field name</t>
  </si>
  <si>
    <t>Approach 3: Default Factors</t>
  </si>
  <si>
    <t>Schema name</t>
  </si>
  <si>
    <t>Select the quantification approach for SOC emissions:</t>
  </si>
  <si>
    <t>a</t>
  </si>
  <si>
    <t>b</t>
  </si>
  <si>
    <t>AR Tool 14 (Estimation of carbon stocks and change in carbon stocks of trees and shrubs in A/R CDM project activities)</t>
  </si>
  <si>
    <t>Default</t>
  </si>
  <si>
    <t>Suggest</t>
  </si>
  <si>
    <t>AR Tool 14 - Data for Baseline Scenario (Estimation of carbon stocks and change in carbon stocks of trees and shrubs in A/R CDM project activities)</t>
  </si>
  <si>
    <t>Sub-schema</t>
  </si>
  <si>
    <t>What is the mean annual change in carbon stock in trees in the baseline (CTREE_BSL) in t CO2e yr^-1?</t>
  </si>
  <si>
    <t>Estimation by proportionate crown cover - Baseline Scenario</t>
  </si>
  <si>
    <t>What is the mean annual change in carbon stock in trees in the baseline stratum i (ΔC_TREE_BSL,i) in t CO2e yr^-1?</t>
  </si>
  <si>
    <t>Estimating change in carbon stock in trees in a year - Baseline Scenario</t>
  </si>
  <si>
    <t>Determination of Estimating carbon stock in trees at a point of time - Baseline Scenario</t>
  </si>
  <si>
    <t>Estimation by modelling of tree growth and stand development - Baseline Scenario</t>
  </si>
  <si>
    <t>Updating the previous stock by independent measurement of change - Baseline Scenario</t>
  </si>
  <si>
    <t>Estimation by proportionate crown cover  - Baseline Scenario</t>
  </si>
  <si>
    <t>Mean annual change in carbon stock in trees in the baseline - proportionate crown cover</t>
  </si>
  <si>
    <t>Estimating Shrub Carbon Stock Change Between Two Points - Baseline Scenario</t>
  </si>
  <si>
    <t>Estimating change in carbon stock in shrubs in a year - Baseline Scenario</t>
  </si>
  <si>
    <t>AR Tool 14 - Data for Project Scenario (Estimation of carbon stocks and change in carbon stocks of trees and shrubs in A/R CDM project activities)</t>
  </si>
  <si>
    <t>Estimating change in carbon stock in trees between two points in time - Project Scenario</t>
  </si>
  <si>
    <t>Demonstration of “no-decrease” - tree</t>
  </si>
  <si>
    <t>Estimating Change in Carbon Stock in Trees in a Year (Project Scenario)</t>
  </si>
  <si>
    <t>Determination of Estimating Carbon Stock in Trees at a Point of Time</t>
  </si>
  <si>
    <t>Updating the previous stock by independent measurement of change - Project Scenario</t>
  </si>
  <si>
    <t>Estimation by modelling of tree growth and stand development - Project Scenario</t>
  </si>
  <si>
    <t>What is the date of the last measurement or estimation for carbon stock?</t>
  </si>
  <si>
    <t>Mean tree biomass per hectare within the tree biomass estimation strata - double sampling</t>
  </si>
  <si>
    <t>Demonstration of “no-decrease” - shrub</t>
  </si>
  <si>
    <t>Estimating Shrub Carbon Stock Change Between Two Points - Project Scenaio</t>
  </si>
  <si>
    <t>Estimating change in carbon stock in shrubs in a year - Project Scenaio</t>
  </si>
  <si>
    <t>Estimating carbon stock in shrubs at a point of time - Project Scenaio</t>
  </si>
  <si>
    <t>Direct estimation of change by re-measurement of sample plots</t>
  </si>
  <si>
    <t>Proportionate crown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</si>
</sst>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4"/>
      <name val="Calibri"/>
      <family val="2"/>
    </font>
    <font>
      <sz val="11"/>
      <name val="Calibri"/>
      <family val="2"/>
    </font>
    <font>
      <u/>
      <sz val="11"/>
      <color rgb="FF0000FF"/>
      <name val="Calibri"/>
      <family val="2"/>
    </font>
    <font>
      <sz val="11"/>
      <name val="Calibri"/>
      <family val="2"/>
      <charset val="204"/>
    </font>
    <font>
      <u/>
      <sz val="11"/>
      <color theme="10"/>
      <name val="Calibri"/>
      <family val="2"/>
      <scheme val="minor"/>
    </font>
    <font>
      <vertAlign val="subscript"/>
      <sz val="11"/>
      <name val="Calibri"/>
      <family val="2"/>
    </font>
    <font>
      <sz val="8"/>
      <name val="Calibri"/>
      <family val="2"/>
      <scheme val="minor"/>
    </font>
    <font>
      <sz val="11"/>
      <color rgb="FFFF0000"/>
      <name val="Calibri"/>
      <family val="2"/>
    </font>
    <font>
      <b/>
      <sz val="14"/>
      <name val="Calibri"/>
    </font>
    <font>
      <sz val="11"/>
      <name val="Calibri"/>
    </font>
    <font>
      <u/>
      <sz val="11"/>
      <color rgb="FF0000FF"/>
      <name val="Calibri"/>
    </font>
  </fonts>
  <fills count="12">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DE9D9"/>
        <bgColor indexed="64"/>
      </patternFill>
    </fill>
    <fill>
      <patternFill patternType="solid">
        <fgColor rgb="FFE2E2E2"/>
      </patternFill>
    </fill>
    <fill>
      <patternFill patternType="solid">
        <fgColor theme="0" tint="-4.9989318521683403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5" fillId="5" borderId="2" xfId="1" quotePrefix="1" applyFill="1" applyBorder="1" applyAlignment="1">
      <alignment wrapText="1"/>
    </xf>
    <xf numFmtId="0" fontId="2" fillId="8" borderId="2" xfId="0" applyFont="1" applyFill="1" applyBorder="1" applyAlignment="1">
      <alignment wrapText="1"/>
    </xf>
    <xf numFmtId="0" fontId="2" fillId="9" borderId="2" xfId="0" applyFont="1" applyFill="1" applyBorder="1" applyAlignment="1">
      <alignment wrapText="1"/>
    </xf>
    <xf numFmtId="0" fontId="1" fillId="7" borderId="1" xfId="0" applyFont="1" applyFill="1" applyBorder="1"/>
    <xf numFmtId="0" fontId="5" fillId="9" borderId="2" xfId="1" applyFill="1" applyBorder="1" applyAlignment="1">
      <alignment wrapText="1"/>
    </xf>
    <xf numFmtId="0" fontId="8" fillId="5" borderId="2" xfId="0" applyFont="1" applyFill="1" applyBorder="1" applyAlignment="1">
      <alignment wrapText="1"/>
    </xf>
    <xf numFmtId="0" fontId="9" fillId="2" borderId="1" xfId="0" applyFont="1" applyFill="1" applyBorder="1"/>
    <xf numFmtId="0" fontId="9" fillId="4" borderId="1" xfId="0" applyFont="1" applyFill="1" applyBorder="1"/>
    <xf numFmtId="0" fontId="10" fillId="5" borderId="2" xfId="0" applyFont="1" applyFill="1" applyBorder="1" applyAlignment="1">
      <alignment wrapText="1"/>
    </xf>
    <xf numFmtId="0" fontId="11" fillId="5" borderId="2" xfId="0" applyFont="1" applyFill="1" applyBorder="1" applyAlignment="1">
      <alignment wrapText="1"/>
    </xf>
    <xf numFmtId="0" fontId="10" fillId="6" borderId="3" xfId="0" applyFont="1" applyFill="1" applyBorder="1" applyAlignment="1">
      <alignment wrapText="1"/>
    </xf>
    <xf numFmtId="0" fontId="11" fillId="6" borderId="3" xfId="0" applyFont="1" applyFill="1" applyBorder="1" applyAlignment="1">
      <alignment wrapText="1"/>
    </xf>
    <xf numFmtId="0" fontId="10" fillId="10" borderId="3" xfId="0" applyFont="1" applyFill="1" applyBorder="1" applyAlignment="1">
      <alignment wrapText="1"/>
    </xf>
    <xf numFmtId="0" fontId="5" fillId="10" borderId="3" xfId="1" quotePrefix="1" applyFill="1" applyBorder="1" applyAlignment="1">
      <alignment wrapText="1"/>
    </xf>
    <xf numFmtId="0" fontId="10" fillId="11" borderId="3" xfId="0" applyFont="1" applyFill="1" applyBorder="1" applyAlignment="1">
      <alignment wrapText="1"/>
    </xf>
    <xf numFmtId="0" fontId="0" fillId="11" borderId="0" xfId="0" applyFill="1"/>
    <xf numFmtId="9" fontId="10" fillId="6" borderId="3" xfId="0" applyNumberFormat="1" applyFont="1" applyFill="1" applyBorder="1" applyAlignment="1">
      <alignment wrapText="1"/>
    </xf>
    <xf numFmtId="0" fontId="5" fillId="6" borderId="3" xfId="1" quotePrefix="1" applyFill="1" applyBorder="1" applyAlignment="1">
      <alignment wrapText="1"/>
    </xf>
    <xf numFmtId="0" fontId="2" fillId="10" borderId="3" xfId="0" applyFont="1" applyFill="1" applyBorder="1" applyAlignment="1">
      <alignment wrapText="1"/>
    </xf>
    <xf numFmtId="0" fontId="2" fillId="11" borderId="3" xfId="0" applyFont="1" applyFill="1" applyBorder="1" applyAlignment="1">
      <alignment wrapText="1"/>
    </xf>
    <xf numFmtId="0" fontId="9" fillId="0" borderId="1" xfId="0" applyFont="1" applyBorder="1"/>
    <xf numFmtId="0" fontId="10" fillId="0" borderId="4" xfId="0" applyFont="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1" fillId="2" borderId="1" xfId="0" applyFont="1" applyFill="1" applyBorder="1" applyAlignment="1">
      <alignment horizontal="center" wrapText="1"/>
    </xf>
    <xf numFmtId="0" fontId="9" fillId="2" borderId="1" xfId="0" applyFont="1" applyFill="1" applyBorder="1" applyAlignment="1">
      <alignment horizontal="center"/>
    </xf>
    <xf numFmtId="0" fontId="10" fillId="3" borderId="1" xfId="0" applyFont="1" applyFill="1" applyBorder="1" applyAlignment="1">
      <alignment wrapText="1"/>
    </xf>
    <xf numFmtId="0" fontId="10"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customXml" Target="../customXml/item2.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customXml" Target="../customXml/item3.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54" dT="2025-01-10T21:11:10.69" personId="{00000000-0000-0000-0000-000000000000}" id="{15DFE7C7-1FC7-4794-8C9C-B2A5A967CB61}">
    <text>Equation 11</text>
  </threadedComment>
  <threadedComment ref="E59" dT="2025-01-10T21:10:55.37" personId="{00000000-0000-0000-0000-000000000000}" id="{B183E38E-844A-4337-86C4-D75A5878233D}">
    <text>Equation 11</text>
  </threadedComment>
  <threadedComment ref="E62" dT="2025-01-10T21:10:20.81" personId="{00000000-0000-0000-0000-000000000000}" id="{22AC87C6-5026-4F72-84D4-B48BC68F414A}">
    <text>Equation 54</text>
  </threadedComment>
  <threadedComment ref="E69" dT="2025-01-10T21:11:04.41" personId="{00000000-0000-0000-0000-000000000000}" id="{3BC9B6E5-AF60-41CB-B7CB-72B5B330728D}">
    <text>Equation 16</text>
  </threadedComment>
  <threadedComment ref="E74" dT="2025-01-10T21:10:42.87" personId="{00000000-0000-0000-0000-000000000000}" id="{85F1D3E8-9208-4B7E-8D20-F2CED8DA1793}">
    <text>Equation 16</text>
  </threadedComment>
  <threadedComment ref="E77" dT="2025-01-10T21:10:26.42" personId="{00000000-0000-0000-0000-000000000000}" id="{D7C37B90-047E-44C0-93CF-18D10A042E7C}">
    <text>Equation 58</text>
  </threadedComment>
  <threadedComment ref="E92" dT="2025-01-17T18:04:16.49" personId="{00000000-0000-0000-0000-000000000000}" id="{E1431ED6-1FBA-4920-AFFB-DB8F6689F3D8}">
    <text>This formula was located in the spreadsheet verra created but it can’t be found in the PDF</text>
  </threadedComment>
  <threadedComment ref="E93" dT="2025-01-20T17:08:20.04" personId="{00000000-0000-0000-0000-000000000000}" id="{1DD1A2AF-723A-4C9E-BB6B-C553781C6657}">
    <text>Equation 46 part 1</text>
  </threadedComment>
  <threadedComment ref="E94" dT="2025-01-15T22:28:28.40" personId="{00000000-0000-0000-0000-000000000000}" id="{A18D3CEE-5DBB-4DE7-990E-B08A66612B68}">
    <text>Equation 6</text>
  </threadedComment>
  <threadedComment ref="E94" dT="2025-01-20T17:15:07.34" personId="{00000000-0000-0000-0000-000000000000}" id="{2FC43C6D-ADC3-4441-8637-1F1ED7DAE106}" parentId="{A18D3CEE-5DBB-4DE7-990E-B08A66612B68}">
    <text>Sum all Ƒ(SOCbsl,i,t) from previous years starting from year 0</text>
  </threadedComment>
  <threadedComment ref="E95" dT="2025-01-15T22:38:18.28" personId="{00000000-0000-0000-0000-000000000000}" id="{C495904E-CDDC-468E-8C9D-0AEE4392AD91}">
    <text>Equation 6</text>
  </threadedComment>
  <threadedComment ref="E106" dT="2025-01-17T18:04:16.49" personId="{00000000-0000-0000-0000-000000000000}" id="{D612B42A-9F2B-4362-943F-9D8D254C1526}">
    <text>This formula was located in the spreadsheet verra created but it can’t be found in the PDF</text>
  </threadedComment>
  <threadedComment ref="E108" dT="2025-01-15T22:28:28.40" personId="{00000000-0000-0000-0000-000000000000}" id="{697E62B9-E853-4BF4-8C58-74B8BB9FB6C9}">
    <text>Equation 6</text>
  </threadedComment>
  <threadedComment ref="E108" dT="2025-01-20T17:13:53.61" personId="{00000000-0000-0000-0000-000000000000}" id="{7A2727F7-21CE-4894-9298-BB0D326B2550}" parentId="{697E62B9-E853-4BF4-8C58-74B8BB9FB6C9}">
    <text>Sum all Ƒ(SOCwp,i,t) from previous years starting from year 0</text>
  </threadedComment>
  <threadedComment ref="E109" dT="2025-01-15T22:38:18.28" personId="{00000000-0000-0000-0000-000000000000}" id="{24B15163-36EE-4B99-B492-CE8DAD4F7E57}">
    <text>Equation 6</text>
  </threadedComment>
  <threadedComment ref="E110" dT="2025-01-20T17:22:43.77" personId="{00000000-0000-0000-0000-000000000000}" id="{F86E7AFC-A769-45B2-83D3-AFC3A4712D9A}">
    <text>Equation 46 part 2</text>
  </threadedComment>
  <threadedComment ref="E110" dT="2025-01-20T17:23:09.26" personId="{00000000-0000-0000-0000-000000000000}" id="{831E97A9-2BA3-45B6-AF4C-277001C6C390}" parentId="{F86E7AFC-A769-45B2-83D3-AFC3A4712D9A}">
    <text>This field sums all the changes in SOC  stocks from all Unit i’s</text>
  </threadedComment>
  <threadedComment ref="E111" dT="2025-01-20T17:22:43.77" personId="{00000000-0000-0000-0000-000000000000}" id="{BBA3DF18-6A72-43E7-98A6-20209294628D}">
    <text>Equation 47 part 2</text>
  </threadedComment>
  <threadedComment ref="E111" dT="2025-01-20T17:23:09.26" personId="{00000000-0000-0000-0000-000000000000}" id="{0FB543B3-FAA4-4C62-A4E5-ECD173476759}" parentId="{BBA3DF18-6A72-43E7-98A6-20209294628D}">
    <text>This field sums all the changes in SOC stocks from all Unit i’s</text>
  </threadedComment>
  <threadedComment ref="E112" dT="2025-01-20T22:50:26.74" personId="{00000000-0000-0000-0000-000000000000}" id="{F3477AF9-E460-4553-B0E9-65FE002BFB28}">
    <text>Part of equation 45</text>
  </threadedComment>
  <threadedComment ref="E127" dT="2025-01-17T18:04:16.49" personId="{00000000-0000-0000-0000-000000000000}" id="{CF4DA3BA-E44B-4457-83D4-93C6E8F7C130}">
    <text>This formula was located in the spreadsheet verra created but it can’t be found in the PDF</text>
  </threadedComment>
  <threadedComment ref="E128" dT="2025-01-20T17:08:20.04" personId="{00000000-0000-0000-0000-000000000000}" id="{13485486-FC37-4824-A6B6-0D351945E117}">
    <text>Equation 46 part 1</text>
  </threadedComment>
  <threadedComment ref="E139" dT="2025-01-17T18:04:16.49" personId="{00000000-0000-0000-0000-000000000000}" id="{BBBF4D83-D009-4719-A773-408B0102799D}">
    <text>This formula was located in the spreadsheet verra created but it can’t be found in the PDF</text>
  </threadedComment>
  <threadedComment ref="E141" dT="2025-01-20T17:22:43.77" personId="{00000000-0000-0000-0000-000000000000}" id="{3CE4F473-B35D-4F5C-A501-1F70B9A0BCF6}">
    <text>Equation 46 part 2</text>
  </threadedComment>
  <threadedComment ref="E141" dT="2025-01-20T17:23:09.26" personId="{00000000-0000-0000-0000-000000000000}" id="{9BBA90B2-C5DA-4E56-9E28-A8BABD618AEB}" parentId="{3CE4F473-B35D-4F5C-A501-1F70B9A0BCF6}">
    <text>This field sums all the changes in SOC  stocks from all Unit i’s</text>
  </threadedComment>
  <threadedComment ref="E142" dT="2025-01-20T17:22:43.77" personId="{00000000-0000-0000-0000-000000000000}" id="{5006AD5C-D66C-42A9-ACD5-A0E9CF44FB84}">
    <text>Equation 47 part 2</text>
  </threadedComment>
  <threadedComment ref="E142" dT="2025-01-20T17:23:09.26" personId="{00000000-0000-0000-0000-000000000000}" id="{1C7A9206-B183-4049-A36F-CE5093B0D40A}" parentId="{5006AD5C-D66C-42A9-ACD5-A0E9CF44FB84}">
    <text>This field sums all the changes in SOC stocks from all Unit i’s</text>
  </threadedComment>
  <threadedComment ref="E143" dT="2025-01-20T22:50:26.74" personId="{00000000-0000-0000-0000-000000000000}" id="{58690442-08DF-4EAE-B8BC-D186FA5D77D3}">
    <text>Part of equation 45</text>
  </threadedComment>
  <threadedComment ref="E152" dT="2025-01-06T16:57:51.88" personId="{00000000-0000-0000-0000-000000000000}" id="{FB3628BA-13C1-47BB-8945-2ED104B95E79}">
    <text>Equation 8</text>
  </threadedComment>
  <threadedComment ref="E155" dT="2025-01-06T17:03:59.51" personId="{00000000-0000-0000-0000-000000000000}" id="{B60C2732-6DB1-4FAF-8383-F583A2AC7DD3}">
    <text>Equation 7</text>
  </threadedComment>
  <threadedComment ref="E158" dT="2025-01-06T17:03:59.51" personId="{00000000-0000-0000-0000-000000000000}" id="{0E051F82-CFA8-42A9-AF2F-47BCE4CA0988}">
    <text>Equation 7</text>
  </threadedComment>
  <threadedComment ref="E162" dT="2025-01-06T18:49:07.05" personId="{00000000-0000-0000-0000-000000000000}" id="{89B9DC59-C20F-4C17-B84C-E7BEB6B8A7E8}">
    <text>Equation 10</text>
  </threadedComment>
  <threadedComment ref="E163" dT="2025-01-06T18:49:18.79" personId="{00000000-0000-0000-0000-000000000000}" id="{FC545E67-FCC5-49AB-88DB-B3B39E3CC1F3}">
    <text>Equation 9</text>
  </threadedComment>
  <threadedComment ref="E173" dT="2025-01-06T19:19:45.61" personId="{00000000-0000-0000-0000-000000000000}" id="{718B1BB5-4A6E-4282-B409-AFF8885B61E4}">
    <text>Equation 12</text>
  </threadedComment>
  <threadedComment ref="E186" dT="2025-01-06T21:06:09.46" personId="{00000000-0000-0000-0000-000000000000}" id="{BA0C5D13-241F-44BF-9866-5A2FE09BCF0E}">
    <text>Equation 14</text>
  </threadedComment>
  <threadedComment ref="E190" dT="2025-01-06T21:11:11.03" personId="{00000000-0000-0000-0000-000000000000}" id="{6EC65C24-8B42-435E-AE6A-BC4B79593BB1}">
    <text>Equation 13</text>
  </threadedComment>
  <threadedComment ref="E201" dT="2025-01-06T21:11:11.03" personId="{00000000-0000-0000-0000-000000000000}" id="{9FDEEFFA-1BA4-4A1A-A6D6-1045970416B2}">
    <text>Equation 15</text>
  </threadedComment>
  <threadedComment ref="E209" dT="2025-01-07T17:41:02.28" personId="{00000000-0000-0000-0000-000000000000}" id="{65137A29-7BC1-4E7F-B3BD-B59BFE05E2F6}">
    <text>Equation 20</text>
  </threadedComment>
  <threadedComment ref="E214" dT="2025-01-06T21:11:11.03" personId="{00000000-0000-0000-0000-000000000000}" id="{7A978009-357F-48FF-83DC-5CB7612CCBA8}">
    <text>Equation 21</text>
  </threadedComment>
  <threadedComment ref="E216" dT="2025-01-07T17:45:55.38" personId="{00000000-0000-0000-0000-000000000000}" id="{33866C5F-56E3-4CA3-9251-AEF6A5670924}">
    <text>Equation 19</text>
  </threadedComment>
  <threadedComment ref="E220" dT="2025-01-07T17:48:38.15" personId="{00000000-0000-0000-0000-000000000000}" id="{AC6E8EA7-A432-4FE2-8D51-3D50651628F2}">
    <text>Equation 23</text>
  </threadedComment>
  <threadedComment ref="E223" dT="2025-01-07T17:48:58.20" personId="{00000000-0000-0000-0000-000000000000}" id="{072E2104-6BF1-432C-A23A-9EA436EBF5E8}">
    <text>Equation 24</text>
  </threadedComment>
  <threadedComment ref="E224" dT="2025-01-07T17:49:51.64" personId="{00000000-0000-0000-0000-000000000000}" id="{E5AA5729-21C9-4359-A402-762D4BF9D390}">
    <text>Equation 22</text>
  </threadedComment>
  <threadedComment ref="E225" dT="2025-01-07T17:50:00.00" personId="{00000000-0000-0000-0000-000000000000}" id="{12AB4918-81E7-457B-A258-D8A7FE30E5B4}">
    <text>Equation 18</text>
  </threadedComment>
  <threadedComment ref="E237" dT="2025-01-07T19:29:42.63" personId="{00000000-0000-0000-0000-000000000000}" id="{6BC1F448-4276-47F3-A68A-4DEA196F63FE}">
    <text>Equation 29</text>
  </threadedComment>
  <threadedComment ref="E237" dT="2025-01-07T19:32:54.21" personId="{00000000-0000-0000-0000-000000000000}" id="{17D1D2BB-2196-4130-B7B0-907DB17574E8}" parentId="{6BC1F448-4276-47F3-A68A-4DEA196F63FE}">
    <text>Based off the excel from Verra this formula has a conversion factor from kg to t that is not illustrated in equation 29</text>
  </threadedComment>
  <threadedComment ref="E242" dT="2025-01-07T19:38:48.26" personId="{00000000-0000-0000-0000-000000000000}" id="{F90EC733-B0CA-453D-A335-F70E941481CC}">
    <text>Equation 32</text>
  </threadedComment>
  <threadedComment ref="E243" dT="2025-01-07T20:02:12.62" personId="{00000000-0000-0000-0000-000000000000}" id="{3FCD061C-0018-4926-9A8B-DA13A6FC3B7D}">
    <text>Equation 31</text>
  </threadedComment>
  <threadedComment ref="E244" dT="2025-01-07T19:35:12.52" personId="{00000000-0000-0000-0000-000000000000}" id="{DA08432B-B68C-4BFB-8729-1982A1A8E817}">
    <text>Equation 28</text>
  </threadedComment>
  <threadedComment ref="E244" dT="2025-01-07T19:38:00.39" personId="{00000000-0000-0000-0000-000000000000}" id="{4942ACBB-E5C3-4093-8279-7DAA5A7C48D1}" parentId="{DA08432B-B68C-4BFB-8729-1982A1A8E817}">
    <text>Formula has been adapted to match the formula in the verra spreadsheet. The conversion factor for kg to t is located in equation 29</text>
  </threadedComment>
  <threadedComment ref="E245" dT="2025-01-07T20:02:12.62" personId="{00000000-0000-0000-0000-000000000000}" id="{1477F391-6BE4-44F9-A8BB-FBB8B37C8256}">
    <text>Equation 30</text>
  </threadedComment>
  <threadedComment ref="E246" dT="2025-01-07T20:12:14.36" personId="{00000000-0000-0000-0000-000000000000}" id="{FE01634C-28C0-43ED-8744-1843592434A2}">
    <text>Equation 27</text>
  </threadedComment>
  <threadedComment ref="E254" dT="2025-01-07T17:41:02.28" personId="{00000000-0000-0000-0000-000000000000}" id="{0A93DCB8-E169-494D-A233-0FCA410BEA0B}">
    <text>Equation 26</text>
  </threadedComment>
  <threadedComment ref="E255" dT="2025-01-07T18:57:06.75" personId="{00000000-0000-0000-0000-000000000000}" id="{DF53F4BA-6178-4B11-A3F8-30AEB5186D4A}">
    <text>Equation 25</text>
  </threadedComment>
  <threadedComment ref="E265" dT="2025-01-06T21:11:11.03" personId="{00000000-0000-0000-0000-000000000000}" id="{BD793110-2E86-4053-B4E8-67E093B0D393}">
    <text>Equation 33</text>
  </threadedComment>
  <threadedComment ref="E269" dT="2025-01-22T19:09:37.14" personId="{00000000-0000-0000-0000-000000000000}" id="{99D9BA3B-1461-46D4-8090-169F72754044}">
    <text>Equation 17</text>
  </threadedComment>
  <threadedComment ref="E274" dT="2025-01-06T16:57:51.88" personId="{00000000-0000-0000-0000-000000000000}" id="{E84702D0-C65D-47CF-8F7A-831CCB6A6722}">
    <text>Equation 8</text>
  </threadedComment>
  <threadedComment ref="E277" dT="2025-01-06T17:03:59.51" personId="{00000000-0000-0000-0000-000000000000}" id="{00032EA7-5841-403A-8B99-C2B5AB1199D3}">
    <text>Equation 7</text>
  </threadedComment>
  <threadedComment ref="E284" dT="2025-01-06T18:49:07.05" personId="{00000000-0000-0000-0000-000000000000}" id="{32858FCB-D7D3-4942-9FDF-0D355AE2394E}">
    <text>Equation 10</text>
  </threadedComment>
  <threadedComment ref="E285" dT="2025-01-06T18:49:18.79" personId="{00000000-0000-0000-0000-000000000000}" id="{9245FC52-D8E9-41A0-8321-36DA2B3B80B5}">
    <text>Equation 9</text>
  </threadedComment>
  <threadedComment ref="E295" dT="2025-01-06T19:19:45.61" personId="{00000000-0000-0000-0000-000000000000}" id="{8CADC9C6-B7ED-426D-BE8A-CE0DAD3EF2FC}">
    <text>Equation 12</text>
  </threadedComment>
  <threadedComment ref="E308" dT="2025-01-06T21:06:09.46" personId="{00000000-0000-0000-0000-000000000000}" id="{0C732161-DD27-4C1A-97A1-F3FBC4273E92}">
    <text>Equation 14</text>
  </threadedComment>
  <threadedComment ref="E312" dT="2025-01-06T21:11:11.03" personId="{00000000-0000-0000-0000-000000000000}" id="{B0371CB0-1A6C-456B-A83E-48F3E4A49FCB}">
    <text>Equation 13</text>
  </threadedComment>
  <threadedComment ref="E323" dT="2025-01-06T21:11:11.03" personId="{00000000-0000-0000-0000-000000000000}" id="{E6A26458-D658-4B73-B276-BB0FD44ECF1E}">
    <text>Equation 15</text>
  </threadedComment>
  <threadedComment ref="E331" dT="2025-01-07T17:41:02.28" personId="{00000000-0000-0000-0000-000000000000}" id="{BC20D05B-38AC-4507-BE31-D94EFCEBE3DA}">
    <text>Equation 20</text>
  </threadedComment>
  <threadedComment ref="E336" dT="2025-01-06T21:11:11.03" personId="{00000000-0000-0000-0000-000000000000}" id="{5BC41AEC-565C-4A5F-950E-6B5579B10DA2}">
    <text>Equation 21</text>
  </threadedComment>
  <threadedComment ref="E338" dT="2025-01-07T17:45:55.38" personId="{00000000-0000-0000-0000-000000000000}" id="{F1AF9AF4-B3F6-48CE-AA50-790A537F87F4}">
    <text>Equation 19</text>
  </threadedComment>
  <threadedComment ref="E342" dT="2025-01-07T17:48:38.15" personId="{00000000-0000-0000-0000-000000000000}" id="{0DB1E4A1-5FC9-4479-BA9C-4171DBDADC81}">
    <text>Equation 23</text>
  </threadedComment>
  <threadedComment ref="E345" dT="2025-01-07T17:48:58.20" personId="{00000000-0000-0000-0000-000000000000}" id="{CBC29C27-758E-4294-A973-064709FDBE33}">
    <text>Equation 24</text>
  </threadedComment>
  <threadedComment ref="E346" dT="2025-01-07T17:49:51.64" personId="{00000000-0000-0000-0000-000000000000}" id="{959E25C8-C3A1-4DDC-85EF-BFCC1EA007C5}">
    <text>Equation 22</text>
  </threadedComment>
  <threadedComment ref="E347" dT="2025-01-07T17:50:00.00" personId="{00000000-0000-0000-0000-000000000000}" id="{FA51CB0E-4ED4-4EB3-A78B-CA8879DDC040}">
    <text>Equation 18</text>
  </threadedComment>
  <threadedComment ref="E359" dT="2025-01-07T19:29:42.63" personId="{00000000-0000-0000-0000-000000000000}" id="{911F977D-FB86-4ABA-9148-E7B97AE9C0D5}">
    <text>Equation 29</text>
  </threadedComment>
  <threadedComment ref="E359" dT="2025-01-07T19:32:54.21" personId="{00000000-0000-0000-0000-000000000000}" id="{7FE66AD3-D838-4FFB-8884-8396043D23BE}" parentId="{911F977D-FB86-4ABA-9148-E7B97AE9C0D5}">
    <text>Based off the excel from Verra this formula has a conversion factor from kg to t that is not illustrated in equation 29</text>
  </threadedComment>
  <threadedComment ref="E364" dT="2025-01-07T19:38:48.26" personId="{00000000-0000-0000-0000-000000000000}" id="{6943359F-116F-4B14-9D73-967E2E4EDCFB}">
    <text>Equation 32</text>
  </threadedComment>
  <threadedComment ref="E365" dT="2025-01-07T20:02:12.62" personId="{00000000-0000-0000-0000-000000000000}" id="{575CE89B-64C6-4C79-BE1E-FD811BB91C0E}">
    <text>Equation 31</text>
  </threadedComment>
  <threadedComment ref="E366" dT="2025-01-07T19:35:12.52" personId="{00000000-0000-0000-0000-000000000000}" id="{E46478F5-A544-4D36-B956-160F16126342}">
    <text>Equation 28</text>
  </threadedComment>
  <threadedComment ref="E366" dT="2025-01-07T19:38:00.39" personId="{00000000-0000-0000-0000-000000000000}" id="{0A28D60B-5E41-4D5E-8A98-87C5519A5D2C}" parentId="{E46478F5-A544-4D36-B956-160F16126342}">
    <text>Formula has been adapted to match the formula in the verra spreadsheet. The conversion factor for kg to t is located in equation 29</text>
  </threadedComment>
  <threadedComment ref="E367" dT="2025-01-07T20:02:12.62" personId="{00000000-0000-0000-0000-000000000000}" id="{1C4BE84E-88E7-4D9F-9B9C-28635327BB4B}">
    <text>Equation 30</text>
  </threadedComment>
  <threadedComment ref="E368" dT="2025-01-07T20:12:14.36" personId="{00000000-0000-0000-0000-000000000000}" id="{693053F0-6780-4E5E-9A7D-42F7B2A82095}">
    <text>Equation 27</text>
  </threadedComment>
  <threadedComment ref="E376" dT="2025-01-07T17:41:02.28" personId="{00000000-0000-0000-0000-000000000000}" id="{294A13A3-94E2-46CE-91DC-3DB362CD4795}">
    <text>Equation 26</text>
  </threadedComment>
  <threadedComment ref="E377" dT="2025-01-07T18:57:06.75" personId="{00000000-0000-0000-0000-000000000000}" id="{AEED1B2D-7471-45E3-9802-E412A4BA9C1B}">
    <text>Equation 25</text>
  </threadedComment>
  <threadedComment ref="E387" dT="2025-01-06T21:11:11.03" personId="{00000000-0000-0000-0000-000000000000}" id="{31FD8010-90D1-4B72-93C2-EAB0551D62FB}">
    <text>Equation 33</text>
  </threadedComment>
  <threadedComment ref="E391" dT="2025-01-10T17:42:42.17" personId="{00000000-0000-0000-0000-000000000000}" id="{91694486-6454-4916-B18B-C2A888AA4BB4}">
    <text>Equation 17</text>
  </threadedComment>
  <threadedComment ref="E392" dT="2025-01-09T19:48:54.67" personId="{00000000-0000-0000-0000-000000000000}" id="{2E7757EF-712D-420A-BDFD-7FF477901950}">
    <text>Equation 52</text>
  </threadedComment>
  <threadedComment ref="E393" dT="2025-01-09T22:01:02.35" personId="{00000000-0000-0000-0000-000000000000}" id="{2287B5A8-77A2-4E0F-97DF-46ABA701E053}">
    <text>Equation 53</text>
  </threadedComment>
  <threadedComment ref="E394" dT="2025-01-09T22:01:28.04" personId="{00000000-0000-0000-0000-000000000000}" id="{A011289F-B8EA-4D50-AB5F-639326AABC8B}">
    <text>Equation 55</text>
  </threadedComment>
  <threadedComment ref="E395" dT="2025-01-09T22:03:43.22" personId="{00000000-0000-0000-0000-000000000000}" id="{30C49E67-72BF-4C56-9E1C-13DF1501FCE5}">
    <text>Equation 56</text>
  </threadedComment>
  <threadedComment ref="E396" dT="2025-01-09T22:05:08.75" personId="{00000000-0000-0000-0000-000000000000}" id="{1635B13A-8E26-4D8D-AF00-54E7C72B34B9}">
    <text>Equation 57</text>
  </threadedComment>
  <threadedComment ref="E397" dT="2025-01-09T22:15:08.99" personId="{00000000-0000-0000-0000-000000000000}" id="{B37D8DC4-2B51-4676-BD98-A84FB0B91DB9}">
    <text>Equation 59</text>
  </threadedComment>
  <threadedComment ref="E411" dT="2025-01-24T21:11:36.74" personId="{00000000-0000-0000-0000-000000000000}" id="{1A998E56-5A66-49C4-98BD-85979E825A59}">
    <text>Equation 9</text>
  </threadedComment>
  <threadedComment ref="E413" dT="2025-01-24T21:11:58.89" personId="{00000000-0000-0000-0000-000000000000}" id="{FB57CE8F-601A-4D34-A55F-05B49537607C}">
    <text>Equation 10</text>
  </threadedComment>
  <threadedComment ref="E414" dT="2025-01-24T21:12:11.78" personId="{00000000-0000-0000-0000-000000000000}" id="{B75BEFCC-F71F-4791-B414-D880641B9B5A}">
    <text>CFTREE for equation 10</text>
  </threadedComment>
  <threadedComment ref="E415" dT="2025-01-24T21:12:25.46" personId="{00000000-0000-0000-0000-000000000000}" id="{C12F0F05-8630-4EF4-B1A1-116137378E9E}">
    <text>bForest for equation 10</text>
  </threadedComment>
  <threadedComment ref="E416" dT="2025-01-24T21:12:40.25" personId="{00000000-0000-0000-0000-000000000000}" id="{19D3B7AC-B8C1-4C54-851A-39D147ECF718}">
    <text>RTREE for equation 10</text>
  </threadedComment>
  <threadedComment ref="E417" dT="2025-01-24T21:12:53.39" personId="{00000000-0000-0000-0000-000000000000}" id="{62834A47-062E-4A0F-A6DA-29629BEBC881}">
    <text>CCREE_BSL_i for equation 10</text>
  </threadedComment>
  <threadedComment ref="E418" dT="2025-01-24T21:13:03.79" personId="{00000000-0000-0000-0000-000000000000}" id="{7AA7884A-3822-4FEE-8AF5-06B623003D0E}">
    <text>Ai for equation 10</text>
  </threadedComment>
  <threadedComment ref="E420" dT="2025-01-24T21:08:37.93" personId="{00000000-0000-0000-0000-000000000000}" id="{252B5F49-D00B-44FD-A793-0BABED45146D}">
    <text>Equation 3</text>
  </threadedComment>
  <threadedComment ref="E421" dT="2025-01-24T21:07:54.22" personId="{00000000-0000-0000-0000-000000000000}" id="{A35A8B2F-266B-4E1F-9C2F-89C003B8EA02}">
    <text>CFTREE for equation 3</text>
  </threadedComment>
  <threadedComment ref="E422" dT="2025-01-24T21:05:19.59" personId="{00000000-0000-0000-0000-000000000000}" id="{F6058252-BD34-485A-A995-1B493724DE65}">
    <text>Equation 4</text>
  </threadedComment>
  <threadedComment ref="E423" dT="2025-01-24T21:07:32.01" personId="{00000000-0000-0000-0000-000000000000}" id="{2D2B6628-09DC-4E62-85B4-E5650103CD15}">
    <text>Equation 5</text>
  </threadedComment>
  <threadedComment ref="E424" dT="2025-01-24T21:05:51.80" personId="{00000000-0000-0000-0000-000000000000}" id="{3BDC6A56-FBC0-458A-B8F1-EC98FB9FD09B}">
    <text>A for equation 4</text>
  </threadedComment>
  <threadedComment ref="E425" dT="2025-01-24T21:06:24.35" personId="{00000000-0000-0000-0000-000000000000}" id="{6C34F1F5-927D-4B8A-9BD9-A46551F7A1CC}">
    <text>Equation 6</text>
  </threadedComment>
  <threadedComment ref="E426" dT="2025-01-24T21:06:48.46" personId="{00000000-0000-0000-0000-000000000000}" id="{F8888B51-F1DD-4348-9F4C-59930CD49665}">
    <text>tVAL for equation 6</text>
  </threadedComment>
  <threadedComment ref="E428" dT="2025-01-24T21:56:24.85" personId="{00000000-0000-0000-0000-000000000000}" id="{B0674825-B142-430F-A11C-F763BB0750BA}">
    <text>Equation 7</text>
  </threadedComment>
  <threadedComment ref="E429" dT="2025-01-24T21:59:35.41" personId="{00000000-0000-0000-0000-000000000000}" id="{F41F256C-B043-4435-9ECF-73C21D69A94A}">
    <text>wi for equation 6</text>
  </threadedComment>
  <threadedComment ref="E430" dT="2025-01-24T21:58:30.81" personId="{00000000-0000-0000-0000-000000000000}" id="{A1BF3CB6-1750-450E-B22E-664F32378BB8}">
    <text>Equation 8</text>
  </threadedComment>
  <threadedComment ref="E431" dT="2025-01-24T21:58:47.27" personId="{00000000-0000-0000-0000-000000000000}" id="{3F778742-3E5F-43E2-BBA9-E986D1860425}">
    <text>ni for equation 8</text>
  </threadedComment>
  <threadedComment ref="E433" dT="2025-01-24T21:57:53.17" personId="{00000000-0000-0000-0000-000000000000}" id="{51465B87-98F6-432A-8BE0-82352FA3B2B3}">
    <text>Change in bTREE,p,i for equation 7</text>
  </threadedComment>
  <threadedComment ref="E433" dT="2025-01-29T17:16:59.31" personId="{00000000-0000-0000-0000-000000000000}" id="{95B23FDE-2B0F-4D9A-A25F-22FB4AA300FC}" parentId="{51465B87-98F6-432A-8BE0-82352FA3B2B3}">
    <text>Needs to be a stand alone sub schema for p</text>
  </threadedComment>
  <threadedComment ref="E435" dT="2025-01-24T22:02:33.42" personId="{00000000-0000-0000-0000-000000000000}" id="{84C7C5DB-D75B-47F3-BA47-2FE482673521}">
    <text>CTREE,t1 for equation 1</text>
  </threadedComment>
  <threadedComment ref="E436" dT="2025-01-24T22:02:16.16" personId="{00000000-0000-0000-0000-000000000000}" id="{62E088DC-DAD2-4991-8127-737629621C82}">
    <text>CTREE,t2 for equation 1</text>
  </threadedComment>
  <threadedComment ref="E437" dT="2025-01-24T22:02:01.41" personId="{00000000-0000-0000-0000-000000000000}" id="{71F6FC0A-FE56-48D0-8763-010E8CBBD842}">
    <text>u1 for equation 2</text>
  </threadedComment>
  <threadedComment ref="E438" dT="2025-01-24T22:01:50.45" personId="{00000000-0000-0000-0000-000000000000}" id="{BFFB33BD-660E-4A33-AC58-FE2B8511BF9E}">
    <text>u2 for equation 2</text>
  </threadedComment>
  <threadedComment ref="E439" dT="2025-01-24T22:01:36.31" personId="{00000000-0000-0000-0000-000000000000}" id="{61F59A6A-BDD3-49E1-879E-94F9D95687E3}">
    <text>Equation 2</text>
  </threadedComment>
  <threadedComment ref="E440" dT="2025-01-24T22:01:03.12" personId="{00000000-0000-0000-0000-000000000000}" id="{F77BC0F7-8216-42ED-8870-246DB9A910BC}">
    <text>Equation 1</text>
  </threadedComment>
  <threadedComment ref="E441" dT="2025-01-24T22:01:11.44" personId="{00000000-0000-0000-0000-000000000000}" id="{85E8FB04-1A49-430D-8BEF-0B4449ECDB17}">
    <text>Equation 2</text>
  </threadedComment>
  <threadedComment ref="E443" dT="2025-01-24T21:14:26.89" personId="{00000000-0000-0000-0000-000000000000}" id="{3E77ABDF-74AA-4A35-9BA5-6271B41F6E06}">
    <text>Equation 11</text>
  </threadedComment>
  <threadedComment ref="E444" dT="2025-01-24T21:14:43.23" personId="{00000000-0000-0000-0000-000000000000}" id="{70DFAA18-BEE5-4C12-9EEE-9D77CC5BABDF}">
    <text>CTREE,t2 for equation 11</text>
  </threadedComment>
  <threadedComment ref="E445" dT="2025-01-24T21:14:56.44" personId="{00000000-0000-0000-0000-000000000000}" id="{E977770F-E663-463B-A89E-A5E9A4851B0D}">
    <text>CTREE,t1 for equation 11</text>
  </threadedComment>
  <threadedComment ref="E446" dT="2025-01-24T21:15:24.60" personId="{00000000-0000-0000-0000-000000000000}" id="{235A45E1-3C44-49BF-A9D6-01192EBB7FB2}">
    <text>T for equation 11</text>
  </threadedComment>
  <threadedComment ref="E450" dT="2025-01-24T21:23:49.18" personId="{00000000-0000-0000-0000-000000000000}" id="{0C477BB9-104B-4B0A-917C-E42A2DAA4E94}">
    <text>Equation 22</text>
  </threadedComment>
  <threadedComment ref="E451" dT="2025-01-24T21:24:05.82" personId="{00000000-0000-0000-0000-000000000000}" id="{187E54FD-211A-4015-B19E-B9092F019268}">
    <text>CTREE,t1 for equation 22</text>
  </threadedComment>
  <threadedComment ref="E452" dT="2025-01-24T21:24:35.78" personId="{00000000-0000-0000-0000-000000000000}" id="{AD2EE911-5790-4AF1-960A-118E074170D4}">
    <text>Change in CTREE for equation 22</text>
  </threadedComment>
  <threadedComment ref="E453" dT="2025-01-24T21:25:15.22" personId="{00000000-0000-0000-0000-000000000000}" id="{68D87DBE-6375-48A0-A143-471979E1216D}">
    <text>U_c for equation 23</text>
  </threadedComment>
  <threadedComment ref="E454" dT="2025-01-29T17:30:04.87" personId="{00000000-0000-0000-0000-000000000000}" id="{5C62E614-DE19-413B-B8C6-67972C9F84E3}">
    <text>Equation 23</text>
  </threadedComment>
  <threadedComment ref="E455" dT="2025-01-24T21:25:56.99" personId="{00000000-0000-0000-0000-000000000000}" id="{7444A952-5FB1-4892-AECE-39129D7ED8D1}">
    <text>Uncertainty for t1 also equation 23</text>
  </threadedComment>
  <threadedComment ref="E468" dT="2025-01-24T21:18:44.52" personId="{00000000-0000-0000-0000-000000000000}" id="{FC5EBE85-2A51-4DC0-A137-7AC3754ACC71}">
    <text>Equation 20</text>
  </threadedComment>
  <threadedComment ref="E470" dT="2025-01-24T21:28:15.15" personId="{00000000-0000-0000-0000-000000000000}" id="{6BC512BF-4ECB-4E17-9214-80566AB6BC00}">
    <text>Equation 21</text>
  </threadedComment>
  <threadedComment ref="E471" dT="2025-01-24T21:28:26.27" personId="{00000000-0000-0000-0000-000000000000}" id="{CABCB696-A317-49B6-91CE-D8EBD96F0895}">
    <text>CFTREE for equation 21</text>
  </threadedComment>
  <threadedComment ref="E472" dT="2025-01-24T21:29:02.29" personId="{00000000-0000-0000-0000-000000000000}" id="{7B557CED-5F8C-43C2-8365-26015DD299AF}">
    <text>BfOREST for equation 21</text>
  </threadedComment>
  <threadedComment ref="E473" dT="2025-01-24T21:29:13.76" personId="{00000000-0000-0000-0000-000000000000}" id="{4F8B3249-A1EA-4DB2-9587-6154E1089AE6}">
    <text>RTREE for equation 21</text>
  </threadedComment>
  <threadedComment ref="E474" dT="2025-01-24T21:29:35.41" personId="{00000000-0000-0000-0000-000000000000}" id="{9FCCF2B7-1C9D-4AD0-A082-DA2C2B4A198A}">
    <text>CCTREE_BSL,i for equation 21</text>
  </threadedComment>
  <threadedComment ref="E475" dT="2025-01-24T21:29:49.14" personId="{00000000-0000-0000-0000-000000000000}" id="{E06D84CE-F4DB-48BB-9919-061D4914B2F2}">
    <text>Ai for equation 21</text>
  </threadedComment>
  <threadedComment ref="E479" dT="2025-01-24T21:32:22.56" personId="{00000000-0000-0000-0000-000000000000}" id="{1E899696-AC7D-473C-A2DB-52DC889C8673}">
    <text>Equation 12</text>
  </threadedComment>
  <threadedComment ref="E480" dT="2025-01-24T21:32:39.66" personId="{00000000-0000-0000-0000-000000000000}" id="{5246D01A-10CF-4DAC-BAEB-979BCF6A6516}">
    <text>CFTRRE for equation 12</text>
  </threadedComment>
  <threadedComment ref="E481" dT="2025-01-24T21:32:59.13" personId="{00000000-0000-0000-0000-000000000000}" id="{D06EE066-5A62-49F6-8C74-35470FAA6E18}">
    <text>Equation 13</text>
  </threadedComment>
  <threadedComment ref="E482" dT="2025-01-24T21:33:11.67" personId="{00000000-0000-0000-0000-000000000000}" id="{29F60B9B-F982-451E-A808-7DCF5A4E03E2}">
    <text>A for equation 13</text>
  </threadedComment>
  <threadedComment ref="E483" dT="2025-01-24T21:33:49.53" personId="{00000000-0000-0000-0000-000000000000}" id="{55B0A552-FC7A-481A-B9E5-B157124B8177}">
    <text>Equation 14</text>
  </threadedComment>
  <threadedComment ref="E484" dT="2025-01-24T21:34:10.73" personId="{00000000-0000-0000-0000-000000000000}" id="{B572A952-D0E1-4398-8104-1717B9E2FD99}">
    <text>Equation 15</text>
  </threadedComment>
  <threadedComment ref="E485" dT="2025-01-24T21:34:26.85" personId="{00000000-0000-0000-0000-000000000000}" id="{C57D9735-7CE0-43AD-8DCA-A179B36B8BD2}">
    <text>tVAL for equation 15</text>
  </threadedComment>
  <threadedComment ref="E487" dT="2025-01-24T21:35:06.61" personId="{00000000-0000-0000-0000-000000000000}" id="{ACE709C2-CDAB-4288-B955-F90841650418}">
    <text>Equation 16</text>
  </threadedComment>
  <threadedComment ref="E488" dT="2025-01-24T21:35:40.02" personId="{00000000-0000-0000-0000-000000000000}" id="{4847650D-02F7-454F-AD23-A130194273A4}">
    <text>Wi for equation 15</text>
  </threadedComment>
  <threadedComment ref="E489" dT="2025-01-24T21:36:34.63" personId="{00000000-0000-0000-0000-000000000000}" id="{687F506C-F6BD-4E1B-B77A-B1A6F068424C}">
    <text>Equation 17</text>
  </threadedComment>
  <threadedComment ref="E490" dT="2025-01-24T21:36:51.04" personId="{00000000-0000-0000-0000-000000000000}" id="{1A4BA96A-3028-4D5D-8D7E-50330757E537}">
    <text>ni for equation 17</text>
  </threadedComment>
  <threadedComment ref="E492" dT="2025-01-24T21:36:16.10" personId="{00000000-0000-0000-0000-000000000000}" id="{1D5B216C-77F8-4166-BD45-47D3229E0DC7}">
    <text>bTREE,p,i, for equation 17</text>
  </threadedComment>
  <threadedComment ref="E492" dT="2025-01-29T17:39:36.47" personId="{00000000-0000-0000-0000-000000000000}" id="{C8481FE3-F0E4-4422-8349-E9D2005D67F7}" parentId="{1D5B216C-77F8-4166-BD45-47D3229E0DC7}">
    <text>Needs a subschema for p</text>
  </threadedComment>
  <threadedComment ref="E494" dT="2025-01-24T21:38:04.67" personId="{00000000-0000-0000-0000-000000000000}" id="{D0F4DB4D-BE0D-406A-BF73-F942671E9DD9}">
    <text>Equation 12?</text>
  </threadedComment>
  <threadedComment ref="E495" dT="2025-01-24T21:38:15.63" personId="{00000000-0000-0000-0000-000000000000}" id="{85C837DD-443C-4187-A0E6-747FADAAB057}">
    <text>CFTREE for equation 12</text>
  </threadedComment>
  <threadedComment ref="E496" dT="2025-01-24T21:38:35.72" personId="{00000000-0000-0000-0000-000000000000}" id="{1BF2CB98-9600-4EC5-B574-A5BF9B5B61A7}">
    <text>Equation 13</text>
  </threadedComment>
  <threadedComment ref="E497" dT="2025-01-24T21:38:48.89" personId="{00000000-0000-0000-0000-000000000000}" id="{56C9350C-6535-43BA-A549-9C714684DC92}">
    <text>A for equation 13</text>
  </threadedComment>
  <threadedComment ref="E498" dT="2025-01-24T21:39:01.30" personId="{00000000-0000-0000-0000-000000000000}" id="{C4F4CA9D-0B3D-4CAC-AA1F-4B8DE0F6219D}">
    <text>Equation 14</text>
  </threadedComment>
  <threadedComment ref="E499" dT="2025-01-24T21:40:03.74" personId="{00000000-0000-0000-0000-000000000000}" id="{D8B0C12B-A557-47BA-9A4F-9605E5C4FCBE}">
    <text>Equation 15</text>
  </threadedComment>
  <threadedComment ref="E500" dT="2025-01-24T21:39:23.91" personId="{00000000-0000-0000-0000-000000000000}" id="{49EA18F8-D21B-459A-800D-BFF2D46A656E}">
    <text>TVAL for equation 15</text>
  </threadedComment>
  <threadedComment ref="E502" dT="2025-01-24T21:40:13.24" personId="{00000000-0000-0000-0000-000000000000}" id="{23788AE1-8AAA-43E0-8220-BD6C25D2D1FC}">
    <text>Equation 18</text>
  </threadedComment>
  <threadedComment ref="E503" dT="2025-01-24T21:41:35.54" personId="{00000000-0000-0000-0000-000000000000}" id="{04E6489F-330C-401D-A934-07E214A9A065}">
    <text>ni for equation 19</text>
  </threadedComment>
  <threadedComment ref="E504" dT="2025-01-24T21:41:53.24" personId="{00000000-0000-0000-0000-000000000000}" id="{94CC6BA0-0C61-409A-998C-F37936109634}">
    <text>Slope for equation 18</text>
  </threadedComment>
  <threadedComment ref="E505" dT="2025-01-24T21:42:04.37" personId="{00000000-0000-0000-0000-000000000000}" id="{E81E75AD-FCED-45B6-AF3F-0122750419ED}">
    <text>For equation 18</text>
  </threadedComment>
  <threadedComment ref="E506" dT="2025-01-24T21:42:11.80" personId="{00000000-0000-0000-0000-000000000000}" id="{DD24A779-D96F-4C35-85B5-5B2DC243BC76}">
    <text>For equation 18</text>
  </threadedComment>
  <threadedComment ref="E507" dT="2025-01-24T21:42:31.87" personId="{00000000-0000-0000-0000-000000000000}" id="{F9CDBDCE-EAD2-4CD2-AAEB-8DEB665B635F}">
    <text>Equation 19</text>
  </threadedComment>
  <threadedComment ref="E508" dT="2025-01-24T21:42:48.27" personId="{00000000-0000-0000-0000-000000000000}" id="{9E840F8A-C40A-4D46-BE15-32490790C672}">
    <text>a for equation 19</text>
  </threadedComment>
  <threadedComment ref="E509" dT="2025-01-24T21:43:00.46" personId="{00000000-0000-0000-0000-000000000000}" id="{BEDE405A-C0F4-4825-B3F7-D70275EA8D7B}">
    <text>P for equation 19</text>
  </threadedComment>
  <threadedComment ref="E511" dT="2025-01-24T21:41:20.14" personId="{00000000-0000-0000-0000-000000000000}" id="{39158EE5-CDCE-49FB-B69B-F2BD6E1A244F}">
    <text>bTREE,p,i for equation 18</text>
  </threadedComment>
  <threadedComment ref="E511" dT="2025-01-29T17:42:04.91" personId="{00000000-0000-0000-0000-000000000000}" id="{5245F98B-325D-40AD-ABD3-0344CA41278D}" parentId="{39158EE5-CDCE-49FB-B69B-F2BD6E1A244F}">
    <text>Needs subschema for p</text>
  </threadedComment>
  <threadedComment ref="E512" dT="2025-01-24T21:43:35.34" personId="{00000000-0000-0000-0000-000000000000}" id="{2FC7B15E-32A5-4814-8A51-4421F3D62902}">
    <text>date</text>
  </threadedComment>
  <threadedComment ref="E521" dT="2025-01-24T21:44:01.28" personId="{00000000-0000-0000-0000-000000000000}" id="{507953C6-D5EF-4D7C-B815-E189CF1CF4E1}">
    <text>Equation 24</text>
  </threadedComment>
  <threadedComment ref="E522" dT="2025-01-24T21:44:20.88" personId="{00000000-0000-0000-0000-000000000000}" id="{52FCBD3D-3154-49DB-9026-24A827D8B71E}">
    <text>CSHRUB,t2 for equation 24</text>
  </threadedComment>
  <threadedComment ref="E523" dT="2025-01-24T21:44:33.20" personId="{00000000-0000-0000-0000-000000000000}" id="{614316DF-7C27-4D9D-84D1-3AC8878166AF}">
    <text>CSHRUB,t1 for equation 24</text>
  </threadedComment>
  <threadedComment ref="E525" dT="2025-01-24T21:44:43.38" personId="{00000000-0000-0000-0000-000000000000}" id="{81CD737B-1622-4EBC-9CD8-2DE7CB96B37C}">
    <text>Equation 25</text>
  </threadedComment>
  <threadedComment ref="E526" dT="2025-01-24T21:45:05.85" personId="{00000000-0000-0000-0000-000000000000}" id="{E9E07588-D1A0-4EAA-BBA1-8A91A822C8FB}">
    <text>Change in CSHRUB,t2 for equation 25</text>
  </threadedComment>
  <threadedComment ref="E527" dT="2025-01-24T21:45:24.22" personId="{00000000-0000-0000-0000-000000000000}" id="{AA850871-0255-453E-BC44-C93B422E6956}">
    <text>Change in CSHRUB,t1 for equation 25</text>
  </threadedComment>
  <threadedComment ref="E528" dT="2025-01-24T21:45:34.17" personId="{00000000-0000-0000-0000-000000000000}" id="{0FDD1216-67E0-4634-9753-6AEE58984BC6}">
    <text>T for equation 25</text>
  </threadedComment>
  <threadedComment ref="E530" dT="2025-01-24T21:45:46.77" personId="{00000000-0000-0000-0000-000000000000}" id="{EBFBFD9D-B916-4E75-9846-5395B97D3B38}">
    <text>Equation 26</text>
  </threadedComment>
  <threadedComment ref="E531" dT="2025-01-24T21:46:01.64" personId="{00000000-0000-0000-0000-000000000000}" id="{BC21043C-A472-4124-A42E-C083D79A85D5}">
    <text>CFs for equation 26</text>
  </threadedComment>
  <threadedComment ref="E532" dT="2025-01-24T21:46:11.67" personId="{00000000-0000-0000-0000-000000000000}" id="{EEC5545A-8670-427C-AD54-2CD296587D60}">
    <text>Rs for equation 26</text>
  </threadedComment>
  <threadedComment ref="E534" dT="2025-01-24T21:46:51.75" personId="{00000000-0000-0000-0000-000000000000}" id="{4ADF52EE-F748-4AF5-95EA-D6D54D93AC64}">
    <text>BDRSF for equation 27</text>
  </threadedComment>
  <threadedComment ref="E535" dT="2025-01-24T21:47:05.79" personId="{00000000-0000-0000-0000-000000000000}" id="{59CA425F-8A51-4973-9A23-9387A68DF3AC}">
    <text>bFOREST for equation 27</text>
  </threadedComment>
  <threadedComment ref="E536" dT="2025-01-24T21:47:20.17" personId="{00000000-0000-0000-0000-000000000000}" id="{BA4E6111-CFDE-4D06-A2B7-12FF9D0AFFD1}">
    <text>CCSHRUB,i for equation 27</text>
  </threadedComment>
  <threadedComment ref="E537" dT="2025-01-24T21:47:37.60" personId="{00000000-0000-0000-0000-000000000000}" id="{5131D429-21FF-409A-934F-1149A97A4E61}">
    <text>ASHRUB,i for equation 26</text>
  </threadedComment>
  <threadedComment ref="E538" dT="2025-01-24T21:47:51.92" personId="{00000000-0000-0000-0000-000000000000}" id="{15ADA034-A66C-49ED-8CFC-269362E98193}">
    <text>Equation 27</text>
  </threadedComment>
  <threadedComment ref="E549" dT="2025-01-24T21:08:37.93" personId="{00000000-0000-0000-0000-000000000000}" id="{5C29806D-9176-417F-B95C-A23FBD0B1CC6}">
    <text>Equation 3</text>
  </threadedComment>
  <threadedComment ref="E550" dT="2025-01-24T21:07:54.22" personId="{00000000-0000-0000-0000-000000000000}" id="{4B564AEC-3BF7-4F2A-94D3-7A6D702482D3}">
    <text>CFTREE for equation 3</text>
  </threadedComment>
  <threadedComment ref="E551" dT="2025-01-24T21:05:19.59" personId="{00000000-0000-0000-0000-000000000000}" id="{0F188885-D926-4A2B-8FBC-ACAD7805A043}">
    <text>Equation 4</text>
  </threadedComment>
  <threadedComment ref="E552" dT="2025-01-24T21:07:32.01" personId="{00000000-0000-0000-0000-000000000000}" id="{E33E1872-5DDF-4398-B84F-3F4F1C2D8284}">
    <text>Equation 5</text>
  </threadedComment>
  <threadedComment ref="E553" dT="2025-01-24T21:05:51.80" personId="{00000000-0000-0000-0000-000000000000}" id="{BCECABC6-C721-4247-9F13-7F397F0BA895}">
    <text>A for equation 4</text>
  </threadedComment>
  <threadedComment ref="E554" dT="2025-01-24T21:06:24.35" personId="{00000000-0000-0000-0000-000000000000}" id="{2111212B-9091-4A43-9EFB-FE8B40DC3281}">
    <text>Equation 6</text>
  </threadedComment>
  <threadedComment ref="E555" dT="2025-01-24T21:06:48.46" personId="{00000000-0000-0000-0000-000000000000}" id="{40B317EC-9B05-4A6D-82BB-E395F63D1458}">
    <text>tVAL for equation 6</text>
  </threadedComment>
  <threadedComment ref="E557" dT="2025-01-24T21:56:24.85" personId="{00000000-0000-0000-0000-000000000000}" id="{FCC081A0-3E53-4361-B216-82F6F0CB4843}">
    <text>Equation 7</text>
  </threadedComment>
  <threadedComment ref="E558" dT="2025-01-24T21:59:35.41" personId="{00000000-0000-0000-0000-000000000000}" id="{859E1730-9F50-4C78-B73A-F6C4B744250F}">
    <text>wi for equation 6</text>
  </threadedComment>
  <threadedComment ref="E559" dT="2025-01-24T21:58:30.81" personId="{00000000-0000-0000-0000-000000000000}" id="{C460F84C-4B9C-406E-A0CA-CF23BDC76178}">
    <text>Equation 8</text>
  </threadedComment>
  <threadedComment ref="E560" dT="2025-01-24T21:58:47.27" personId="{00000000-0000-0000-0000-000000000000}" id="{C7C00DD5-8F1E-48F7-B401-BCD24E147C48}">
    <text>ni for equation 8</text>
  </threadedComment>
  <threadedComment ref="E562" dT="2025-01-24T21:57:53.17" personId="{00000000-0000-0000-0000-000000000000}" id="{22DC1072-C15D-4DB5-87E4-3DE372F5E418}">
    <text>Change in bTREE,p,i for equation 7</text>
  </threadedComment>
  <threadedComment ref="E562" dT="2025-01-29T17:16:59.31" personId="{00000000-0000-0000-0000-000000000000}" id="{360753E5-24DB-4C45-BEFC-2D387E3751F3}" parentId="{22DC1072-C15D-4DB5-87E4-3DE372F5E418}">
    <text>Needs to be a stand alone sub schema for p</text>
  </threadedComment>
  <threadedComment ref="E564" dT="2025-01-24T22:02:33.42" personId="{00000000-0000-0000-0000-000000000000}" id="{D44837DC-7382-4417-8F06-CE0ED362F081}">
    <text>CTREE,t1 for equation 1</text>
  </threadedComment>
  <threadedComment ref="E565" dT="2025-01-24T22:02:16.16" personId="{00000000-0000-0000-0000-000000000000}" id="{37EFFE3A-A8C1-41A9-A5A1-F351B6A843EF}">
    <text>CTREE,t2 for equation 1</text>
  </threadedComment>
  <threadedComment ref="E566" dT="2025-01-24T22:02:01.41" personId="{00000000-0000-0000-0000-000000000000}" id="{E7849231-6321-4D37-97F0-8ECC04594C60}">
    <text>u1 for equation 2</text>
  </threadedComment>
  <threadedComment ref="E567" dT="2025-01-24T22:01:50.45" personId="{00000000-0000-0000-0000-000000000000}" id="{F2AB84B2-9BB6-4914-B91A-BAB537102223}">
    <text>u2 for equation 2</text>
  </threadedComment>
  <threadedComment ref="E568" dT="2025-01-24T22:01:36.31" personId="{00000000-0000-0000-0000-000000000000}" id="{A48FAD9D-C879-4A0F-A2E3-F7B2E3208893}">
    <text>Equation 2</text>
  </threadedComment>
  <threadedComment ref="E569" dT="2025-01-24T22:01:03.12" personId="{00000000-0000-0000-0000-000000000000}" id="{32297028-CE2B-4560-A03F-DA3D8BD1089D}">
    <text>Equation 1</text>
  </threadedComment>
  <threadedComment ref="E570" dT="2025-01-24T22:01:11.44" personId="{00000000-0000-0000-0000-000000000000}" id="{C4584CDE-6451-49AD-996B-99ADEB330070}">
    <text>Equation 2</text>
  </threadedComment>
  <threadedComment ref="E572" dT="2025-01-24T21:14:26.89" personId="{00000000-0000-0000-0000-000000000000}" id="{E614BEFE-3865-4227-813B-B57054EC664A}">
    <text>Equation 11</text>
  </threadedComment>
  <threadedComment ref="E573" dT="2025-01-24T21:14:43.23" personId="{00000000-0000-0000-0000-000000000000}" id="{7E671C14-C21A-4C4C-898C-B9F4FCE84F29}">
    <text>CTREE,t2 for equation 11</text>
  </threadedComment>
  <threadedComment ref="E574" dT="2025-01-24T21:14:56.44" personId="{00000000-0000-0000-0000-000000000000}" id="{9AC78F9F-EC65-45F0-A9F0-B0E31C6DC679}">
    <text>CTREE,t1 for equation 11</text>
  </threadedComment>
  <threadedComment ref="E575" dT="2025-01-24T21:15:24.60" personId="{00000000-0000-0000-0000-000000000000}" id="{81916117-0C2B-4295-B2C9-F8EE420DDD64}">
    <text>T for equation 11</text>
  </threadedComment>
  <threadedComment ref="E579" dT="2025-01-24T21:23:49.18" personId="{00000000-0000-0000-0000-000000000000}" id="{D93FAF96-75B4-49E1-99B0-39B2ABB9A390}">
    <text>Equation 22</text>
  </threadedComment>
  <threadedComment ref="E580" dT="2025-01-24T21:24:05.82" personId="{00000000-0000-0000-0000-000000000000}" id="{0EE69195-09C4-48CE-9957-75B51F53DF2C}">
    <text>CTREE,t1 for equation 22</text>
  </threadedComment>
  <threadedComment ref="E581" dT="2025-01-24T21:24:35.78" personId="{00000000-0000-0000-0000-000000000000}" id="{EA8A4252-CE06-4085-BA66-84CFE711B4C7}">
    <text>Change in CTREE for equation 22</text>
  </threadedComment>
  <threadedComment ref="E582" dT="2025-01-24T21:25:15.22" personId="{00000000-0000-0000-0000-000000000000}" id="{D36412D3-3F72-44C6-9DB1-2247BD332DB6}">
    <text>U_c for equation 23</text>
  </threadedComment>
  <threadedComment ref="E583" dT="2025-01-29T17:30:04.87" personId="{00000000-0000-0000-0000-000000000000}" id="{4141F0B3-FE9F-4C74-AB48-FF6AB65484A6}">
    <text>Equation 23</text>
  </threadedComment>
  <threadedComment ref="E584" dT="2025-01-24T21:25:56.99" personId="{00000000-0000-0000-0000-000000000000}" id="{F0341F53-AFAB-4B89-9DCA-CC6757B48D19}">
    <text>Uncertainty for t1 also equation 23</text>
  </threadedComment>
  <threadedComment ref="E599" dT="2025-01-24T21:32:22.56" personId="{00000000-0000-0000-0000-000000000000}" id="{2F2EEAFC-A63F-4E0D-8E64-EB8A41795353}">
    <text>Equation 12</text>
  </threadedComment>
  <threadedComment ref="E600" dT="2025-01-24T21:32:39.66" personId="{00000000-0000-0000-0000-000000000000}" id="{433BC2B5-298D-4596-9D2A-C5908036A548}">
    <text>CFTRRE for equation 12</text>
  </threadedComment>
  <threadedComment ref="E601" dT="2025-01-24T21:32:59.13" personId="{00000000-0000-0000-0000-000000000000}" id="{786F3E0D-AA10-4895-9722-016DBC18CFAA}">
    <text>Equation 13</text>
  </threadedComment>
  <threadedComment ref="E602" dT="2025-01-24T21:33:11.67" personId="{00000000-0000-0000-0000-000000000000}" id="{5937A325-269B-41B1-A2B8-F7FB12591B7B}">
    <text>A for equation 13</text>
  </threadedComment>
  <threadedComment ref="E603" dT="2025-01-24T21:33:49.53" personId="{00000000-0000-0000-0000-000000000000}" id="{A8E16CDA-1EAF-455A-90F6-193DA0BD0AB1}">
    <text>Equation 14</text>
  </threadedComment>
  <threadedComment ref="E604" dT="2025-01-24T21:34:10.73" personId="{00000000-0000-0000-0000-000000000000}" id="{5A1C0EF4-D402-470F-8E36-6FB0E0F0B891}">
    <text>Equation 15</text>
  </threadedComment>
  <threadedComment ref="E605" dT="2025-01-24T21:34:26.85" personId="{00000000-0000-0000-0000-000000000000}" id="{D1FE6B34-41D7-4B9A-9586-D8441A0B6920}">
    <text>tVAL for equation 15</text>
  </threadedComment>
  <threadedComment ref="E607" dT="2025-01-24T21:35:06.61" personId="{00000000-0000-0000-0000-000000000000}" id="{F9C69A93-B4CD-458C-BC72-CE1D2828E03E}">
    <text>Equation 16</text>
  </threadedComment>
  <threadedComment ref="E608" dT="2025-01-24T21:35:40.02" personId="{00000000-0000-0000-0000-000000000000}" id="{770C008C-BC31-4522-A5D9-ECB26C4A637A}">
    <text>Wi for equation 15</text>
  </threadedComment>
  <threadedComment ref="E609" dT="2025-01-24T21:36:34.63" personId="{00000000-0000-0000-0000-000000000000}" id="{76DC31A2-D015-456B-8030-205E07CCA738}">
    <text>Equation 17</text>
  </threadedComment>
  <threadedComment ref="E610" dT="2025-01-24T21:36:51.04" personId="{00000000-0000-0000-0000-000000000000}" id="{A91F0870-EDDE-4518-ABBA-E799077E231D}">
    <text>ni for equation 17</text>
  </threadedComment>
  <threadedComment ref="E612" dT="2025-01-24T21:36:16.10" personId="{00000000-0000-0000-0000-000000000000}" id="{37420F43-8EDB-430C-BC4D-693A4A177FB7}">
    <text>bTREE,p,i, for equation 17</text>
  </threadedComment>
  <threadedComment ref="E612" dT="2025-01-29T17:39:36.47" personId="{00000000-0000-0000-0000-000000000000}" id="{88171DB1-362B-4E1F-85E0-E2A7D2CA6380}" parentId="{37420F43-8EDB-430C-BC4D-693A4A177FB7}">
    <text>Needs a subschema for p</text>
  </threadedComment>
  <threadedComment ref="E614" dT="2025-01-24T21:38:04.67" personId="{00000000-0000-0000-0000-000000000000}" id="{6E46E1C6-0B88-416C-93FC-964101DEC588}">
    <text>Equation 12?</text>
  </threadedComment>
  <threadedComment ref="E615" dT="2025-01-24T21:38:15.63" personId="{00000000-0000-0000-0000-000000000000}" id="{4E3CAA09-48CC-4418-A086-821EAA68230A}">
    <text>CFTREE for equation 12</text>
  </threadedComment>
  <threadedComment ref="E616" dT="2025-01-24T21:38:35.72" personId="{00000000-0000-0000-0000-000000000000}" id="{0625B3C9-3BEC-40F7-B89A-66C8F66C9F5F}">
    <text>Equation 13</text>
  </threadedComment>
  <threadedComment ref="E617" dT="2025-01-24T21:38:48.89" personId="{00000000-0000-0000-0000-000000000000}" id="{47C97721-902C-486D-BA8C-4BE54494895C}">
    <text>A for equation 13</text>
  </threadedComment>
  <threadedComment ref="E618" dT="2025-01-24T21:39:01.30" personId="{00000000-0000-0000-0000-000000000000}" id="{3C7117FC-4122-4380-97AF-920FBFA0CE06}">
    <text>Equation 14</text>
  </threadedComment>
  <threadedComment ref="E619" dT="2025-01-24T21:40:03.74" personId="{00000000-0000-0000-0000-000000000000}" id="{75D53263-E17A-4EB4-8718-2C09C70CA9F5}">
    <text>Equation 15</text>
  </threadedComment>
  <threadedComment ref="E620" dT="2025-01-24T21:39:23.91" personId="{00000000-0000-0000-0000-000000000000}" id="{3039484A-5953-4FFB-AF6B-7E10A7F4A8A0}">
    <text>TVAL for equation 15</text>
  </threadedComment>
  <threadedComment ref="E622" dT="2025-01-24T21:40:13.24" personId="{00000000-0000-0000-0000-000000000000}" id="{E0160D8F-E11D-4A57-B9E4-E522F73413FA}">
    <text>Equation 18</text>
  </threadedComment>
  <threadedComment ref="E623" dT="2025-01-24T21:41:35.54" personId="{00000000-0000-0000-0000-000000000000}" id="{2200B8AC-FE06-4A89-86ED-4198F5139BEE}">
    <text>ni for equation 19</text>
  </threadedComment>
  <threadedComment ref="E624" dT="2025-01-24T21:41:53.24" personId="{00000000-0000-0000-0000-000000000000}" id="{461ABAC7-4FAA-497A-BDF8-2E1FF7BA8E1C}">
    <text>Slope for equation 18</text>
  </threadedComment>
  <threadedComment ref="E625" dT="2025-01-24T21:42:04.37" personId="{00000000-0000-0000-0000-000000000000}" id="{54ED310D-15BF-41BE-9F49-41E5555F7192}">
    <text>For equation 18</text>
  </threadedComment>
  <threadedComment ref="E626" dT="2025-01-24T21:42:11.80" personId="{00000000-0000-0000-0000-000000000000}" id="{A3A34264-39F0-4E3B-8FB2-2988FDD74A16}">
    <text>For equation 18</text>
  </threadedComment>
  <threadedComment ref="E627" dT="2025-01-24T21:42:31.87" personId="{00000000-0000-0000-0000-000000000000}" id="{A7924406-1F65-4D12-98EC-812A54A64C0A}">
    <text>Equation 19</text>
  </threadedComment>
  <threadedComment ref="E628" dT="2025-01-24T21:42:48.27" personId="{00000000-0000-0000-0000-000000000000}" id="{944C275D-71E8-4BBC-BF37-8803EBA7E4F5}">
    <text>a for equation 19</text>
  </threadedComment>
  <threadedComment ref="E629" dT="2025-01-24T21:43:00.46" personId="{00000000-0000-0000-0000-000000000000}" id="{D44A6203-9DA1-440D-BDE4-9006CBFC637C}">
    <text>P for equation 19</text>
  </threadedComment>
  <threadedComment ref="E631" dT="2025-01-24T21:41:20.14" personId="{00000000-0000-0000-0000-000000000000}" id="{2B8B88EE-FBE9-42CA-AEE4-3FF4C1C75475}">
    <text>bTREE,p,i for equation 18</text>
  </threadedComment>
  <threadedComment ref="E631" dT="2025-01-29T17:42:04.91" personId="{00000000-0000-0000-0000-000000000000}" id="{E38A2F5E-E788-45B9-B568-8C9BABEB13B9}" parentId="{2B8B88EE-FBE9-42CA-AEE4-3FF4C1C75475}">
    <text>Needs subschema for p</text>
  </threadedComment>
  <threadedComment ref="E632" dT="2025-01-24T21:43:35.34" personId="{00000000-0000-0000-0000-000000000000}" id="{ED6E83EB-6A80-4AEF-BE4B-35E634F84BF0}">
    <text>date</text>
  </threadedComment>
  <threadedComment ref="E641" dT="2025-01-24T21:44:01.28" personId="{00000000-0000-0000-0000-000000000000}" id="{49FBFA76-1F8B-41D7-A7F6-CB5CE807B76C}">
    <text>Equation 24</text>
  </threadedComment>
  <threadedComment ref="E642" dT="2025-01-24T21:44:20.88" personId="{00000000-0000-0000-0000-000000000000}" id="{A20C01A9-36F9-4563-873A-90D5F17E182B}">
    <text>CSHRUB,t2 for equation 24</text>
  </threadedComment>
  <threadedComment ref="E643" dT="2025-01-24T21:44:33.20" personId="{00000000-0000-0000-0000-000000000000}" id="{37B8AACF-580A-4334-B96E-AC2B64D96170}">
    <text>CSHRUB,t1 for equation 24</text>
  </threadedComment>
  <threadedComment ref="E645" dT="2025-01-24T21:44:43.38" personId="{00000000-0000-0000-0000-000000000000}" id="{830A66ED-5047-4560-840A-7E6C3603984C}">
    <text>Equation 25</text>
  </threadedComment>
  <threadedComment ref="E646" dT="2025-01-24T21:45:05.85" personId="{00000000-0000-0000-0000-000000000000}" id="{06580533-495F-4D1B-89C8-64B4B37F395D}">
    <text>Change in CSHRUB,t2 for equation 25</text>
  </threadedComment>
  <threadedComment ref="E647" dT="2025-01-24T21:45:24.22" personId="{00000000-0000-0000-0000-000000000000}" id="{A978F87A-C35B-4BB3-A9A5-9137E6F70E43}">
    <text>Change in CSHRUB,t1 for equation 25</text>
  </threadedComment>
  <threadedComment ref="E648" dT="2025-01-24T21:45:34.17" personId="{00000000-0000-0000-0000-000000000000}" id="{EA350666-B9C1-49BF-9DCA-138E0929F231}">
    <text>T for equation 25</text>
  </threadedComment>
  <threadedComment ref="E650" dT="2025-01-24T21:45:46.77" personId="{00000000-0000-0000-0000-000000000000}" id="{8C442247-9E52-4309-A414-6F991DF0BCD7}">
    <text>Equation 26</text>
  </threadedComment>
  <threadedComment ref="E651" dT="2025-01-24T21:46:01.64" personId="{00000000-0000-0000-0000-000000000000}" id="{DEE4A1B2-CE7E-4327-9733-509E39C477ED}">
    <text>CFs for equation 26</text>
  </threadedComment>
  <threadedComment ref="E652" dT="2025-01-24T21:46:11.67" personId="{00000000-0000-0000-0000-000000000000}" id="{7C9B6473-D493-45ED-8C7C-DA5A5C6111C6}">
    <text>Rs for equation 26</text>
  </threadedComment>
  <threadedComment ref="E654" dT="2025-01-24T21:46:51.75" personId="{00000000-0000-0000-0000-000000000000}" id="{FD09D9E8-C5A7-4DF0-A7E0-01A5681C95A3}">
    <text>BDRSF for equation 27</text>
  </threadedComment>
  <threadedComment ref="E655" dT="2025-01-24T21:47:05.79" personId="{00000000-0000-0000-0000-000000000000}" id="{A8B58796-1BB3-4158-9810-854E92D9E7F6}">
    <text>bFOREST for equation 27</text>
  </threadedComment>
  <threadedComment ref="E656" dT="2025-01-24T21:47:20.17" personId="{00000000-0000-0000-0000-000000000000}" id="{4DE0B1F3-1772-470F-B059-C45EA537FCE4}">
    <text>CCSHRUB,i for equation 27</text>
  </threadedComment>
  <threadedComment ref="E657" dT="2025-01-24T21:47:37.60" personId="{00000000-0000-0000-0000-000000000000}" id="{7C4A4F4E-64B6-47D3-BFD9-3606FD2ECB56}">
    <text>ASHRUB,i for equation 26</text>
  </threadedComment>
  <threadedComment ref="E658" dT="2025-01-24T21:47:51.92" personId="{00000000-0000-0000-0000-000000000000}" id="{E7F80F4F-7908-47B4-A340-0DDB241FD16B}">
    <text>Equation 27</text>
  </threadedComment>
  <threadedComment ref="G672" dT="2025-01-23T18:15:37.37" personId="{00000000-0000-0000-0000-000000000000}" id="{E7654CCD-AD15-423A-8280-F36CC9C4686A}">
    <text>Can this value be set to 0 if the schema is hidden/ not required from the user?</text>
  </threadedComment>
  <threadedComment ref="E677" dT="2025-01-20T22:53:15.24" personId="{00000000-0000-0000-0000-000000000000}" id="{128FD275-48A2-495A-824B-1A5331F26691}">
    <text>Equation 44</text>
  </threadedComment>
  <threadedComment ref="E678" dT="2025-01-20T22:53:15.24" personId="{00000000-0000-0000-0000-000000000000}" id="{52F47077-3B2C-4643-8A44-7704B2A6FCFB}">
    <text>Equation 45</text>
  </threadedComment>
  <threadedComment ref="E679" dT="2025-01-22T18:21:14.39" personId="{00000000-0000-0000-0000-000000000000}" id="{40493434-926B-49EE-9AF4-6E0B02479694}">
    <text>Sums all yearly values for the change in CO2 stocks in the project scenario. Summed value is to be used in parameter I(ΔCO2wp) which is part of equation 37</text>
  </threadedComment>
  <threadedComment ref="E679" dT="2025-02-04T20:44:09.22" personId="{00000000-0000-0000-0000-000000000000}" id="{0F135306-EB65-4A83-B194-326F233A9F0F}" parentId="{40493434-926B-49EE-9AF4-6E0B02479694}">
    <text>Is there any way to have it reference this field for every year and sum them?</text>
  </threadedComment>
  <threadedComment ref="E680" dT="2025-01-22T18:20:25.12" personId="{00000000-0000-0000-0000-000000000000}" id="{BF3B4CC9-C6EC-4AB7-811B-A13EACD2BCE6}">
    <text>Logic for equation 37</text>
  </threadedComment>
  <threadedComment ref="E682" dT="2025-02-04T20:48:33.93" personId="{00000000-0000-0000-0000-000000000000}" id="{AE4AA8B2-0D9F-4EE1-BC9E-BAFA30F1345E}">
    <text xml:space="preserve">Hidden because we need calcs for every year but we can also use this field to filter </text>
  </threadedComment>
  <threadedComment ref="E683" dT="2025-01-22T18:53:33.18" personId="{00000000-0000-0000-0000-000000000000}" id="{BE3ED9A9-CAE2-48BF-96BC-F62601BC20F4}">
    <text>Equation 37</text>
  </threadedComment>
  <threadedComment ref="E684" dT="2025-01-23T17:10:14.87" personId="{00000000-0000-0000-0000-000000000000}" id="{572DCAFD-0074-4FF0-8664-084B4E118428}">
    <text>Equation 40</text>
  </threadedComment>
  <threadedComment ref="E685" dT="2025-01-23T17:55:20.81" personId="{00000000-0000-0000-0000-000000000000}" id="{2CAAA3C7-74A4-4880-93BF-1A2CF1C1E052}">
    <text>Equation 39</text>
  </threadedComment>
  <threadedComment ref="E686" dT="2025-01-23T17:57:55.35" personId="{00000000-0000-0000-0000-000000000000}" id="{FC93DDBF-AFBE-4952-9561-78DDE8BDE660}">
    <text>Equation 38</text>
  </threadedComment>
  <threadedComment ref="E687" dT="2025-01-23T18:02:47.53" personId="{00000000-0000-0000-0000-000000000000}" id="{1598D81F-0D07-44E7-99C5-2733E1620958}">
    <text>Equation 42</text>
  </threadedComment>
  <threadedComment ref="E688" dT="2025-01-23T17:59:54.90" personId="{00000000-0000-0000-0000-000000000000}" id="{D5A58C7E-5562-4040-93D5-6BD4363C7612}">
    <text>Equation 41</text>
  </threadedComment>
  <threadedComment ref="E689" dT="2025-01-23T18:03:16.99" personId="{00000000-0000-0000-0000-000000000000}" id="{92D9950A-D90D-4242-A1A5-DDC5C33323AA}">
    <text>Equation 43</text>
  </threadedComment>
  <threadedComment ref="E692" dT="2025-01-23T18:31:15.81" personId="{00000000-0000-0000-0000-000000000000}" id="{7B95B818-15B0-4C54-9D15-0F95FE0FC34A}">
    <text>Equation 75</text>
  </threadedComment>
  <threadedComment ref="E693" dT="2025-01-23T18:25:05.60" personId="{00000000-0000-0000-0000-000000000000}" id="{2CF326D8-3667-4CA5-8476-569BD2B6CD13}">
    <text>Equation 76</text>
  </threadedComment>
  <threadedComment ref="E694" dT="2025-01-23T18:27:40.12" personId="{00000000-0000-0000-0000-000000000000}" id="{9F01DF81-04F6-49BA-8951-FF83D7929B9F}">
    <text>Equation 77</text>
  </threadedComment>
  <threadedComment ref="E695" dT="2025-01-23T18:28:36.06" personId="{00000000-0000-0000-0000-000000000000}" id="{C1E8BC7F-2287-49DA-89F5-6091DC5A0E22}">
    <text>Equation 78</text>
  </threadedComment>
  <threadedComment ref="E696" dT="2025-01-23T18:29:36.10" personId="{00000000-0000-0000-0000-000000000000}" id="{34D8992A-BD38-4AEC-8197-272DAF8B3114}">
    <text>Equation 79</text>
  </threadedComment>
</ThreadedComments>
</file>

<file path=xl/threadedComments/threadedComment10.xml><?xml version="1.0" encoding="utf-8"?>
<ThreadedComments xmlns="http://schemas.microsoft.com/office/spreadsheetml/2018/threadedcomments" xmlns:x="http://schemas.openxmlformats.org/spreadsheetml/2006/main">
  <threadedComment ref="E9" dT="2025-01-10T21:11:10.69" personId="{00000000-0000-0000-0000-000000000000}" id="{000E43A5-FA9F-43D5-A31F-335D4AEA3B45}">
    <text>Equation 54</text>
  </threadedComment>
  <threadedComment ref="E14" dT="2025-01-10T21:10:55.37" personId="{00000000-0000-0000-0000-000000000000}" id="{E9F5D0C4-EE9B-4A84-8890-CF89921FB803}">
    <text>Equation 11</text>
  </threadedComment>
  <threadedComment ref="E17" dT="2025-01-10T21:10:20.81" personId="{00000000-0000-0000-0000-000000000000}" id="{D27D258C-0529-4E6F-970B-A2FC6CDAACEF}">
    <text>Equation 54</text>
  </threadedComment>
</ThreadedComments>
</file>

<file path=xl/threadedComments/threadedComment11.xml><?xml version="1.0" encoding="utf-8"?>
<ThreadedComments xmlns="http://schemas.microsoft.com/office/spreadsheetml/2018/threadedcomments" xmlns:x="http://schemas.openxmlformats.org/spreadsheetml/2006/main">
  <threadedComment ref="E6" dT="2025-01-10T21:11:10.69" personId="{00000000-0000-0000-0000-000000000000}" id="{26B66FA0-0683-4B92-886C-3F56372CF22C}">
    <text>Equation 54</text>
  </threadedComment>
</ThreadedComments>
</file>

<file path=xl/threadedComments/threadedComment12.xml><?xml version="1.0" encoding="utf-8"?>
<ThreadedComments xmlns="http://schemas.microsoft.com/office/spreadsheetml/2018/threadedcomments" xmlns:x="http://schemas.openxmlformats.org/spreadsheetml/2006/main">
  <threadedComment ref="E6" dT="2025-01-10T21:10:55.37" personId="{00000000-0000-0000-0000-000000000000}" id="{7C9793F5-8197-41BF-8927-B2F51BCDFD71}">
    <text>Equation 11</text>
  </threadedComment>
</ThreadedComments>
</file>

<file path=xl/threadedComments/threadedComment13.xml><?xml version="1.0" encoding="utf-8"?>
<ThreadedComments xmlns="http://schemas.microsoft.com/office/spreadsheetml/2018/threadedcomments" xmlns:x="http://schemas.openxmlformats.org/spreadsheetml/2006/main">
  <threadedComment ref="E10" dT="2025-01-10T21:11:04.41" personId="{00000000-0000-0000-0000-000000000000}" id="{3AE012F0-7071-44C9-A3B8-EE64BEAB2231}">
    <text>Equation 58</text>
  </threadedComment>
  <threadedComment ref="E15" dT="2025-01-10T21:10:42.87" personId="{00000000-0000-0000-0000-000000000000}" id="{76F7687A-999D-4FD7-A6D1-45B7F27B531D}">
    <text>Equation 16</text>
  </threadedComment>
  <threadedComment ref="E18" dT="2025-01-10T21:10:26.42" personId="{00000000-0000-0000-0000-000000000000}" id="{3081BF38-1348-4214-A7DC-B4F8F29EE36F}">
    <text>Equation 58</text>
  </threadedComment>
</ThreadedComments>
</file>

<file path=xl/threadedComments/threadedComment14.xml><?xml version="1.0" encoding="utf-8"?>
<ThreadedComments xmlns="http://schemas.microsoft.com/office/spreadsheetml/2018/threadedcomments" xmlns:x="http://schemas.openxmlformats.org/spreadsheetml/2006/main">
  <threadedComment ref="E9" dT="2025-01-10T21:11:04.41" personId="{00000000-0000-0000-0000-000000000000}" id="{82CDBA7A-E7B2-4FFA-920B-98C5DACE198A}">
    <text>Equation 58</text>
  </threadedComment>
  <threadedComment ref="E14" dT="2025-01-10T21:10:42.87" personId="{00000000-0000-0000-0000-000000000000}" id="{5D060554-5CDC-4658-B14E-49A9E5235E9F}">
    <text>Equation 16</text>
  </threadedComment>
</ThreadedComments>
</file>

<file path=xl/threadedComments/threadedComment15.xml><?xml version="1.0" encoding="utf-8"?>
<ThreadedComments xmlns="http://schemas.microsoft.com/office/spreadsheetml/2018/threadedcomments" xmlns:x="http://schemas.openxmlformats.org/spreadsheetml/2006/main">
  <threadedComment ref="E6" dT="2025-01-10T21:11:04.41" personId="{00000000-0000-0000-0000-000000000000}" id="{3AE8D670-6175-4CA2-BAB7-17B025DC9F48}">
    <text>Equation 58</text>
  </threadedComment>
</ThreadedComments>
</file>

<file path=xl/threadedComments/threadedComment16.xml><?xml version="1.0" encoding="utf-8"?>
<ThreadedComments xmlns="http://schemas.microsoft.com/office/spreadsheetml/2018/threadedcomments" xmlns:x="http://schemas.openxmlformats.org/spreadsheetml/2006/main">
  <threadedComment ref="E6" dT="2025-01-10T21:10:42.87" personId="{00000000-0000-0000-0000-000000000000}" id="{A7B3BF71-7E38-4AE6-989C-73FD0718E2E2}">
    <text>Equation 16</text>
  </threadedComment>
</ThreadedComments>
</file>

<file path=xl/threadedComments/threadedComment17.xml><?xml version="1.0" encoding="utf-8"?>
<ThreadedComments xmlns="http://schemas.microsoft.com/office/spreadsheetml/2018/threadedcomments" xmlns:x="http://schemas.openxmlformats.org/spreadsheetml/2006/main">
  <threadedComment ref="E18" dT="2025-01-17T18:04:16.49" personId="{00000000-0000-0000-0000-000000000000}" id="{26BE87A4-C444-4FD7-B571-343079D23568}">
    <text>This formula was located in the spreadsheet verra created but it can’t be found in the PDF</text>
  </threadedComment>
  <threadedComment ref="E19" dT="2025-01-20T17:08:20.04" personId="{00000000-0000-0000-0000-000000000000}" id="{808F9F01-2D71-49D9-85A0-D2A5A926067D}">
    <text>Equation 46 part 1</text>
  </threadedComment>
  <threadedComment ref="E20" dT="2025-01-15T22:28:28.40" personId="{00000000-0000-0000-0000-000000000000}" id="{4612173E-3D27-45CD-8B22-3E391ADFA022}">
    <text>Equation 6</text>
  </threadedComment>
  <threadedComment ref="E20" dT="2025-01-20T17:15:07.34" personId="{00000000-0000-0000-0000-000000000000}" id="{E65A00B4-51F9-4578-98E2-3B27B9640FFB}" parentId="{4612173E-3D27-45CD-8B22-3E391ADFA022}">
    <text>Sum all Ƒ(SOCbsl,i,t) from previous years starting from year 0</text>
  </threadedComment>
  <threadedComment ref="E21" dT="2025-01-15T22:38:18.28" personId="{00000000-0000-0000-0000-000000000000}" id="{F9B1B416-00BC-4F82-898F-5A9E4CB0B607}">
    <text>Equation 6</text>
  </threadedComment>
  <threadedComment ref="E32" dT="2025-01-17T18:04:16.49" personId="{00000000-0000-0000-0000-000000000000}" id="{CC217B4D-B087-40EF-BD57-D4E21A7B3A0B}">
    <text>This formula was located in the spreadsheet verra created but it can’t be found in the PDF</text>
  </threadedComment>
  <threadedComment ref="E34" dT="2025-01-15T22:28:28.40" personId="{00000000-0000-0000-0000-000000000000}" id="{6C407F4F-0314-4CA4-881C-56195A5B922B}">
    <text>Equation 6</text>
  </threadedComment>
  <threadedComment ref="E34" dT="2025-01-20T17:13:53.61" personId="{00000000-0000-0000-0000-000000000000}" id="{E09222D8-8FBC-4C64-AF35-DE5446BAF8DF}" parentId="{6C407F4F-0314-4CA4-881C-56195A5B922B}">
    <text>Sum all Ƒ(SOCwp,i,t) from previous years starting from year 0</text>
  </threadedComment>
  <threadedComment ref="E35" dT="2025-01-15T22:38:18.28" personId="{00000000-0000-0000-0000-000000000000}" id="{D06D05FF-1CDE-4AE0-AAD1-7EAA525F2695}">
    <text>Equation 6</text>
  </threadedComment>
  <threadedComment ref="E36" dT="2025-01-20T17:22:43.77" personId="{00000000-0000-0000-0000-000000000000}" id="{7AC0340D-6030-4E30-86A7-64F0026EF9BE}">
    <text>Equation 46 part 2</text>
  </threadedComment>
  <threadedComment ref="E36" dT="2025-01-20T17:23:09.26" personId="{00000000-0000-0000-0000-000000000000}" id="{D234ACEC-9DCE-45FE-8A0A-A5361805EB8B}" parentId="{7AC0340D-6030-4E30-86A7-64F0026EF9BE}">
    <text>This field sums all the changes in SOC  stocks from all Unit i’s</text>
  </threadedComment>
  <threadedComment ref="E37" dT="2025-01-20T17:22:43.77" personId="{00000000-0000-0000-0000-000000000000}" id="{89784EB7-66FE-41FB-A4D9-B21620239BBD}">
    <text>Equation 47 part 2</text>
  </threadedComment>
  <threadedComment ref="E37" dT="2025-01-20T17:23:09.26" personId="{00000000-0000-0000-0000-000000000000}" id="{AEA93262-5231-40CF-B56D-F08F0B38B24C}" parentId="{89784EB7-66FE-41FB-A4D9-B21620239BBD}">
    <text>This field sums all the changes in SOC stocks from all Unit i’s</text>
  </threadedComment>
  <threadedComment ref="E38" dT="2025-01-20T22:50:26.74" personId="{00000000-0000-0000-0000-000000000000}" id="{4AC1F2F3-7E1B-4913-AA9B-80FB3967FB07}">
    <text>Part of equation 45</text>
  </threadedComment>
</ThreadedComments>
</file>

<file path=xl/threadedComments/threadedComment18.xml><?xml version="1.0" encoding="utf-8"?>
<ThreadedComments xmlns="http://schemas.microsoft.com/office/spreadsheetml/2018/threadedcomments" xmlns:x="http://schemas.openxmlformats.org/spreadsheetml/2006/main">
  <threadedComment ref="E17" dT="2025-01-17T18:04:16.49" personId="{00000000-0000-0000-0000-000000000000}" id="{B3D45FC4-7AF3-4364-BF3C-CB6C6E4490BC}">
    <text>This formula was located in the spreadsheet verra created but it can’t be found in the PDF</text>
  </threadedComment>
  <threadedComment ref="E18" dT="2025-01-20T17:08:20.04" personId="{00000000-0000-0000-0000-000000000000}" id="{19443C01-6619-472A-8AE5-DCF412DF4F2B}">
    <text>Equation 46 part 1</text>
  </threadedComment>
  <threadedComment ref="E19" dT="2025-01-15T22:28:28.40" personId="{00000000-0000-0000-0000-000000000000}" id="{E8DC9F1E-BCF6-4AA0-A57A-AA8393C88B70}">
    <text>Equation 6</text>
  </threadedComment>
  <threadedComment ref="E19" dT="2025-01-20T17:15:07.34" personId="{00000000-0000-0000-0000-000000000000}" id="{EE757483-55A6-485E-98FD-BB4CB56B4A2F}" parentId="{E8DC9F1E-BCF6-4AA0-A57A-AA8393C88B70}">
    <text>Sum all Ƒ(SOCbsl,i,t) from previous years starting from year 0</text>
  </threadedComment>
  <threadedComment ref="E20" dT="2025-01-15T22:38:18.28" personId="{00000000-0000-0000-0000-000000000000}" id="{2894D8EE-8568-418A-A183-AFB855451F4A}">
    <text>Equation 6</text>
  </threadedComment>
  <threadedComment ref="E31" dT="2025-01-17T18:04:16.49" personId="{00000000-0000-0000-0000-000000000000}" id="{0B57E098-619C-4779-8AA0-674FC0F5FF54}">
    <text>This formula was located in the spreadsheet verra created but it can’t be found in the PDF</text>
  </threadedComment>
  <threadedComment ref="E33" dT="2025-01-15T22:28:28.40" personId="{00000000-0000-0000-0000-000000000000}" id="{E2BE70F4-45E4-4E4C-83FC-2551505E1FC5}">
    <text>Equation 6</text>
  </threadedComment>
  <threadedComment ref="E33" dT="2025-01-20T17:13:53.61" personId="{00000000-0000-0000-0000-000000000000}" id="{4D7B25BE-15BC-4C37-A0BB-897302E9533C}" parentId="{E2BE70F4-45E4-4E4C-83FC-2551505E1FC5}">
    <text>Sum all Ƒ(SOCwp,i,t) from previous years starting from year 0</text>
  </threadedComment>
  <threadedComment ref="E34" dT="2025-01-15T22:38:18.28" personId="{00000000-0000-0000-0000-000000000000}" id="{866F3EB7-6405-490B-B94A-4A6E44E517E2}">
    <text>Equation 6</text>
  </threadedComment>
</ThreadedComments>
</file>

<file path=xl/threadedComments/threadedComment19.xml><?xml version="1.0" encoding="utf-8"?>
<ThreadedComments xmlns="http://schemas.microsoft.com/office/spreadsheetml/2018/threadedcomments" xmlns:x="http://schemas.openxmlformats.org/spreadsheetml/2006/main">
  <threadedComment ref="E14" dT="2025-01-17T18:04:16.49" personId="{00000000-0000-0000-0000-000000000000}" id="{90D49741-393A-4BC6-A80A-4FA20C26F31E}">
    <text>This formula was located in the spreadsheet verra created but it can’t be found in the PDF</text>
  </threadedComment>
</ThreadedComments>
</file>

<file path=xl/threadedComments/threadedComment2.xml><?xml version="1.0" encoding="utf-8"?>
<ThreadedComments xmlns="http://schemas.microsoft.com/office/spreadsheetml/2018/threadedcomments" xmlns:x="http://schemas.openxmlformats.org/spreadsheetml/2006/main">
  <threadedComment ref="E12" dT="2025-01-10T21:11:10.69" personId="{00000000-0000-0000-0000-000000000000}" id="{488470E8-1DBA-4FE5-92A1-EFC0AD23DDF8}">
    <text>Equation 54</text>
  </threadedComment>
  <threadedComment ref="E17" dT="2025-01-10T21:10:55.37" personId="{00000000-0000-0000-0000-000000000000}" id="{AB504321-8A35-4203-9AEF-58C8055F5B6F}">
    <text>Equation 11</text>
  </threadedComment>
  <threadedComment ref="E20" dT="2025-01-10T21:10:20.81" personId="{00000000-0000-0000-0000-000000000000}" id="{67679EF2-EF32-495B-AB78-01E165011132}">
    <text>Equation 54</text>
  </threadedComment>
  <threadedComment ref="E27" dT="2025-01-10T21:11:04.41" personId="{00000000-0000-0000-0000-000000000000}" id="{3E153BBE-81DC-4704-977F-1A222A5215B3}">
    <text>Equation 58</text>
  </threadedComment>
  <threadedComment ref="E32" dT="2025-01-10T21:10:42.87" personId="{00000000-0000-0000-0000-000000000000}" id="{1C1121EB-B730-4017-870A-FCB4C9EB0C69}">
    <text>Equation 16</text>
  </threadedComment>
  <threadedComment ref="E35" dT="2025-01-10T21:10:26.42" personId="{00000000-0000-0000-0000-000000000000}" id="{A8F1B053-2653-470B-9085-015D2FE053CC}">
    <text>Equation 58</text>
  </threadedComment>
  <threadedComment ref="E50" dT="2025-01-17T18:04:16.49" personId="{00000000-0000-0000-0000-000000000000}" id="{CB6B157D-8415-464A-AF08-3DD074C4C58D}">
    <text>This formula was located in the spreadsheet verra created but it can’t be found in the PDF</text>
  </threadedComment>
  <threadedComment ref="E51" dT="2025-01-20T17:08:20.04" personId="{00000000-0000-0000-0000-000000000000}" id="{7FAEB969-760C-4D25-B772-EECD67AC20A4}">
    <text>Equation 46 part 1</text>
  </threadedComment>
  <threadedComment ref="E52" dT="2025-01-15T22:28:28.40" personId="{00000000-0000-0000-0000-000000000000}" id="{57DA8A9C-D864-4B57-936A-1985316F5A96}">
    <text>Equation 6</text>
  </threadedComment>
  <threadedComment ref="E52" dT="2025-01-20T17:15:07.34" personId="{00000000-0000-0000-0000-000000000000}" id="{01532F5C-E4EA-4150-8AE2-06069A30893F}" parentId="{57DA8A9C-D864-4B57-936A-1985316F5A96}">
    <text>Sum all Ƒ(SOCbsl,i,t) from previous years starting from year 0</text>
  </threadedComment>
  <threadedComment ref="E53" dT="2025-01-15T22:38:18.28" personId="{00000000-0000-0000-0000-000000000000}" id="{476ACC91-550D-4B94-BBCC-A886FDAD000C}">
    <text>Equation 6</text>
  </threadedComment>
  <threadedComment ref="E64" dT="2025-01-17T18:04:16.49" personId="{00000000-0000-0000-0000-000000000000}" id="{6087DF43-B0BE-4B97-8774-CD12D68E264E}">
    <text>This formula was located in the spreadsheet verra created but it can’t be found in the PDF</text>
  </threadedComment>
  <threadedComment ref="E66" dT="2025-01-15T22:28:28.40" personId="{00000000-0000-0000-0000-000000000000}" id="{2D828D77-63AF-4AC4-892F-504E098F5926}">
    <text>Equation 6</text>
  </threadedComment>
  <threadedComment ref="E66" dT="2025-01-20T17:13:53.61" personId="{00000000-0000-0000-0000-000000000000}" id="{ED5F8655-595E-464A-8E33-C1E9473C0025}" parentId="{2D828D77-63AF-4AC4-892F-504E098F5926}">
    <text>Sum all Ƒ(SOCwp,i,t) from previous years starting from year 0</text>
  </threadedComment>
  <threadedComment ref="E67" dT="2025-01-15T22:38:18.28" personId="{00000000-0000-0000-0000-000000000000}" id="{2EC5E35C-3F50-4AAD-9A64-CFC61D29F49F}">
    <text>Equation 6</text>
  </threadedComment>
  <threadedComment ref="E68" dT="2025-01-20T17:22:43.77" personId="{00000000-0000-0000-0000-000000000000}" id="{6A05D2E6-325C-4173-8A9C-44ED8DFACF07}">
    <text>Equation 46 part 2</text>
  </threadedComment>
  <threadedComment ref="E68" dT="2025-01-20T17:23:09.26" personId="{00000000-0000-0000-0000-000000000000}" id="{1775E35F-7E84-4266-B79B-858FFEF94277}" parentId="{6A05D2E6-325C-4173-8A9C-44ED8DFACF07}">
    <text>This field sums all the changes in SOC  stocks from all Unit i’s</text>
  </threadedComment>
  <threadedComment ref="E69" dT="2025-01-20T17:22:43.77" personId="{00000000-0000-0000-0000-000000000000}" id="{BB3AE193-D20C-4318-B2DF-BA292B14DC07}">
    <text>Equation 47 part 2</text>
  </threadedComment>
  <threadedComment ref="E69" dT="2025-01-20T17:23:09.26" personId="{00000000-0000-0000-0000-000000000000}" id="{5E18AEA6-4272-45BA-8240-D2F3A2F7C673}" parentId="{BB3AE193-D20C-4318-B2DF-BA292B14DC07}">
    <text>This field sums all the changes in SOC stocks from all Unit i’s</text>
  </threadedComment>
  <threadedComment ref="E70" dT="2025-01-20T22:50:26.74" personId="{00000000-0000-0000-0000-000000000000}" id="{17453E16-E6DA-40ED-9761-3B27085A4D8B}">
    <text>Part of equation 45</text>
  </threadedComment>
  <threadedComment ref="E85" dT="2025-01-17T18:04:16.49" personId="{00000000-0000-0000-0000-000000000000}" id="{4AC9ABEC-8053-4231-BDFF-156F8BD5FD01}">
    <text>This formula was located in the spreadsheet verra created but it can’t be found in the PDF</text>
  </threadedComment>
  <threadedComment ref="E86" dT="2025-01-20T17:08:20.04" personId="{00000000-0000-0000-0000-000000000000}" id="{AE674905-7D2A-43EF-9DCF-8C58B6ED97C1}">
    <text>Equation 46 part 1</text>
  </threadedComment>
  <threadedComment ref="E97" dT="2025-01-17T18:04:16.49" personId="{00000000-0000-0000-0000-000000000000}" id="{45EBE1AF-D997-4B72-90FF-7DB677C34122}">
    <text>This formula was located in the spreadsheet verra created but it can’t be found in the PDF</text>
  </threadedComment>
  <threadedComment ref="E99" dT="2025-01-20T17:22:43.77" personId="{00000000-0000-0000-0000-000000000000}" id="{5F37B62F-EC8F-4DED-A9B8-4B74E220D5B5}">
    <text>Equation 46 part 2</text>
  </threadedComment>
  <threadedComment ref="E99" dT="2025-01-20T17:23:09.26" personId="{00000000-0000-0000-0000-000000000000}" id="{C3FFDE67-7F75-4207-B2D0-8BDC3DD593AE}" parentId="{5F37B62F-EC8F-4DED-A9B8-4B74E220D5B5}">
    <text>This field sums all the changes in SOC  stocks from all Unit i’s</text>
  </threadedComment>
  <threadedComment ref="E100" dT="2025-01-20T17:22:43.77" personId="{00000000-0000-0000-0000-000000000000}" id="{B55D65B3-C183-4C6C-9D7C-A88DD71840E5}">
    <text>Equation 47 part 2</text>
  </threadedComment>
  <threadedComment ref="E100" dT="2025-01-20T17:23:09.26" personId="{00000000-0000-0000-0000-000000000000}" id="{93AE20E7-E191-4897-98E4-DE4CCE38CF56}" parentId="{B55D65B3-C183-4C6C-9D7C-A88DD71840E5}">
    <text>This field sums all the changes in SOC stocks from all Unit i’s</text>
  </threadedComment>
  <threadedComment ref="E101" dT="2025-01-20T22:50:26.74" personId="{00000000-0000-0000-0000-000000000000}" id="{4EA2AB01-E9D6-4B46-A71C-CBCBEA9CEF3E}">
    <text>Part of equation 45</text>
  </threadedComment>
  <threadedComment ref="E110" dT="2025-01-06T16:57:51.88" personId="{00000000-0000-0000-0000-000000000000}" id="{63C30CB4-402C-41BB-AD7A-59BD5B5E322C}">
    <text>Equation 8</text>
  </threadedComment>
  <threadedComment ref="E113" dT="2025-01-06T17:03:59.51" personId="{00000000-0000-0000-0000-000000000000}" id="{AD47EF09-BE53-4A8E-A91C-5FC975FF5C37}">
    <text>Equation 7</text>
  </threadedComment>
  <threadedComment ref="E116" dT="2025-01-06T17:03:59.51" personId="{00000000-0000-0000-0000-000000000000}" id="{24E02676-7919-4B15-AC9F-641F28F89943}">
    <text>Equation 7</text>
  </threadedComment>
  <threadedComment ref="E120" dT="2025-01-06T18:49:07.05" personId="{00000000-0000-0000-0000-000000000000}" id="{053BA663-40C9-401D-B2B4-22400E12CD09}">
    <text>Equation 10</text>
  </threadedComment>
  <threadedComment ref="E121" dT="2025-01-06T18:49:18.79" personId="{00000000-0000-0000-0000-000000000000}" id="{4BEDF1D0-1EEB-47AB-A632-C348D358BC55}">
    <text>Equation 9</text>
  </threadedComment>
  <threadedComment ref="E131" dT="2025-01-06T19:19:45.61" personId="{00000000-0000-0000-0000-000000000000}" id="{B2918777-5886-44BA-9E20-FE36415B4F7E}">
    <text>Equation 12</text>
  </threadedComment>
  <threadedComment ref="E144" dT="2025-01-06T21:06:09.46" personId="{00000000-0000-0000-0000-000000000000}" id="{03A45E86-F06C-4DF0-BAAE-CAD394BB87A7}">
    <text>Equation 14</text>
  </threadedComment>
  <threadedComment ref="E148" dT="2025-01-06T21:11:11.03" personId="{00000000-0000-0000-0000-000000000000}" id="{E7883DE4-4991-4C72-B8F3-F5D81C6D8B05}">
    <text>Equation 13</text>
  </threadedComment>
  <threadedComment ref="E159" dT="2025-01-06T21:11:11.03" personId="{00000000-0000-0000-0000-000000000000}" id="{C00D98D2-6DD5-401E-AE67-45673614249C}">
    <text>Equation 15</text>
  </threadedComment>
  <threadedComment ref="E168" dT="2025-01-07T17:41:02.28" personId="{00000000-0000-0000-0000-000000000000}" id="{5EA965E8-DA2A-4EDC-80B7-5806EF523C8E}">
    <text>Equation 20</text>
  </threadedComment>
  <threadedComment ref="E173" dT="2025-01-06T21:11:11.03" personId="{00000000-0000-0000-0000-000000000000}" id="{BEBA1607-4FA4-4471-B753-4EF84CEBC463}">
    <text>Equation 21</text>
  </threadedComment>
  <threadedComment ref="E175" dT="2025-01-07T17:45:55.38" personId="{00000000-0000-0000-0000-000000000000}" id="{55F7BA50-E8DD-4AE4-90EE-0A3502313034}">
    <text>Equation 19</text>
  </threadedComment>
  <threadedComment ref="E179" dT="2025-01-07T17:48:38.15" personId="{00000000-0000-0000-0000-000000000000}" id="{46948E57-1401-4008-BE53-897795AE23AB}">
    <text>Equation 23</text>
  </threadedComment>
  <threadedComment ref="E182" dT="2025-01-07T17:48:58.20" personId="{00000000-0000-0000-0000-000000000000}" id="{B2A827B3-AC39-4932-8642-9C382DB0E8F5}">
    <text>Equation 24</text>
  </threadedComment>
  <threadedComment ref="E183" dT="2025-01-07T17:49:51.64" personId="{00000000-0000-0000-0000-000000000000}" id="{2323C9C5-E868-4E11-984D-E2BE9E587686}">
    <text>Equation 22</text>
  </threadedComment>
  <threadedComment ref="E184" dT="2025-01-07T17:50:00.00" personId="{00000000-0000-0000-0000-000000000000}" id="{5767DA32-E8CE-455F-88EF-7B1257434171}">
    <text>Equation 18</text>
  </threadedComment>
  <threadedComment ref="E196" dT="2025-01-07T19:29:42.63" personId="{00000000-0000-0000-0000-000000000000}" id="{46EFEA17-6EF2-44BC-A61C-434C8E2D1A6C}">
    <text>Equation 29</text>
  </threadedComment>
  <threadedComment ref="E196" dT="2025-01-07T19:32:54.21" personId="{00000000-0000-0000-0000-000000000000}" id="{FDFD15B6-1FF5-4913-9707-45094BD3059D}" parentId="{46EFEA17-6EF2-44BC-A61C-434C8E2D1A6C}">
    <text>Based off the excel from Verra this formula has a conversion factor from kg to t that is not illustrated in equation 29</text>
  </threadedComment>
  <threadedComment ref="E201" dT="2025-01-07T19:38:48.26" personId="{00000000-0000-0000-0000-000000000000}" id="{93418CA5-DBD3-483A-9C81-0F685CB2B36D}">
    <text>Equation 32</text>
  </threadedComment>
  <threadedComment ref="E202" dT="2025-01-07T20:02:12.62" personId="{00000000-0000-0000-0000-000000000000}" id="{C6AA29DE-C71A-47C1-8961-DC23D40FF2B5}">
    <text>Equation 31</text>
  </threadedComment>
  <threadedComment ref="E203" dT="2025-01-07T19:35:12.52" personId="{00000000-0000-0000-0000-000000000000}" id="{251781F3-38D9-4B24-9610-DB59F39DE71A}">
    <text>Equation 28</text>
  </threadedComment>
  <threadedComment ref="E203" dT="2025-01-07T19:38:00.39" personId="{00000000-0000-0000-0000-000000000000}" id="{08338F0D-58A4-45D3-BC01-359AC8E84516}" parentId="{251781F3-38D9-4B24-9610-DB59F39DE71A}">
    <text>Formula has been adapted to match the formula in the verra spreadsheet. The conversion factor for kg to t is located in equation 29</text>
  </threadedComment>
  <threadedComment ref="E204" dT="2025-01-07T20:02:12.62" personId="{00000000-0000-0000-0000-000000000000}" id="{BCDC991C-2312-407A-B712-9F0398E6B53F}">
    <text>Equation 30</text>
  </threadedComment>
  <threadedComment ref="E205" dT="2025-01-07T20:12:14.36" personId="{00000000-0000-0000-0000-000000000000}" id="{B736F84A-0350-4B3A-9C0A-EBAE34C3CE88}">
    <text>Equation 27</text>
  </threadedComment>
  <threadedComment ref="E213" dT="2025-01-07T17:41:02.28" personId="{00000000-0000-0000-0000-000000000000}" id="{5F798F30-3A78-4D3B-9B1F-C9AAF8C00459}">
    <text>Equation 26</text>
  </threadedComment>
  <threadedComment ref="E214" dT="2025-01-07T18:57:06.75" personId="{00000000-0000-0000-0000-000000000000}" id="{D38F7D2B-EE2D-4774-8800-7CC22144B402}">
    <text>Equation 25</text>
  </threadedComment>
  <threadedComment ref="E224" dT="2025-01-06T21:11:11.03" personId="{00000000-0000-0000-0000-000000000000}" id="{C6CF1080-16F7-4805-BB9B-DFD222FADF37}">
    <text>Equation 33</text>
  </threadedComment>
  <threadedComment ref="E228" dT="2025-01-22T19:09:37.14" personId="{00000000-0000-0000-0000-000000000000}" id="{E49603DE-7DF0-4594-9F87-6206F1E00C38}">
    <text>Equation 17</text>
  </threadedComment>
  <threadedComment ref="E233" dT="2025-01-06T16:57:51.88" personId="{00000000-0000-0000-0000-000000000000}" id="{B8EDF1BD-2F20-40EB-BF4D-3FF1C8803A71}">
    <text>Equation 8</text>
  </threadedComment>
  <threadedComment ref="E236" dT="2025-01-06T17:03:59.51" personId="{00000000-0000-0000-0000-000000000000}" id="{4C7C6F87-00B0-4C92-AA00-3FEF50156397}">
    <text>Equation 7</text>
  </threadedComment>
  <threadedComment ref="E243" dT="2025-01-06T18:49:07.05" personId="{00000000-0000-0000-0000-000000000000}" id="{53F55949-AEF2-474F-9865-44373546E29E}">
    <text>Equation 10</text>
  </threadedComment>
  <threadedComment ref="E244" dT="2025-01-06T18:49:18.79" personId="{00000000-0000-0000-0000-000000000000}" id="{EEE34842-2F1C-4EBA-BE90-0DE671072100}">
    <text>Equation 9</text>
  </threadedComment>
  <threadedComment ref="E254" dT="2025-01-06T19:19:45.61" personId="{00000000-0000-0000-0000-000000000000}" id="{7A870BAA-4890-4FE1-98A0-470A3469899D}">
    <text>Equation 12</text>
  </threadedComment>
  <threadedComment ref="E267" dT="2025-01-06T21:06:09.46" personId="{00000000-0000-0000-0000-000000000000}" id="{E4F1A8E6-A798-4160-8C99-0543E5D97EBD}">
    <text>Equation 14</text>
  </threadedComment>
  <threadedComment ref="E271" dT="2025-01-06T21:11:11.03" personId="{00000000-0000-0000-0000-000000000000}" id="{E09B651D-1684-4487-8557-7B71D3AB7B69}">
    <text>Equation 13</text>
  </threadedComment>
  <threadedComment ref="E282" dT="2025-01-06T21:11:11.03" personId="{00000000-0000-0000-0000-000000000000}" id="{1C8E43D7-2E38-492A-B5E0-B958735731AF}">
    <text>Equation 15</text>
  </threadedComment>
  <threadedComment ref="E290" dT="2025-01-07T17:41:02.28" personId="{00000000-0000-0000-0000-000000000000}" id="{81F4D961-B1FD-488C-AE14-19B3573999F7}">
    <text>Equation 20</text>
  </threadedComment>
  <threadedComment ref="E295" dT="2025-01-06T21:11:11.03" personId="{00000000-0000-0000-0000-000000000000}" id="{03A9511C-4164-465A-AEE2-77DEB3DE90D8}">
    <text>Equation 21</text>
  </threadedComment>
  <threadedComment ref="E297" dT="2025-01-07T17:45:55.38" personId="{00000000-0000-0000-0000-000000000000}" id="{AC6BCDE3-3D73-4E6A-A9D8-7F6325C61662}">
    <text>Equation 19</text>
  </threadedComment>
  <threadedComment ref="E301" dT="2025-01-07T17:48:38.15" personId="{00000000-0000-0000-0000-000000000000}" id="{3127C5F8-EAA3-4558-9D88-E157910FA9B2}">
    <text>Equation 23</text>
  </threadedComment>
  <threadedComment ref="E304" dT="2025-01-07T17:48:58.20" personId="{00000000-0000-0000-0000-000000000000}" id="{A4891F88-7D79-4193-B886-A59A4FFD5014}">
    <text>Equation 24</text>
  </threadedComment>
  <threadedComment ref="E305" dT="2025-01-07T17:49:51.64" personId="{00000000-0000-0000-0000-000000000000}" id="{78ACE189-59C5-4E50-94E3-6121447BB6D1}">
    <text>Equation 22</text>
  </threadedComment>
  <threadedComment ref="E306" dT="2025-01-07T17:50:00.00" personId="{00000000-0000-0000-0000-000000000000}" id="{C5204AD0-02C6-4460-A3D0-CD6EDC379476}">
    <text>Equation 18</text>
  </threadedComment>
  <threadedComment ref="E318" dT="2025-01-07T19:29:42.63" personId="{00000000-0000-0000-0000-000000000000}" id="{119936A5-D73B-46E9-A248-521F3B56E03A}">
    <text>Equation 29</text>
  </threadedComment>
  <threadedComment ref="E318" dT="2025-01-07T19:32:54.21" personId="{00000000-0000-0000-0000-000000000000}" id="{EFA8E9C7-F398-4E2B-BE2C-AA81893B3CDD}" parentId="{119936A5-D73B-46E9-A248-521F3B56E03A}">
    <text>Based off the excel from Verra this formula has a conversion factor from kg to t that is not illustrated in equation 29</text>
  </threadedComment>
  <threadedComment ref="E323" dT="2025-01-07T19:38:48.26" personId="{00000000-0000-0000-0000-000000000000}" id="{6BDC6607-57CA-41B4-96E3-C9650F0DE075}">
    <text>Equation 32</text>
  </threadedComment>
  <threadedComment ref="E324" dT="2025-01-07T20:02:12.62" personId="{00000000-0000-0000-0000-000000000000}" id="{2FF82C19-B591-4B13-BA15-2CFE4F34AB08}">
    <text>Equation 31</text>
  </threadedComment>
  <threadedComment ref="E325" dT="2025-01-07T19:35:12.52" personId="{00000000-0000-0000-0000-000000000000}" id="{60CBCDB7-D505-4995-8D9D-338F13ECF5F6}">
    <text>Equation 28</text>
  </threadedComment>
  <threadedComment ref="E325" dT="2025-01-07T19:38:00.39" personId="{00000000-0000-0000-0000-000000000000}" id="{0181A5CE-7011-4A01-83B4-CA0DA2CC953A}" parentId="{60CBCDB7-D505-4995-8D9D-338F13ECF5F6}">
    <text>Formula has been adapted to match the formula in the verra spreadsheet. The conversion factor for kg to t is located in equation 29</text>
  </threadedComment>
  <threadedComment ref="E326" dT="2025-01-07T20:02:12.62" personId="{00000000-0000-0000-0000-000000000000}" id="{DD96768C-2300-476E-B819-8B28CA6520E6}">
    <text>Equation 30</text>
  </threadedComment>
  <threadedComment ref="E327" dT="2025-01-07T20:12:14.36" personId="{00000000-0000-0000-0000-000000000000}" id="{9D688DD3-56D5-4788-8E7A-2DE710E360A2}">
    <text>Equation 27</text>
  </threadedComment>
  <threadedComment ref="E335" dT="2025-01-07T17:41:02.28" personId="{00000000-0000-0000-0000-000000000000}" id="{B0F59A75-2319-43C5-B634-D429B2BFE9CD}">
    <text>Equation 26</text>
  </threadedComment>
  <threadedComment ref="E336" dT="2025-01-07T18:57:06.75" personId="{00000000-0000-0000-0000-000000000000}" id="{80C0D55C-5EDF-4A1E-8EF4-6F05FF21DC56}">
    <text>Equation 25</text>
  </threadedComment>
  <threadedComment ref="E346" dT="2025-01-06T21:11:11.03" personId="{00000000-0000-0000-0000-000000000000}" id="{3D4B963E-6BE2-40A3-A32E-ADD2119661D7}">
    <text>Equation 33</text>
  </threadedComment>
  <threadedComment ref="E350" dT="2025-01-10T17:42:42.17" personId="{00000000-0000-0000-0000-000000000000}" id="{5C2CC1E3-B3F5-494A-B14B-3B5B66A1B021}">
    <text>Equation 17</text>
  </threadedComment>
  <threadedComment ref="E351" dT="2025-01-09T19:48:54.67" personId="{00000000-0000-0000-0000-000000000000}" id="{63691219-D501-4385-8D18-7A6379921C89}">
    <text>Equation 52</text>
  </threadedComment>
  <threadedComment ref="E352" dT="2025-01-09T22:01:02.35" personId="{00000000-0000-0000-0000-000000000000}" id="{60015066-7D1A-4680-98DD-331FE29A2575}">
    <text>Equation 53</text>
  </threadedComment>
  <threadedComment ref="E353" dT="2025-01-09T22:01:28.04" personId="{00000000-0000-0000-0000-000000000000}" id="{0A1E9A30-1B5D-4698-94A7-AEE2D63AAB28}">
    <text>Equation 55</text>
  </threadedComment>
  <threadedComment ref="E354" dT="2025-01-09T22:03:43.22" personId="{00000000-0000-0000-0000-000000000000}" id="{6F373158-9214-4116-BB2A-B27148768C88}">
    <text>Equation 56</text>
  </threadedComment>
  <threadedComment ref="E355" dT="2025-01-09T22:05:08.75" personId="{00000000-0000-0000-0000-000000000000}" id="{B27AD610-7BE5-45DE-A1BE-6E8D1FA90B38}">
    <text>Equation 57</text>
  </threadedComment>
  <threadedComment ref="E356" dT="2025-01-09T22:15:08.99" personId="{00000000-0000-0000-0000-000000000000}" id="{A108541D-4883-42C2-8FF2-9CCCC881DC62}">
    <text>Equation 59</text>
  </threadedComment>
  <threadedComment ref="E370" dT="2025-01-24T21:11:36.74" personId="{00000000-0000-0000-0000-000000000000}" id="{32E66AAA-EF66-430D-8C8D-5252D014BF19}">
    <text>Equation 9</text>
  </threadedComment>
  <threadedComment ref="E372" dT="2025-01-24T21:11:58.89" personId="{00000000-0000-0000-0000-000000000000}" id="{DE6FA3ED-D575-4A09-B3FD-EA7DA3C3618D}">
    <text>Equation 10</text>
  </threadedComment>
  <threadedComment ref="E373" dT="2025-01-24T21:12:11.78" personId="{00000000-0000-0000-0000-000000000000}" id="{1C4278F9-6745-4B66-BBB1-F39B97C19ED2}">
    <text>CFTREE for equation 10</text>
  </threadedComment>
  <threadedComment ref="E374" dT="2025-01-24T21:12:25.46" personId="{00000000-0000-0000-0000-000000000000}" id="{B548D6DA-91D2-4F5A-9F73-CDC7771D4A3A}">
    <text>bForest for equation 10</text>
  </threadedComment>
  <threadedComment ref="E375" dT="2025-01-24T21:12:40.25" personId="{00000000-0000-0000-0000-000000000000}" id="{000F49F7-D9F9-41C4-A6C6-F630B6C1AC59}">
    <text>RTREE for equation 10</text>
  </threadedComment>
  <threadedComment ref="E376" dT="2025-01-24T21:12:53.39" personId="{00000000-0000-0000-0000-000000000000}" id="{7D193A45-F62B-4E99-9CFF-30A45239C61A}">
    <text>CCREE_BSL_i for equation 10</text>
  </threadedComment>
  <threadedComment ref="E377" dT="2025-01-24T21:13:03.79" personId="{00000000-0000-0000-0000-000000000000}" id="{3EFD0BF0-E362-494F-B896-AADF68594ED2}">
    <text>Ai for equation 10</text>
  </threadedComment>
  <threadedComment ref="E379" dT="2025-01-24T21:08:37.93" personId="{00000000-0000-0000-0000-000000000000}" id="{0D114BC6-3FCB-44AB-A477-2F2A31A3DF81}">
    <text>Equation 3</text>
  </threadedComment>
  <threadedComment ref="E380" dT="2025-01-24T21:07:54.22" personId="{00000000-0000-0000-0000-000000000000}" id="{88B74B51-9D83-44B5-B97B-DCCDB71FA4D2}">
    <text>CFTREE for equation 3</text>
  </threadedComment>
  <threadedComment ref="E381" dT="2025-01-24T21:05:19.59" personId="{00000000-0000-0000-0000-000000000000}" id="{540E69ED-4CEE-4BA1-9D54-F86EBC79CAD1}">
    <text>Equation 4</text>
  </threadedComment>
  <threadedComment ref="E382" dT="2025-01-24T21:07:32.01" personId="{00000000-0000-0000-0000-000000000000}" id="{9E0B44A6-68D7-4F80-8838-D4D4D369C069}">
    <text>Equation 5</text>
  </threadedComment>
  <threadedComment ref="E383" dT="2025-01-24T21:05:51.80" personId="{00000000-0000-0000-0000-000000000000}" id="{0EB1EFB0-99B0-463D-8142-44FD9BF41677}">
    <text>A for equation 4</text>
  </threadedComment>
  <threadedComment ref="E384" dT="2025-01-24T21:06:24.35" personId="{00000000-0000-0000-0000-000000000000}" id="{13989102-601E-4700-9CCD-CB9300F56B02}">
    <text>Equation 6</text>
  </threadedComment>
  <threadedComment ref="E385" dT="2025-01-24T21:06:48.46" personId="{00000000-0000-0000-0000-000000000000}" id="{5B240BBD-6A4B-4132-9ED6-5ECDAE4A0CB1}">
    <text>tVAL for equation 6</text>
  </threadedComment>
  <threadedComment ref="E387" dT="2025-01-24T21:56:24.85" personId="{00000000-0000-0000-0000-000000000000}" id="{D03ED5E1-E502-4D52-ABF7-FF6A54E17A20}">
    <text>Equation 7</text>
  </threadedComment>
  <threadedComment ref="E388" dT="2025-01-24T21:59:35.41" personId="{00000000-0000-0000-0000-000000000000}" id="{8A58D43C-58E5-4BE1-922A-C77ED63539CC}">
    <text>wi for equation 6</text>
  </threadedComment>
  <threadedComment ref="E389" dT="2025-01-24T21:58:30.81" personId="{00000000-0000-0000-0000-000000000000}" id="{70E5B424-F057-459A-AA95-1C6BAD23B900}">
    <text>Equation 8</text>
  </threadedComment>
  <threadedComment ref="E390" dT="2025-01-24T21:58:47.27" personId="{00000000-0000-0000-0000-000000000000}" id="{449133CF-864E-4F40-9FA7-B5ECE2792A0D}">
    <text>ni for equation 8</text>
  </threadedComment>
  <threadedComment ref="E392" dT="2025-01-24T21:57:53.17" personId="{00000000-0000-0000-0000-000000000000}" id="{4EA6888C-2700-4671-BDF7-C94DF310290C}">
    <text>Change in bTREE,p,i for equation 7</text>
  </threadedComment>
  <threadedComment ref="E392" dT="2025-01-29T17:16:59.31" personId="{00000000-0000-0000-0000-000000000000}" id="{1F100795-1A28-4FBE-8C3E-E3B55A241AA2}" parentId="{4EA6888C-2700-4671-BDF7-C94DF310290C}">
    <text>Needs to be a stand alone sub schema for p</text>
  </threadedComment>
  <threadedComment ref="E394" dT="2025-01-24T22:02:33.42" personId="{00000000-0000-0000-0000-000000000000}" id="{929FEB78-F50B-40B0-A38C-737F32C186C4}">
    <text>CTREE,t1 for equation 1</text>
  </threadedComment>
  <threadedComment ref="E395" dT="2025-01-24T22:02:16.16" personId="{00000000-0000-0000-0000-000000000000}" id="{6870FE3A-1EC9-4674-81C8-E023EF2BA3EA}">
    <text>CTREE,t2 for equation 1</text>
  </threadedComment>
  <threadedComment ref="E396" dT="2025-01-24T22:02:01.41" personId="{00000000-0000-0000-0000-000000000000}" id="{1EBC2C5B-805F-4092-8535-D255FFAE4E7D}">
    <text>u1 for equation 2</text>
  </threadedComment>
  <threadedComment ref="E397" dT="2025-01-24T22:01:50.45" personId="{00000000-0000-0000-0000-000000000000}" id="{300AE1D7-A11F-4DA0-ADA0-D423B7F291DC}">
    <text>u2 for equation 2</text>
  </threadedComment>
  <threadedComment ref="E398" dT="2025-01-24T22:01:36.31" personId="{00000000-0000-0000-0000-000000000000}" id="{DAB2FF48-A445-45E5-99CF-C9B2350085BA}">
    <text>Equation 2</text>
  </threadedComment>
  <threadedComment ref="E399" dT="2025-01-24T22:01:03.12" personId="{00000000-0000-0000-0000-000000000000}" id="{AFA33BFD-9F91-4B0C-AD88-4E9A8E44A13E}">
    <text>Equation 1</text>
  </threadedComment>
  <threadedComment ref="E400" dT="2025-01-24T22:01:11.44" personId="{00000000-0000-0000-0000-000000000000}" id="{CCF268C4-A215-4446-9286-555401FAE9F0}">
    <text>Equation 2</text>
  </threadedComment>
  <threadedComment ref="E402" dT="2025-01-24T21:14:26.89" personId="{00000000-0000-0000-0000-000000000000}" id="{C4EA18C0-F86C-4767-BD8A-102E421DFA66}">
    <text>Equation 11</text>
  </threadedComment>
  <threadedComment ref="E403" dT="2025-01-24T21:14:43.23" personId="{00000000-0000-0000-0000-000000000000}" id="{E50025A9-23D3-4064-B7C7-F9589F6E7352}">
    <text>CTREE,t2 for equation 11</text>
  </threadedComment>
  <threadedComment ref="E404" dT="2025-01-24T21:14:56.44" personId="{00000000-0000-0000-0000-000000000000}" id="{6989A38F-EC25-4960-9D3B-AD956B21945B}">
    <text>CTREE,t1 for equation 11</text>
  </threadedComment>
  <threadedComment ref="E405" dT="2025-01-24T21:15:24.60" personId="{00000000-0000-0000-0000-000000000000}" id="{1571CD50-22E1-4BD4-9EA3-D4EE7ADD7F28}">
    <text>T for equation 11</text>
  </threadedComment>
  <threadedComment ref="E409" dT="2025-01-24T21:23:49.18" personId="{00000000-0000-0000-0000-000000000000}" id="{D0F3C4B0-44C9-41C1-90EE-EF9BC48163F3}">
    <text>Equation 22</text>
  </threadedComment>
  <threadedComment ref="E410" dT="2025-01-24T21:24:05.82" personId="{00000000-0000-0000-0000-000000000000}" id="{69B17AAB-4610-45EB-A5BA-2CCB83530021}">
    <text>CTREE,t1 for equation 22</text>
  </threadedComment>
  <threadedComment ref="E411" dT="2025-01-24T21:24:35.78" personId="{00000000-0000-0000-0000-000000000000}" id="{F62ADC42-045D-482B-B8C1-B85D11C2D754}">
    <text>Change in CTREE for equation 22</text>
  </threadedComment>
  <threadedComment ref="E412" dT="2025-01-24T21:25:15.22" personId="{00000000-0000-0000-0000-000000000000}" id="{C067E52C-83E6-4864-A363-39D703A708FB}">
    <text>U_c for equation 23</text>
  </threadedComment>
  <threadedComment ref="E413" dT="2025-01-29T17:30:04.87" personId="{00000000-0000-0000-0000-000000000000}" id="{B8EFDEDA-D295-41C8-AF89-1A48DBD2D667}">
    <text>Equation 23</text>
  </threadedComment>
  <threadedComment ref="E414" dT="2025-01-24T21:25:56.99" personId="{00000000-0000-0000-0000-000000000000}" id="{3A4CB607-2A78-4246-A6CC-5216A9747911}">
    <text>Uncertainty for t1 also equation 23</text>
  </threadedComment>
  <threadedComment ref="E427" dT="2025-01-24T21:18:44.52" personId="{00000000-0000-0000-0000-000000000000}" id="{8E188146-489B-4F0B-B114-124F168F673B}">
    <text>Equation 20</text>
  </threadedComment>
  <threadedComment ref="E429" dT="2025-01-24T21:28:15.15" personId="{00000000-0000-0000-0000-000000000000}" id="{1457357B-631A-465D-B59B-D4E79BE9A57D}">
    <text>Equation 21</text>
  </threadedComment>
  <threadedComment ref="E430" dT="2025-01-24T21:28:26.27" personId="{00000000-0000-0000-0000-000000000000}" id="{8A5AB625-1CC1-4862-891C-ACE2A4F00D7E}">
    <text>CFTREE for equation 21</text>
  </threadedComment>
  <threadedComment ref="E431" dT="2025-01-24T21:29:02.29" personId="{00000000-0000-0000-0000-000000000000}" id="{DBAED23E-A282-43C2-B5EE-AFFD4FB0AB86}">
    <text>BfOREST for equation 21</text>
  </threadedComment>
  <threadedComment ref="E432" dT="2025-01-24T21:29:13.76" personId="{00000000-0000-0000-0000-000000000000}" id="{EDBFC20F-CBC7-4154-9827-ECCC6A24FB17}">
    <text>RTREE for equation 21</text>
  </threadedComment>
  <threadedComment ref="E433" dT="2025-01-24T21:29:35.41" personId="{00000000-0000-0000-0000-000000000000}" id="{9B265445-CD4C-4567-AF20-B73E23D29D48}">
    <text>CCTREE_BSL,i for equation 21</text>
  </threadedComment>
  <threadedComment ref="E434" dT="2025-01-24T21:29:49.14" personId="{00000000-0000-0000-0000-000000000000}" id="{C164E248-B767-4B99-BAC0-55B3EE219A81}">
    <text>Ai for equation 21</text>
  </threadedComment>
  <threadedComment ref="E438" dT="2025-01-24T21:32:22.56" personId="{00000000-0000-0000-0000-000000000000}" id="{C9E122F0-8977-41E0-A29C-F89673BAC56E}">
    <text>Equation 12</text>
  </threadedComment>
  <threadedComment ref="E439" dT="2025-01-24T21:32:39.66" personId="{00000000-0000-0000-0000-000000000000}" id="{BA7A5B0F-6309-49A6-B6FC-A1BEBE2D3198}">
    <text>CFTRRE for equation 12</text>
  </threadedComment>
  <threadedComment ref="E440" dT="2025-01-24T21:32:59.13" personId="{00000000-0000-0000-0000-000000000000}" id="{C282FDB9-7B88-4B38-A4DF-60683D0B8134}">
    <text>Equation 13</text>
  </threadedComment>
  <threadedComment ref="E441" dT="2025-01-24T21:33:11.67" personId="{00000000-0000-0000-0000-000000000000}" id="{BDC3B2E8-4C81-401C-90AA-A5486A758AD8}">
    <text>A for equation 13</text>
  </threadedComment>
  <threadedComment ref="E442" dT="2025-01-24T21:33:49.53" personId="{00000000-0000-0000-0000-000000000000}" id="{0C2B67D8-321B-4BF1-8B50-156AB2479E96}">
    <text>Equation 14</text>
  </threadedComment>
  <threadedComment ref="E443" dT="2025-01-24T21:34:10.73" personId="{00000000-0000-0000-0000-000000000000}" id="{63BFF46C-720B-4C0D-9123-B6D61DC5223E}">
    <text>Equation 15</text>
  </threadedComment>
  <threadedComment ref="E444" dT="2025-01-24T21:34:26.85" personId="{00000000-0000-0000-0000-000000000000}" id="{922E7393-9768-44AE-AB7D-16894A345E3A}">
    <text>tVAL for equation 15</text>
  </threadedComment>
  <threadedComment ref="E446" dT="2025-01-24T21:35:06.61" personId="{00000000-0000-0000-0000-000000000000}" id="{6A7E1440-3355-4711-93EE-5375FCF22C5A}">
    <text>Equation 16</text>
  </threadedComment>
  <threadedComment ref="E447" dT="2025-01-24T21:35:40.02" personId="{00000000-0000-0000-0000-000000000000}" id="{ADC68035-93D2-42BB-90A0-AED561950DCC}">
    <text>Wi for equation 15</text>
  </threadedComment>
  <threadedComment ref="E448" dT="2025-01-24T21:36:34.63" personId="{00000000-0000-0000-0000-000000000000}" id="{D9FF28AE-B8E9-4A06-A287-678A0B6D95E3}">
    <text>Equation 17</text>
  </threadedComment>
  <threadedComment ref="E449" dT="2025-01-24T21:36:51.04" personId="{00000000-0000-0000-0000-000000000000}" id="{ED7DB089-2E3D-474C-8563-B622FE828766}">
    <text>ni for equation 17</text>
  </threadedComment>
  <threadedComment ref="E451" dT="2025-01-24T21:36:16.10" personId="{00000000-0000-0000-0000-000000000000}" id="{3D42CCD1-F74F-4BEE-83ED-05A2AB030AA0}">
    <text>bTREE,p,i, for equation 17</text>
  </threadedComment>
  <threadedComment ref="E451" dT="2025-01-29T17:39:36.47" personId="{00000000-0000-0000-0000-000000000000}" id="{3C6FFF0B-D36F-4564-BD2E-CCCADBF311E8}" parentId="{3D42CCD1-F74F-4BEE-83ED-05A2AB030AA0}">
    <text>Needs a subschema for p</text>
  </threadedComment>
  <threadedComment ref="E453" dT="2025-01-24T21:38:04.67" personId="{00000000-0000-0000-0000-000000000000}" id="{FAE986D7-D6D1-4141-93E3-16D81116C4AE}">
    <text>Equation 12?</text>
  </threadedComment>
  <threadedComment ref="E454" dT="2025-01-24T21:38:15.63" personId="{00000000-0000-0000-0000-000000000000}" id="{9E6A2447-24F5-447D-B010-4275A8A91017}">
    <text>CFTREE for equation 12</text>
  </threadedComment>
  <threadedComment ref="E455" dT="2025-01-24T21:38:35.72" personId="{00000000-0000-0000-0000-000000000000}" id="{C2A57596-D25F-43CC-BAFF-4E6501136FD7}">
    <text>Equation 13</text>
  </threadedComment>
  <threadedComment ref="E456" dT="2025-01-24T21:38:48.89" personId="{00000000-0000-0000-0000-000000000000}" id="{94FABA3F-5B5C-4A5E-AFCC-F5D7DA04DCCC}">
    <text>A for equation 13</text>
  </threadedComment>
  <threadedComment ref="E457" dT="2025-01-24T21:39:01.30" personId="{00000000-0000-0000-0000-000000000000}" id="{AED0F28B-E20C-413B-B752-5B9DA65D554C}">
    <text>Equation 14</text>
  </threadedComment>
  <threadedComment ref="E458" dT="2025-01-24T21:40:03.74" personId="{00000000-0000-0000-0000-000000000000}" id="{68E1B1F3-A1DC-43AF-8B63-1AF7118D6F69}">
    <text>Equation 15</text>
  </threadedComment>
  <threadedComment ref="E459" dT="2025-01-24T21:39:23.91" personId="{00000000-0000-0000-0000-000000000000}" id="{F0E69C36-B6F6-4A3D-B988-73225CCC7899}">
    <text>TVAL for equation 15</text>
  </threadedComment>
  <threadedComment ref="E461" dT="2025-01-24T21:40:13.24" personId="{00000000-0000-0000-0000-000000000000}" id="{1DDE20C1-8EF6-4EB3-B412-69CB40197E7F}">
    <text>Equation 18</text>
  </threadedComment>
  <threadedComment ref="E462" dT="2025-01-24T21:41:35.54" personId="{00000000-0000-0000-0000-000000000000}" id="{4C03AEE5-AD21-4EDA-8500-DBD63EFA1BC7}">
    <text>ni for equation 19</text>
  </threadedComment>
  <threadedComment ref="E463" dT="2025-01-24T21:41:53.24" personId="{00000000-0000-0000-0000-000000000000}" id="{A2008247-D0B1-4A95-B1E1-E303A330196D}">
    <text>Slope for equation 18</text>
  </threadedComment>
  <threadedComment ref="E464" dT="2025-01-24T21:42:04.37" personId="{00000000-0000-0000-0000-000000000000}" id="{CE5669EB-1FB2-480B-AA76-F84C4493ABEB}">
    <text>For equation 18</text>
  </threadedComment>
  <threadedComment ref="E465" dT="2025-01-24T21:42:11.80" personId="{00000000-0000-0000-0000-000000000000}" id="{6F657241-FA25-4C03-A969-1D0E12D15DB9}">
    <text>For equation 18</text>
  </threadedComment>
  <threadedComment ref="E466" dT="2025-01-24T21:42:31.87" personId="{00000000-0000-0000-0000-000000000000}" id="{EC2D9971-2E3E-4BC9-A00C-553608D34E8D}">
    <text>Equation 19</text>
  </threadedComment>
  <threadedComment ref="E467" dT="2025-01-24T21:42:48.27" personId="{00000000-0000-0000-0000-000000000000}" id="{2125957E-AB44-4DE9-810F-1FD9CEF71F1A}">
    <text>a for equation 19</text>
  </threadedComment>
  <threadedComment ref="E468" dT="2025-01-24T21:43:00.46" personId="{00000000-0000-0000-0000-000000000000}" id="{1DC11A9C-3EAA-43A2-9C85-7AD447E1A62B}">
    <text>P for equation 19</text>
  </threadedComment>
  <threadedComment ref="E470" dT="2025-01-24T21:41:20.14" personId="{00000000-0000-0000-0000-000000000000}" id="{D4BF6115-97DA-42CE-B8FA-A3CB10D38294}">
    <text>bTREE,p,i for equation 18</text>
  </threadedComment>
  <threadedComment ref="E470" dT="2025-01-29T17:42:04.91" personId="{00000000-0000-0000-0000-000000000000}" id="{ED1AF84D-7F30-49B9-AB96-337699EDDFF4}" parentId="{D4BF6115-97DA-42CE-B8FA-A3CB10D38294}">
    <text>Needs subschema for p</text>
  </threadedComment>
  <threadedComment ref="E471" dT="2025-01-24T21:43:35.34" personId="{00000000-0000-0000-0000-000000000000}" id="{2E698175-3AC4-43B4-BAC9-C284D893EBCE}">
    <text>date</text>
  </threadedComment>
  <threadedComment ref="E480" dT="2025-01-24T21:44:01.28" personId="{00000000-0000-0000-0000-000000000000}" id="{868EB2E1-37C5-41F0-8721-602C75EDFAB0}">
    <text>Equation 24</text>
  </threadedComment>
  <threadedComment ref="E481" dT="2025-01-24T21:44:20.88" personId="{00000000-0000-0000-0000-000000000000}" id="{F6646146-3AF8-4F9C-BCA9-E7D921A52737}">
    <text>CSHRUB,t2 for equation 24</text>
  </threadedComment>
  <threadedComment ref="E482" dT="2025-01-24T21:44:33.20" personId="{00000000-0000-0000-0000-000000000000}" id="{700F0F91-C4A0-49B1-8989-925A3E32ED72}">
    <text>CSHRUB,t1 for equation 24</text>
  </threadedComment>
  <threadedComment ref="E484" dT="2025-01-24T21:44:43.38" personId="{00000000-0000-0000-0000-000000000000}" id="{49AAA3FC-E518-4A06-A8B4-378DC03C1044}">
    <text>Equation 25</text>
  </threadedComment>
  <threadedComment ref="E485" dT="2025-01-24T21:45:05.85" personId="{00000000-0000-0000-0000-000000000000}" id="{F21CD49F-2179-4342-8FB0-FD9DD8995972}">
    <text>Change in CSHRUB,t2 for equation 25</text>
  </threadedComment>
  <threadedComment ref="E486" dT="2025-01-24T21:45:24.22" personId="{00000000-0000-0000-0000-000000000000}" id="{0D779C52-236C-46B8-976B-BC5B0F91A4B2}">
    <text>Change in CSHRUB,t1 for equation 25</text>
  </threadedComment>
  <threadedComment ref="E487" dT="2025-01-24T21:45:34.17" personId="{00000000-0000-0000-0000-000000000000}" id="{F5A93C0F-6854-431B-8FD7-B7B6C0571D8C}">
    <text>T for equation 25</text>
  </threadedComment>
  <threadedComment ref="E489" dT="2025-01-24T21:45:46.77" personId="{00000000-0000-0000-0000-000000000000}" id="{00942917-6300-4077-8809-9AF5D00B9A07}">
    <text>Equation 26</text>
  </threadedComment>
  <threadedComment ref="E490" dT="2025-01-24T21:46:01.64" personId="{00000000-0000-0000-0000-000000000000}" id="{7937AF29-64A4-4A59-BE61-EC815B376630}">
    <text>CFs for equation 26</text>
  </threadedComment>
  <threadedComment ref="E491" dT="2025-01-24T21:46:11.67" personId="{00000000-0000-0000-0000-000000000000}" id="{D73A9EBF-34B7-40C7-837C-678B46232C97}">
    <text>Rs for equation 26</text>
  </threadedComment>
  <threadedComment ref="E493" dT="2025-01-24T21:46:51.75" personId="{00000000-0000-0000-0000-000000000000}" id="{35A82999-A9D7-4EC2-A938-9C4DF0FCE61E}">
    <text>BDRSF for equation 27</text>
  </threadedComment>
  <threadedComment ref="E494" dT="2025-01-24T21:47:05.79" personId="{00000000-0000-0000-0000-000000000000}" id="{848D22D0-79D1-466F-98DD-5E6EB3E11B4D}">
    <text>bFOREST for equation 27</text>
  </threadedComment>
  <threadedComment ref="E495" dT="2025-01-24T21:47:20.17" personId="{00000000-0000-0000-0000-000000000000}" id="{1FBBC175-D2D9-430B-84E8-84246141832D}">
    <text>CCSHRUB,i for equation 27</text>
  </threadedComment>
  <threadedComment ref="E496" dT="2025-01-24T21:47:37.60" personId="{00000000-0000-0000-0000-000000000000}" id="{F93E0787-EBCE-435D-97C6-7315BE9B1D32}">
    <text>ASHRUB,i for equation 26</text>
  </threadedComment>
  <threadedComment ref="E497" dT="2025-01-24T21:47:51.92" personId="{00000000-0000-0000-0000-000000000000}" id="{613946B2-A6E2-4C3A-BDE4-BB0E4D15A9CC}">
    <text>Equation 27</text>
  </threadedComment>
  <threadedComment ref="E508" dT="2025-01-24T21:08:37.93" personId="{00000000-0000-0000-0000-000000000000}" id="{A7F40749-A8B0-4272-96D0-1C9A50FC1A3C}">
    <text>Equation 3</text>
  </threadedComment>
  <threadedComment ref="E509" dT="2025-01-24T21:07:54.22" personId="{00000000-0000-0000-0000-000000000000}" id="{D7A0FF27-2936-43EA-978F-37E51F803125}">
    <text>CFTREE for equation 3</text>
  </threadedComment>
  <threadedComment ref="E510" dT="2025-01-24T21:05:19.59" personId="{00000000-0000-0000-0000-000000000000}" id="{9CF2DA4C-5F60-43E1-B01F-83FA4A93C3F1}">
    <text>Equation 4</text>
  </threadedComment>
  <threadedComment ref="E511" dT="2025-01-24T21:07:32.01" personId="{00000000-0000-0000-0000-000000000000}" id="{37A45BE9-E2C7-4FD3-8141-815D9EA95EEA}">
    <text>Equation 5</text>
  </threadedComment>
  <threadedComment ref="E512" dT="2025-01-24T21:05:51.80" personId="{00000000-0000-0000-0000-000000000000}" id="{D5DA31B6-0745-45C5-B46A-59454CD35B0B}">
    <text>A for equation 4</text>
  </threadedComment>
  <threadedComment ref="E513" dT="2025-01-24T21:06:24.35" personId="{00000000-0000-0000-0000-000000000000}" id="{A541C682-5086-4111-BD7D-CF6FEC835ABE}">
    <text>Equation 6</text>
  </threadedComment>
  <threadedComment ref="E514" dT="2025-01-24T21:06:48.46" personId="{00000000-0000-0000-0000-000000000000}" id="{68724151-C6AC-4AEB-950F-EAF166D3AF6A}">
    <text>tVAL for equation 6</text>
  </threadedComment>
  <threadedComment ref="E516" dT="2025-01-24T21:56:24.85" personId="{00000000-0000-0000-0000-000000000000}" id="{1A5A9331-3FCE-4E78-992E-7AA2B57924D8}">
    <text>Equation 7</text>
  </threadedComment>
  <threadedComment ref="E517" dT="2025-01-24T21:59:35.41" personId="{00000000-0000-0000-0000-000000000000}" id="{858A66C0-187B-451B-9FD2-C9C67DB2C479}">
    <text>wi for equation 6</text>
  </threadedComment>
  <threadedComment ref="E518" dT="2025-01-24T21:58:30.81" personId="{00000000-0000-0000-0000-000000000000}" id="{04D4E0FA-8A19-4D48-BBEE-2CE63D0A2C6F}">
    <text>Equation 8</text>
  </threadedComment>
  <threadedComment ref="E519" dT="2025-01-24T21:58:47.27" personId="{00000000-0000-0000-0000-000000000000}" id="{B8C9D83D-E5BE-4CB6-85D8-E506AEB192F2}">
    <text>ni for equation 8</text>
  </threadedComment>
  <threadedComment ref="E521" dT="2025-01-24T21:57:53.17" personId="{00000000-0000-0000-0000-000000000000}" id="{064819FC-4834-491C-A22A-0340A49AEC59}">
    <text>Change in bTREE,p,i for equation 7</text>
  </threadedComment>
  <threadedComment ref="E521" dT="2025-01-29T17:16:59.31" personId="{00000000-0000-0000-0000-000000000000}" id="{E291E8C3-36D1-4BEA-9A7F-3C56931255CE}" parentId="{064819FC-4834-491C-A22A-0340A49AEC59}">
    <text>Needs to be a stand alone sub schema for p</text>
  </threadedComment>
  <threadedComment ref="E523" dT="2025-01-24T22:02:33.42" personId="{00000000-0000-0000-0000-000000000000}" id="{F7C890E7-402A-4292-8AEE-415FAFB75458}">
    <text>CTREE,t1 for equation 1</text>
  </threadedComment>
  <threadedComment ref="E524" dT="2025-01-24T22:02:16.16" personId="{00000000-0000-0000-0000-000000000000}" id="{9E51ED31-FE89-4394-9536-E74B2940B2C7}">
    <text>CTREE,t2 for equation 1</text>
  </threadedComment>
  <threadedComment ref="E525" dT="2025-01-24T22:02:01.41" personId="{00000000-0000-0000-0000-000000000000}" id="{75857F10-AE73-4996-9692-0E3C3759921C}">
    <text>u1 for equation 2</text>
  </threadedComment>
  <threadedComment ref="E526" dT="2025-01-24T22:01:50.45" personId="{00000000-0000-0000-0000-000000000000}" id="{940581A9-447B-4E84-AC12-0DF97A10AD94}">
    <text>u2 for equation 2</text>
  </threadedComment>
  <threadedComment ref="E527" dT="2025-01-24T22:01:36.31" personId="{00000000-0000-0000-0000-000000000000}" id="{D5F44429-BF6A-4E25-8D66-5CEE9D0AAA3F}">
    <text>Equation 2</text>
  </threadedComment>
  <threadedComment ref="E528" dT="2025-01-24T22:01:03.12" personId="{00000000-0000-0000-0000-000000000000}" id="{8BE44F80-06B0-4BDF-89F1-CBBE84097959}">
    <text>Equation 1</text>
  </threadedComment>
  <threadedComment ref="E529" dT="2025-01-24T22:01:11.44" personId="{00000000-0000-0000-0000-000000000000}" id="{4B8FA422-DBFD-41FC-A92C-A838DF792F13}">
    <text>Equation 2</text>
  </threadedComment>
  <threadedComment ref="E531" dT="2025-01-24T21:14:26.89" personId="{00000000-0000-0000-0000-000000000000}" id="{041B2FE6-83C0-4997-AFC1-3836B6D53C73}">
    <text>Equation 11</text>
  </threadedComment>
  <threadedComment ref="E532" dT="2025-01-24T21:14:43.23" personId="{00000000-0000-0000-0000-000000000000}" id="{7A96BC3D-201A-44B7-A72F-74ED3A7E0346}">
    <text>CTREE,t2 for equation 11</text>
  </threadedComment>
  <threadedComment ref="E533" dT="2025-01-24T21:14:56.44" personId="{00000000-0000-0000-0000-000000000000}" id="{F2EAABB1-8BC1-44D4-BBA9-5974265828CA}">
    <text>CTREE,t1 for equation 11</text>
  </threadedComment>
  <threadedComment ref="E534" dT="2025-01-24T21:15:24.60" personId="{00000000-0000-0000-0000-000000000000}" id="{54BF3565-027D-4339-BC9A-1EB87A556E30}">
    <text>T for equation 11</text>
  </threadedComment>
  <threadedComment ref="E538" dT="2025-01-24T21:23:49.18" personId="{00000000-0000-0000-0000-000000000000}" id="{AABC5EEF-9407-4EE0-B06F-977A08EDACE5}">
    <text>Equation 22</text>
  </threadedComment>
  <threadedComment ref="E539" dT="2025-01-24T21:24:05.82" personId="{00000000-0000-0000-0000-000000000000}" id="{21D8705F-A8A9-4814-9CE7-2865D2395F23}">
    <text>CTREE,t1 for equation 22</text>
  </threadedComment>
  <threadedComment ref="E540" dT="2025-01-24T21:24:35.78" personId="{00000000-0000-0000-0000-000000000000}" id="{30835AEA-B53C-4B89-AB20-7FA612751E48}">
    <text>Change in CTREE for equation 22</text>
  </threadedComment>
  <threadedComment ref="E541" dT="2025-01-24T21:25:15.22" personId="{00000000-0000-0000-0000-000000000000}" id="{84A6CD8B-0E72-46E3-BCAE-F7FECC268C92}">
    <text>U_c for equation 23</text>
  </threadedComment>
  <threadedComment ref="E542" dT="2025-01-29T17:30:04.87" personId="{00000000-0000-0000-0000-000000000000}" id="{80994101-8E60-43BD-9311-0105525CC255}">
    <text>Equation 23</text>
  </threadedComment>
  <threadedComment ref="E543" dT="2025-01-24T21:25:56.99" personId="{00000000-0000-0000-0000-000000000000}" id="{28701881-F74F-44CD-9CD0-FA9D7A66667A}">
    <text>Uncertainty for t1 also equation 23</text>
  </threadedComment>
  <threadedComment ref="E558" dT="2025-01-24T21:32:22.56" personId="{00000000-0000-0000-0000-000000000000}" id="{2C85A21A-4F92-4C3B-AD2B-81C8533BA83C}">
    <text>Equation 12</text>
  </threadedComment>
  <threadedComment ref="E559" dT="2025-01-24T21:32:39.66" personId="{00000000-0000-0000-0000-000000000000}" id="{3AB3A3AC-DAA7-41D8-ABA9-90D5B8A2CC0A}">
    <text>CFTRRE for equation 12</text>
  </threadedComment>
  <threadedComment ref="E560" dT="2025-01-24T21:32:59.13" personId="{00000000-0000-0000-0000-000000000000}" id="{786A3CA4-4354-486B-AE27-A7E807E369F3}">
    <text>Equation 13</text>
  </threadedComment>
  <threadedComment ref="E561" dT="2025-01-24T21:33:11.67" personId="{00000000-0000-0000-0000-000000000000}" id="{0DEBB1FA-8246-4570-AF40-9DB3D197E7A7}">
    <text>A for equation 13</text>
  </threadedComment>
  <threadedComment ref="E562" dT="2025-01-24T21:33:49.53" personId="{00000000-0000-0000-0000-000000000000}" id="{6824B3B9-B7F4-40D0-B263-C819B3F91902}">
    <text>Equation 14</text>
  </threadedComment>
  <threadedComment ref="E563" dT="2025-01-24T21:34:10.73" personId="{00000000-0000-0000-0000-000000000000}" id="{9C9A0A36-712A-479A-BE03-0C922D04576C}">
    <text>Equation 15</text>
  </threadedComment>
  <threadedComment ref="E564" dT="2025-01-24T21:34:26.85" personId="{00000000-0000-0000-0000-000000000000}" id="{283C7728-7453-4D15-ABD3-E65782C74028}">
    <text>tVAL for equation 15</text>
  </threadedComment>
  <threadedComment ref="E566" dT="2025-01-24T21:35:06.61" personId="{00000000-0000-0000-0000-000000000000}" id="{B0AB924C-B237-4FCB-941B-8F9680547E28}">
    <text>Equation 16</text>
  </threadedComment>
  <threadedComment ref="E567" dT="2025-01-24T21:35:40.02" personId="{00000000-0000-0000-0000-000000000000}" id="{FCB1448B-56BF-45E9-8F29-CA472965F205}">
    <text>Wi for equation 15</text>
  </threadedComment>
  <threadedComment ref="E568" dT="2025-01-24T21:36:34.63" personId="{00000000-0000-0000-0000-000000000000}" id="{03B52DA6-247E-4C0D-91B7-69CA7347A611}">
    <text>Equation 17</text>
  </threadedComment>
  <threadedComment ref="E569" dT="2025-01-24T21:36:51.04" personId="{00000000-0000-0000-0000-000000000000}" id="{57A2DB76-5A6B-4634-9E11-5C3C41BAFCF4}">
    <text>ni for equation 17</text>
  </threadedComment>
  <threadedComment ref="E571" dT="2025-01-24T21:36:16.10" personId="{00000000-0000-0000-0000-000000000000}" id="{E7743E58-0D87-4236-8251-A1933C330C6C}">
    <text>bTREE,p,i, for equation 17</text>
  </threadedComment>
  <threadedComment ref="E571" dT="2025-01-29T17:39:36.47" personId="{00000000-0000-0000-0000-000000000000}" id="{D4E34143-74A2-4903-99E0-312BBB2D62C8}" parentId="{E7743E58-0D87-4236-8251-A1933C330C6C}">
    <text>Needs a subschema for p</text>
  </threadedComment>
  <threadedComment ref="E573" dT="2025-01-24T21:38:04.67" personId="{00000000-0000-0000-0000-000000000000}" id="{17B88104-3069-497E-A14E-DB374540D352}">
    <text>Equation 12?</text>
  </threadedComment>
  <threadedComment ref="E574" dT="2025-01-24T21:38:15.63" personId="{00000000-0000-0000-0000-000000000000}" id="{B7EAB1E3-D64D-43B7-8978-AD7DD1F6A4F5}">
    <text>CFTREE for equation 12</text>
  </threadedComment>
  <threadedComment ref="E575" dT="2025-01-24T21:38:35.72" personId="{00000000-0000-0000-0000-000000000000}" id="{FE1BAACB-6E42-4D07-9457-968B50EB2E5A}">
    <text>Equation 13</text>
  </threadedComment>
  <threadedComment ref="E576" dT="2025-01-24T21:38:48.89" personId="{00000000-0000-0000-0000-000000000000}" id="{E98AF942-3289-4E66-BC63-DA4E6870ADDE}">
    <text>A for equation 13</text>
  </threadedComment>
  <threadedComment ref="E577" dT="2025-01-24T21:39:01.30" personId="{00000000-0000-0000-0000-000000000000}" id="{F16C6534-8320-47EF-A5CA-B30F09A928E7}">
    <text>Equation 14</text>
  </threadedComment>
  <threadedComment ref="E578" dT="2025-01-24T21:40:03.74" personId="{00000000-0000-0000-0000-000000000000}" id="{52C0F335-3E2B-4FAB-B804-1336234D7A29}">
    <text>Equation 15</text>
  </threadedComment>
  <threadedComment ref="E579" dT="2025-01-24T21:39:23.91" personId="{00000000-0000-0000-0000-000000000000}" id="{4216DB61-B6F0-4A63-A48A-9168235F2198}">
    <text>TVAL for equation 15</text>
  </threadedComment>
  <threadedComment ref="E581" dT="2025-01-24T21:40:13.24" personId="{00000000-0000-0000-0000-000000000000}" id="{354EEB4D-E872-436C-8A5D-6915CD08547C}">
    <text>Equation 18</text>
  </threadedComment>
  <threadedComment ref="E582" dT="2025-01-24T21:41:35.54" personId="{00000000-0000-0000-0000-000000000000}" id="{38A0822C-60CE-4154-8A52-A167BF9FC37F}">
    <text>ni for equation 19</text>
  </threadedComment>
  <threadedComment ref="E583" dT="2025-01-24T21:41:53.24" personId="{00000000-0000-0000-0000-000000000000}" id="{AA457539-5C5E-4212-8542-4B58BA43E152}">
    <text>Slope for equation 18</text>
  </threadedComment>
  <threadedComment ref="E584" dT="2025-01-24T21:42:04.37" personId="{00000000-0000-0000-0000-000000000000}" id="{997ADB2D-391C-4983-991F-872746623EC6}">
    <text>For equation 18</text>
  </threadedComment>
  <threadedComment ref="E585" dT="2025-01-24T21:42:11.80" personId="{00000000-0000-0000-0000-000000000000}" id="{BC32440E-C5CD-477F-BE1E-0ADD4CB11C7F}">
    <text>For equation 18</text>
  </threadedComment>
  <threadedComment ref="E586" dT="2025-01-24T21:42:31.87" personId="{00000000-0000-0000-0000-000000000000}" id="{3B57A70B-78CB-4DC7-A6C4-8DDA629F2C0A}">
    <text>Equation 19</text>
  </threadedComment>
  <threadedComment ref="E587" dT="2025-01-24T21:42:48.27" personId="{00000000-0000-0000-0000-000000000000}" id="{F60D6E56-5C9E-4EB3-9DD7-4A946BE61EDD}">
    <text>a for equation 19</text>
  </threadedComment>
  <threadedComment ref="E588" dT="2025-01-24T21:43:00.46" personId="{00000000-0000-0000-0000-000000000000}" id="{23297296-F55E-4B0D-82C3-40F4326A5221}">
    <text>P for equation 19</text>
  </threadedComment>
  <threadedComment ref="E590" dT="2025-01-24T21:41:20.14" personId="{00000000-0000-0000-0000-000000000000}" id="{FD31A5D0-AC59-440F-9B25-87BD9C6B2358}">
    <text>bTREE,p,i for equation 18</text>
  </threadedComment>
  <threadedComment ref="E590" dT="2025-01-29T17:42:04.91" personId="{00000000-0000-0000-0000-000000000000}" id="{CABECA25-EBC1-47AA-9DEE-CC02D5D24216}" parentId="{FD31A5D0-AC59-440F-9B25-87BD9C6B2358}">
    <text>Needs subschema for p</text>
  </threadedComment>
  <threadedComment ref="E591" dT="2025-01-24T21:43:35.34" personId="{00000000-0000-0000-0000-000000000000}" id="{5F6D1C06-7FFD-46A0-98B6-D3E8F28F82A7}">
    <text>date</text>
  </threadedComment>
  <threadedComment ref="E600" dT="2025-01-24T21:44:01.28" personId="{00000000-0000-0000-0000-000000000000}" id="{B3A3777D-97CC-49A9-8549-2A0668A541F3}">
    <text>Equation 24</text>
  </threadedComment>
  <threadedComment ref="E601" dT="2025-01-24T21:44:20.88" personId="{00000000-0000-0000-0000-000000000000}" id="{7E774C41-04BF-438A-A7FE-77457D709A3D}">
    <text>CSHRUB,t2 for equation 24</text>
  </threadedComment>
  <threadedComment ref="E602" dT="2025-01-24T21:44:33.20" personId="{00000000-0000-0000-0000-000000000000}" id="{D11BDBB3-8CF1-4F94-BFCE-C31627E7654C}">
    <text>CSHRUB,t1 for equation 24</text>
  </threadedComment>
  <threadedComment ref="E604" dT="2025-01-24T21:44:43.38" personId="{00000000-0000-0000-0000-000000000000}" id="{B9718463-0A5D-421A-8C18-DC510815F018}">
    <text>Equation 25</text>
  </threadedComment>
  <threadedComment ref="E605" dT="2025-01-24T21:45:05.85" personId="{00000000-0000-0000-0000-000000000000}" id="{06D082B7-F01D-453E-A725-7C644AFDC2B5}">
    <text>Change in CSHRUB,t2 for equation 25</text>
  </threadedComment>
  <threadedComment ref="E606" dT="2025-01-24T21:45:24.22" personId="{00000000-0000-0000-0000-000000000000}" id="{15085C75-7DC0-47A8-ADBB-94C9B7185A98}">
    <text>Change in CSHRUB,t1 for equation 25</text>
  </threadedComment>
  <threadedComment ref="E607" dT="2025-01-24T21:45:34.17" personId="{00000000-0000-0000-0000-000000000000}" id="{BDB26218-C021-4781-8198-4AAE3007FA87}">
    <text>T for equation 25</text>
  </threadedComment>
  <threadedComment ref="E609" dT="2025-01-24T21:45:46.77" personId="{00000000-0000-0000-0000-000000000000}" id="{24F2616A-0B2B-4A55-9B4D-CD41A754B0FA}">
    <text>Equation 26</text>
  </threadedComment>
  <threadedComment ref="E610" dT="2025-01-24T21:46:01.64" personId="{00000000-0000-0000-0000-000000000000}" id="{0920D528-28BF-41E0-8ED9-2FF7E6749BF8}">
    <text>CFs for equation 26</text>
  </threadedComment>
  <threadedComment ref="E611" dT="2025-01-24T21:46:11.67" personId="{00000000-0000-0000-0000-000000000000}" id="{74B11DFA-524B-421F-8D8A-56927C231B4B}">
    <text>Rs for equation 26</text>
  </threadedComment>
  <threadedComment ref="E613" dT="2025-01-24T21:46:51.75" personId="{00000000-0000-0000-0000-000000000000}" id="{3C9EBF2D-772F-4C2C-AE7E-56739D78FD1B}">
    <text>BDRSF for equation 27</text>
  </threadedComment>
  <threadedComment ref="E614" dT="2025-01-24T21:47:05.79" personId="{00000000-0000-0000-0000-000000000000}" id="{F56D1DC5-06A9-49DD-919C-A987BB9F5C4F}">
    <text>bFOREST for equation 27</text>
  </threadedComment>
  <threadedComment ref="E615" dT="2025-01-24T21:47:20.17" personId="{00000000-0000-0000-0000-000000000000}" id="{44F8B28D-6E88-4D87-8757-0B2F9C29CF17}">
    <text>CCSHRUB,i for equation 27</text>
  </threadedComment>
  <threadedComment ref="E616" dT="2025-01-24T21:47:37.60" personId="{00000000-0000-0000-0000-000000000000}" id="{71B37394-0100-40A4-8DD9-95BC7B6B3B80}">
    <text>ASHRUB,i for equation 26</text>
  </threadedComment>
  <threadedComment ref="E617" dT="2025-01-24T21:47:51.92" personId="{00000000-0000-0000-0000-000000000000}" id="{F475A974-4E21-4815-9CA5-4F707931920C}">
    <text>Equation 27</text>
  </threadedComment>
  <threadedComment ref="G630" dT="2025-01-23T18:15:37.37" personId="{00000000-0000-0000-0000-000000000000}" id="{C3A3FB3B-34F0-4FF1-A2EC-558DD3D2E307}">
    <text>Can this value be set to 0 if the schema is hidden/ not required from the user?</text>
  </threadedComment>
  <threadedComment ref="E635" dT="2025-01-20T22:53:15.24" personId="{00000000-0000-0000-0000-000000000000}" id="{DA30EB34-6BF3-4021-84AE-977038A54E10}">
    <text>Equation 44</text>
  </threadedComment>
  <threadedComment ref="E636" dT="2025-01-20T22:53:15.24" personId="{00000000-0000-0000-0000-000000000000}" id="{28CBB547-776C-40F2-8059-71AC2BC4F5FE}">
    <text>Equation 45</text>
  </threadedComment>
</ThreadedComments>
</file>

<file path=xl/threadedComments/threadedComment20.xml><?xml version="1.0" encoding="utf-8"?>
<ThreadedComments xmlns="http://schemas.microsoft.com/office/spreadsheetml/2018/threadedcomments" xmlns:x="http://schemas.openxmlformats.org/spreadsheetml/2006/main">
  <threadedComment ref="E14" dT="2025-01-17T18:04:16.49" personId="{00000000-0000-0000-0000-000000000000}" id="{61668A57-401F-49F0-9EBD-E80C6168F8B0}">
    <text>This formula was located in the spreadsheet verra created but it can’t be found in the PDF</text>
  </threadedComment>
</ThreadedComments>
</file>

<file path=xl/threadedComments/threadedComment21.xml><?xml version="1.0" encoding="utf-8"?>
<ThreadedComments xmlns="http://schemas.microsoft.com/office/spreadsheetml/2018/threadedcomments" xmlns:x="http://schemas.openxmlformats.org/spreadsheetml/2006/main">
  <threadedComment ref="E12" dT="2025-01-17T18:04:16.49" personId="{00000000-0000-0000-0000-000000000000}" id="{76F79C98-FA64-4C7F-B00B-B8528325ADD6}">
    <text>This formula was located in the spreadsheet verra created but it can’t be found in the PDF</text>
  </threadedComment>
</ThreadedComments>
</file>

<file path=xl/threadedComments/threadedComment22.xml><?xml version="1.0" encoding="utf-8"?>
<ThreadedComments xmlns="http://schemas.microsoft.com/office/spreadsheetml/2018/threadedcomments" xmlns:x="http://schemas.openxmlformats.org/spreadsheetml/2006/main">
  <threadedComment ref="E18" dT="2025-01-17T18:04:16.49" personId="{00000000-0000-0000-0000-000000000000}" id="{917A845F-2025-47EB-997D-7D55527A3698}">
    <text>This formula was located in the spreadsheet verra created but it can’t be found in the PDF</text>
  </threadedComment>
  <threadedComment ref="E19" dT="2025-01-20T17:08:20.04" personId="{00000000-0000-0000-0000-000000000000}" id="{52F48FA8-A0A7-42FA-AEE3-DDEB72A3C402}">
    <text>Equation 46 part 1</text>
  </threadedComment>
  <threadedComment ref="E30" dT="2025-01-17T18:04:16.49" personId="{00000000-0000-0000-0000-000000000000}" id="{D8549555-F64E-4011-8A44-809FE921645C}">
    <text>This formula was located in the spreadsheet verra created but it can’t be found in the PDF</text>
  </threadedComment>
  <threadedComment ref="E32" dT="2025-01-20T17:22:43.77" personId="{00000000-0000-0000-0000-000000000000}" id="{23A9C9C3-70F2-48C1-8E51-C2FCE027C0D5}">
    <text>Equation 46 part 2</text>
  </threadedComment>
  <threadedComment ref="E32" dT="2025-01-20T17:23:09.26" personId="{00000000-0000-0000-0000-000000000000}" id="{36AC4D0B-E2EB-43D8-BAC4-1DFFC3CC8470}" parentId="{23A9C9C3-70F2-48C1-8E51-C2FCE027C0D5}">
    <text>This field sums all the changes in SOC  stocks from all Unit i’s</text>
  </threadedComment>
  <threadedComment ref="E33" dT="2025-01-20T17:22:43.77" personId="{00000000-0000-0000-0000-000000000000}" id="{7655A641-1DB4-4BBC-B9CA-F36BBF805DCF}">
    <text>Equation 47 part 2</text>
  </threadedComment>
  <threadedComment ref="E33" dT="2025-01-20T17:23:09.26" personId="{00000000-0000-0000-0000-000000000000}" id="{BEEA7212-170A-4C4F-9DB5-E2AE30C018D1}" parentId="{7655A641-1DB4-4BBC-B9CA-F36BBF805DCF}">
    <text>This field sums all the changes in SOC stocks from all Unit i’s</text>
  </threadedComment>
  <threadedComment ref="E34" dT="2025-01-20T22:50:26.74" personId="{00000000-0000-0000-0000-000000000000}" id="{9156A995-DCD5-412C-9EE3-0775352F60F3}">
    <text>Part of equation 45</text>
  </threadedComment>
</ThreadedComments>
</file>

<file path=xl/threadedComments/threadedComment23.xml><?xml version="1.0" encoding="utf-8"?>
<ThreadedComments xmlns="http://schemas.microsoft.com/office/spreadsheetml/2018/threadedcomments" xmlns:x="http://schemas.openxmlformats.org/spreadsheetml/2006/main">
  <threadedComment ref="E17" dT="2025-01-17T18:04:16.49" personId="{00000000-0000-0000-0000-000000000000}" id="{7104E8C6-47C4-429E-978B-DCDC81C9459A}">
    <text>This formula was located in the spreadsheet verra created but it can’t be found in the PDF</text>
  </threadedComment>
  <threadedComment ref="E18" dT="2025-01-20T17:08:20.04" personId="{00000000-0000-0000-0000-000000000000}" id="{8AA46329-91E9-4A2F-9ABC-D85D16A553D0}">
    <text>Equation 46 part 1</text>
  </threadedComment>
  <threadedComment ref="E29" dT="2025-01-17T18:04:16.49" personId="{00000000-0000-0000-0000-000000000000}" id="{65B4D13D-D8BC-4573-A77C-F064917E2DB1}">
    <text>This formula was located in the spreadsheet verra created but it can’t be found in the PDF</text>
  </threadedComment>
</ThreadedComments>
</file>

<file path=xl/threadedComments/threadedComment24.xml><?xml version="1.0" encoding="utf-8"?>
<ThreadedComments xmlns="http://schemas.microsoft.com/office/spreadsheetml/2018/threadedcomments" xmlns:x="http://schemas.openxmlformats.org/spreadsheetml/2006/main">
  <threadedComment ref="E14" dT="2025-01-17T18:04:16.49" personId="{00000000-0000-0000-0000-000000000000}" id="{745E5FAE-64F8-41F0-AFB5-F9E43BCF6802}">
    <text>This formula was located in the spreadsheet verra created but it can’t be found in the PDF</text>
  </threadedComment>
  <threadedComment ref="E15" dT="2025-01-20T17:08:20.04" personId="{00000000-0000-0000-0000-000000000000}" id="{28DA86D0-A982-445E-B439-63D678E82644}">
    <text>Equation 46 part 1</text>
  </threadedComment>
</ThreadedComments>
</file>

<file path=xl/threadedComments/threadedComment25.xml><?xml version="1.0" encoding="utf-8"?>
<ThreadedComments xmlns="http://schemas.microsoft.com/office/spreadsheetml/2018/threadedcomments" xmlns:x="http://schemas.openxmlformats.org/spreadsheetml/2006/main">
  <threadedComment ref="E14" dT="2025-01-17T18:04:16.49" personId="{00000000-0000-0000-0000-000000000000}" id="{F5B5C988-2217-46D9-97EA-EC5DFB1BA010}">
    <text>This formula was located in the spreadsheet verra created but it can’t be found in the PDF</text>
  </threadedComment>
</ThreadedComments>
</file>

<file path=xl/threadedComments/threadedComment26.xml><?xml version="1.0" encoding="utf-8"?>
<ThreadedComments xmlns="http://schemas.microsoft.com/office/spreadsheetml/2018/threadedcomments" xmlns:x="http://schemas.openxmlformats.org/spreadsheetml/2006/main">
  <threadedComment ref="E12" dT="2025-01-15T22:38:18.28" personId="{00000000-0000-0000-0000-000000000000}" id="{7279F1BB-D461-4AF4-95EE-278B69AE48E7}">
    <text>Equation 4</text>
  </threadedComment>
  <threadedComment ref="E12" dT="2025-01-15T22:44:45.55" personId="{00000000-0000-0000-0000-000000000000}" id="{8D2765A9-FFAF-449E-A8BE-9567A3BA668B}" parentId="{7279F1BB-D461-4AF4-95EE-278B69AE48E7}">
    <text>See formula in the SAMPLE sheet</text>
  </threadedComment>
</ThreadedComments>
</file>

<file path=xl/threadedComments/threadedComment27.xml><?xml version="1.0" encoding="utf-8"?>
<ThreadedComments xmlns="http://schemas.microsoft.com/office/spreadsheetml/2018/threadedcomments" xmlns:x="http://schemas.openxmlformats.org/spreadsheetml/2006/main">
  <threadedComment ref="E12" dT="2025-01-06T16:57:51.88" personId="{00000000-0000-0000-0000-000000000000}" id="{A8284074-9D8E-40CF-A046-1AF5DF56FD49}">
    <text>Equation 8</text>
  </threadedComment>
  <threadedComment ref="E15" dT="2025-01-06T17:03:59.51" personId="{00000000-0000-0000-0000-000000000000}" id="{7CE4226A-3855-4F07-867C-D5CCA7948C4B}">
    <text>Equation 7</text>
  </threadedComment>
  <threadedComment ref="E18" dT="2025-01-06T17:03:59.51" personId="{00000000-0000-0000-0000-000000000000}" id="{C33C2E72-0567-47C2-8582-38B904F01D07}">
    <text>Equation 7</text>
  </threadedComment>
  <threadedComment ref="E22" dT="2025-01-06T18:49:07.05" personId="{00000000-0000-0000-0000-000000000000}" id="{5C5BEC53-168D-4DBA-B6E3-C73112681717}">
    <text>Equation 10</text>
  </threadedComment>
  <threadedComment ref="E23" dT="2025-01-06T18:49:18.79" personId="{00000000-0000-0000-0000-000000000000}" id="{97172A3E-498F-4654-8731-F2DB9D2A940B}">
    <text>Equation 9</text>
  </threadedComment>
  <threadedComment ref="E33" dT="2025-01-06T19:19:45.61" personId="{00000000-0000-0000-0000-000000000000}" id="{340949F4-F32E-4D91-B74C-2AC0D56F934D}">
    <text>Equation 12</text>
  </threadedComment>
  <threadedComment ref="E46" dT="2025-01-06T21:06:09.46" personId="{00000000-0000-0000-0000-000000000000}" id="{818E4A0E-C4C6-49D3-BD78-DF050DD89DC8}">
    <text>Equation 14</text>
  </threadedComment>
  <threadedComment ref="E50" dT="2025-01-06T21:11:11.03" personId="{00000000-0000-0000-0000-000000000000}" id="{F04F55C9-AF22-41B7-8A65-328DDCD649A6}">
    <text>Equation 13</text>
  </threadedComment>
  <threadedComment ref="E61" dT="2025-01-06T21:11:11.03" personId="{00000000-0000-0000-0000-000000000000}" id="{FD332337-A071-42ED-8063-FB74FBC0680C}">
    <text>Equation 15</text>
  </threadedComment>
  <threadedComment ref="E69" dT="2025-01-07T17:41:02.28" personId="{00000000-0000-0000-0000-000000000000}" id="{FDE68537-36E2-4489-821B-728203DA911F}">
    <text>Equation 20</text>
  </threadedComment>
  <threadedComment ref="E74" dT="2025-01-06T21:11:11.03" personId="{00000000-0000-0000-0000-000000000000}" id="{7531722C-4CF6-42A5-97E5-96FDE1482A15}">
    <text>Equation 21</text>
  </threadedComment>
  <threadedComment ref="E76" dT="2025-01-07T17:45:55.38" personId="{00000000-0000-0000-0000-000000000000}" id="{70C7D9F3-9F87-461B-8509-D4FE4A696410}">
    <text>Equation 19</text>
  </threadedComment>
  <threadedComment ref="E80" dT="2025-01-07T17:48:38.15" personId="{00000000-0000-0000-0000-000000000000}" id="{CC7FE14F-8AD1-4A63-A96C-C5B2B94CC56E}">
    <text>Equation 23</text>
  </threadedComment>
  <threadedComment ref="E83" dT="2025-01-07T17:48:58.20" personId="{00000000-0000-0000-0000-000000000000}" id="{B2A3F04B-AEF5-4AEB-B39A-E7FCCBDDDE1E}">
    <text>Equation 24</text>
  </threadedComment>
  <threadedComment ref="E84" dT="2025-01-07T17:49:51.64" personId="{00000000-0000-0000-0000-000000000000}" id="{EE8162E4-7F8C-4AC5-9ACD-CEEF8F16E8A3}">
    <text>Equation 22</text>
  </threadedComment>
  <threadedComment ref="E85" dT="2025-01-07T17:50:00.00" personId="{00000000-0000-0000-0000-000000000000}" id="{23F2EFB9-ADB8-4582-8FB7-96EFCC9A5D96}">
    <text>Equation 18</text>
  </threadedComment>
  <threadedComment ref="E97" dT="2025-01-07T19:29:42.63" personId="{00000000-0000-0000-0000-000000000000}" id="{AC9EC484-6C9B-442E-8D0B-1D6E871BEFB3}">
    <text>Equation 29</text>
  </threadedComment>
  <threadedComment ref="E97" dT="2025-01-07T19:32:54.21" personId="{00000000-0000-0000-0000-000000000000}" id="{22A8539A-F2A6-45FE-B8D3-260FA783D24E}" parentId="{AC9EC484-6C9B-442E-8D0B-1D6E871BEFB3}">
    <text>Based off the excel from Verra this formula has a conversion factor from kg to t that is not illustrated in equation 29</text>
  </threadedComment>
  <threadedComment ref="E102" dT="2025-01-07T19:38:48.26" personId="{00000000-0000-0000-0000-000000000000}" id="{B72B64E5-E15D-4F44-89A1-44C453BDAE14}">
    <text>Equation 32</text>
  </threadedComment>
  <threadedComment ref="E103" dT="2025-01-07T20:02:12.62" personId="{00000000-0000-0000-0000-000000000000}" id="{B5FF750F-B733-468E-B595-AE84C76C0CF8}">
    <text>Equation 31</text>
  </threadedComment>
  <threadedComment ref="E104" dT="2025-01-07T19:35:12.52" personId="{00000000-0000-0000-0000-000000000000}" id="{DF9A1735-227D-452D-BDF7-8912E318FFE0}">
    <text>Equation 28</text>
  </threadedComment>
  <threadedComment ref="E104" dT="2025-01-07T19:38:00.39" personId="{00000000-0000-0000-0000-000000000000}" id="{ACC28349-91B0-4ADF-B615-88BB817B142B}" parentId="{DF9A1735-227D-452D-BDF7-8912E318FFE0}">
    <text>Formula has been adapted to match the formula in the verra spreadsheet. The conversion factor for kg to t is located in equation 29</text>
  </threadedComment>
  <threadedComment ref="E105" dT="2025-01-07T20:02:12.62" personId="{00000000-0000-0000-0000-000000000000}" id="{B39D400E-12A6-4891-A406-42CCF8A03A2A}">
    <text>Equation 30</text>
  </threadedComment>
  <threadedComment ref="E106" dT="2025-01-07T20:12:14.36" personId="{00000000-0000-0000-0000-000000000000}" id="{F8D87B97-5CCF-40C8-9942-CD7BAF63556D}">
    <text>Equation 27</text>
  </threadedComment>
  <threadedComment ref="E114" dT="2025-01-07T17:41:02.28" personId="{00000000-0000-0000-0000-000000000000}" id="{FF87B847-CC67-4C30-9616-1EBD65FCBEC4}">
    <text>Equation 26</text>
  </threadedComment>
  <threadedComment ref="E115" dT="2025-01-07T18:57:06.75" personId="{00000000-0000-0000-0000-000000000000}" id="{BDF8ABB0-4E02-4B7A-AF58-40C2AA0FA0C5}">
    <text>Equation 25</text>
  </threadedComment>
  <threadedComment ref="E125" dT="2025-01-06T21:11:11.03" personId="{00000000-0000-0000-0000-000000000000}" id="{3DC7116C-CEF3-4EC9-B201-0F74EA2B2F90}">
    <text>Equation 33</text>
  </threadedComment>
  <threadedComment ref="E134" dT="2025-01-06T16:57:51.88" personId="{00000000-0000-0000-0000-000000000000}" id="{08BA525D-7E0E-424D-B078-98B83A083547}">
    <text>Equation 8</text>
  </threadedComment>
  <threadedComment ref="E137" dT="2025-01-06T17:03:59.51" personId="{00000000-0000-0000-0000-000000000000}" id="{B60E03BA-D18D-4DEB-8A13-07F82B0822C9}">
    <text>Equation 7</text>
  </threadedComment>
  <threadedComment ref="E144" dT="2025-01-06T18:49:07.05" personId="{00000000-0000-0000-0000-000000000000}" id="{60646FB0-F5F5-466B-86A5-0E20FE88900E}">
    <text>Equation 10</text>
  </threadedComment>
  <threadedComment ref="E145" dT="2025-01-06T18:49:18.79" personId="{00000000-0000-0000-0000-000000000000}" id="{877C16D8-3F95-4FEB-A229-955F8C24753F}">
    <text>Equation 9</text>
  </threadedComment>
  <threadedComment ref="E155" dT="2025-01-06T19:19:45.61" personId="{00000000-0000-0000-0000-000000000000}" id="{D2FE1042-1B1C-4D2F-A1D3-703C6C714324}">
    <text>Equation 12</text>
  </threadedComment>
  <threadedComment ref="E168" dT="2025-01-06T21:06:09.46" personId="{00000000-0000-0000-0000-000000000000}" id="{63067321-9200-43D4-B9EF-65675FF2297E}">
    <text>Equation 14</text>
  </threadedComment>
  <threadedComment ref="E172" dT="2025-01-06T21:11:11.03" personId="{00000000-0000-0000-0000-000000000000}" id="{B3DEC916-BF2A-49D1-82F8-D64399C43CD7}">
    <text>Equation 13</text>
  </threadedComment>
  <threadedComment ref="E183" dT="2025-01-06T21:11:11.03" personId="{00000000-0000-0000-0000-000000000000}" id="{E8AAD2DB-740D-4DFD-B535-6FE5E1C42E01}">
    <text>Equation 15</text>
  </threadedComment>
  <threadedComment ref="E191" dT="2025-01-07T17:41:02.28" personId="{00000000-0000-0000-0000-000000000000}" id="{79EE2761-112F-457A-B51A-AB00013E01A0}">
    <text>Equation 20</text>
  </threadedComment>
  <threadedComment ref="E196" dT="2025-01-06T21:11:11.03" personId="{00000000-0000-0000-0000-000000000000}" id="{42E88E69-74AD-4DD8-97A2-B7CD6F624644}">
    <text>Equation 21</text>
  </threadedComment>
  <threadedComment ref="E198" dT="2025-01-07T17:45:55.38" personId="{00000000-0000-0000-0000-000000000000}" id="{A0B1B8A6-ECF4-4B31-9CF6-BE2715B8C7BD}">
    <text>Equation 19</text>
  </threadedComment>
  <threadedComment ref="E202" dT="2025-01-07T17:48:38.15" personId="{00000000-0000-0000-0000-000000000000}" id="{2B7EE5C2-0FA9-4BFA-8DC5-AAAF44CE5771}">
    <text>Equation 23</text>
  </threadedComment>
  <threadedComment ref="E205" dT="2025-01-07T17:48:58.20" personId="{00000000-0000-0000-0000-000000000000}" id="{13E7389F-20B0-40E5-83CB-FDD67322946E}">
    <text>Equation 24</text>
  </threadedComment>
  <threadedComment ref="E206" dT="2025-01-07T17:49:51.64" personId="{00000000-0000-0000-0000-000000000000}" id="{CAA26D75-F52E-4B04-BAF2-BF742E438DE6}">
    <text>Equation 22</text>
  </threadedComment>
  <threadedComment ref="E207" dT="2025-01-07T17:50:00.00" personId="{00000000-0000-0000-0000-000000000000}" id="{B6BE61CB-2966-4A77-9037-7159A743FA62}">
    <text>Equation 18</text>
  </threadedComment>
  <threadedComment ref="E219" dT="2025-01-07T19:29:42.63" personId="{00000000-0000-0000-0000-000000000000}" id="{91753598-245B-4E56-BE1D-882B4840FB2E}">
    <text>Equation 29</text>
  </threadedComment>
  <threadedComment ref="E219" dT="2025-01-07T19:32:54.21" personId="{00000000-0000-0000-0000-000000000000}" id="{94F8DAE5-C9BF-4629-8A25-4AC1208AB9A3}" parentId="{91753598-245B-4E56-BE1D-882B4840FB2E}">
    <text>Based off the excel from Verra this formula has a conversion factor from kg to t that is not illustrated in equation 29</text>
  </threadedComment>
  <threadedComment ref="E224" dT="2025-01-07T19:38:48.26" personId="{00000000-0000-0000-0000-000000000000}" id="{BE66F561-5B53-42C4-8716-38FE2C6FFC3B}">
    <text>Equation 32</text>
  </threadedComment>
  <threadedComment ref="E225" dT="2025-01-07T20:02:12.62" personId="{00000000-0000-0000-0000-000000000000}" id="{3E5BE421-ADF0-4DCC-BC01-8A0221E122E6}">
    <text>Equation 31</text>
  </threadedComment>
  <threadedComment ref="E226" dT="2025-01-07T19:35:12.52" personId="{00000000-0000-0000-0000-000000000000}" id="{56490938-82F3-4F3F-B102-00C55C25AD1E}">
    <text>Equation 28</text>
  </threadedComment>
  <threadedComment ref="E226" dT="2025-01-07T19:38:00.39" personId="{00000000-0000-0000-0000-000000000000}" id="{3666138C-F9BA-4CFF-B20D-CC6452E90C82}" parentId="{56490938-82F3-4F3F-B102-00C55C25AD1E}">
    <text>Formula has been adapted to match the formula in the verra spreadsheet. The conversion factor for kg to t is located in equation 29</text>
  </threadedComment>
  <threadedComment ref="E227" dT="2025-01-07T20:02:12.62" personId="{00000000-0000-0000-0000-000000000000}" id="{68B14466-3E7C-42DF-BAAC-ACD4E12E5398}">
    <text>Equation 30</text>
  </threadedComment>
  <threadedComment ref="E228" dT="2025-01-07T20:12:14.36" personId="{00000000-0000-0000-0000-000000000000}" id="{9FCB6DF6-8B98-49F6-9E64-2EDB8248AB13}">
    <text>Equation 27</text>
  </threadedComment>
  <threadedComment ref="E236" dT="2025-01-07T17:41:02.28" personId="{00000000-0000-0000-0000-000000000000}" id="{AFDD3AC4-F2CC-4AC1-B351-7F77DB074733}">
    <text>Equation 26</text>
  </threadedComment>
  <threadedComment ref="E237" dT="2025-01-07T18:57:06.75" personId="{00000000-0000-0000-0000-000000000000}" id="{0137E381-292A-4479-955E-0E12C62506A2}">
    <text>Equation 25</text>
  </threadedComment>
  <threadedComment ref="E247" dT="2025-01-06T21:11:11.03" personId="{00000000-0000-0000-0000-000000000000}" id="{7543862E-6B64-4281-80B5-247BBADBCBB7}">
    <text>Equation 33</text>
  </threadedComment>
  <threadedComment ref="E251" dT="2025-01-10T17:42:42.17" personId="{00000000-0000-0000-0000-000000000000}" id="{7C9CD6D5-2013-4CED-A15C-3672CEBF22CB}">
    <text>Equation 17</text>
  </threadedComment>
  <threadedComment ref="E252" dT="2025-01-09T19:48:54.67" personId="{00000000-0000-0000-0000-000000000000}" id="{327AE7C2-F904-4E68-B3AA-8F369C4EFDDB}">
    <text>Equation 52</text>
  </threadedComment>
  <threadedComment ref="E253" dT="2025-01-09T22:01:02.35" personId="{00000000-0000-0000-0000-000000000000}" id="{D912AF15-F159-4D8E-903C-17665DB4A858}">
    <text>Equation 53</text>
  </threadedComment>
  <threadedComment ref="E254" dT="2025-01-09T22:01:28.04" personId="{00000000-0000-0000-0000-000000000000}" id="{9E7E86A6-00F0-43DD-8472-CDD534FA4B41}">
    <text>Equation 55</text>
  </threadedComment>
  <threadedComment ref="E255" dT="2025-01-09T22:03:43.22" personId="{00000000-0000-0000-0000-000000000000}" id="{01E83214-4A7C-4FE7-9223-40E98006791B}">
    <text>Equation 56</text>
  </threadedComment>
  <threadedComment ref="E256" dT="2025-01-09T22:05:08.75" personId="{00000000-0000-0000-0000-000000000000}" id="{85BE1A3D-2578-44EF-BB2D-4728FB51F574}">
    <text>Equation 57</text>
  </threadedComment>
  <threadedComment ref="E257" dT="2025-01-09T22:15:08.99" personId="{00000000-0000-0000-0000-000000000000}" id="{80B8CB04-281E-4AC8-8885-B7989E69BCAB}">
    <text>Equation 59</text>
  </threadedComment>
</ThreadedComments>
</file>

<file path=xl/threadedComments/threadedComment28.xml><?xml version="1.0" encoding="utf-8"?>
<ThreadedComments xmlns="http://schemas.microsoft.com/office/spreadsheetml/2018/threadedcomments" xmlns:x="http://schemas.openxmlformats.org/spreadsheetml/2006/main">
  <threadedComment ref="E11" dT="2025-01-06T16:57:51.88" personId="{00000000-0000-0000-0000-000000000000}" id="{CD3CE74C-A282-4548-9530-61A00EB2C4FA}">
    <text>Equation 8</text>
  </threadedComment>
  <threadedComment ref="E14" dT="2025-01-06T17:03:59.51" personId="{00000000-0000-0000-0000-000000000000}" id="{D75B041F-6900-4E54-8ADC-187DBD815AA9}">
    <text>Equation 7</text>
  </threadedComment>
  <threadedComment ref="E17" dT="2025-01-06T17:03:59.51" personId="{00000000-0000-0000-0000-000000000000}" id="{A81F3A4C-B1F2-4ABE-9DD7-2F484E693A20}">
    <text>Equation 7</text>
  </threadedComment>
  <threadedComment ref="E21" dT="2025-01-06T18:49:07.05" personId="{00000000-0000-0000-0000-000000000000}" id="{D822F2B6-8A15-4C5D-B9C1-A24643D8C85D}">
    <text>Equation 10</text>
  </threadedComment>
  <threadedComment ref="E22" dT="2025-01-06T18:49:18.79" personId="{00000000-0000-0000-0000-000000000000}" id="{2D1C54F5-99DC-49FB-87AD-B763DBC75B89}">
    <text>Equation 9</text>
  </threadedComment>
  <threadedComment ref="E32" dT="2025-01-06T19:19:45.61" personId="{00000000-0000-0000-0000-000000000000}" id="{145A5207-D43F-47ED-827F-A176813C240C}">
    <text>Equation 12</text>
  </threadedComment>
  <threadedComment ref="E45" dT="2025-01-06T21:06:09.46" personId="{00000000-0000-0000-0000-000000000000}" id="{9A5B875C-81F4-4400-873F-F0773C0C3C0D}">
    <text>Equation 14</text>
  </threadedComment>
  <threadedComment ref="E49" dT="2025-01-06T21:11:11.03" personId="{00000000-0000-0000-0000-000000000000}" id="{8CB655D9-A252-4AB4-8A34-9EFED76620E5}">
    <text>Equation 13</text>
  </threadedComment>
  <threadedComment ref="E60" dT="2025-01-06T21:11:11.03" personId="{00000000-0000-0000-0000-000000000000}" id="{9128E9F3-41DF-4EA6-BD04-4BB530CEA906}">
    <text>Equation 15</text>
  </threadedComment>
  <threadedComment ref="E69" dT="2025-01-07T17:41:02.28" personId="{00000000-0000-0000-0000-000000000000}" id="{62030784-557B-4D04-A958-D33F67214681}">
    <text>Equation 20</text>
  </threadedComment>
  <threadedComment ref="E74" dT="2025-01-06T21:11:11.03" personId="{00000000-0000-0000-0000-000000000000}" id="{59D78ACA-5275-4D0E-8AA7-B3CDCBB045CE}">
    <text>Equation 21</text>
  </threadedComment>
  <threadedComment ref="E76" dT="2025-01-07T17:45:55.38" personId="{00000000-0000-0000-0000-000000000000}" id="{4F6D6864-86D3-4F96-9282-64A7440A7D4D}">
    <text>Equation 19</text>
  </threadedComment>
  <threadedComment ref="E80" dT="2025-01-07T17:48:38.15" personId="{00000000-0000-0000-0000-000000000000}" id="{C6ABF8EE-2089-4E3A-95FF-73FD5D46E544}">
    <text>Equation 23</text>
  </threadedComment>
  <threadedComment ref="E83" dT="2025-01-07T17:48:58.20" personId="{00000000-0000-0000-0000-000000000000}" id="{BF60462D-46DC-46DA-ABA1-1E9EAC8BB128}">
    <text>Equation 24</text>
  </threadedComment>
  <threadedComment ref="E84" dT="2025-01-07T17:49:51.64" personId="{00000000-0000-0000-0000-000000000000}" id="{17EBC48E-B298-415C-A7C5-DEA5429F8A97}">
    <text>Equation 22</text>
  </threadedComment>
  <threadedComment ref="E85" dT="2025-01-07T17:50:00.00" personId="{00000000-0000-0000-0000-000000000000}" id="{063C8DFD-9C1A-4260-BFE2-5D058829F9BC}">
    <text>Equation 18</text>
  </threadedComment>
  <threadedComment ref="E97" dT="2025-01-07T19:29:42.63" personId="{00000000-0000-0000-0000-000000000000}" id="{6E1027D5-839F-47F8-A92A-4A917EC68911}">
    <text>Equation 29</text>
  </threadedComment>
  <threadedComment ref="E97" dT="2025-01-07T19:32:54.21" personId="{00000000-0000-0000-0000-000000000000}" id="{E65D59CF-8645-4085-BB8E-06BB98F7E3F5}" parentId="{6E1027D5-839F-47F8-A92A-4A917EC68911}">
    <text>Based off the excel from Verra this formula has a conversion factor from kg to t that is not illustrated in equation 29</text>
  </threadedComment>
  <threadedComment ref="E102" dT="2025-01-07T19:38:48.26" personId="{00000000-0000-0000-0000-000000000000}" id="{36719577-8452-4930-8A80-924B04B6A37D}">
    <text>Equation 32</text>
  </threadedComment>
  <threadedComment ref="E103" dT="2025-01-07T20:02:12.62" personId="{00000000-0000-0000-0000-000000000000}" id="{E28A6116-F8B9-4C74-A307-A6E77B19F1A4}">
    <text>Equation 31</text>
  </threadedComment>
  <threadedComment ref="E104" dT="2025-01-07T19:35:12.52" personId="{00000000-0000-0000-0000-000000000000}" id="{52CE9EE2-42F4-4C86-B0A7-F923019299E8}">
    <text>Equation 28</text>
  </threadedComment>
  <threadedComment ref="E104" dT="2025-01-07T19:38:00.39" personId="{00000000-0000-0000-0000-000000000000}" id="{843B9B0A-9041-4E79-9385-148E5B69B73D}" parentId="{52CE9EE2-42F4-4C86-B0A7-F923019299E8}">
    <text>Formula has been adapted to match the formula in the verra spreadsheet. The conversion factor for kg to t is located in equation 29</text>
  </threadedComment>
  <threadedComment ref="E105" dT="2025-01-07T20:02:12.62" personId="{00000000-0000-0000-0000-000000000000}" id="{AE1D2C3D-AA74-4CFA-B1B5-0DB2E4090714}">
    <text>Equation 30</text>
  </threadedComment>
  <threadedComment ref="E106" dT="2025-01-07T20:12:14.36" personId="{00000000-0000-0000-0000-000000000000}" id="{A2290C60-B8F6-43D8-ABE0-9337B3A6FE1E}">
    <text>Equation 27</text>
  </threadedComment>
  <threadedComment ref="E114" dT="2025-01-07T17:41:02.28" personId="{00000000-0000-0000-0000-000000000000}" id="{7230AC31-24F7-464B-984C-8FD6685652ED}">
    <text>Equation 26</text>
  </threadedComment>
  <threadedComment ref="E115" dT="2025-01-07T18:57:06.75" personId="{00000000-0000-0000-0000-000000000000}" id="{8843C70B-941A-4494-B6AA-7FF1FA732566}">
    <text>Equation 25</text>
  </threadedComment>
  <threadedComment ref="E125" dT="2025-01-06T21:11:11.03" personId="{00000000-0000-0000-0000-000000000000}" id="{216BEC50-2F71-41E4-93C2-413FF5BF2BA4}">
    <text>Equation 33</text>
  </threadedComment>
  <threadedComment ref="E134" dT="2025-01-06T16:57:51.88" personId="{00000000-0000-0000-0000-000000000000}" id="{057F59F0-1737-42FA-848A-746282974389}">
    <text>Equation 8</text>
  </threadedComment>
  <threadedComment ref="E137" dT="2025-01-06T17:03:59.51" personId="{00000000-0000-0000-0000-000000000000}" id="{A8873973-EDD5-41DF-ADAB-AFB8B868C03C}">
    <text>Equation 7</text>
  </threadedComment>
  <threadedComment ref="E144" dT="2025-01-06T18:49:07.05" personId="{00000000-0000-0000-0000-000000000000}" id="{C38CF7AF-F100-49AA-9CBD-566B85E8F119}">
    <text>Equation 10</text>
  </threadedComment>
  <threadedComment ref="E145" dT="2025-01-06T18:49:18.79" personId="{00000000-0000-0000-0000-000000000000}" id="{28A34F44-899D-44E4-9924-84ADE97F1203}">
    <text>Equation 9</text>
  </threadedComment>
  <threadedComment ref="E155" dT="2025-01-06T19:19:45.61" personId="{00000000-0000-0000-0000-000000000000}" id="{6E8428FC-659D-4809-9A8B-2B87ADD27FC2}">
    <text>Equation 12</text>
  </threadedComment>
  <threadedComment ref="E168" dT="2025-01-06T21:06:09.46" personId="{00000000-0000-0000-0000-000000000000}" id="{7E984046-1D22-4999-AD6B-C8D3008087F5}">
    <text>Equation 14</text>
  </threadedComment>
  <threadedComment ref="E172" dT="2025-01-06T21:11:11.03" personId="{00000000-0000-0000-0000-000000000000}" id="{B64C2DF9-559F-4E98-8AF5-88072B411BC4}">
    <text>Equation 13</text>
  </threadedComment>
  <threadedComment ref="E183" dT="2025-01-06T21:11:11.03" personId="{00000000-0000-0000-0000-000000000000}" id="{1A71ADA5-3E9F-4CA9-B93F-A7D3B86F0B53}">
    <text>Equation 15</text>
  </threadedComment>
  <threadedComment ref="E191" dT="2025-01-07T17:41:02.28" personId="{00000000-0000-0000-0000-000000000000}" id="{F4DCD211-0678-4D50-8634-D89B92E4B05F}">
    <text>Equation 20</text>
  </threadedComment>
  <threadedComment ref="E196" dT="2025-01-06T21:11:11.03" personId="{00000000-0000-0000-0000-000000000000}" id="{4E938E19-5190-4B9C-A8DE-893C9DE118FD}">
    <text>Equation 21</text>
  </threadedComment>
  <threadedComment ref="E198" dT="2025-01-07T17:45:55.38" personId="{00000000-0000-0000-0000-000000000000}" id="{DC296A2E-A862-4A47-865B-745CC439E827}">
    <text>Equation 19</text>
  </threadedComment>
  <threadedComment ref="E202" dT="2025-01-07T17:48:38.15" personId="{00000000-0000-0000-0000-000000000000}" id="{F18D9DFC-D8F1-45AC-9C52-96F53748C500}">
    <text>Equation 23</text>
  </threadedComment>
  <threadedComment ref="E205" dT="2025-01-07T17:48:58.20" personId="{00000000-0000-0000-0000-000000000000}" id="{266E9421-9720-43E7-AF75-D35288E57DD4}">
    <text>Equation 24</text>
  </threadedComment>
  <threadedComment ref="E206" dT="2025-01-07T17:49:51.64" personId="{00000000-0000-0000-0000-000000000000}" id="{ECFCBF00-C798-4C4D-A61B-5FABB1F91AD6}">
    <text>Equation 22</text>
  </threadedComment>
  <threadedComment ref="E207" dT="2025-01-07T17:50:00.00" personId="{00000000-0000-0000-0000-000000000000}" id="{0409C791-8C0E-4C9F-A5B7-2E8F87CF6312}">
    <text>Equation 18</text>
  </threadedComment>
  <threadedComment ref="E219" dT="2025-01-07T19:29:42.63" personId="{00000000-0000-0000-0000-000000000000}" id="{A059BDF3-55D1-4A72-9BF2-FB67B5EF9D1E}">
    <text>Equation 29</text>
  </threadedComment>
  <threadedComment ref="E219" dT="2025-01-07T19:32:54.21" personId="{00000000-0000-0000-0000-000000000000}" id="{976EBA19-3274-473C-B144-C753443E3BCC}" parentId="{A059BDF3-55D1-4A72-9BF2-FB67B5EF9D1E}">
    <text>Based off the excel from Verra this formula has a conversion factor from kg to t that is not illustrated in equation 29</text>
  </threadedComment>
  <threadedComment ref="E224" dT="2025-01-07T19:38:48.26" personId="{00000000-0000-0000-0000-000000000000}" id="{4941B304-CA87-4D5C-897B-8A0139AAF395}">
    <text>Equation 32</text>
  </threadedComment>
  <threadedComment ref="E225" dT="2025-01-07T20:02:12.62" personId="{00000000-0000-0000-0000-000000000000}" id="{A1DD6655-41D6-48AA-9AEF-7B0DA7D3DCD1}">
    <text>Equation 31</text>
  </threadedComment>
  <threadedComment ref="E226" dT="2025-01-07T19:35:12.52" personId="{00000000-0000-0000-0000-000000000000}" id="{CC190AE4-6D56-4843-9E14-90B6F153FE05}">
    <text>Equation 28</text>
  </threadedComment>
  <threadedComment ref="E226" dT="2025-01-07T19:38:00.39" personId="{00000000-0000-0000-0000-000000000000}" id="{49D128BD-1BE9-4368-A104-BFE0C737E55E}" parentId="{CC190AE4-6D56-4843-9E14-90B6F153FE05}">
    <text>Formula has been adapted to match the formula in the verra spreadsheet. The conversion factor for kg to t is located in equation 29</text>
  </threadedComment>
  <threadedComment ref="E227" dT="2025-01-07T20:02:12.62" personId="{00000000-0000-0000-0000-000000000000}" id="{1E420D7F-75FC-4902-9570-72201E753B9D}">
    <text>Equation 30</text>
  </threadedComment>
  <threadedComment ref="E228" dT="2025-01-07T20:12:14.36" personId="{00000000-0000-0000-0000-000000000000}" id="{C4BB5827-BC77-4450-AA4A-DEE58470442E}">
    <text>Equation 27</text>
  </threadedComment>
  <threadedComment ref="E236" dT="2025-01-07T17:41:02.28" personId="{00000000-0000-0000-0000-000000000000}" id="{5734FB09-E6A6-423A-A5D3-07059E9701B1}">
    <text>Equation 26</text>
  </threadedComment>
  <threadedComment ref="E237" dT="2025-01-07T18:57:06.75" personId="{00000000-0000-0000-0000-000000000000}" id="{FF67A8D3-D3FF-4322-A890-4A1C80041480}">
    <text>Equation 25</text>
  </threadedComment>
  <threadedComment ref="E247" dT="2025-01-06T21:11:11.03" personId="{00000000-0000-0000-0000-000000000000}" id="{0CAA6928-102D-478D-830A-9CD88CD81AD5}">
    <text>Equation 33</text>
  </threadedComment>
  <threadedComment ref="E251" dT="2025-01-10T17:42:42.17" personId="{00000000-0000-0000-0000-000000000000}" id="{AA1E4C8F-AB16-4CA7-938E-1FCE288A47E2}">
    <text>Equation 17</text>
  </threadedComment>
</ThreadedComments>
</file>

<file path=xl/threadedComments/threadedComment29.xml><?xml version="1.0" encoding="utf-8"?>
<ThreadedComments xmlns="http://schemas.microsoft.com/office/spreadsheetml/2018/threadedcomments" xmlns:x="http://schemas.openxmlformats.org/spreadsheetml/2006/main">
  <threadedComment ref="E8" dT="2025-01-06T16:57:51.88" personId="{00000000-0000-0000-0000-000000000000}" id="{7B3DAF8C-8887-4309-8FED-845A71104D5B}">
    <text>Equation 8</text>
  </threadedComment>
  <threadedComment ref="E11" dT="2025-01-06T17:03:59.51" personId="{00000000-0000-0000-0000-000000000000}" id="{D6A2732E-2010-4570-A706-D84A5D1649BD}">
    <text>Equation 7</text>
  </threadedComment>
  <threadedComment ref="E14" dT="2025-01-06T17:03:59.51" personId="{00000000-0000-0000-0000-000000000000}" id="{DB958A26-7F30-4A2A-8DF2-04928B35CA71}">
    <text>Equation 7</text>
  </threadedComment>
  <threadedComment ref="E18" dT="2025-01-06T18:49:07.05" personId="{00000000-0000-0000-0000-000000000000}" id="{0676F018-6DB5-4F7B-BCDD-62106FBC04F1}">
    <text>Equation 10</text>
  </threadedComment>
  <threadedComment ref="E19" dT="2025-01-06T18:49:18.79" personId="{00000000-0000-0000-0000-000000000000}" id="{0C815B4F-06E9-4A50-A406-2C6B229F2140}">
    <text>Equation 9</text>
  </threadedComment>
  <threadedComment ref="E29" dT="2025-01-06T19:19:45.61" personId="{00000000-0000-0000-0000-000000000000}" id="{19044820-0CBC-4CE5-8198-6D911D7C4C33}">
    <text>Equation 12</text>
  </threadedComment>
  <threadedComment ref="E42" dT="2025-01-06T21:06:09.46" personId="{00000000-0000-0000-0000-000000000000}" id="{90A244E1-6BCE-4CAB-B26F-DC87D9B17467}">
    <text>Equation 14</text>
  </threadedComment>
  <threadedComment ref="E46" dT="2025-01-06T21:11:11.03" personId="{00000000-0000-0000-0000-000000000000}" id="{6B85AE17-E9D1-45AE-B04F-72D54702C3A7}">
    <text>Equation 13</text>
  </threadedComment>
  <threadedComment ref="E57" dT="2025-01-06T21:11:11.03" personId="{00000000-0000-0000-0000-000000000000}" id="{81BCFADA-6B5B-4209-AA38-F135A57DB3FF}">
    <text>Equation 15</text>
  </threadedComment>
  <threadedComment ref="E66" dT="2025-01-07T17:41:02.28" personId="{00000000-0000-0000-0000-000000000000}" id="{EEBCA1E3-6B08-4E28-B285-90B70C083B04}">
    <text>Equation 20</text>
  </threadedComment>
  <threadedComment ref="E71" dT="2025-01-06T21:11:11.03" personId="{00000000-0000-0000-0000-000000000000}" id="{36D4BD5F-5128-414E-ADD8-3668397C3D2B}">
    <text>Equation 21</text>
  </threadedComment>
  <threadedComment ref="E73" dT="2025-01-07T17:45:55.38" personId="{00000000-0000-0000-0000-000000000000}" id="{CBE35CC7-53E7-47B6-A221-EB201A2B64C2}">
    <text>Equation 19</text>
  </threadedComment>
  <threadedComment ref="E77" dT="2025-01-07T17:48:38.15" personId="{00000000-0000-0000-0000-000000000000}" id="{4D9AC7E7-0E5E-4D2E-B680-2AB61D9BCFEE}">
    <text>Equation 23</text>
  </threadedComment>
  <threadedComment ref="E80" dT="2025-01-07T17:48:58.20" personId="{00000000-0000-0000-0000-000000000000}" id="{401C4D40-844A-418A-AF17-9D528E181DE3}">
    <text>Equation 24</text>
  </threadedComment>
  <threadedComment ref="E81" dT="2025-01-07T17:49:51.64" personId="{00000000-0000-0000-0000-000000000000}" id="{26244ADB-1CF5-4478-A5E6-ECDB08335C79}">
    <text>Equation 22</text>
  </threadedComment>
  <threadedComment ref="E82" dT="2025-01-07T17:50:00.00" personId="{00000000-0000-0000-0000-000000000000}" id="{F9D6AB18-AADF-4698-AC5D-0D31BBDEED02}">
    <text>Equation 18</text>
  </threadedComment>
  <threadedComment ref="E94" dT="2025-01-07T19:29:42.63" personId="{00000000-0000-0000-0000-000000000000}" id="{E651D8FA-23B0-4990-805B-9E9FE39F1DC9}">
    <text>Equation 29</text>
  </threadedComment>
  <threadedComment ref="E94" dT="2025-01-07T19:32:54.21" personId="{00000000-0000-0000-0000-000000000000}" id="{4293EC19-192A-4170-A3C9-62934AA3DEB2}" parentId="{E651D8FA-23B0-4990-805B-9E9FE39F1DC9}">
    <text>Based off the excel from Verra this formula has a conversion factor from kg to t that is not illustrated in equation 29</text>
  </threadedComment>
  <threadedComment ref="E97" dT="2025-01-07T19:35:12.52" personId="{00000000-0000-0000-0000-000000000000}" id="{6420B3D8-DB4C-4D03-BBB8-08ACAB573B22}">
    <text>Equation 28</text>
  </threadedComment>
  <threadedComment ref="E97" dT="2025-01-07T19:38:00.39" personId="{00000000-0000-0000-0000-000000000000}" id="{241F892F-6426-4CCF-BC29-5FD5AAFFFCB6}" parentId="{6420B3D8-DB4C-4D03-BBB8-08ACAB573B22}">
    <text>Formula has been adapted to match the formula in the verra spreadsheet. The conversion factor for kg to t is located in equation 29</text>
  </threadedComment>
  <threadedComment ref="E100" dT="2025-01-07T19:38:48.26" personId="{00000000-0000-0000-0000-000000000000}" id="{519FE9E6-3CA7-4CE9-9D91-9F903BAC9862}">
    <text>Equation 32</text>
  </threadedComment>
  <threadedComment ref="E101" dT="2025-01-07T20:02:12.62" personId="{00000000-0000-0000-0000-000000000000}" id="{17641449-A43D-4E93-956A-DCCF87889498}">
    <text>Equation 31</text>
  </threadedComment>
  <threadedComment ref="E102" dT="2025-01-07T20:02:12.62" personId="{00000000-0000-0000-0000-000000000000}" id="{EE7FA2A4-6FB9-4969-AB9E-55C96A1D3E24}">
    <text>Equation 30</text>
  </threadedComment>
  <threadedComment ref="E103" dT="2025-01-07T20:12:14.36" personId="{00000000-0000-0000-0000-000000000000}" id="{D00B5DA2-E7C9-4B03-81A2-C6AD647BC0AA}">
    <text>Equation 27</text>
  </threadedComment>
  <threadedComment ref="E111" dT="2025-01-07T17:41:02.28" personId="{00000000-0000-0000-0000-000000000000}" id="{89B2E2B0-51B3-4C96-ADA3-34EC054FB456}">
    <text>Equation 26</text>
  </threadedComment>
  <threadedComment ref="E112" dT="2025-01-07T18:57:06.75" personId="{00000000-0000-0000-0000-000000000000}" id="{D9740F47-7E9B-4033-BDC3-18010151FF77}">
    <text>Equation 25</text>
  </threadedComment>
  <threadedComment ref="E122" dT="2025-01-06T21:11:11.03" personId="{00000000-0000-0000-0000-000000000000}" id="{99ADF29D-D3FD-402A-86AD-E0A31BAFDFEA}">
    <text>Equation 33</text>
  </threadedComment>
  <threadedComment ref="E126" dT="2025-01-22T19:09:37.14" personId="{00000000-0000-0000-0000-000000000000}" id="{55842C29-2C68-431C-933B-33174C5890D2}">
    <text>Equation 17</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5-01-22T18:53:33.18" personId="{00000000-0000-0000-0000-000000000000}" id="{BC871F73-063E-44D5-9740-4F98FBA86A9A}">
    <text>Equation 37</text>
  </threadedComment>
  <threadedComment ref="E9" dT="2025-01-23T17:10:14.87" personId="{00000000-0000-0000-0000-000000000000}" id="{36314CF4-584A-4C76-B4AB-D1F0EB747EE7}">
    <text>Equation 40</text>
  </threadedComment>
  <threadedComment ref="E10" dT="2025-01-23T17:55:20.81" personId="{00000000-0000-0000-0000-000000000000}" id="{E6DEF7DC-EEC5-4E04-BAD1-37AA28C8452E}">
    <text>Equation 39</text>
  </threadedComment>
  <threadedComment ref="E11" dT="2025-01-23T17:57:55.35" personId="{00000000-0000-0000-0000-000000000000}" id="{5BFBE5FA-0186-4E07-B8E3-C5A701254AA9}">
    <text>Equation 38</text>
  </threadedComment>
  <threadedComment ref="E12" dT="2025-01-23T18:02:47.53" personId="{00000000-0000-0000-0000-000000000000}" id="{EEDD6CA0-B9BC-4073-9EB7-65BBF443FDE5}">
    <text>Equation 42</text>
  </threadedComment>
  <threadedComment ref="E13" dT="2025-01-23T17:59:54.90" personId="{00000000-0000-0000-0000-000000000000}" id="{8E14675F-4454-425F-8D51-32C1F40130C0}">
    <text>Equation 41</text>
  </threadedComment>
  <threadedComment ref="E14" dT="2025-01-23T18:03:16.99" personId="{00000000-0000-0000-0000-000000000000}" id="{82D55113-D447-423A-867F-AC0AD18933E4}">
    <text>Equation 43</text>
  </threadedComment>
</ThreadedComments>
</file>

<file path=xl/threadedComments/threadedComment30.xml><?xml version="1.0" encoding="utf-8"?>
<ThreadedComments xmlns="http://schemas.microsoft.com/office/spreadsheetml/2018/threadedcomments" xmlns:x="http://schemas.openxmlformats.org/spreadsheetml/2006/main">
  <threadedComment ref="E8" dT="2025-01-06T16:57:51.88" personId="{00000000-0000-0000-0000-000000000000}" id="{E0D420DC-CB0C-4600-9D99-47F883D1BB4A}">
    <text>Equation 8</text>
  </threadedComment>
  <threadedComment ref="E11" dT="2025-01-06T17:03:59.51" personId="{00000000-0000-0000-0000-000000000000}" id="{E2869F73-9315-48F9-A8BF-99C5341044B2}">
    <text>Equation 7</text>
  </threadedComment>
  <threadedComment ref="E18" dT="2025-01-06T18:49:07.05" personId="{00000000-0000-0000-0000-000000000000}" id="{8589A515-E531-4F7E-9852-7C229F28FAE6}">
    <text>Equation 10</text>
  </threadedComment>
  <threadedComment ref="E19" dT="2025-01-06T18:49:18.79" personId="{00000000-0000-0000-0000-000000000000}" id="{6B396010-89C8-4194-8813-35D59EB68620}">
    <text>Equation 9</text>
  </threadedComment>
  <threadedComment ref="E29" dT="2025-01-06T19:19:45.61" personId="{00000000-0000-0000-0000-000000000000}" id="{F073F5BE-C2AE-4981-96FF-E38D36BFF4DD}">
    <text>Equation 12</text>
  </threadedComment>
  <threadedComment ref="E42" dT="2025-01-06T21:06:09.46" personId="{00000000-0000-0000-0000-000000000000}" id="{3472168D-E62D-426B-86FB-17EDF85E1E83}">
    <text>Equation 14</text>
  </threadedComment>
  <threadedComment ref="E46" dT="2025-01-06T21:11:11.03" personId="{00000000-0000-0000-0000-000000000000}" id="{D48E96DC-3FDD-4104-BC64-68FED71AC683}">
    <text>Equation 13</text>
  </threadedComment>
  <threadedComment ref="E57" dT="2025-01-06T21:11:11.03" personId="{00000000-0000-0000-0000-000000000000}" id="{9F8C1093-1ABB-477B-AD43-C2C627D7DEE0}">
    <text>Equation 15</text>
  </threadedComment>
  <threadedComment ref="E65" dT="2025-01-07T17:41:02.28" personId="{00000000-0000-0000-0000-000000000000}" id="{2171C9EF-5040-4976-B5C5-0D2491BFEAFA}">
    <text>Equation 20</text>
  </threadedComment>
  <threadedComment ref="E70" dT="2025-01-06T21:11:11.03" personId="{00000000-0000-0000-0000-000000000000}" id="{F1AA160F-95FE-4D06-AF5B-0265B9ED495C}">
    <text>Equation 21</text>
  </threadedComment>
  <threadedComment ref="E72" dT="2025-01-07T17:45:55.38" personId="{00000000-0000-0000-0000-000000000000}" id="{4BDA4F5A-45AA-461F-8355-786D1B256F91}">
    <text>Equation 19</text>
  </threadedComment>
  <threadedComment ref="E76" dT="2025-01-07T17:48:38.15" personId="{00000000-0000-0000-0000-000000000000}" id="{1BBFDCBF-DE84-4FA0-A2D3-AA1DEA442FE0}">
    <text>Equation 23</text>
  </threadedComment>
  <threadedComment ref="E79" dT="2025-01-07T17:48:58.20" personId="{00000000-0000-0000-0000-000000000000}" id="{C7D842E5-6854-4554-8A32-39FD358818DF}">
    <text>Equation 24</text>
  </threadedComment>
  <threadedComment ref="E80" dT="2025-01-07T17:49:51.64" personId="{00000000-0000-0000-0000-000000000000}" id="{A2D72696-6AAC-4ADA-8D42-B0D67A29D060}">
    <text>Equation 22</text>
  </threadedComment>
  <threadedComment ref="E81" dT="2025-01-07T17:50:00.00" personId="{00000000-0000-0000-0000-000000000000}" id="{24EB498D-3C89-4451-A6F4-9A20916655DC}">
    <text>Equation 18</text>
  </threadedComment>
  <threadedComment ref="E93" dT="2025-01-07T19:29:42.63" personId="{00000000-0000-0000-0000-000000000000}" id="{BC7742DF-B145-4B5F-8548-D0B659031824}">
    <text>Equation 29</text>
  </threadedComment>
  <threadedComment ref="E93" dT="2025-01-07T19:32:54.21" personId="{00000000-0000-0000-0000-000000000000}" id="{EE1DD3D7-DD8A-40FE-9131-D2830BCB495C}" parentId="{BC7742DF-B145-4B5F-8548-D0B659031824}">
    <text>Based off the excel from Verra this formula has a conversion factor from kg to t that is not illustrated in equation 29</text>
  </threadedComment>
  <threadedComment ref="E96" dT="2025-01-07T19:35:12.52" personId="{00000000-0000-0000-0000-000000000000}" id="{AF684F0C-DF0F-4626-844F-32FF40F25A12}">
    <text>Equation 28</text>
  </threadedComment>
  <threadedComment ref="E96" dT="2025-01-07T19:38:00.39" personId="{00000000-0000-0000-0000-000000000000}" id="{F2B8E37C-2F31-4277-BABA-4DFFFE6821EB}" parentId="{AF684F0C-DF0F-4626-844F-32FF40F25A12}">
    <text>Formula has been adapted to match the formula in the verra spreadsheet. The conversion factor for kg to t is located in equation 29</text>
  </threadedComment>
  <threadedComment ref="E99" dT="2025-01-07T19:38:48.26" personId="{00000000-0000-0000-0000-000000000000}" id="{5C0C7AAA-D482-461C-9642-54D09E4B991C}">
    <text>Equation 32</text>
  </threadedComment>
  <threadedComment ref="E100" dT="2025-01-07T20:02:12.62" personId="{00000000-0000-0000-0000-000000000000}" id="{7BB910A7-2B5C-4F45-8CEE-26C424AF0EA9}">
    <text>Equation 31</text>
  </threadedComment>
  <threadedComment ref="E101" dT="2025-01-07T20:02:12.62" personId="{00000000-0000-0000-0000-000000000000}" id="{CD74ECA9-0B05-423F-89FB-3A799141BEEC}">
    <text>Equation 30</text>
  </threadedComment>
  <threadedComment ref="E102" dT="2025-01-07T20:12:14.36" personId="{00000000-0000-0000-0000-000000000000}" id="{54523551-FE6C-46A5-95B5-C0291A482F8F}">
    <text>Equation 27</text>
  </threadedComment>
  <threadedComment ref="E110" dT="2025-01-07T17:41:02.28" personId="{00000000-0000-0000-0000-000000000000}" id="{1ABE5550-5150-4635-9A58-DC6B2FE2C10C}">
    <text>Equation 26</text>
  </threadedComment>
  <threadedComment ref="E111" dT="2025-01-07T18:57:06.75" personId="{00000000-0000-0000-0000-000000000000}" id="{9A70123D-991C-4057-8125-80E26F594C9C}">
    <text>Equation 25</text>
  </threadedComment>
  <threadedComment ref="E121" dT="2025-01-06T21:11:11.03" personId="{00000000-0000-0000-0000-000000000000}" id="{15D8E18D-32B0-4276-A462-955B0F48E2CF}">
    <text>Equation 33</text>
  </threadedComment>
  <threadedComment ref="E125" dT="2025-01-10T17:42:42.17" personId="{00000000-0000-0000-0000-000000000000}" id="{6FFC347C-B7AD-444F-AC9D-D1BF7CDAAA18}">
    <text>Equation 17</text>
  </threadedComment>
</ThreadedComments>
</file>

<file path=xl/threadedComments/threadedComment31.xml><?xml version="1.0" encoding="utf-8"?>
<ThreadedComments xmlns="http://schemas.microsoft.com/office/spreadsheetml/2018/threadedcomments" xmlns:x="http://schemas.openxmlformats.org/spreadsheetml/2006/main">
  <threadedComment ref="E7" dT="2025-01-06T16:57:51.88" personId="{00000000-0000-0000-0000-000000000000}" id="{B77EC08D-6083-419D-9284-F41145058563}">
    <text>Equation 8</text>
  </threadedComment>
  <threadedComment ref="E10" dT="2025-01-06T17:03:59.51" personId="{00000000-0000-0000-0000-000000000000}" id="{F141EA82-2CF1-4535-B848-2EFD1774C66E}">
    <text>Equation 7</text>
  </threadedComment>
</ThreadedComments>
</file>

<file path=xl/threadedComments/threadedComment32.xml><?xml version="1.0" encoding="utf-8"?>
<ThreadedComments xmlns="http://schemas.microsoft.com/office/spreadsheetml/2018/threadedcomments" xmlns:x="http://schemas.openxmlformats.org/spreadsheetml/2006/main">
  <threadedComment ref="E7" dT="2025-01-06T16:57:51.88" personId="{00000000-0000-0000-0000-000000000000}" id="{46432668-EBCD-4EAD-ABC6-CC1F45497A93}">
    <text>Equation 8</text>
  </threadedComment>
  <threadedComment ref="E10" dT="2025-01-06T17:03:59.51" personId="{00000000-0000-0000-0000-000000000000}" id="{23FDDD4C-88C4-4192-945A-D0BCA34EA96B}">
    <text>Equation 7</text>
  </threadedComment>
</ThreadedComments>
</file>

<file path=xl/threadedComments/threadedComment33.xml><?xml version="1.0" encoding="utf-8"?>
<ThreadedComments xmlns="http://schemas.microsoft.com/office/spreadsheetml/2018/threadedcomments" xmlns:x="http://schemas.openxmlformats.org/spreadsheetml/2006/main">
  <threadedComment ref="E5" dT="2025-01-06T17:03:59.51" personId="{00000000-0000-0000-0000-000000000000}" id="{5039D564-AFDC-4548-A748-50EB0D0C3D36}">
    <text>Equation 7</text>
  </threadedComment>
  <threadedComment ref="E9" dT="2025-01-06T18:49:07.05" personId="{00000000-0000-0000-0000-000000000000}" id="{931F126B-6F9F-41D7-B979-FD45ECF6844C}">
    <text>Equation 10</text>
  </threadedComment>
  <threadedComment ref="E10" dT="2025-01-06T18:49:18.79" personId="{00000000-0000-0000-0000-000000000000}" id="{13D1D65C-200D-4207-A58D-81CC58E97AA1}">
    <text>Equation 9</text>
  </threadedComment>
</ThreadedComments>
</file>

<file path=xl/threadedComments/threadedComment34.xml><?xml version="1.0" encoding="utf-8"?>
<ThreadedComments xmlns="http://schemas.microsoft.com/office/spreadsheetml/2018/threadedcomments" xmlns:x="http://schemas.openxmlformats.org/spreadsheetml/2006/main">
  <threadedComment ref="E9" dT="2025-01-06T18:49:07.05" personId="{00000000-0000-0000-0000-000000000000}" id="{C0567FBB-E51A-4813-993F-9ED632E731C2}">
    <text>Equation 10</text>
  </threadedComment>
  <threadedComment ref="E10" dT="2025-01-06T18:49:18.79" personId="{00000000-0000-0000-0000-000000000000}" id="{8C0C290C-3115-493D-A58D-03DFB7CEC440}">
    <text>Equation 9</text>
  </threadedComment>
</ThreadedComments>
</file>

<file path=xl/threadedComments/threadedComment35.xml><?xml version="1.0" encoding="utf-8"?>
<ThreadedComments xmlns="http://schemas.microsoft.com/office/spreadsheetml/2018/threadedcomments" xmlns:x="http://schemas.openxmlformats.org/spreadsheetml/2006/main">
  <threadedComment ref="E12" dT="2025-01-06T19:19:45.61" personId="{00000000-0000-0000-0000-000000000000}" id="{111CDBF7-564D-4456-A3D4-A8BCAFF00FB9}">
    <text>Equation 12</text>
  </threadedComment>
</ThreadedComments>
</file>

<file path=xl/threadedComments/threadedComment36.xml><?xml version="1.0" encoding="utf-8"?>
<ThreadedComments xmlns="http://schemas.microsoft.com/office/spreadsheetml/2018/threadedcomments" xmlns:x="http://schemas.openxmlformats.org/spreadsheetml/2006/main">
  <threadedComment ref="E12" dT="2025-01-06T19:19:45.61" personId="{00000000-0000-0000-0000-000000000000}" id="{BF47E014-95C7-4951-984B-27A74E3CA9CB}">
    <text>Equation 12</text>
  </threadedComment>
</ThreadedComments>
</file>

<file path=xl/threadedComments/threadedComment37.xml><?xml version="1.0" encoding="utf-8"?>
<ThreadedComments xmlns="http://schemas.microsoft.com/office/spreadsheetml/2018/threadedcomments" xmlns:x="http://schemas.openxmlformats.org/spreadsheetml/2006/main">
  <threadedComment ref="E14" dT="2025-01-06T21:06:09.46" personId="{00000000-0000-0000-0000-000000000000}" id="{DA7BFD7A-F48B-46B4-8BD4-551078D63EC9}">
    <text>Equation 14</text>
  </threadedComment>
  <threadedComment ref="E18" dT="2025-01-06T21:11:11.03" personId="{00000000-0000-0000-0000-000000000000}" id="{ACE61308-13C2-4FFB-913D-8A88BCDB4488}">
    <text>Equation 13</text>
  </threadedComment>
</ThreadedComments>
</file>

<file path=xl/threadedComments/threadedComment38.xml><?xml version="1.0" encoding="utf-8"?>
<ThreadedComments xmlns="http://schemas.microsoft.com/office/spreadsheetml/2018/threadedcomments" xmlns:x="http://schemas.openxmlformats.org/spreadsheetml/2006/main">
  <threadedComment ref="E13" dT="2025-01-06T21:06:09.46" personId="{00000000-0000-0000-0000-000000000000}" id="{BF106EFA-5D46-45FA-B776-35C6A1B8A241}">
    <text>Equation 14</text>
  </threadedComment>
</ThreadedComments>
</file>

<file path=xl/threadedComments/threadedComment39.xml><?xml version="1.0" encoding="utf-8"?>
<ThreadedComments xmlns="http://schemas.microsoft.com/office/spreadsheetml/2018/threadedcomments" xmlns:x="http://schemas.openxmlformats.org/spreadsheetml/2006/main">
  <threadedComment ref="E14" dT="2025-01-06T21:06:09.46" personId="{00000000-0000-0000-0000-000000000000}" id="{7A2ECA61-02A2-4E05-82DC-0B9A01426640}">
    <text>Equation 14</text>
  </threadedComment>
  <threadedComment ref="E18" dT="2025-01-06T21:11:11.03" personId="{00000000-0000-0000-0000-000000000000}" id="{1A63E36A-217A-478A-91D8-CCB8A41A0876}">
    <text>Equation 13</text>
  </threadedComment>
</ThreadedComments>
</file>

<file path=xl/threadedComments/threadedComment4.xml><?xml version="1.0" encoding="utf-8"?>
<ThreadedComments xmlns="http://schemas.microsoft.com/office/spreadsheetml/2018/threadedcomments" xmlns:x="http://schemas.openxmlformats.org/spreadsheetml/2006/main">
  <threadedComment ref="E7" dT="2025-01-23T18:25:05.60" personId="{00000000-0000-0000-0000-000000000000}" id="{D651B3EC-D677-4BAA-B5F9-718BADE15F93}">
    <text>Equation 76</text>
  </threadedComment>
  <threadedComment ref="E8" dT="2025-01-23T18:27:40.12" personId="{00000000-0000-0000-0000-000000000000}" id="{332F700A-1045-4B17-912C-640AAB90F15A}">
    <text>Equation 77</text>
  </threadedComment>
  <threadedComment ref="E9" dT="2025-01-23T18:28:36.06" personId="{00000000-0000-0000-0000-000000000000}" id="{6ACF7CE2-70CB-48B3-B27F-60005D9DE076}">
    <text>Equation 78</text>
  </threadedComment>
  <threadedComment ref="E10" dT="2025-01-23T18:29:36.10" personId="{00000000-0000-0000-0000-000000000000}" id="{66CE51AE-8709-4A01-A65D-E942E8B2075A}">
    <text>Equation 79</text>
  </threadedComment>
</ThreadedComments>
</file>

<file path=xl/threadedComments/threadedComment40.xml><?xml version="1.0" encoding="utf-8"?>
<ThreadedComments xmlns="http://schemas.microsoft.com/office/spreadsheetml/2018/threadedcomments" xmlns:x="http://schemas.openxmlformats.org/spreadsheetml/2006/main">
  <threadedComment ref="E13" dT="2025-01-06T21:06:09.46" personId="{00000000-0000-0000-0000-000000000000}" id="{C48BA53B-42C7-4FDA-BE03-690611A9D481}">
    <text>Equation 14</text>
  </threadedComment>
</ThreadedComments>
</file>

<file path=xl/threadedComments/threadedComment41.xml><?xml version="1.0" encoding="utf-8"?>
<ThreadedComments xmlns="http://schemas.microsoft.com/office/spreadsheetml/2018/threadedcomments" xmlns:x="http://schemas.openxmlformats.org/spreadsheetml/2006/main">
  <threadedComment ref="E12" dT="2025-01-06T21:11:11.03" personId="{00000000-0000-0000-0000-000000000000}" id="{B66C5C69-72BC-45A0-9536-4EA38F028C5D}">
    <text>Equation 15</text>
  </threadedComment>
</ThreadedComments>
</file>

<file path=xl/threadedComments/threadedComment42.xml><?xml version="1.0" encoding="utf-8"?>
<ThreadedComments xmlns="http://schemas.microsoft.com/office/spreadsheetml/2018/threadedcomments" xmlns:x="http://schemas.openxmlformats.org/spreadsheetml/2006/main">
  <threadedComment ref="E12" dT="2025-01-06T21:11:11.03" personId="{00000000-0000-0000-0000-000000000000}" id="{E0057A7E-8E34-4065-BD78-81E2F1F2D932}">
    <text>Equation 15</text>
  </threadedComment>
</ThreadedComments>
</file>

<file path=xl/threadedComments/threadedComment43.xml><?xml version="1.0" encoding="utf-8"?>
<ThreadedComments xmlns="http://schemas.microsoft.com/office/spreadsheetml/2018/threadedcomments" xmlns:x="http://schemas.openxmlformats.org/spreadsheetml/2006/main">
  <threadedComment ref="E9" dT="2025-01-07T17:41:02.28" personId="{00000000-0000-0000-0000-000000000000}" id="{BBE8AA07-C7EA-439D-839A-A3F4F1253C95}">
    <text>Equation 20</text>
  </threadedComment>
  <threadedComment ref="E14" dT="2025-01-06T21:11:11.03" personId="{00000000-0000-0000-0000-000000000000}" id="{79EED63A-BF8E-4774-9918-219F0F0DC25E}">
    <text>Equation 21</text>
  </threadedComment>
  <threadedComment ref="E16" dT="2025-01-07T17:45:55.38" personId="{00000000-0000-0000-0000-000000000000}" id="{47167DFC-8C32-42CE-B2BD-0DEA0415244C}">
    <text>Equation 19</text>
  </threadedComment>
  <threadedComment ref="E20" dT="2025-01-07T17:48:38.15" personId="{00000000-0000-0000-0000-000000000000}" id="{95B9B098-B4E5-4ABC-8471-A5F7F3587596}">
    <text>Equation 23</text>
  </threadedComment>
  <threadedComment ref="E23" dT="2025-01-07T17:48:58.20" personId="{00000000-0000-0000-0000-000000000000}" id="{693815FC-47DA-4628-80CE-F9B9DA4C8E65}">
    <text>Equation 24</text>
  </threadedComment>
  <threadedComment ref="E24" dT="2025-01-07T17:49:51.64" personId="{00000000-0000-0000-0000-000000000000}" id="{2E048E48-F88D-4FBF-8902-66A14130B887}">
    <text>Equation 22</text>
  </threadedComment>
  <threadedComment ref="E25" dT="2025-01-07T17:50:00.00" personId="{00000000-0000-0000-0000-000000000000}" id="{79996156-DD2B-4649-BC9F-E8971D7958A9}">
    <text>Equation 18</text>
  </threadedComment>
</ThreadedComments>
</file>

<file path=xl/threadedComments/threadedComment44.xml><?xml version="1.0" encoding="utf-8"?>
<ThreadedComments xmlns="http://schemas.microsoft.com/office/spreadsheetml/2018/threadedcomments" xmlns:x="http://schemas.openxmlformats.org/spreadsheetml/2006/main">
  <threadedComment ref="E9" dT="2025-01-07T17:41:02.28" personId="{00000000-0000-0000-0000-000000000000}" id="{42DFA442-0694-4D04-BB96-3E4B176FA112}">
    <text>Equation 20</text>
  </threadedComment>
  <threadedComment ref="E14" dT="2025-01-06T21:11:11.03" personId="{00000000-0000-0000-0000-000000000000}" id="{F0BAB290-E910-4F01-AEEF-C309F51968A9}">
    <text>Equation 21</text>
  </threadedComment>
  <threadedComment ref="E16" dT="2025-01-07T17:45:55.38" personId="{00000000-0000-0000-0000-000000000000}" id="{CA9F6E6A-4221-463F-85A4-E5358623E3F3}">
    <text>Equation 19</text>
  </threadedComment>
  <threadedComment ref="E20" dT="2025-01-07T17:48:38.15" personId="{00000000-0000-0000-0000-000000000000}" id="{1BD46A55-446B-4100-B892-75D8A84A01FA}">
    <text>Equation 23</text>
  </threadedComment>
  <threadedComment ref="E23" dT="2025-01-07T17:48:58.20" personId="{00000000-0000-0000-0000-000000000000}" id="{1AF9870B-FB65-4FEF-84EE-2592473A387A}">
    <text>Equation 24</text>
  </threadedComment>
  <threadedComment ref="E24" dT="2025-01-07T17:49:51.64" personId="{00000000-0000-0000-0000-000000000000}" id="{C2F68622-738E-4B0C-AE6C-68E40379DD5C}">
    <text>Equation 22</text>
  </threadedComment>
  <threadedComment ref="E25" dT="2025-01-07T17:50:00.00" personId="{00000000-0000-0000-0000-000000000000}" id="{1454D111-FA18-4553-98BA-CB66F43E9505}">
    <text>Equation 18</text>
  </threadedComment>
</ThreadedComments>
</file>

<file path=xl/threadedComments/threadedComment45.xml><?xml version="1.0" encoding="utf-8"?>
<ThreadedComments xmlns="http://schemas.microsoft.com/office/spreadsheetml/2018/threadedcomments" xmlns:x="http://schemas.openxmlformats.org/spreadsheetml/2006/main">
  <threadedComment ref="E14" dT="2025-01-07T19:29:42.63" personId="{00000000-0000-0000-0000-000000000000}" id="{CBA1D528-205A-461D-BC4B-789692503E53}">
    <text>Equation 29</text>
  </threadedComment>
  <threadedComment ref="E14" dT="2025-01-07T19:32:54.21" personId="{00000000-0000-0000-0000-000000000000}" id="{8CBF67E3-F1DE-4038-BAD2-663A2E0CCEE2}" parentId="{CBA1D528-205A-461D-BC4B-789692503E53}">
    <text>Based off the excel from Verra this formula has a conversion factor from kg to t that is not illustrated in equation 29</text>
  </threadedComment>
  <threadedComment ref="E19" dT="2025-01-07T19:38:48.26" personId="{00000000-0000-0000-0000-000000000000}" id="{A252AE50-378C-4BF5-B1F7-6706B97A7EDD}">
    <text>Equation 32</text>
  </threadedComment>
  <threadedComment ref="E20" dT="2025-01-07T20:02:12.62" personId="{00000000-0000-0000-0000-000000000000}" id="{562F957D-77EC-40DC-A265-46A6034ED984}">
    <text>Equation 31</text>
  </threadedComment>
  <threadedComment ref="E21" dT="2025-01-07T19:35:12.52" personId="{00000000-0000-0000-0000-000000000000}" id="{B2A293A8-394F-4D4A-A34B-02A5371EB6F5}">
    <text>Equation 28</text>
  </threadedComment>
  <threadedComment ref="E21" dT="2025-01-07T19:38:00.39" personId="{00000000-0000-0000-0000-000000000000}" id="{502C8E63-FECD-4859-981D-63FF9C185B75}" parentId="{B2A293A8-394F-4D4A-A34B-02A5371EB6F5}">
    <text>Formula has been adapted to match the formula in the verra spreadsheet. The conversion factor for kg to t is located in equation 29</text>
  </threadedComment>
  <threadedComment ref="E22" dT="2025-01-07T20:02:12.62" personId="{00000000-0000-0000-0000-000000000000}" id="{E633E9F8-49C5-47F5-AC00-EF9F8165ED9D}">
    <text>Equation 30</text>
  </threadedComment>
  <threadedComment ref="E23" dT="2025-01-07T20:12:14.36" personId="{00000000-0000-0000-0000-000000000000}" id="{D203A002-57D1-4DF6-BC51-B879F5A14699}">
    <text>Equation 27</text>
  </threadedComment>
</ThreadedComments>
</file>

<file path=xl/threadedComments/threadedComment46.xml><?xml version="1.0" encoding="utf-8"?>
<ThreadedComments xmlns="http://schemas.microsoft.com/office/spreadsheetml/2018/threadedcomments" xmlns:x="http://schemas.openxmlformats.org/spreadsheetml/2006/main">
  <threadedComment ref="E13" dT="2025-01-07T19:29:42.63" personId="{00000000-0000-0000-0000-000000000000}" id="{5059056F-5B02-4EF9-9835-D200BC202691}">
    <text>Equation 29</text>
  </threadedComment>
  <threadedComment ref="E13" dT="2025-01-07T19:32:54.21" personId="{00000000-0000-0000-0000-000000000000}" id="{5742312A-F48D-4108-804A-ACD518A5B761}" parentId="{5059056F-5B02-4EF9-9835-D200BC202691}">
    <text>Based off the excel from Verra this formula has a conversion factor from kg to t that is not illustrated in equation 29</text>
  </threadedComment>
  <threadedComment ref="E18" dT="2025-01-07T19:38:48.26" personId="{00000000-0000-0000-0000-000000000000}" id="{1972BA1F-1FCA-4582-9AC1-D63D37CEE909}">
    <text>Equation 32</text>
  </threadedComment>
  <threadedComment ref="E19" dT="2025-01-07T20:02:12.62" personId="{00000000-0000-0000-0000-000000000000}" id="{AA30C970-C4C8-4364-B0B4-E9C6F47129A0}">
    <text>Equation 31</text>
  </threadedComment>
</ThreadedComments>
</file>

<file path=xl/threadedComments/threadedComment47.xml><?xml version="1.0" encoding="utf-8"?>
<ThreadedComments xmlns="http://schemas.microsoft.com/office/spreadsheetml/2018/threadedcomments" xmlns:x="http://schemas.openxmlformats.org/spreadsheetml/2006/main">
  <threadedComment ref="E14" dT="2025-01-07T19:29:42.63" personId="{00000000-0000-0000-0000-000000000000}" id="{E4500F15-335D-46F8-A507-C864E9E958D0}">
    <text>Equation 29</text>
  </threadedComment>
  <threadedComment ref="E14" dT="2025-01-07T19:32:54.21" personId="{00000000-0000-0000-0000-000000000000}" id="{052CBC77-78BD-467A-A888-8672D2DF6145}" parentId="{E4500F15-335D-46F8-A507-C864E9E958D0}">
    <text>Based off the excel from Verra this formula has a conversion factor from kg to t that is not illustrated in equation 29</text>
  </threadedComment>
  <threadedComment ref="E19" dT="2025-01-07T19:38:48.26" personId="{00000000-0000-0000-0000-000000000000}" id="{31085EB5-938E-4EB4-86AD-82B581E91865}">
    <text>Equation 32</text>
  </threadedComment>
  <threadedComment ref="E20" dT="2025-01-07T20:02:12.62" personId="{00000000-0000-0000-0000-000000000000}" id="{C2B1F804-E775-4C36-8CBE-04C09B741249}">
    <text>Equation 31</text>
  </threadedComment>
  <threadedComment ref="E21" dT="2025-01-07T19:35:12.52" personId="{00000000-0000-0000-0000-000000000000}" id="{C5F332E5-28FB-4676-B564-DE4702E80DCA}">
    <text>Equation 28</text>
  </threadedComment>
  <threadedComment ref="E21" dT="2025-01-07T19:38:00.39" personId="{00000000-0000-0000-0000-000000000000}" id="{33636AC2-9E32-48EB-80C3-E5FDFA0E15F1}" parentId="{C5F332E5-28FB-4676-B564-DE4702E80DCA}">
    <text>Formula has been adapted to match the formula in the verra spreadsheet. The conversion factor for kg to t is located in equation 29</text>
  </threadedComment>
  <threadedComment ref="E22" dT="2025-01-07T20:02:12.62" personId="{00000000-0000-0000-0000-000000000000}" id="{58991F06-BB7B-4868-97AD-0E1A7BA11E90}">
    <text>Equation 30</text>
  </threadedComment>
  <threadedComment ref="E23" dT="2025-01-07T20:12:14.36" personId="{00000000-0000-0000-0000-000000000000}" id="{A06F6E77-6C63-4CFC-8AA6-AD183A654D3F}">
    <text>Equation 27</text>
  </threadedComment>
</ThreadedComments>
</file>

<file path=xl/threadedComments/threadedComment48.xml><?xml version="1.0" encoding="utf-8"?>
<ThreadedComments xmlns="http://schemas.microsoft.com/office/spreadsheetml/2018/threadedcomments" xmlns:x="http://schemas.openxmlformats.org/spreadsheetml/2006/main">
  <threadedComment ref="E13" dT="2025-01-07T19:29:42.63" personId="{00000000-0000-0000-0000-000000000000}" id="{355B94D9-C49A-40C7-A99C-EB5A0FF46C0B}">
    <text>Equation 29</text>
  </threadedComment>
  <threadedComment ref="E13" dT="2025-01-07T19:32:54.21" personId="{00000000-0000-0000-0000-000000000000}" id="{F0059674-BCF5-4062-AE59-6834C34FD32D}" parentId="{355B94D9-C49A-40C7-A99C-EB5A0FF46C0B}">
    <text>Based off the excel from Verra this formula has a conversion factor from kg to t that is not illustrated in equation 29</text>
  </threadedComment>
  <threadedComment ref="E18" dT="2025-01-07T19:38:48.26" personId="{00000000-0000-0000-0000-000000000000}" id="{DD5E0262-6770-4A48-A3E3-C88F7149BA2D}">
    <text>Equation 32</text>
  </threadedComment>
  <threadedComment ref="E19" dT="2025-01-07T20:02:12.62" personId="{00000000-0000-0000-0000-000000000000}" id="{424273CD-BBDD-4980-8559-A1995149C2B1}">
    <text>Equation 31</text>
  </threadedComment>
</ThreadedComments>
</file>

<file path=xl/threadedComments/threadedComment49.xml><?xml version="1.0" encoding="utf-8"?>
<ThreadedComments xmlns="http://schemas.microsoft.com/office/spreadsheetml/2018/threadedcomments" xmlns:x="http://schemas.openxmlformats.org/spreadsheetml/2006/main">
  <threadedComment ref="E10" dT="2025-01-07T17:41:02.28" personId="{00000000-0000-0000-0000-000000000000}" id="{B71ADFCE-B6A8-4A98-AD84-EA8A9499F727}">
    <text>Equation 26</text>
  </threadedComment>
  <threadedComment ref="E11" dT="2025-01-07T18:57:06.75" personId="{00000000-0000-0000-0000-000000000000}" id="{90EA0739-19E1-4570-B6F7-DA6A1423DF17}">
    <text>Equation 25</text>
  </threadedComment>
</ThreadedComments>
</file>

<file path=xl/threadedComments/threadedComment5.xml><?xml version="1.0" encoding="utf-8"?>
<ThreadedComments xmlns="http://schemas.microsoft.com/office/spreadsheetml/2018/threadedcomments" xmlns:x="http://schemas.openxmlformats.org/spreadsheetml/2006/main">
  <threadedComment ref="G15" dT="2025-01-23T18:15:37.37" personId="{00000000-0000-0000-0000-000000000000}" id="{B9C94464-750E-4C9E-A390-025FC3FF8679}">
    <text>Can this value be set to 0 if the schema is hidden/ not required from the user?</text>
  </threadedComment>
</ThreadedComments>
</file>

<file path=xl/threadedComments/threadedComment50.xml><?xml version="1.0" encoding="utf-8"?>
<ThreadedComments xmlns="http://schemas.microsoft.com/office/spreadsheetml/2018/threadedcomments" xmlns:x="http://schemas.openxmlformats.org/spreadsheetml/2006/main">
  <threadedComment ref="E10" dT="2025-01-07T17:41:02.28" personId="{00000000-0000-0000-0000-000000000000}" id="{BC129AA2-ADFF-4B05-976D-7EB98E602269}">
    <text>Equation 26</text>
  </threadedComment>
  <threadedComment ref="E11" dT="2025-01-07T18:57:06.75" personId="{00000000-0000-0000-0000-000000000000}" id="{F2A749C1-ABCA-4FE9-99C4-336C85939716}">
    <text>Equation 25</text>
  </threadedComment>
</ThreadedComments>
</file>

<file path=xl/threadedComments/threadedComment51.xml><?xml version="1.0" encoding="utf-8"?>
<ThreadedComments xmlns="http://schemas.microsoft.com/office/spreadsheetml/2018/threadedcomments" xmlns:x="http://schemas.openxmlformats.org/spreadsheetml/2006/main">
  <threadedComment ref="E12" dT="2025-01-06T21:11:11.03" personId="{00000000-0000-0000-0000-000000000000}" id="{76D4C954-8DD5-4559-91E6-F3D87BB95B33}">
    <text>Equation 33</text>
  </threadedComment>
</ThreadedComments>
</file>

<file path=xl/threadedComments/threadedComment52.xml><?xml version="1.0" encoding="utf-8"?>
<ThreadedComments xmlns="http://schemas.microsoft.com/office/spreadsheetml/2018/threadedcomments" xmlns:x="http://schemas.openxmlformats.org/spreadsheetml/2006/main">
  <threadedComment ref="E12" dT="2025-01-06T21:11:11.03" personId="{00000000-0000-0000-0000-000000000000}" id="{0012A81F-426A-45E2-8604-F8D02DA91DA3}">
    <text>Equation 33</text>
  </threadedComment>
</ThreadedComments>
</file>

<file path=xl/threadedComments/threadedComment53.xml><?xml version="1.0" encoding="utf-8"?>
<ThreadedComments xmlns="http://schemas.microsoft.com/office/spreadsheetml/2018/threadedcomments" xmlns:x="http://schemas.openxmlformats.org/spreadsheetml/2006/main">
  <threadedComment ref="E13" dT="2025-01-24T21:11:36.74" personId="{00000000-0000-0000-0000-000000000000}" id="{A2DA6416-577F-4313-B3C4-8C8D106F7FBC}">
    <text>Equation 9</text>
  </threadedComment>
  <threadedComment ref="E15" dT="2025-01-24T21:11:58.89" personId="{00000000-0000-0000-0000-000000000000}" id="{03788E46-BB8B-42A2-8CDC-739CDFEAC8CB}">
    <text>Equation 10</text>
  </threadedComment>
  <threadedComment ref="E16" dT="2025-01-24T21:12:11.78" personId="{00000000-0000-0000-0000-000000000000}" id="{F6F8A7B0-4A5E-4B58-8C4F-F76A97E11D3A}">
    <text>CFTREE for equation 10</text>
  </threadedComment>
  <threadedComment ref="E17" dT="2025-01-24T21:12:25.46" personId="{00000000-0000-0000-0000-000000000000}" id="{C37A8E4F-004B-45CE-8429-16FEFE84F61D}">
    <text>bForest for equation 10</text>
  </threadedComment>
  <threadedComment ref="E18" dT="2025-01-24T21:12:40.25" personId="{00000000-0000-0000-0000-000000000000}" id="{955C72FA-66E4-416C-A2E0-415F6E9BA26B}">
    <text>RTREE for equation 10</text>
  </threadedComment>
  <threadedComment ref="E19" dT="2025-01-24T21:12:53.39" personId="{00000000-0000-0000-0000-000000000000}" id="{0BA117C8-3792-492D-88D7-1C118C8417C2}">
    <text>CCREE_BSL_i for equation 10</text>
  </threadedComment>
  <threadedComment ref="E20" dT="2025-01-24T21:13:03.79" personId="{00000000-0000-0000-0000-000000000000}" id="{904DB4D2-0CAE-4B8A-AE1C-DF9BC5FD13AD}">
    <text>Ai for equation 10</text>
  </threadedComment>
  <threadedComment ref="E22" dT="2025-01-24T21:08:37.93" personId="{00000000-0000-0000-0000-000000000000}" id="{5E733C81-4551-4BDA-B447-ED9473D2F9E6}">
    <text>Equation 3</text>
  </threadedComment>
  <threadedComment ref="E23" dT="2025-01-24T21:07:54.22" personId="{00000000-0000-0000-0000-000000000000}" id="{4EBDEF83-05C4-48CA-A9E2-FE8D9AEAC3E8}">
    <text>CFTREE for equation 3</text>
  </threadedComment>
  <threadedComment ref="E24" dT="2025-01-24T21:05:19.59" personId="{00000000-0000-0000-0000-000000000000}" id="{E4435F88-D69A-43F8-9454-2E6B2F2BA5F7}">
    <text>Equation 4</text>
  </threadedComment>
  <threadedComment ref="E25" dT="2025-01-24T21:07:32.01" personId="{00000000-0000-0000-0000-000000000000}" id="{1468C7BE-AB9B-4CEF-AB88-5495F4EBDE33}">
    <text>Equation 5</text>
  </threadedComment>
  <threadedComment ref="E26" dT="2025-01-24T21:05:51.80" personId="{00000000-0000-0000-0000-000000000000}" id="{3C3C9E9C-F8AE-4B37-A600-ED8DC2BE5A01}">
    <text>A for equation 4</text>
  </threadedComment>
  <threadedComment ref="E27" dT="2025-01-24T21:06:24.35" personId="{00000000-0000-0000-0000-000000000000}" id="{05521671-1CA5-4BF0-97FF-F918032DA01C}">
    <text>Equation 6</text>
  </threadedComment>
  <threadedComment ref="E28" dT="2025-01-24T21:06:48.46" personId="{00000000-0000-0000-0000-000000000000}" id="{7D9A897D-A006-4446-BE20-15A6542544FA}">
    <text>tVAL for equation 6</text>
  </threadedComment>
  <threadedComment ref="E30" dT="2025-01-24T21:56:24.85" personId="{00000000-0000-0000-0000-000000000000}" id="{5BF86A92-6D67-4B14-85FD-CF1AC9C79137}">
    <text>Equation 7</text>
  </threadedComment>
  <threadedComment ref="E31" dT="2025-01-24T21:59:35.41" personId="{00000000-0000-0000-0000-000000000000}" id="{BDACCBCE-54AB-4F68-919B-ECAE5F86AC3C}">
    <text>wi for equation 6</text>
  </threadedComment>
  <threadedComment ref="E32" dT="2025-01-24T21:58:30.81" personId="{00000000-0000-0000-0000-000000000000}" id="{802874EB-6B15-4AA5-A71D-D38BBBBC3697}">
    <text>Equation 8</text>
  </threadedComment>
  <threadedComment ref="E33" dT="2025-01-24T21:58:47.27" personId="{00000000-0000-0000-0000-000000000000}" id="{CCF18DEC-C9C2-402D-9B01-A355CA89C7D1}">
    <text>ni for equation 8</text>
  </threadedComment>
  <threadedComment ref="E35" dT="2025-01-24T21:57:53.17" personId="{00000000-0000-0000-0000-000000000000}" id="{CC2771C1-A74F-44EB-9D5B-3ABE261CDA1E}">
    <text>Change in bTREE,p,i for equation 7</text>
  </threadedComment>
  <threadedComment ref="E35" dT="2025-01-29T17:16:59.31" personId="{00000000-0000-0000-0000-000000000000}" id="{127CE514-B7C5-41CF-B2D9-E62C5374F946}" parentId="{CC2771C1-A74F-44EB-9D5B-3ABE261CDA1E}">
    <text>Needs to be a stand alone sub schema for p</text>
  </threadedComment>
  <threadedComment ref="E37" dT="2025-01-24T22:02:33.42" personId="{00000000-0000-0000-0000-000000000000}" id="{8BDC209F-2617-4C5F-A243-89F2F34073B2}">
    <text>CTREE,t1 for equation 1</text>
  </threadedComment>
  <threadedComment ref="E38" dT="2025-01-24T22:02:16.16" personId="{00000000-0000-0000-0000-000000000000}" id="{12A1320A-332F-4C08-A599-E7C5B9463683}">
    <text>CTREE,t2 for equation 1</text>
  </threadedComment>
  <threadedComment ref="E39" dT="2025-01-24T22:02:01.41" personId="{00000000-0000-0000-0000-000000000000}" id="{1CFDC3E3-0130-410B-863E-7D68A283FA87}">
    <text>u1 for equation 2</text>
  </threadedComment>
  <threadedComment ref="E40" dT="2025-01-24T22:01:50.45" personId="{00000000-0000-0000-0000-000000000000}" id="{7AF6B9F0-4447-48B2-A3AA-1F265C92AD30}">
    <text>u2 for equation 2</text>
  </threadedComment>
  <threadedComment ref="E41" dT="2025-01-24T22:01:36.31" personId="{00000000-0000-0000-0000-000000000000}" id="{2927EEF2-8801-4B76-A340-92A94A07756E}">
    <text>Equation 2</text>
  </threadedComment>
  <threadedComment ref="E42" dT="2025-01-24T22:01:03.12" personId="{00000000-0000-0000-0000-000000000000}" id="{BE179E28-58C0-436A-9A86-678E84D13D08}">
    <text>Equation 1</text>
  </threadedComment>
  <threadedComment ref="E43" dT="2025-01-24T22:01:11.44" personId="{00000000-0000-0000-0000-000000000000}" id="{5E5E3A9E-3C18-4AB3-9287-44F0F38F07F5}">
    <text>Equation 2</text>
  </threadedComment>
  <threadedComment ref="E45" dT="2025-01-24T21:14:26.89" personId="{00000000-0000-0000-0000-000000000000}" id="{F5202DB1-EE97-49A7-83A1-C3FB44D57872}">
    <text>Equation 11</text>
  </threadedComment>
  <threadedComment ref="E46" dT="2025-01-24T21:14:43.23" personId="{00000000-0000-0000-0000-000000000000}" id="{24858AA3-9626-44A4-B142-C6B855C3F92A}">
    <text>CTREE,t2 for equation 11</text>
  </threadedComment>
  <threadedComment ref="E47" dT="2025-01-24T21:14:56.44" personId="{00000000-0000-0000-0000-000000000000}" id="{9203562D-94FA-4AE2-81AB-7733441A51E6}">
    <text>CTREE,t1 for equation 11</text>
  </threadedComment>
  <threadedComment ref="E48" dT="2025-01-24T21:15:24.60" personId="{00000000-0000-0000-0000-000000000000}" id="{D7FBD0B2-8CB8-455D-A7E5-F8DDAA01DF2B}">
    <text>T for equation 11</text>
  </threadedComment>
  <threadedComment ref="E52" dT="2025-01-24T21:23:49.18" personId="{00000000-0000-0000-0000-000000000000}" id="{E9071AA9-193F-4531-BE7C-500E121F0C5C}">
    <text>Equation 22</text>
  </threadedComment>
  <threadedComment ref="E53" dT="2025-01-24T21:24:05.82" personId="{00000000-0000-0000-0000-000000000000}" id="{4602E67E-8BA2-4CDE-8F97-28BEBA017F54}">
    <text>CTREE,t1 for equation 22</text>
  </threadedComment>
  <threadedComment ref="E54" dT="2025-01-24T21:24:35.78" personId="{00000000-0000-0000-0000-000000000000}" id="{0C4F30CC-D244-42D7-87A5-6C697E07170E}">
    <text>Change in CTREE for equation 22</text>
  </threadedComment>
  <threadedComment ref="E55" dT="2025-01-24T21:25:15.22" personId="{00000000-0000-0000-0000-000000000000}" id="{F0AA9B54-82B0-45CC-A060-CA974444EA74}">
    <text>U_c for equation 23</text>
  </threadedComment>
  <threadedComment ref="E56" dT="2025-01-29T17:30:04.87" personId="{00000000-0000-0000-0000-000000000000}" id="{0232146F-4C1B-4D74-B99C-08793C210AC7}">
    <text>Equation 23</text>
  </threadedComment>
  <threadedComment ref="E57" dT="2025-01-24T21:25:56.99" personId="{00000000-0000-0000-0000-000000000000}" id="{E7EA774F-1031-4641-8B54-687E7D4F16A6}">
    <text>Uncertainty for t1 also equation 23</text>
  </threadedComment>
  <threadedComment ref="E70" dT="2025-01-24T21:18:44.52" personId="{00000000-0000-0000-0000-000000000000}" id="{83440962-450F-457A-92E5-58B6347048B4}">
    <text>Equation 20</text>
  </threadedComment>
  <threadedComment ref="E72" dT="2025-01-24T21:28:15.15" personId="{00000000-0000-0000-0000-000000000000}" id="{BBC1FE44-215E-4F72-AE67-3B9A91A44165}">
    <text>Equation 21</text>
  </threadedComment>
  <threadedComment ref="E73" dT="2025-01-24T21:28:26.27" personId="{00000000-0000-0000-0000-000000000000}" id="{5F2A7A55-28B5-40EA-9063-EF5C5F31A18B}">
    <text>CFTREE for equation 21</text>
  </threadedComment>
  <threadedComment ref="E74" dT="2025-01-24T21:29:02.29" personId="{00000000-0000-0000-0000-000000000000}" id="{FA2E60AA-9720-47E5-954D-87CAB158BBB3}">
    <text>BfOREST for equation 21</text>
  </threadedComment>
  <threadedComment ref="E75" dT="2025-01-24T21:29:13.76" personId="{00000000-0000-0000-0000-000000000000}" id="{9D0C3B99-262E-49DA-8972-3ACBB5B2B8F0}">
    <text>RTREE for equation 21</text>
  </threadedComment>
  <threadedComment ref="E76" dT="2025-01-24T21:29:35.41" personId="{00000000-0000-0000-0000-000000000000}" id="{D634729D-3151-4616-ADA7-D3C52FABF271}">
    <text>CCTREE_BSL,i for equation 21</text>
  </threadedComment>
  <threadedComment ref="E77" dT="2025-01-24T21:29:49.14" personId="{00000000-0000-0000-0000-000000000000}" id="{33E7E4F4-560C-4012-8F8E-5263092A9A0E}">
    <text>Ai for equation 21</text>
  </threadedComment>
  <threadedComment ref="E81" dT="2025-01-24T21:32:22.56" personId="{00000000-0000-0000-0000-000000000000}" id="{15A3B917-D839-45F2-91B0-A1C867BFF870}">
    <text>Equation 12</text>
  </threadedComment>
  <threadedComment ref="E82" dT="2025-01-24T21:32:39.66" personId="{00000000-0000-0000-0000-000000000000}" id="{0CCDA532-09B5-4B74-A904-B29A2BCA6ABD}">
    <text>CFTRRE for equation 12</text>
  </threadedComment>
  <threadedComment ref="E83" dT="2025-01-24T21:32:59.13" personId="{00000000-0000-0000-0000-000000000000}" id="{73164F28-E1C6-479D-BCC8-7412C055676C}">
    <text>Equation 13</text>
  </threadedComment>
  <threadedComment ref="E84" dT="2025-01-24T21:33:11.67" personId="{00000000-0000-0000-0000-000000000000}" id="{CFE578CB-14B6-42DC-944D-75403D63E76A}">
    <text>A for equation 13</text>
  </threadedComment>
  <threadedComment ref="E85" dT="2025-01-24T21:33:49.53" personId="{00000000-0000-0000-0000-000000000000}" id="{FA50C837-CEB5-4A90-A333-A1EE08F5D4E1}">
    <text>Equation 14</text>
  </threadedComment>
  <threadedComment ref="E86" dT="2025-01-24T21:34:10.73" personId="{00000000-0000-0000-0000-000000000000}" id="{7302C589-C321-4976-BE16-3C3F4EF4F85E}">
    <text>Equation 15</text>
  </threadedComment>
  <threadedComment ref="E87" dT="2025-01-24T21:34:26.85" personId="{00000000-0000-0000-0000-000000000000}" id="{9DE4CC99-0650-4F07-8D9D-F05EA8A5AF85}">
    <text>tVAL for equation 15</text>
  </threadedComment>
  <threadedComment ref="E89" dT="2025-01-24T21:35:06.61" personId="{00000000-0000-0000-0000-000000000000}" id="{F3AB9CB1-E228-4B80-B222-A0A14477DFB2}">
    <text>Equation 16</text>
  </threadedComment>
  <threadedComment ref="E90" dT="2025-01-24T21:35:40.02" personId="{00000000-0000-0000-0000-000000000000}" id="{E5AE16B6-97F1-4395-917E-A742C86E8260}">
    <text>Wi for equation 15</text>
  </threadedComment>
  <threadedComment ref="E91" dT="2025-01-24T21:36:34.63" personId="{00000000-0000-0000-0000-000000000000}" id="{76353004-47E8-4C3D-BBB6-450BC56D8251}">
    <text>Equation 17</text>
  </threadedComment>
  <threadedComment ref="E92" dT="2025-01-24T21:36:51.04" personId="{00000000-0000-0000-0000-000000000000}" id="{16199F2B-C986-428B-A710-83C32483F5EB}">
    <text>ni for equation 17</text>
  </threadedComment>
  <threadedComment ref="E94" dT="2025-01-24T21:36:16.10" personId="{00000000-0000-0000-0000-000000000000}" id="{AD940187-DE8B-4656-A774-19DC6DDBF8FF}">
    <text>bTREE,p,i, for equation 17</text>
  </threadedComment>
  <threadedComment ref="E94" dT="2025-01-29T17:39:36.47" personId="{00000000-0000-0000-0000-000000000000}" id="{32317B74-8480-4EDC-99E6-BDA8BE222F2E}" parentId="{AD940187-DE8B-4656-A774-19DC6DDBF8FF}">
    <text>Needs a subschema for p</text>
  </threadedComment>
  <threadedComment ref="E96" dT="2025-01-24T21:38:04.67" personId="{00000000-0000-0000-0000-000000000000}" id="{5E5700E0-C6FD-40D5-90DA-193EB85EC098}">
    <text>Equation 12?</text>
  </threadedComment>
  <threadedComment ref="E97" dT="2025-01-24T21:38:15.63" personId="{00000000-0000-0000-0000-000000000000}" id="{BD127ECA-2317-49CD-BD92-F68FE6E106C6}">
    <text>CFTREE for equation 12</text>
  </threadedComment>
  <threadedComment ref="E98" dT="2025-01-24T21:38:35.72" personId="{00000000-0000-0000-0000-000000000000}" id="{8C0725E6-44EB-4B96-8844-AC518E68C7FA}">
    <text>Equation 13</text>
  </threadedComment>
  <threadedComment ref="E99" dT="2025-01-24T21:38:48.89" personId="{00000000-0000-0000-0000-000000000000}" id="{6B4B74B5-F45E-4F30-BD14-A544889D6ABC}">
    <text>A for equation 13</text>
  </threadedComment>
  <threadedComment ref="E100" dT="2025-01-24T21:39:01.30" personId="{00000000-0000-0000-0000-000000000000}" id="{082C0E84-1315-44E0-86AC-0EB0D945BA9D}">
    <text>Equation 14</text>
  </threadedComment>
  <threadedComment ref="E101" dT="2025-01-24T21:40:03.74" personId="{00000000-0000-0000-0000-000000000000}" id="{059332D0-EA06-4C72-9BC8-E30365544A75}">
    <text>Equation 15</text>
  </threadedComment>
  <threadedComment ref="E102" dT="2025-01-24T21:39:23.91" personId="{00000000-0000-0000-0000-000000000000}" id="{C7C12D9F-3899-4B13-A357-4DF462CF61E7}">
    <text>TVAL for equation 15</text>
  </threadedComment>
  <threadedComment ref="E104" dT="2025-01-24T21:40:13.24" personId="{00000000-0000-0000-0000-000000000000}" id="{3E49D82C-89B4-4B91-815C-05111D2B28CC}">
    <text>Equation 18</text>
  </threadedComment>
  <threadedComment ref="E105" dT="2025-01-24T21:41:35.54" personId="{00000000-0000-0000-0000-000000000000}" id="{812E5C60-7340-45E4-A735-6CB0B1C7B2C2}">
    <text>ni for equation 19</text>
  </threadedComment>
  <threadedComment ref="E106" dT="2025-01-24T21:41:53.24" personId="{00000000-0000-0000-0000-000000000000}" id="{0A6CC6B1-7017-4E74-9103-E9D8BAC5562A}">
    <text>Slope for equation 18</text>
  </threadedComment>
  <threadedComment ref="E107" dT="2025-01-24T21:42:04.37" personId="{00000000-0000-0000-0000-000000000000}" id="{F2618E0F-7C6A-493A-A8A3-5522D7C1B11D}">
    <text>For equation 18</text>
  </threadedComment>
  <threadedComment ref="E108" dT="2025-01-24T21:42:11.80" personId="{00000000-0000-0000-0000-000000000000}" id="{EC3F54A8-D0F3-46C2-9D57-78C025AC4A85}">
    <text>For equation 18</text>
  </threadedComment>
  <threadedComment ref="E109" dT="2025-01-24T21:42:31.87" personId="{00000000-0000-0000-0000-000000000000}" id="{24D7B668-B7D8-4AB5-B723-093B7553394D}">
    <text>Equation 19</text>
  </threadedComment>
  <threadedComment ref="E110" dT="2025-01-24T21:42:48.27" personId="{00000000-0000-0000-0000-000000000000}" id="{283BD815-95D9-4CCE-B841-56586F86C8F7}">
    <text>a for equation 19</text>
  </threadedComment>
  <threadedComment ref="E111" dT="2025-01-24T21:43:00.46" personId="{00000000-0000-0000-0000-000000000000}" id="{E3063BFD-5ACB-4A7F-80E2-BA4FDD064F81}">
    <text>P for equation 19</text>
  </threadedComment>
  <threadedComment ref="E113" dT="2025-01-24T21:41:20.14" personId="{00000000-0000-0000-0000-000000000000}" id="{13AF473C-9695-4721-9219-EDE03AB82F91}">
    <text>bTREE,p,i for equation 18</text>
  </threadedComment>
  <threadedComment ref="E113" dT="2025-01-29T17:42:04.91" personId="{00000000-0000-0000-0000-000000000000}" id="{B911FF04-6DEA-4EF6-9A23-F29D0748DBB2}" parentId="{13AF473C-9695-4721-9219-EDE03AB82F91}">
    <text>Needs subschema for p</text>
  </threadedComment>
  <threadedComment ref="E114" dT="2025-01-24T21:43:35.34" personId="{00000000-0000-0000-0000-000000000000}" id="{2ED77254-58DA-44D8-A40F-CD2D9B0F8716}">
    <text>date</text>
  </threadedComment>
  <threadedComment ref="E123" dT="2025-01-24T21:44:01.28" personId="{00000000-0000-0000-0000-000000000000}" id="{20D5659D-4699-4893-8E4B-4F316804CC25}">
    <text>Equation 24</text>
  </threadedComment>
  <threadedComment ref="E124" dT="2025-01-24T21:44:20.88" personId="{00000000-0000-0000-0000-000000000000}" id="{C67E27EB-FEE2-4464-A14D-D9D86E14B4E0}">
    <text>CSHRUB,t2 for equation 24</text>
  </threadedComment>
  <threadedComment ref="E125" dT="2025-01-24T21:44:33.20" personId="{00000000-0000-0000-0000-000000000000}" id="{FCCE1956-37C4-41A1-BEA9-ABEB15BF0494}">
    <text>CSHRUB,t1 for equation 24</text>
  </threadedComment>
  <threadedComment ref="E127" dT="2025-01-24T21:44:43.38" personId="{00000000-0000-0000-0000-000000000000}" id="{9B1A0702-94AE-4175-B465-693B65A851A6}">
    <text>Equation 25</text>
  </threadedComment>
  <threadedComment ref="E128" dT="2025-01-24T21:45:05.85" personId="{00000000-0000-0000-0000-000000000000}" id="{59B7B12F-1F7D-48AA-A3CD-27ADE5E1145F}">
    <text>Change in CSHRUB,t2 for equation 25</text>
  </threadedComment>
  <threadedComment ref="E129" dT="2025-01-24T21:45:24.22" personId="{00000000-0000-0000-0000-000000000000}" id="{1D4A7B67-5F15-491B-8DFA-0FDC94A401E6}">
    <text>Change in CSHRUB,t1 for equation 25</text>
  </threadedComment>
  <threadedComment ref="E130" dT="2025-01-24T21:45:34.17" personId="{00000000-0000-0000-0000-000000000000}" id="{D01745E5-FA75-497E-BAED-A844E41FB863}">
    <text>T for equation 25</text>
  </threadedComment>
  <threadedComment ref="E132" dT="2025-01-24T21:45:46.77" personId="{00000000-0000-0000-0000-000000000000}" id="{C532E408-759F-40DF-B64F-A16A42602DB3}">
    <text>Equation 26</text>
  </threadedComment>
  <threadedComment ref="E133" dT="2025-01-24T21:46:01.64" personId="{00000000-0000-0000-0000-000000000000}" id="{44F95F42-4018-4A84-A8C3-C18D03E7C062}">
    <text>CFs for equation 26</text>
  </threadedComment>
  <threadedComment ref="E134" dT="2025-01-24T21:46:11.67" personId="{00000000-0000-0000-0000-000000000000}" id="{DA3712B9-ED33-43D3-AC0E-BCADDF7D4DAA}">
    <text>Rs for equation 26</text>
  </threadedComment>
  <threadedComment ref="E136" dT="2025-01-24T21:46:51.75" personId="{00000000-0000-0000-0000-000000000000}" id="{D497BA40-A3A9-4769-AA7D-410167AF4F47}">
    <text>BDRSF for equation 27</text>
  </threadedComment>
  <threadedComment ref="E137" dT="2025-01-24T21:47:05.79" personId="{00000000-0000-0000-0000-000000000000}" id="{D5BB9B14-3667-4956-A619-148286074407}">
    <text>bFOREST for equation 27</text>
  </threadedComment>
  <threadedComment ref="E138" dT="2025-01-24T21:47:20.17" personId="{00000000-0000-0000-0000-000000000000}" id="{6BEBF767-428E-4D18-A1A4-94901C927605}">
    <text>CCSHRUB,i for equation 27</text>
  </threadedComment>
  <threadedComment ref="E139" dT="2025-01-24T21:47:37.60" personId="{00000000-0000-0000-0000-000000000000}" id="{FA1E31D0-9C91-408A-9999-BBCCA1814631}">
    <text>ASHRUB,i for equation 26</text>
  </threadedComment>
  <threadedComment ref="E140" dT="2025-01-24T21:47:51.92" personId="{00000000-0000-0000-0000-000000000000}" id="{5004B49F-7D47-4223-ACEF-090672E84D2B}">
    <text>Equation 27</text>
  </threadedComment>
  <threadedComment ref="E151" dT="2025-01-24T21:08:37.93" personId="{00000000-0000-0000-0000-000000000000}" id="{FF27E513-22C8-4203-A80A-2D724F19DC5D}">
    <text>Equation 3</text>
  </threadedComment>
  <threadedComment ref="E152" dT="2025-01-24T21:07:54.22" personId="{00000000-0000-0000-0000-000000000000}" id="{A425C31F-242E-47CF-8F0D-682F257EE737}">
    <text>CFTREE for equation 3</text>
  </threadedComment>
  <threadedComment ref="E153" dT="2025-01-24T21:05:19.59" personId="{00000000-0000-0000-0000-000000000000}" id="{60A05EB7-F0A9-4D55-B5F2-9AA9EC7D98D9}">
    <text>Equation 4</text>
  </threadedComment>
  <threadedComment ref="E154" dT="2025-01-24T21:07:32.01" personId="{00000000-0000-0000-0000-000000000000}" id="{3132D038-72D3-4310-AE2D-6433D0EF0E8B}">
    <text>Equation 5</text>
  </threadedComment>
  <threadedComment ref="E155" dT="2025-01-24T21:05:51.80" personId="{00000000-0000-0000-0000-000000000000}" id="{4EE814D0-B39E-4616-A760-8AE5C41F332E}">
    <text>A for equation 4</text>
  </threadedComment>
  <threadedComment ref="E156" dT="2025-01-24T21:06:24.35" personId="{00000000-0000-0000-0000-000000000000}" id="{857CA048-2362-4F9A-A868-4B533BAB930C}">
    <text>Equation 6</text>
  </threadedComment>
  <threadedComment ref="E157" dT="2025-01-24T21:06:48.46" personId="{00000000-0000-0000-0000-000000000000}" id="{C3515B06-654C-450B-8C52-DC6418D76438}">
    <text>tVAL for equation 6</text>
  </threadedComment>
  <threadedComment ref="E159" dT="2025-01-24T21:56:24.85" personId="{00000000-0000-0000-0000-000000000000}" id="{F7BACA48-781B-443E-9E99-E8456ABE8C13}">
    <text>Equation 7</text>
  </threadedComment>
  <threadedComment ref="E160" dT="2025-01-24T21:59:35.41" personId="{00000000-0000-0000-0000-000000000000}" id="{55134DE6-4B37-4153-8F3A-6E2DEE3D6160}">
    <text>wi for equation 6</text>
  </threadedComment>
  <threadedComment ref="E161" dT="2025-01-24T21:58:30.81" personId="{00000000-0000-0000-0000-000000000000}" id="{70C8E84C-1518-4114-92A8-E2ADB12723CC}">
    <text>Equation 8</text>
  </threadedComment>
  <threadedComment ref="E162" dT="2025-01-24T21:58:47.27" personId="{00000000-0000-0000-0000-000000000000}" id="{EDBDEF12-8E83-410B-B974-6202D519B2D1}">
    <text>ni for equation 8</text>
  </threadedComment>
  <threadedComment ref="E164" dT="2025-01-24T21:57:53.17" personId="{00000000-0000-0000-0000-000000000000}" id="{091F0E25-AE92-47F3-8570-FE875A8AA43B}">
    <text>Change in bTREE,p,i for equation 7</text>
  </threadedComment>
  <threadedComment ref="E164" dT="2025-01-29T17:16:59.31" personId="{00000000-0000-0000-0000-000000000000}" id="{979AF916-DA8D-4367-BC1A-C7DA5B438BB8}" parentId="{091F0E25-AE92-47F3-8570-FE875A8AA43B}">
    <text>Needs to be a stand alone sub schema for p</text>
  </threadedComment>
  <threadedComment ref="E166" dT="2025-01-24T22:02:33.42" personId="{00000000-0000-0000-0000-000000000000}" id="{8A9DCB75-5FB1-4A16-9CD2-FF08735ECBD5}">
    <text>CTREE,t1 for equation 1</text>
  </threadedComment>
  <threadedComment ref="E167" dT="2025-01-24T22:02:16.16" personId="{00000000-0000-0000-0000-000000000000}" id="{5EA4BE49-577D-4A0E-A37A-410D66C70013}">
    <text>CTREE,t2 for equation 1</text>
  </threadedComment>
  <threadedComment ref="E168" dT="2025-01-24T22:02:01.41" personId="{00000000-0000-0000-0000-000000000000}" id="{C70B9FE9-B184-412A-BB1E-9516EF0858CF}">
    <text>u1 for equation 2</text>
  </threadedComment>
  <threadedComment ref="E169" dT="2025-01-24T22:01:50.45" personId="{00000000-0000-0000-0000-000000000000}" id="{D1464BD0-A1A8-4743-8EA6-77475EEABDA4}">
    <text>u2 for equation 2</text>
  </threadedComment>
  <threadedComment ref="E170" dT="2025-01-24T22:01:36.31" personId="{00000000-0000-0000-0000-000000000000}" id="{4BC28B02-AE9A-4DFD-95E0-53153AEB8326}">
    <text>Equation 2</text>
  </threadedComment>
  <threadedComment ref="E171" dT="2025-01-24T22:01:03.12" personId="{00000000-0000-0000-0000-000000000000}" id="{D96C7F2D-67BF-4A94-BA6D-9A975F4798EF}">
    <text>Equation 1</text>
  </threadedComment>
  <threadedComment ref="E172" dT="2025-01-24T22:01:11.44" personId="{00000000-0000-0000-0000-000000000000}" id="{C521B074-1742-4AA4-9630-EF62E0A1E27B}">
    <text>Equation 2</text>
  </threadedComment>
  <threadedComment ref="E174" dT="2025-01-24T21:14:26.89" personId="{00000000-0000-0000-0000-000000000000}" id="{CD28CD1C-F8CF-49C3-8467-2C81FE1F058C}">
    <text>Equation 11</text>
  </threadedComment>
  <threadedComment ref="E175" dT="2025-01-24T21:14:43.23" personId="{00000000-0000-0000-0000-000000000000}" id="{10DA2603-FA59-4728-949E-FB63EA830E58}">
    <text>CTREE,t2 for equation 11</text>
  </threadedComment>
  <threadedComment ref="E176" dT="2025-01-24T21:14:56.44" personId="{00000000-0000-0000-0000-000000000000}" id="{51F09FE4-2A06-4FD9-9A9B-330BD59D56E3}">
    <text>CTREE,t1 for equation 11</text>
  </threadedComment>
  <threadedComment ref="E177" dT="2025-01-24T21:15:24.60" personId="{00000000-0000-0000-0000-000000000000}" id="{C0F307B8-131C-4140-83BA-BFE709DBBC1F}">
    <text>T for equation 11</text>
  </threadedComment>
  <threadedComment ref="E181" dT="2025-01-24T21:23:49.18" personId="{00000000-0000-0000-0000-000000000000}" id="{15E75CA9-25F9-4266-BF34-3A2D06552FE6}">
    <text>Equation 22</text>
  </threadedComment>
  <threadedComment ref="E182" dT="2025-01-24T21:24:05.82" personId="{00000000-0000-0000-0000-000000000000}" id="{85BF9DB3-C1D5-4DC6-A0B9-AD72D55699D5}">
    <text>CTREE,t1 for equation 22</text>
  </threadedComment>
  <threadedComment ref="E183" dT="2025-01-24T21:24:35.78" personId="{00000000-0000-0000-0000-000000000000}" id="{FDF82E46-57FD-46B4-957A-32AC777061F7}">
    <text>Change in CTREE for equation 22</text>
  </threadedComment>
  <threadedComment ref="E184" dT="2025-01-24T21:25:15.22" personId="{00000000-0000-0000-0000-000000000000}" id="{618562D5-5174-468C-9844-F58079C4D308}">
    <text>U_c for equation 23</text>
  </threadedComment>
  <threadedComment ref="E185" dT="2025-01-29T17:30:04.87" personId="{00000000-0000-0000-0000-000000000000}" id="{052E5306-CA39-4180-9842-EC323D8A3073}">
    <text>Equation 23</text>
  </threadedComment>
  <threadedComment ref="E186" dT="2025-01-24T21:25:56.99" personId="{00000000-0000-0000-0000-000000000000}" id="{D923BFAA-0A79-4C80-BE76-D224BC6EF344}">
    <text>Uncertainty for t1 also equation 23</text>
  </threadedComment>
  <threadedComment ref="E201" dT="2025-01-24T21:32:22.56" personId="{00000000-0000-0000-0000-000000000000}" id="{7387312A-05A8-4F81-8515-2DFD2B5ECF84}">
    <text>Equation 12</text>
  </threadedComment>
  <threadedComment ref="E202" dT="2025-01-24T21:32:39.66" personId="{00000000-0000-0000-0000-000000000000}" id="{9FE15D15-D211-41B6-AD62-4010CA40190A}">
    <text>CFTRRE for equation 12</text>
  </threadedComment>
  <threadedComment ref="E203" dT="2025-01-24T21:32:59.13" personId="{00000000-0000-0000-0000-000000000000}" id="{0E771275-23BD-40FC-B1A6-746077492D14}">
    <text>Equation 13</text>
  </threadedComment>
  <threadedComment ref="E204" dT="2025-01-24T21:33:11.67" personId="{00000000-0000-0000-0000-000000000000}" id="{9FF8B4AD-B323-4C26-9DE1-771349BFA4C4}">
    <text>A for equation 13</text>
  </threadedComment>
  <threadedComment ref="E205" dT="2025-01-24T21:33:49.53" personId="{00000000-0000-0000-0000-000000000000}" id="{B80F6A94-55D8-4860-BCD9-026E2650BB68}">
    <text>Equation 14</text>
  </threadedComment>
  <threadedComment ref="E206" dT="2025-01-24T21:34:10.73" personId="{00000000-0000-0000-0000-000000000000}" id="{A93E8A48-94B4-49B1-9AC9-EB646EB4247C}">
    <text>Equation 15</text>
  </threadedComment>
  <threadedComment ref="E207" dT="2025-01-24T21:34:26.85" personId="{00000000-0000-0000-0000-000000000000}" id="{D0151522-456F-46E5-9FF4-A60C72C8045D}">
    <text>tVAL for equation 15</text>
  </threadedComment>
  <threadedComment ref="E209" dT="2025-01-24T21:35:06.61" personId="{00000000-0000-0000-0000-000000000000}" id="{C1FB4A20-7338-4A81-87C1-0A59E2284E2F}">
    <text>Equation 16</text>
  </threadedComment>
  <threadedComment ref="E210" dT="2025-01-24T21:35:40.02" personId="{00000000-0000-0000-0000-000000000000}" id="{2BCAB62C-522F-46AA-8547-701C74141A04}">
    <text>Wi for equation 15</text>
  </threadedComment>
  <threadedComment ref="E211" dT="2025-01-24T21:36:34.63" personId="{00000000-0000-0000-0000-000000000000}" id="{272E2227-EBD8-4A45-B1E3-27BBAF9E00E8}">
    <text>Equation 17</text>
  </threadedComment>
  <threadedComment ref="E212" dT="2025-01-24T21:36:51.04" personId="{00000000-0000-0000-0000-000000000000}" id="{933042E1-B104-4B93-AEA7-045EBC191D6C}">
    <text>ni for equation 17</text>
  </threadedComment>
  <threadedComment ref="E214" dT="2025-01-24T21:36:16.10" personId="{00000000-0000-0000-0000-000000000000}" id="{E4F7A59C-F5CC-47B8-8354-C2E6F06A09D1}">
    <text>bTREE,p,i, for equation 17</text>
  </threadedComment>
  <threadedComment ref="E214" dT="2025-01-29T17:39:36.47" personId="{00000000-0000-0000-0000-000000000000}" id="{7098D206-174D-4AD7-831F-E79EA987D19F}" parentId="{E4F7A59C-F5CC-47B8-8354-C2E6F06A09D1}">
    <text>Needs a subschema for p</text>
  </threadedComment>
  <threadedComment ref="E216" dT="2025-01-24T21:38:04.67" personId="{00000000-0000-0000-0000-000000000000}" id="{7EB2D8D3-EB8A-475E-B4D2-CDA290DA8A35}">
    <text>Equation 12?</text>
  </threadedComment>
  <threadedComment ref="E217" dT="2025-01-24T21:38:15.63" personId="{00000000-0000-0000-0000-000000000000}" id="{5A980EF1-3D60-40EC-A045-72D2B034D0F0}">
    <text>CFTREE for equation 12</text>
  </threadedComment>
  <threadedComment ref="E218" dT="2025-01-24T21:38:35.72" personId="{00000000-0000-0000-0000-000000000000}" id="{9ECF6183-9E7C-4025-94AF-CE80048B15FE}">
    <text>Equation 13</text>
  </threadedComment>
  <threadedComment ref="E219" dT="2025-01-24T21:38:48.89" personId="{00000000-0000-0000-0000-000000000000}" id="{CC32FB8F-DA1D-458E-B6E8-41F41C1633E9}">
    <text>A for equation 13</text>
  </threadedComment>
  <threadedComment ref="E220" dT="2025-01-24T21:39:01.30" personId="{00000000-0000-0000-0000-000000000000}" id="{2A200F3A-948E-4703-B779-1B2C556317E7}">
    <text>Equation 14</text>
  </threadedComment>
  <threadedComment ref="E221" dT="2025-01-24T21:40:03.74" personId="{00000000-0000-0000-0000-000000000000}" id="{B83142D4-3299-46BF-8222-B3D3CA9A22C9}">
    <text>Equation 15</text>
  </threadedComment>
  <threadedComment ref="E222" dT="2025-01-24T21:39:23.91" personId="{00000000-0000-0000-0000-000000000000}" id="{DF8447DC-5DB2-4B56-A139-6ABC4C7C3930}">
    <text>TVAL for equation 15</text>
  </threadedComment>
  <threadedComment ref="E224" dT="2025-01-24T21:40:13.24" personId="{00000000-0000-0000-0000-000000000000}" id="{F28C0C71-BDED-4DB1-9DC5-45D726161173}">
    <text>Equation 18</text>
  </threadedComment>
  <threadedComment ref="E225" dT="2025-01-24T21:41:35.54" personId="{00000000-0000-0000-0000-000000000000}" id="{E872C4CF-460F-4DDF-BCEC-313D6AC7221A}">
    <text>ni for equation 19</text>
  </threadedComment>
  <threadedComment ref="E226" dT="2025-01-24T21:41:53.24" personId="{00000000-0000-0000-0000-000000000000}" id="{FFD4D006-3B0C-4B8B-BECE-4C29B7387857}">
    <text>Slope for equation 18</text>
  </threadedComment>
  <threadedComment ref="E227" dT="2025-01-24T21:42:04.37" personId="{00000000-0000-0000-0000-000000000000}" id="{74DA82AF-B58C-4AA2-B7F5-03D576EB9A85}">
    <text>For equation 18</text>
  </threadedComment>
  <threadedComment ref="E228" dT="2025-01-24T21:42:11.80" personId="{00000000-0000-0000-0000-000000000000}" id="{611D0318-3B42-414D-875D-40F4CD3A1B34}">
    <text>For equation 18</text>
  </threadedComment>
  <threadedComment ref="E229" dT="2025-01-24T21:42:31.87" personId="{00000000-0000-0000-0000-000000000000}" id="{42C3111C-376F-4560-86E6-537EA3F976F7}">
    <text>Equation 19</text>
  </threadedComment>
  <threadedComment ref="E230" dT="2025-01-24T21:42:48.27" personId="{00000000-0000-0000-0000-000000000000}" id="{4BCA0EF1-E964-405F-B826-9C4A5F8BB6F7}">
    <text>a for equation 19</text>
  </threadedComment>
  <threadedComment ref="E231" dT="2025-01-24T21:43:00.46" personId="{00000000-0000-0000-0000-000000000000}" id="{55DF158F-1BB5-48E0-8B2A-55F5D7FD7549}">
    <text>P for equation 19</text>
  </threadedComment>
  <threadedComment ref="E233" dT="2025-01-24T21:41:20.14" personId="{00000000-0000-0000-0000-000000000000}" id="{FE950FD5-14D2-482B-8D28-3132014DD4FA}">
    <text>bTREE,p,i for equation 18</text>
  </threadedComment>
  <threadedComment ref="E233" dT="2025-01-29T17:42:04.91" personId="{00000000-0000-0000-0000-000000000000}" id="{7ACBAC70-FDFA-42A9-B244-9953F7247C45}" parentId="{FE950FD5-14D2-482B-8D28-3132014DD4FA}">
    <text>Needs subschema for p</text>
  </threadedComment>
  <threadedComment ref="E234" dT="2025-01-24T21:43:35.34" personId="{00000000-0000-0000-0000-000000000000}" id="{EC65FC57-39E5-442A-A659-C5E8066E76D5}">
    <text>date</text>
  </threadedComment>
  <threadedComment ref="E243" dT="2025-01-24T21:44:01.28" personId="{00000000-0000-0000-0000-000000000000}" id="{B5FF6FC2-0557-40A3-98C9-F5299BC363DD}">
    <text>Equation 24</text>
  </threadedComment>
  <threadedComment ref="E244" dT="2025-01-24T21:44:20.88" personId="{00000000-0000-0000-0000-000000000000}" id="{AC616D56-0F9A-4A53-8CCC-8BC14BC35DF4}">
    <text>CSHRUB,t2 for equation 24</text>
  </threadedComment>
  <threadedComment ref="E245" dT="2025-01-24T21:44:33.20" personId="{00000000-0000-0000-0000-000000000000}" id="{46CD349B-C866-431B-92EF-79A3CAB9E51B}">
    <text>CSHRUB,t1 for equation 24</text>
  </threadedComment>
  <threadedComment ref="E247" dT="2025-01-24T21:44:43.38" personId="{00000000-0000-0000-0000-000000000000}" id="{521ECBE9-F3BB-4620-80BF-B42D726C4B66}">
    <text>Equation 25</text>
  </threadedComment>
  <threadedComment ref="E248" dT="2025-01-24T21:45:05.85" personId="{00000000-0000-0000-0000-000000000000}" id="{75C1C3F6-1947-48FE-B8A5-AC7FDA6FE50E}">
    <text>Change in CSHRUB,t2 for equation 25</text>
  </threadedComment>
  <threadedComment ref="E249" dT="2025-01-24T21:45:24.22" personId="{00000000-0000-0000-0000-000000000000}" id="{CC366D50-1A0C-4024-89B3-4F93973CB600}">
    <text>Change in CSHRUB,t1 for equation 25</text>
  </threadedComment>
  <threadedComment ref="E250" dT="2025-01-24T21:45:34.17" personId="{00000000-0000-0000-0000-000000000000}" id="{4F52070C-A156-4B46-8183-9FC52179B160}">
    <text>T for equation 25</text>
  </threadedComment>
  <threadedComment ref="E252" dT="2025-01-24T21:45:46.77" personId="{00000000-0000-0000-0000-000000000000}" id="{3C4A8019-9DE4-48ED-92A8-A7CDFA15B562}">
    <text>Equation 26</text>
  </threadedComment>
  <threadedComment ref="E253" dT="2025-01-24T21:46:01.64" personId="{00000000-0000-0000-0000-000000000000}" id="{C4CC8A89-DB18-42A7-89B9-B0462FEB0815}">
    <text>CFs for equation 26</text>
  </threadedComment>
  <threadedComment ref="E254" dT="2025-01-24T21:46:11.67" personId="{00000000-0000-0000-0000-000000000000}" id="{E296AF05-72F0-42AD-B5D6-91BB12A515B6}">
    <text>Rs for equation 26</text>
  </threadedComment>
  <threadedComment ref="E256" dT="2025-01-24T21:46:51.75" personId="{00000000-0000-0000-0000-000000000000}" id="{EEA74C75-64E9-48ED-8FE9-59EE2E897DAB}">
    <text>BDRSF for equation 27</text>
  </threadedComment>
  <threadedComment ref="E257" dT="2025-01-24T21:47:05.79" personId="{00000000-0000-0000-0000-000000000000}" id="{44CCF213-B6DA-46E2-B025-86D0F22829F4}">
    <text>bFOREST for equation 27</text>
  </threadedComment>
  <threadedComment ref="E258" dT="2025-01-24T21:47:20.17" personId="{00000000-0000-0000-0000-000000000000}" id="{248EDF31-56AE-46E8-AA91-9936507E5307}">
    <text>CCSHRUB,i for equation 27</text>
  </threadedComment>
  <threadedComment ref="E259" dT="2025-01-24T21:47:37.60" personId="{00000000-0000-0000-0000-000000000000}" id="{7CFCF976-7E4E-4F10-9253-53C2E0FD758B}">
    <text>ASHRUB,i for equation 26</text>
  </threadedComment>
  <threadedComment ref="E260" dT="2025-01-24T21:47:51.92" personId="{00000000-0000-0000-0000-000000000000}" id="{2BF4EA97-94E0-4FC2-8687-97F185DEDD28}">
    <text>Equation 27</text>
  </threadedComment>
</ThreadedComments>
</file>

<file path=xl/threadedComments/threadedComment54.xml><?xml version="1.0" encoding="utf-8"?>
<ThreadedComments xmlns="http://schemas.microsoft.com/office/spreadsheetml/2018/threadedcomments" xmlns:x="http://schemas.openxmlformats.org/spreadsheetml/2006/main">
  <threadedComment ref="E12" dT="2025-01-24T21:11:36.74" personId="{00000000-0000-0000-0000-000000000000}" id="{42C3AFDC-42A5-43F0-8002-D0A8285D5F58}">
    <text>Equation 9</text>
  </threadedComment>
  <threadedComment ref="E14" dT="2025-01-24T21:11:58.89" personId="{00000000-0000-0000-0000-000000000000}" id="{B5C84FB1-2D80-4352-852F-4696CA90FAA4}">
    <text>Equation 10</text>
  </threadedComment>
  <threadedComment ref="E15" dT="2025-01-24T21:12:11.78" personId="{00000000-0000-0000-0000-000000000000}" id="{B226836F-4095-4BF5-AE4A-B321D83D1995}">
    <text>CFTREE for equation 10</text>
  </threadedComment>
  <threadedComment ref="E16" dT="2025-01-24T21:12:25.46" personId="{00000000-0000-0000-0000-000000000000}" id="{282FA99E-5957-427D-955B-05FCEAC8A3B8}">
    <text>bForest for equation 10</text>
  </threadedComment>
  <threadedComment ref="E17" dT="2025-01-24T21:12:40.25" personId="{00000000-0000-0000-0000-000000000000}" id="{BBAEB1DB-690E-4A58-A394-B0065C3D4ED4}">
    <text>RTREE for equation 10</text>
  </threadedComment>
  <threadedComment ref="E18" dT="2025-01-24T21:12:53.39" personId="{00000000-0000-0000-0000-000000000000}" id="{00B5CB56-B2A6-4BC7-9495-1BF3C0F9E994}">
    <text>CCREE_BSL_i for equation 10</text>
  </threadedComment>
  <threadedComment ref="E19" dT="2025-01-24T21:13:03.79" personId="{00000000-0000-0000-0000-000000000000}" id="{09A14DF3-EE70-4734-8DBC-79A30C584ECE}">
    <text>Ai for equation 10</text>
  </threadedComment>
  <threadedComment ref="E21" dT="2025-01-24T21:08:37.93" personId="{00000000-0000-0000-0000-000000000000}" id="{542831C5-0119-4F91-894B-EA3F20B3A0AE}">
    <text>Equation 3</text>
  </threadedComment>
  <threadedComment ref="E22" dT="2025-01-24T21:07:54.22" personId="{00000000-0000-0000-0000-000000000000}" id="{AC84115D-3DA3-41A8-B1C3-961EF2C352CF}">
    <text>CFTREE for equation 3</text>
  </threadedComment>
  <threadedComment ref="E23" dT="2025-01-24T21:05:19.59" personId="{00000000-0000-0000-0000-000000000000}" id="{60CAE504-E062-43D3-A241-C6C12FFCBA2F}">
    <text>Equation 4</text>
  </threadedComment>
  <threadedComment ref="E24" dT="2025-01-24T21:07:32.01" personId="{00000000-0000-0000-0000-000000000000}" id="{C526D05E-E1B9-4298-99E4-98A3368BCCD8}">
    <text>Equation 5</text>
  </threadedComment>
  <threadedComment ref="E25" dT="2025-01-24T21:05:51.80" personId="{00000000-0000-0000-0000-000000000000}" id="{7CBAAE20-052A-4971-BDB8-DD47BE228F80}">
    <text>A for equation 4</text>
  </threadedComment>
  <threadedComment ref="E26" dT="2025-01-24T21:06:24.35" personId="{00000000-0000-0000-0000-000000000000}" id="{70BE3706-6DA4-43BF-A947-F234CEEF63A8}">
    <text>Equation 6</text>
  </threadedComment>
  <threadedComment ref="E27" dT="2025-01-24T21:06:48.46" personId="{00000000-0000-0000-0000-000000000000}" id="{DAC7BE9B-7263-4866-AE4B-4CDC73A57AA2}">
    <text>tVAL for equation 6</text>
  </threadedComment>
  <threadedComment ref="E29" dT="2025-01-24T21:56:24.85" personId="{00000000-0000-0000-0000-000000000000}" id="{55793D79-0B70-4156-B34F-F9921B01CD09}">
    <text>Equation 7</text>
  </threadedComment>
  <threadedComment ref="E30" dT="2025-01-24T21:59:35.41" personId="{00000000-0000-0000-0000-000000000000}" id="{7FE6DCC5-1B09-4CA3-970A-98E721C90C4A}">
    <text>wi for equation 6</text>
  </threadedComment>
  <threadedComment ref="E31" dT="2025-01-24T21:58:30.81" personId="{00000000-0000-0000-0000-000000000000}" id="{4EA7397A-24FD-4A36-BAEF-6583B680DB4E}">
    <text>Equation 8</text>
  </threadedComment>
  <threadedComment ref="E32" dT="2025-01-24T21:58:47.27" personId="{00000000-0000-0000-0000-000000000000}" id="{EFAA3492-EEF0-4582-BA24-136653CAD2C0}">
    <text>ni for equation 8</text>
  </threadedComment>
  <threadedComment ref="E34" dT="2025-01-24T21:57:53.17" personId="{00000000-0000-0000-0000-000000000000}" id="{B7267655-87F0-4FE6-9506-CAEE64C43B7D}">
    <text>Change in bTREE,p,i for equation 7</text>
  </threadedComment>
  <threadedComment ref="E34" dT="2025-01-29T17:16:59.31" personId="{00000000-0000-0000-0000-000000000000}" id="{598C2B28-409E-4A09-9A5E-28A8C6743870}" parentId="{B7267655-87F0-4FE6-9506-CAEE64C43B7D}">
    <text>Needs to be a stand alone sub schema for p</text>
  </threadedComment>
  <threadedComment ref="E36" dT="2025-01-24T22:02:33.42" personId="{00000000-0000-0000-0000-000000000000}" id="{79D8B3EF-D95C-4767-BFEA-89873E8F5BB0}">
    <text>CTREE,t1 for equation 1</text>
  </threadedComment>
  <threadedComment ref="E37" dT="2025-01-24T22:02:16.16" personId="{00000000-0000-0000-0000-000000000000}" id="{65665BC1-BE04-4BA9-A4F0-6156F207FF79}">
    <text>CTREE,t2 for equation 1</text>
  </threadedComment>
  <threadedComment ref="E38" dT="2025-01-24T22:02:01.41" personId="{00000000-0000-0000-0000-000000000000}" id="{C1F86A05-4967-4ACF-81F0-D42DB94BB8C2}">
    <text>u1 for equation 2</text>
  </threadedComment>
  <threadedComment ref="E39" dT="2025-01-24T22:01:50.45" personId="{00000000-0000-0000-0000-000000000000}" id="{BB060E01-D4C7-4AA2-994F-854268F667C4}">
    <text>u2 for equation 2</text>
  </threadedComment>
  <threadedComment ref="E40" dT="2025-01-24T22:01:36.31" personId="{00000000-0000-0000-0000-000000000000}" id="{1C2E4104-61FD-420E-962C-CE8845D36606}">
    <text>Equation 2</text>
  </threadedComment>
  <threadedComment ref="E41" dT="2025-01-24T22:01:03.12" personId="{00000000-0000-0000-0000-000000000000}" id="{976E213D-D882-4338-ACCF-AB709735EABB}">
    <text>Equation 1</text>
  </threadedComment>
  <threadedComment ref="E42" dT="2025-01-24T22:01:11.44" personId="{00000000-0000-0000-0000-000000000000}" id="{BDA581B0-34DD-49D6-8E4F-4873084F730B}">
    <text>Equation 2</text>
  </threadedComment>
  <threadedComment ref="E44" dT="2025-01-24T21:14:26.89" personId="{00000000-0000-0000-0000-000000000000}" id="{B4224DE0-ADB6-4DA4-833F-0538AE4C97D6}">
    <text>Equation 11</text>
  </threadedComment>
  <threadedComment ref="E45" dT="2025-01-24T21:14:43.23" personId="{00000000-0000-0000-0000-000000000000}" id="{EEE90F6E-EA6D-4075-853C-6E6D019716FC}">
    <text>CTREE,t2 for equation 11</text>
  </threadedComment>
  <threadedComment ref="E46" dT="2025-01-24T21:14:56.44" personId="{00000000-0000-0000-0000-000000000000}" id="{5384EE28-0B9D-4D1D-B0A0-6ACA8E845ACD}">
    <text>CTREE,t1 for equation 11</text>
  </threadedComment>
  <threadedComment ref="E47" dT="2025-01-24T21:15:24.60" personId="{00000000-0000-0000-0000-000000000000}" id="{99519FFA-18D6-4617-BE41-2C07DB022CFA}">
    <text>T for equation 11</text>
  </threadedComment>
  <threadedComment ref="E51" dT="2025-01-24T21:23:49.18" personId="{00000000-0000-0000-0000-000000000000}" id="{D1BCB1DA-C784-4562-AE40-B650ACA23606}">
    <text>Equation 22</text>
  </threadedComment>
  <threadedComment ref="E52" dT="2025-01-24T21:24:05.82" personId="{00000000-0000-0000-0000-000000000000}" id="{07440C44-1E9D-40CE-8E3F-B4F2244D042B}">
    <text>CTREE,t1 for equation 22</text>
  </threadedComment>
  <threadedComment ref="E53" dT="2025-01-24T21:24:35.78" personId="{00000000-0000-0000-0000-000000000000}" id="{54055F60-A504-42E4-B0A3-FDF1C1F9E889}">
    <text>Change in CTREE for equation 22</text>
  </threadedComment>
  <threadedComment ref="E54" dT="2025-01-24T21:25:15.22" personId="{00000000-0000-0000-0000-000000000000}" id="{D0FC5BB5-53EB-4265-86DB-644132315340}">
    <text>U_c for equation 23</text>
  </threadedComment>
  <threadedComment ref="E55" dT="2025-01-29T17:30:04.87" personId="{00000000-0000-0000-0000-000000000000}" id="{DC5E6700-2674-4B58-83A8-30BA79E88EEE}">
    <text>Equation 23</text>
  </threadedComment>
  <threadedComment ref="E56" dT="2025-01-24T21:25:56.99" personId="{00000000-0000-0000-0000-000000000000}" id="{4AE25741-BA49-4132-B902-961CF3F3A1C4}">
    <text>Uncertainty for t1 also equation 23</text>
  </threadedComment>
  <threadedComment ref="E69" dT="2025-01-24T21:18:44.52" personId="{00000000-0000-0000-0000-000000000000}" id="{03328FE1-5261-49DF-B093-9C5FC51B2EB4}">
    <text>Equation 20</text>
  </threadedComment>
  <threadedComment ref="E71" dT="2025-01-24T21:28:15.15" personId="{00000000-0000-0000-0000-000000000000}" id="{B4F8E40A-34AC-43FA-83E9-458F67733585}">
    <text>Equation 21</text>
  </threadedComment>
  <threadedComment ref="E72" dT="2025-01-24T21:28:26.27" personId="{00000000-0000-0000-0000-000000000000}" id="{04ACA03F-550C-4A24-859F-C9B472DFF94C}">
    <text>CFTREE for equation 21</text>
  </threadedComment>
  <threadedComment ref="E73" dT="2025-01-24T21:29:02.29" personId="{00000000-0000-0000-0000-000000000000}" id="{AF9772B5-3873-4D65-9898-E374A1499DB5}">
    <text>BfOREST for equation 21</text>
  </threadedComment>
  <threadedComment ref="E74" dT="2025-01-24T21:29:13.76" personId="{00000000-0000-0000-0000-000000000000}" id="{54EA9D16-BB90-457C-B43E-D3541A3103BF}">
    <text>RTREE for equation 21</text>
  </threadedComment>
  <threadedComment ref="E75" dT="2025-01-24T21:29:35.41" personId="{00000000-0000-0000-0000-000000000000}" id="{D0F0DB00-ADE0-4B4C-9117-46CF8E550A3D}">
    <text>CCTREE_BSL,i for equation 21</text>
  </threadedComment>
  <threadedComment ref="E76" dT="2025-01-24T21:29:49.14" personId="{00000000-0000-0000-0000-000000000000}" id="{7A4003CE-4645-44BB-9787-30FBD5C9CF1A}">
    <text>Ai for equation 21</text>
  </threadedComment>
  <threadedComment ref="E80" dT="2025-01-24T21:32:22.56" personId="{00000000-0000-0000-0000-000000000000}" id="{A712A8D2-97FA-4AD1-8395-8C2CBDA76A47}">
    <text>Equation 12</text>
  </threadedComment>
  <threadedComment ref="E81" dT="2025-01-24T21:32:39.66" personId="{00000000-0000-0000-0000-000000000000}" id="{D130FEDE-9708-40DE-9597-A72F509B9463}">
    <text>CFTRRE for equation 12</text>
  </threadedComment>
  <threadedComment ref="E82" dT="2025-01-24T21:32:59.13" personId="{00000000-0000-0000-0000-000000000000}" id="{900DF197-A3D1-4E15-B51A-3D28382D660C}">
    <text>Equation 13</text>
  </threadedComment>
  <threadedComment ref="E83" dT="2025-01-24T21:33:11.67" personId="{00000000-0000-0000-0000-000000000000}" id="{0A0D0231-4CD0-43C9-B9C5-262112414D50}">
    <text>A for equation 13</text>
  </threadedComment>
  <threadedComment ref="E84" dT="2025-01-24T21:33:49.53" personId="{00000000-0000-0000-0000-000000000000}" id="{51A529B1-E941-4DB4-9547-81EED4C87B82}">
    <text>Equation 14</text>
  </threadedComment>
  <threadedComment ref="E85" dT="2025-01-24T21:34:10.73" personId="{00000000-0000-0000-0000-000000000000}" id="{3F040A82-F232-444D-A042-560AA1DC7C3C}">
    <text>Equation 15</text>
  </threadedComment>
  <threadedComment ref="E86" dT="2025-01-24T21:34:26.85" personId="{00000000-0000-0000-0000-000000000000}" id="{204C48BB-E145-4B93-A40D-F6A1A69F1BDB}">
    <text>tVAL for equation 15</text>
  </threadedComment>
  <threadedComment ref="E88" dT="2025-01-24T21:35:06.61" personId="{00000000-0000-0000-0000-000000000000}" id="{0FB8E957-2F55-4285-AD08-3328B87A6D56}">
    <text>Equation 16</text>
  </threadedComment>
  <threadedComment ref="E89" dT="2025-01-24T21:35:40.02" personId="{00000000-0000-0000-0000-000000000000}" id="{034E3A2A-8AEA-498F-BE71-BA8F11AC7472}">
    <text>Wi for equation 15</text>
  </threadedComment>
  <threadedComment ref="E90" dT="2025-01-24T21:36:34.63" personId="{00000000-0000-0000-0000-000000000000}" id="{753693C8-BB71-4C87-87EA-E4F060F06569}">
    <text>Equation 17</text>
  </threadedComment>
  <threadedComment ref="E91" dT="2025-01-24T21:36:51.04" personId="{00000000-0000-0000-0000-000000000000}" id="{BFDAEC4A-E64B-418F-9AB3-717630DB83AD}">
    <text>ni for equation 17</text>
  </threadedComment>
  <threadedComment ref="E93" dT="2025-01-24T21:36:16.10" personId="{00000000-0000-0000-0000-000000000000}" id="{365D34ED-4FB3-415A-BADE-B3CDAABCD346}">
    <text>bTREE,p,i, for equation 17</text>
  </threadedComment>
  <threadedComment ref="E93" dT="2025-01-29T17:39:36.47" personId="{00000000-0000-0000-0000-000000000000}" id="{92E3CE4C-954B-4557-A760-E32FF660F891}" parentId="{365D34ED-4FB3-415A-BADE-B3CDAABCD346}">
    <text>Needs a subschema for p</text>
  </threadedComment>
  <threadedComment ref="E95" dT="2025-01-24T21:38:04.67" personId="{00000000-0000-0000-0000-000000000000}" id="{F59544CE-F916-4F35-A76D-635D7BD06178}">
    <text>Equation 12?</text>
  </threadedComment>
  <threadedComment ref="E96" dT="2025-01-24T21:38:15.63" personId="{00000000-0000-0000-0000-000000000000}" id="{C85D17B6-32E1-4754-9E2E-C9F70D64F684}">
    <text>CFTREE for equation 12</text>
  </threadedComment>
  <threadedComment ref="E97" dT="2025-01-24T21:38:35.72" personId="{00000000-0000-0000-0000-000000000000}" id="{C5379A06-4366-40D6-9449-6E5AC25EEB55}">
    <text>Equation 13</text>
  </threadedComment>
  <threadedComment ref="E98" dT="2025-01-24T21:38:48.89" personId="{00000000-0000-0000-0000-000000000000}" id="{D60A607C-A5A7-4963-AC08-79ABFF5FF734}">
    <text>A for equation 13</text>
  </threadedComment>
  <threadedComment ref="E99" dT="2025-01-24T21:39:01.30" personId="{00000000-0000-0000-0000-000000000000}" id="{23CDC15B-BE73-428E-8A7C-F0AF9A7D3FA7}">
    <text>Equation 14</text>
  </threadedComment>
  <threadedComment ref="E100" dT="2025-01-24T21:40:03.74" personId="{00000000-0000-0000-0000-000000000000}" id="{E6BBD78F-B05C-4EC2-ABAC-F69BAB125F1C}">
    <text>Equation 15</text>
  </threadedComment>
  <threadedComment ref="E101" dT="2025-01-24T21:39:23.91" personId="{00000000-0000-0000-0000-000000000000}" id="{EC21C0CD-8E1A-48D8-9B10-9E8E80AEDB60}">
    <text>TVAL for equation 15</text>
  </threadedComment>
  <threadedComment ref="E103" dT="2025-01-24T21:40:13.24" personId="{00000000-0000-0000-0000-000000000000}" id="{4A6EE3C3-9E21-42BE-AEFA-6E0C1345C728}">
    <text>Equation 18</text>
  </threadedComment>
  <threadedComment ref="E104" dT="2025-01-24T21:41:35.54" personId="{00000000-0000-0000-0000-000000000000}" id="{D88BA60E-4254-4B08-A928-9BD14627E5A8}">
    <text>ni for equation 19</text>
  </threadedComment>
  <threadedComment ref="E105" dT="2025-01-24T21:41:53.24" personId="{00000000-0000-0000-0000-000000000000}" id="{630F5355-7B65-4216-9BD7-1202B10A391F}">
    <text>Slope for equation 18</text>
  </threadedComment>
  <threadedComment ref="E106" dT="2025-01-24T21:42:04.37" personId="{00000000-0000-0000-0000-000000000000}" id="{FC05F1D8-62D7-46AB-A947-ECD206210C89}">
    <text>For equation 18</text>
  </threadedComment>
  <threadedComment ref="E107" dT="2025-01-24T21:42:11.80" personId="{00000000-0000-0000-0000-000000000000}" id="{2F505397-6000-4F97-893F-1F04D05EB1DC}">
    <text>For equation 18</text>
  </threadedComment>
  <threadedComment ref="E108" dT="2025-01-24T21:42:31.87" personId="{00000000-0000-0000-0000-000000000000}" id="{CF9B37F0-D159-401E-B74C-DDA17B9373A9}">
    <text>Equation 19</text>
  </threadedComment>
  <threadedComment ref="E109" dT="2025-01-24T21:42:48.27" personId="{00000000-0000-0000-0000-000000000000}" id="{346B8217-9A27-4A02-BEA0-9782B59A863C}">
    <text>a for equation 19</text>
  </threadedComment>
  <threadedComment ref="E110" dT="2025-01-24T21:43:00.46" personId="{00000000-0000-0000-0000-000000000000}" id="{C9333ADF-DE55-498B-A078-FFBCADD856B0}">
    <text>P for equation 19</text>
  </threadedComment>
  <threadedComment ref="E112" dT="2025-01-24T21:41:20.14" personId="{00000000-0000-0000-0000-000000000000}" id="{97AF59B2-8F64-4599-AB67-24030C50791C}">
    <text>bTREE,p,i for equation 18</text>
  </threadedComment>
  <threadedComment ref="E112" dT="2025-01-29T17:42:04.91" personId="{00000000-0000-0000-0000-000000000000}" id="{5D034BF4-D601-4B2A-A185-3B62A1D606E0}" parentId="{97AF59B2-8F64-4599-AB67-24030C50791C}">
    <text>Needs subschema for p</text>
  </threadedComment>
  <threadedComment ref="E113" dT="2025-01-24T21:43:35.34" personId="{00000000-0000-0000-0000-000000000000}" id="{B598CEB0-84F3-4F20-9AE3-B43E92A3BC7D}">
    <text>date</text>
  </threadedComment>
  <threadedComment ref="E122" dT="2025-01-24T21:44:01.28" personId="{00000000-0000-0000-0000-000000000000}" id="{25715413-72D0-4EA7-93E2-FE52A31CDA53}">
    <text>Equation 24</text>
  </threadedComment>
  <threadedComment ref="E123" dT="2025-01-24T21:44:20.88" personId="{00000000-0000-0000-0000-000000000000}" id="{5DAC4DBF-AE79-4A9F-ABAB-DDE399183904}">
    <text>CSHRUB,t2 for equation 24</text>
  </threadedComment>
  <threadedComment ref="E124" dT="2025-01-24T21:44:33.20" personId="{00000000-0000-0000-0000-000000000000}" id="{8D5B2983-FF18-447C-803D-A729E98E623B}">
    <text>CSHRUB,t1 for equation 24</text>
  </threadedComment>
  <threadedComment ref="E126" dT="2025-01-24T21:44:43.38" personId="{00000000-0000-0000-0000-000000000000}" id="{D86E5815-7986-480D-AE0D-90FDC2EC6D0D}">
    <text>Equation 25</text>
  </threadedComment>
  <threadedComment ref="E127" dT="2025-01-24T21:45:05.85" personId="{00000000-0000-0000-0000-000000000000}" id="{00A72411-1E4C-423B-BC1F-0259BF7F327A}">
    <text>Change in CSHRUB,t2 for equation 25</text>
  </threadedComment>
  <threadedComment ref="E128" dT="2025-01-24T21:45:24.22" personId="{00000000-0000-0000-0000-000000000000}" id="{8BBB1A3B-ADAE-445A-A95C-B7A2C404512A}">
    <text>Change in CSHRUB,t1 for equation 25</text>
  </threadedComment>
  <threadedComment ref="E129" dT="2025-01-24T21:45:34.17" personId="{00000000-0000-0000-0000-000000000000}" id="{D4BE8680-9FE7-43D4-9C84-CB116031CE00}">
    <text>T for equation 25</text>
  </threadedComment>
  <threadedComment ref="E131" dT="2025-01-24T21:45:46.77" personId="{00000000-0000-0000-0000-000000000000}" id="{42FD9FE5-CD55-4A55-B4D0-E638D09639C6}">
    <text>Equation 26</text>
  </threadedComment>
  <threadedComment ref="E132" dT="2025-01-24T21:46:01.64" personId="{00000000-0000-0000-0000-000000000000}" id="{D4FEFFE1-F19A-47B0-B8D1-DE1C92A949C0}">
    <text>CFs for equation 26</text>
  </threadedComment>
  <threadedComment ref="E133" dT="2025-01-24T21:46:11.67" personId="{00000000-0000-0000-0000-000000000000}" id="{876F7BAD-C35A-4750-913C-7A8C9F1FF6B8}">
    <text>Rs for equation 26</text>
  </threadedComment>
  <threadedComment ref="E135" dT="2025-01-24T21:46:51.75" personId="{00000000-0000-0000-0000-000000000000}" id="{95C1BCFB-354E-4491-999B-EF45E8E9B237}">
    <text>BDRSF for equation 27</text>
  </threadedComment>
  <threadedComment ref="E136" dT="2025-01-24T21:47:05.79" personId="{00000000-0000-0000-0000-000000000000}" id="{4F8B1D73-9DEB-4967-A836-D45D62616CC3}">
    <text>bFOREST for equation 27</text>
  </threadedComment>
  <threadedComment ref="E137" dT="2025-01-24T21:47:20.17" personId="{00000000-0000-0000-0000-000000000000}" id="{29BBBF54-AF11-417F-954E-DDC5D2CEEC8E}">
    <text>CCSHRUB,i for equation 27</text>
  </threadedComment>
  <threadedComment ref="E138" dT="2025-01-24T21:47:37.60" personId="{00000000-0000-0000-0000-000000000000}" id="{7494853C-A672-44D7-826D-80014EE13ACB}">
    <text>ASHRUB,i for equation 26</text>
  </threadedComment>
  <threadedComment ref="E139" dT="2025-01-24T21:47:51.92" personId="{00000000-0000-0000-0000-000000000000}" id="{E624A28D-9642-4A70-8859-925A4C32C3E0}">
    <text>Equation 27</text>
  </threadedComment>
</ThreadedComments>
</file>

<file path=xl/threadedComments/threadedComment55.xml><?xml version="1.0" encoding="utf-8"?>
<ThreadedComments xmlns="http://schemas.microsoft.com/office/spreadsheetml/2018/threadedcomments" xmlns:x="http://schemas.openxmlformats.org/spreadsheetml/2006/main">
  <threadedComment ref="E10" dT="2025-01-24T21:11:36.74" personId="{00000000-0000-0000-0000-000000000000}" id="{269350FF-6075-4B9D-8166-CFF72A124767}">
    <text>Equation 9</text>
  </threadedComment>
  <threadedComment ref="E12" dT="2025-01-24T21:11:58.89" personId="{00000000-0000-0000-0000-000000000000}" id="{67839564-9301-4D1C-9E3B-5047E1E76BD2}">
    <text>Equation 10</text>
  </threadedComment>
  <threadedComment ref="E13" dT="2025-01-24T21:12:11.78" personId="{00000000-0000-0000-0000-000000000000}" id="{A42A23F8-6560-4FE7-A8F6-97C6603E7AF8}">
    <text>CFTREE for equation 10</text>
  </threadedComment>
  <threadedComment ref="E14" dT="2025-01-24T21:12:25.46" personId="{00000000-0000-0000-0000-000000000000}" id="{7AC0F136-EBEE-4023-A320-CC7FB296BCE8}">
    <text>bForest for equation 10</text>
  </threadedComment>
  <threadedComment ref="E15" dT="2025-01-24T21:12:40.25" personId="{00000000-0000-0000-0000-000000000000}" id="{2C82B7DF-8802-47C9-A132-92B701EFAE7B}">
    <text>RTREE for equation 10</text>
  </threadedComment>
  <threadedComment ref="E16" dT="2025-01-24T21:12:53.39" personId="{00000000-0000-0000-0000-000000000000}" id="{B52991AC-365D-4CF1-99F0-4627ED79159D}">
    <text>CCREE_BSL_i for equation 10</text>
  </threadedComment>
  <threadedComment ref="E17" dT="2025-01-24T21:13:03.79" personId="{00000000-0000-0000-0000-000000000000}" id="{082D88B7-0255-4471-8B41-ECE12152A7DE}">
    <text>Ai for equation 10</text>
  </threadedComment>
  <threadedComment ref="E19" dT="2025-01-24T21:08:37.93" personId="{00000000-0000-0000-0000-000000000000}" id="{632A8744-9C38-47CA-A87E-5B380B828821}">
    <text>Equation 3</text>
  </threadedComment>
  <threadedComment ref="E20" dT="2025-01-24T21:07:54.22" personId="{00000000-0000-0000-0000-000000000000}" id="{D8171789-3A53-42D3-BF59-B5943B8DBCC8}">
    <text>CFTREE for equation 3</text>
  </threadedComment>
  <threadedComment ref="E21" dT="2025-01-24T21:05:19.59" personId="{00000000-0000-0000-0000-000000000000}" id="{EFA621A2-DECF-48B6-B5E4-92A44A85D541}">
    <text>Equation 4</text>
  </threadedComment>
  <threadedComment ref="E22" dT="2025-01-24T21:07:32.01" personId="{00000000-0000-0000-0000-000000000000}" id="{081D3D14-AA37-4BF9-93C7-33043C79FF9C}">
    <text>Equation 5</text>
  </threadedComment>
  <threadedComment ref="E23" dT="2025-01-24T21:05:51.80" personId="{00000000-0000-0000-0000-000000000000}" id="{1B9F1CA0-9C47-4956-82A5-4EC1FA3FF50E}">
    <text>A for equation 4</text>
  </threadedComment>
  <threadedComment ref="E24" dT="2025-01-24T21:06:24.35" personId="{00000000-0000-0000-0000-000000000000}" id="{F184BA77-F44D-42BB-90A1-594F1D720B15}">
    <text>Equation 6</text>
  </threadedComment>
  <threadedComment ref="E25" dT="2025-01-24T21:06:48.46" personId="{00000000-0000-0000-0000-000000000000}" id="{0808E4C8-E343-4F32-A940-2B4EC487F013}">
    <text>tVAL for equation 6</text>
  </threadedComment>
  <threadedComment ref="E27" dT="2025-01-24T21:56:24.85" personId="{00000000-0000-0000-0000-000000000000}" id="{49A54CE2-9145-45BD-9021-6F1B9428C517}">
    <text>Equation 7</text>
  </threadedComment>
  <threadedComment ref="E28" dT="2025-01-24T21:59:35.41" personId="{00000000-0000-0000-0000-000000000000}" id="{A0AC2DA9-589E-40C5-A6B9-1A9AC27C9042}">
    <text>wi for equation 6</text>
  </threadedComment>
  <threadedComment ref="E29" dT="2025-01-24T21:58:30.81" personId="{00000000-0000-0000-0000-000000000000}" id="{E4BA9323-F907-4100-8225-D3120FD50EBB}">
    <text>Equation 8</text>
  </threadedComment>
  <threadedComment ref="E30" dT="2025-01-24T21:58:47.27" personId="{00000000-0000-0000-0000-000000000000}" id="{4E1EF572-9EAC-4598-8A11-BE7A6FDB0336}">
    <text>ni for equation 8</text>
  </threadedComment>
  <threadedComment ref="E32" dT="2025-01-24T21:57:53.17" personId="{00000000-0000-0000-0000-000000000000}" id="{9BBD9AB2-BEC0-4F74-BE1E-D4D00C3144C0}">
    <text>Change in bTREE,p,i for equation 7</text>
  </threadedComment>
  <threadedComment ref="E32" dT="2025-01-29T17:16:59.31" personId="{00000000-0000-0000-0000-000000000000}" id="{5C3699B3-6C05-456B-B77C-60DDA3128EB9}" parentId="{9BBD9AB2-BEC0-4F74-BE1E-D4D00C3144C0}">
    <text>Needs to be a stand alone sub schema for p</text>
  </threadedComment>
  <threadedComment ref="E34" dT="2025-01-24T22:02:33.42" personId="{00000000-0000-0000-0000-000000000000}" id="{67838D03-6DAB-4F5D-B118-4BE42CD35A28}">
    <text>CTREE,t1 for equation 1</text>
  </threadedComment>
  <threadedComment ref="E35" dT="2025-01-24T22:02:16.16" personId="{00000000-0000-0000-0000-000000000000}" id="{045A337C-B0DA-45D9-8BC5-2F00F9832ECF}">
    <text>CTREE,t2 for equation 1</text>
  </threadedComment>
  <threadedComment ref="E36" dT="2025-01-24T22:02:01.41" personId="{00000000-0000-0000-0000-000000000000}" id="{8C5225EC-086C-48DB-B47A-13F57831FA79}">
    <text>u1 for equation 2</text>
  </threadedComment>
  <threadedComment ref="E37" dT="2025-01-24T22:01:50.45" personId="{00000000-0000-0000-0000-000000000000}" id="{B4312EA5-BE78-48A3-9642-CE72F980248E}">
    <text>u2 for equation 2</text>
  </threadedComment>
  <threadedComment ref="E38" dT="2025-01-24T22:01:36.31" personId="{00000000-0000-0000-0000-000000000000}" id="{36AC6F13-24A0-467E-812E-9DA423EAC78C}">
    <text>Equation 2</text>
  </threadedComment>
  <threadedComment ref="E39" dT="2025-01-24T22:01:03.12" personId="{00000000-0000-0000-0000-000000000000}" id="{CC320379-1BDD-4A36-979D-8EF404D0EF96}">
    <text>Equation 1</text>
  </threadedComment>
  <threadedComment ref="E40" dT="2025-01-24T22:01:11.44" personId="{00000000-0000-0000-0000-000000000000}" id="{EAA0B57A-067F-4DB5-9F51-18308FC52B58}">
    <text>Equation 2</text>
  </threadedComment>
</ThreadedComments>
</file>

<file path=xl/threadedComments/threadedComment56.xml><?xml version="1.0" encoding="utf-8"?>
<ThreadedComments xmlns="http://schemas.microsoft.com/office/spreadsheetml/2018/threadedcomments" xmlns:x="http://schemas.openxmlformats.org/spreadsheetml/2006/main">
  <threadedComment ref="E5" dT="2025-01-24T21:11:36.74" personId="{00000000-0000-0000-0000-000000000000}" id="{773FD10F-C244-4D7C-ACA7-19F142F06DEA}">
    <text>Equation 9</text>
  </threadedComment>
  <threadedComment ref="E7" dT="2025-01-24T21:11:58.89" personId="{00000000-0000-0000-0000-000000000000}" id="{8DD6D9CD-CF4D-4CFB-8684-9C9FFBB74CE4}">
    <text>Equation 10</text>
  </threadedComment>
  <threadedComment ref="E8" dT="2025-01-24T21:12:11.78" personId="{00000000-0000-0000-0000-000000000000}" id="{63406096-5D23-4EBC-A741-8553A58DDAA6}">
    <text>CFTREE for equation 10</text>
  </threadedComment>
  <threadedComment ref="E9" dT="2025-01-24T21:12:25.46" personId="{00000000-0000-0000-0000-000000000000}" id="{5F7BC8CE-629D-4D39-BA54-59DF2FC62CA0}">
    <text>bForest for equation 10</text>
  </threadedComment>
  <threadedComment ref="E10" dT="2025-01-24T21:12:40.25" personId="{00000000-0000-0000-0000-000000000000}" id="{7E0C57CF-4CAF-47EF-84B6-5978F262BADC}">
    <text>RTREE for equation 10</text>
  </threadedComment>
  <threadedComment ref="E11" dT="2025-01-24T21:12:53.39" personId="{00000000-0000-0000-0000-000000000000}" id="{81727494-9C06-4FFA-9D25-307737B89097}">
    <text>CCREE_BSL_i for equation 10</text>
  </threadedComment>
  <threadedComment ref="E12" dT="2025-01-24T21:13:03.79" personId="{00000000-0000-0000-0000-000000000000}" id="{B33EAED8-7A58-4D17-A330-5F36BD90FB9D}">
    <text>Ai for equation 10</text>
  </threadedComment>
</ThreadedComments>
</file>

<file path=xl/threadedComments/threadedComment57.xml><?xml version="1.0" encoding="utf-8"?>
<ThreadedComments xmlns="http://schemas.microsoft.com/office/spreadsheetml/2018/threadedcomments" xmlns:x="http://schemas.openxmlformats.org/spreadsheetml/2006/main">
  <threadedComment ref="E5" dT="2025-01-24T21:11:58.89" personId="{00000000-0000-0000-0000-000000000000}" id="{B8C7833A-4104-47D8-A67C-DE18652B7FDC}">
    <text>Equation 10</text>
  </threadedComment>
  <threadedComment ref="E6" dT="2025-01-24T21:12:11.78" personId="{00000000-0000-0000-0000-000000000000}" id="{A6F5D538-B950-4D17-AD67-9E763627BDDC}">
    <text>CFTREE for equation 10</text>
  </threadedComment>
  <threadedComment ref="E7" dT="2025-01-24T21:12:25.46" personId="{00000000-0000-0000-0000-000000000000}" id="{ADFE9B0C-D662-4485-B7DE-4270E156321D}">
    <text>bForest for equation 10</text>
  </threadedComment>
  <threadedComment ref="E8" dT="2025-01-24T21:12:40.25" personId="{00000000-0000-0000-0000-000000000000}" id="{698222A4-2C07-4F63-8039-2D4209BF2872}">
    <text>RTREE for equation 10</text>
  </threadedComment>
  <threadedComment ref="E9" dT="2025-01-24T21:12:53.39" personId="{00000000-0000-0000-0000-000000000000}" id="{A4D04739-FDCF-4918-BEAB-ED97048C37C7}">
    <text>CCREE_BSL_i for equation 10</text>
  </threadedComment>
  <threadedComment ref="E10" dT="2025-01-24T21:13:03.79" personId="{00000000-0000-0000-0000-000000000000}" id="{4860B61D-BAB9-498A-B457-A96D79D5E10D}">
    <text>Ai for equation 10</text>
  </threadedComment>
</ThreadedComments>
</file>

<file path=xl/threadedComments/threadedComment58.xml><?xml version="1.0" encoding="utf-8"?>
<ThreadedComments xmlns="http://schemas.microsoft.com/office/spreadsheetml/2018/threadedcomments" xmlns:x="http://schemas.openxmlformats.org/spreadsheetml/2006/main">
  <threadedComment ref="E5" dT="2025-01-24T21:14:26.89" personId="{00000000-0000-0000-0000-000000000000}" id="{6BCDC4AE-F30E-4CBC-B7EA-98F47552F7D8}">
    <text>Equation 11</text>
  </threadedComment>
  <threadedComment ref="E6" dT="2025-01-24T21:14:43.23" personId="{00000000-0000-0000-0000-000000000000}" id="{3967F687-CCDF-43A7-AA7B-501F27D6E09F}">
    <text>CTREE,t2 for equation 11</text>
  </threadedComment>
  <threadedComment ref="E7" dT="2025-01-24T21:14:56.44" personId="{00000000-0000-0000-0000-000000000000}" id="{43A27421-BF2A-4735-8DCC-C63DA09B78BB}">
    <text>CTREE,t1 for equation 11</text>
  </threadedComment>
  <threadedComment ref="E8" dT="2025-01-24T21:15:24.60" personId="{00000000-0000-0000-0000-000000000000}" id="{7B90616C-D58A-4193-A88A-F48D379EB881}">
    <text>T for equation 11</text>
  </threadedComment>
</ThreadedComments>
</file>

<file path=xl/threadedComments/threadedComment59.xml><?xml version="1.0" encoding="utf-8"?>
<ThreadedComments xmlns="http://schemas.microsoft.com/office/spreadsheetml/2018/threadedcomments" xmlns:x="http://schemas.openxmlformats.org/spreadsheetml/2006/main">
  <threadedComment ref="E7" dT="2025-01-24T21:23:49.18" personId="{00000000-0000-0000-0000-000000000000}" id="{A416DAB6-49A6-4717-9018-C6FA5BCEDE8C}">
    <text>Equation 22</text>
  </threadedComment>
  <threadedComment ref="E8" dT="2025-01-24T21:24:05.82" personId="{00000000-0000-0000-0000-000000000000}" id="{74A1BAF1-802E-4363-9FAB-3066C351FB9C}">
    <text>CTREE,t1 for equation 22</text>
  </threadedComment>
  <threadedComment ref="E9" dT="2025-01-24T21:24:35.78" personId="{00000000-0000-0000-0000-000000000000}" id="{12AC9F7C-34AE-470E-AC9A-261C5EA05FCA}">
    <text>Change in CTREE for equation 22</text>
  </threadedComment>
  <threadedComment ref="E10" dT="2025-01-24T21:25:15.22" personId="{00000000-0000-0000-0000-000000000000}" id="{F82998CE-AD88-408B-A10B-051029AAA5AB}">
    <text>U_c for equation 23</text>
  </threadedComment>
  <threadedComment ref="E11" dT="2025-01-29T17:30:04.87" personId="{00000000-0000-0000-0000-000000000000}" id="{8C02A255-61D1-4189-AF69-9FC6C2C58E2D}">
    <text>Equation 23</text>
  </threadedComment>
  <threadedComment ref="E12" dT="2025-01-24T21:25:56.99" personId="{00000000-0000-0000-0000-000000000000}" id="{E8200A1C-411A-432C-B0CA-35E5F185989D}">
    <text>Uncertainty for t1 also equation 23</text>
  </threadedComment>
  <threadedComment ref="E24" dT="2025-01-24T21:18:44.52" personId="{00000000-0000-0000-0000-000000000000}" id="{8AA4D5E3-52F4-4CBB-B233-0E30EF750F03}">
    <text>Equation 20</text>
  </threadedComment>
  <threadedComment ref="E26" dT="2025-01-24T21:28:15.15" personId="{00000000-0000-0000-0000-000000000000}" id="{6C155811-6466-46A6-9CA4-C96ACC240C48}">
    <text>Equation 21</text>
  </threadedComment>
  <threadedComment ref="E27" dT="2025-01-24T21:28:26.27" personId="{00000000-0000-0000-0000-000000000000}" id="{0DAB58D2-76E0-41A0-96DB-69F41731C4C3}">
    <text>CFTREE for equation 21</text>
  </threadedComment>
  <threadedComment ref="E28" dT="2025-01-24T21:29:02.29" personId="{00000000-0000-0000-0000-000000000000}" id="{FD05E831-1661-4000-87AD-EDB7D765C5F2}">
    <text>BfOREST for equation 21</text>
  </threadedComment>
  <threadedComment ref="E29" dT="2025-01-24T21:29:13.76" personId="{00000000-0000-0000-0000-000000000000}" id="{C14FB4D3-D3AA-4C77-A7CD-C4ABF929DA72}">
    <text>RTREE for equation 21</text>
  </threadedComment>
  <threadedComment ref="E30" dT="2025-01-24T21:29:35.41" personId="{00000000-0000-0000-0000-000000000000}" id="{C610A21B-5C1E-4CE2-A338-AF2189955F96}">
    <text>CCTREE_BSL,i for equation 21</text>
  </threadedComment>
  <threadedComment ref="E31" dT="2025-01-24T21:29:49.14" personId="{00000000-0000-0000-0000-000000000000}" id="{2B482C79-8C31-4ECF-BD00-980BC6EDE263}">
    <text>Ai for equation 21</text>
  </threadedComment>
  <threadedComment ref="E35" dT="2025-01-24T21:32:22.56" personId="{00000000-0000-0000-0000-000000000000}" id="{9B37F200-51C6-485C-93C9-94CD3E33215B}">
    <text>Equation 12</text>
  </threadedComment>
  <threadedComment ref="E36" dT="2025-01-24T21:32:39.66" personId="{00000000-0000-0000-0000-000000000000}" id="{30C4953E-CD50-4125-87BB-E2478799A446}">
    <text>CFTRRE for equation 12</text>
  </threadedComment>
  <threadedComment ref="E37" dT="2025-01-24T21:32:59.13" personId="{00000000-0000-0000-0000-000000000000}" id="{7532E1D3-32AD-4E5D-BA39-EB6A41880AD0}">
    <text>Equation 13</text>
  </threadedComment>
  <threadedComment ref="E38" dT="2025-01-24T21:33:11.67" personId="{00000000-0000-0000-0000-000000000000}" id="{BCA2015F-D77A-4000-8636-9CB5BFDFD04D}">
    <text>A for equation 13</text>
  </threadedComment>
  <threadedComment ref="E39" dT="2025-01-24T21:33:49.53" personId="{00000000-0000-0000-0000-000000000000}" id="{5A4EFCD0-12EC-4D89-BBEF-3AA327ACAFB5}">
    <text>Equation 14</text>
  </threadedComment>
  <threadedComment ref="E40" dT="2025-01-24T21:34:10.73" personId="{00000000-0000-0000-0000-000000000000}" id="{E21F14CC-F49F-4493-B0BF-2EEC4640FFD4}">
    <text>Equation 15</text>
  </threadedComment>
  <threadedComment ref="E41" dT="2025-01-24T21:34:26.85" personId="{00000000-0000-0000-0000-000000000000}" id="{09056E13-E4B6-4132-8681-7991EE4CD1FE}">
    <text>tVAL for equation 15</text>
  </threadedComment>
  <threadedComment ref="E43" dT="2025-01-24T21:35:06.61" personId="{00000000-0000-0000-0000-000000000000}" id="{72D1EEE0-FF1B-4CA6-B99C-EF5F8037AEF0}">
    <text>Equation 16</text>
  </threadedComment>
  <threadedComment ref="E44" dT="2025-01-24T21:35:40.02" personId="{00000000-0000-0000-0000-000000000000}" id="{0B7E0620-DA6F-4CA1-9CFC-5ECF121A6313}">
    <text>Wi for equation 15</text>
  </threadedComment>
  <threadedComment ref="E45" dT="2025-01-24T21:36:34.63" personId="{00000000-0000-0000-0000-000000000000}" id="{E8B6E570-E260-400A-9044-9E16F645BEED}">
    <text>Equation 17</text>
  </threadedComment>
  <threadedComment ref="E46" dT="2025-01-24T21:36:51.04" personId="{00000000-0000-0000-0000-000000000000}" id="{94932647-6C8D-43C3-BC61-2D83157BA318}">
    <text>ni for equation 17</text>
  </threadedComment>
  <threadedComment ref="E48" dT="2025-01-24T21:36:16.10" personId="{00000000-0000-0000-0000-000000000000}" id="{7E8D96DB-A1AE-407A-814B-97185D413A7E}">
    <text>bTREE,p,i, for equation 17</text>
  </threadedComment>
  <threadedComment ref="E48" dT="2025-01-29T17:39:36.47" personId="{00000000-0000-0000-0000-000000000000}" id="{8372DCFE-C134-4DF8-8A81-7AEB620C6996}" parentId="{7E8D96DB-A1AE-407A-814B-97185D413A7E}">
    <text>Needs a subschema for p</text>
  </threadedComment>
  <threadedComment ref="E50" dT="2025-01-24T21:38:04.67" personId="{00000000-0000-0000-0000-000000000000}" id="{7C05DF05-97F7-432E-82DC-8A9BAE3F35E7}">
    <text>Equation 12?</text>
  </threadedComment>
  <threadedComment ref="E51" dT="2025-01-24T21:38:15.63" personId="{00000000-0000-0000-0000-000000000000}" id="{52E25901-6149-49A9-AD7C-7EA96B28A625}">
    <text>CFTREE for equation 12</text>
  </threadedComment>
  <threadedComment ref="E52" dT="2025-01-24T21:38:35.72" personId="{00000000-0000-0000-0000-000000000000}" id="{31CF3EFA-057A-407F-9EB7-FFF25ABD50CD}">
    <text>Equation 13</text>
  </threadedComment>
  <threadedComment ref="E53" dT="2025-01-24T21:38:48.89" personId="{00000000-0000-0000-0000-000000000000}" id="{ACA4575D-10A8-4CEE-B89B-9E38BBFA77EB}">
    <text>A for equation 13</text>
  </threadedComment>
  <threadedComment ref="E54" dT="2025-01-24T21:39:01.30" personId="{00000000-0000-0000-0000-000000000000}" id="{6ACAA383-C48F-4985-A746-6086776E4A8D}">
    <text>Equation 14</text>
  </threadedComment>
  <threadedComment ref="E55" dT="2025-01-24T21:40:03.74" personId="{00000000-0000-0000-0000-000000000000}" id="{CE64B9B4-501E-4BB0-8AB3-FA6327FC9A25}">
    <text>Equation 15</text>
  </threadedComment>
  <threadedComment ref="E56" dT="2025-01-24T21:39:23.91" personId="{00000000-0000-0000-0000-000000000000}" id="{9938ACA1-B3B4-4BDC-AB59-470B282FA2EF}">
    <text>TVAL for equation 15</text>
  </threadedComment>
  <threadedComment ref="E58" dT="2025-01-24T21:40:13.24" personId="{00000000-0000-0000-0000-000000000000}" id="{B993993B-F1A3-4432-A1B5-2801EE34187E}">
    <text>Equation 18</text>
  </threadedComment>
  <threadedComment ref="E59" dT="2025-01-24T21:41:35.54" personId="{00000000-0000-0000-0000-000000000000}" id="{58A6ED3A-99D6-463A-BFC8-52067F76F6AA}">
    <text>ni for equation 19</text>
  </threadedComment>
  <threadedComment ref="E60" dT="2025-01-24T21:41:53.24" personId="{00000000-0000-0000-0000-000000000000}" id="{364E7093-44F1-47A8-A423-F0B112607471}">
    <text>Slope for equation 18</text>
  </threadedComment>
  <threadedComment ref="E61" dT="2025-01-24T21:42:04.37" personId="{00000000-0000-0000-0000-000000000000}" id="{2F4BE57D-1DDF-4155-9A1C-CCFAD6B10558}">
    <text>For equation 18</text>
  </threadedComment>
  <threadedComment ref="E62" dT="2025-01-24T21:42:11.80" personId="{00000000-0000-0000-0000-000000000000}" id="{224E8A0B-871E-4819-BBA4-7E7C7AA496EF}">
    <text>For equation 18</text>
  </threadedComment>
  <threadedComment ref="E63" dT="2025-01-24T21:42:31.87" personId="{00000000-0000-0000-0000-000000000000}" id="{7D770370-4B6F-435C-9145-83B51B13EA66}">
    <text>Equation 19</text>
  </threadedComment>
  <threadedComment ref="E64" dT="2025-01-24T21:42:48.27" personId="{00000000-0000-0000-0000-000000000000}" id="{928D1956-9217-4C70-B0E8-3C4449C47DC0}">
    <text>a for equation 19</text>
  </threadedComment>
  <threadedComment ref="E65" dT="2025-01-24T21:43:00.46" personId="{00000000-0000-0000-0000-000000000000}" id="{36D6C034-B3D9-4C51-8C99-84D866AB7442}">
    <text>P for equation 19</text>
  </threadedComment>
  <threadedComment ref="E67" dT="2025-01-24T21:41:20.14" personId="{00000000-0000-0000-0000-000000000000}" id="{5DCCA41F-142A-4C3A-9201-ADE58F2749B3}">
    <text>bTREE,p,i for equation 18</text>
  </threadedComment>
  <threadedComment ref="E67" dT="2025-01-29T17:42:04.91" personId="{00000000-0000-0000-0000-000000000000}" id="{BEE74D7B-3038-48E5-B0B2-4D4A69D577AC}" parentId="{5DCCA41F-142A-4C3A-9201-ADE58F2749B3}">
    <text>Needs subschema for p</text>
  </threadedComment>
  <threadedComment ref="E68" dT="2025-01-24T21:43:35.34" personId="{00000000-0000-0000-0000-000000000000}" id="{D6566B32-91DD-4245-8E49-9C04FF6930F7}">
    <text>date</text>
  </threadedComment>
</ThreadedComments>
</file>

<file path=xl/threadedComments/threadedComment6.xml><?xml version="1.0" encoding="utf-8"?>
<ThreadedComments xmlns="http://schemas.microsoft.com/office/spreadsheetml/2018/threadedcomments" xmlns:x="http://schemas.openxmlformats.org/spreadsheetml/2006/main">
  <threadedComment ref="G5" dT="2025-01-23T18:15:37.37" personId="{00000000-0000-0000-0000-000000000000}" id="{3453A3C3-DFAA-4DED-81A5-7054C0D729A7}">
    <text>Can this value be set to 0 if the schema is hidden/ not required from the user?</text>
  </threadedComment>
</ThreadedComments>
</file>

<file path=xl/threadedComments/threadedComment60.xml><?xml version="1.0" encoding="utf-8"?>
<ThreadedComments xmlns="http://schemas.microsoft.com/office/spreadsheetml/2018/threadedcomments" xmlns:x="http://schemas.openxmlformats.org/spreadsheetml/2006/main">
  <threadedComment ref="E5" dT="2025-01-24T21:23:49.18" personId="{00000000-0000-0000-0000-000000000000}" id="{BA39657F-D0E2-4B2E-8908-014131AF0D4C}">
    <text>Equation 22</text>
  </threadedComment>
  <threadedComment ref="E6" dT="2025-01-24T21:24:05.82" personId="{00000000-0000-0000-0000-000000000000}" id="{3689A613-D3F9-4040-B81E-7215E056403E}">
    <text>CTREE,t1 for equation 22</text>
  </threadedComment>
  <threadedComment ref="E7" dT="2025-01-24T21:24:35.78" personId="{00000000-0000-0000-0000-000000000000}" id="{31D13042-42F2-4504-BCC2-926A5C0E8CD3}">
    <text>Change in CTREE for equation 22</text>
  </threadedComment>
  <threadedComment ref="E8" dT="2025-01-24T21:25:15.22" personId="{00000000-0000-0000-0000-000000000000}" id="{4C26A7A6-BE77-49A8-945E-4396D654FDF6}">
    <text>U_c for equation 23</text>
  </threadedComment>
  <threadedComment ref="E9" dT="2025-01-29T17:30:04.87" personId="{00000000-0000-0000-0000-000000000000}" id="{55348CD5-502A-4247-9C14-66DED3A40D54}">
    <text>Equation 23</text>
  </threadedComment>
  <threadedComment ref="E10" dT="2025-01-24T21:25:56.99" personId="{00000000-0000-0000-0000-000000000000}" id="{1951E720-A376-435B-99F5-3B6A9CE8B1F3}">
    <text>Uncertainty for t1 also equation 23</text>
  </threadedComment>
</ThreadedComments>
</file>

<file path=xl/threadedComments/threadedComment61.xml><?xml version="1.0" encoding="utf-8"?>
<ThreadedComments xmlns="http://schemas.microsoft.com/office/spreadsheetml/2018/threadedcomments" xmlns:x="http://schemas.openxmlformats.org/spreadsheetml/2006/main">
  <threadedComment ref="E5" dT="2025-01-24T21:18:44.52" personId="{00000000-0000-0000-0000-000000000000}" id="{BCA28DAD-6A5F-414F-8198-3C1C5701B9BA}">
    <text>Equation 20</text>
  </threadedComment>
  <threadedComment ref="E7" dT="2025-01-24T21:28:15.15" personId="{00000000-0000-0000-0000-000000000000}" id="{B2E48624-5798-4610-AF00-915E659C9385}">
    <text>Equation 21</text>
  </threadedComment>
  <threadedComment ref="E8" dT="2025-01-24T21:28:26.27" personId="{00000000-0000-0000-0000-000000000000}" id="{2F60A630-932C-4651-BEEA-74724FB9B1A9}">
    <text>CFTREE for equation 21</text>
  </threadedComment>
  <threadedComment ref="E9" dT="2025-01-24T21:29:02.29" personId="{00000000-0000-0000-0000-000000000000}" id="{91D5D924-51CA-4AA1-AF36-8674A88A1735}">
    <text>BfOREST for equation 21</text>
  </threadedComment>
  <threadedComment ref="E10" dT="2025-01-24T21:29:13.76" personId="{00000000-0000-0000-0000-000000000000}" id="{21E1ACB4-21E4-414B-97D7-646E873B8CCA}">
    <text>RTREE for equation 21</text>
  </threadedComment>
  <threadedComment ref="E11" dT="2025-01-24T21:29:35.41" personId="{00000000-0000-0000-0000-000000000000}" id="{2BEBB6A6-D96A-4788-8451-2B132CF87E96}">
    <text>CCTREE_BSL,i for equation 21</text>
  </threadedComment>
  <threadedComment ref="E12" dT="2025-01-24T21:29:49.14" personId="{00000000-0000-0000-0000-000000000000}" id="{8AB782E3-59F0-490B-A58A-C26C6F5E5EB2}">
    <text>Ai for equation 21</text>
  </threadedComment>
</ThreadedComments>
</file>

<file path=xl/threadedComments/threadedComment62.xml><?xml version="1.0" encoding="utf-8"?>
<ThreadedComments xmlns="http://schemas.microsoft.com/office/spreadsheetml/2018/threadedcomments" xmlns:x="http://schemas.openxmlformats.org/spreadsheetml/2006/main">
  <threadedComment ref="E5" dT="2025-01-24T21:28:15.15" personId="{00000000-0000-0000-0000-000000000000}" id="{76FC1D0B-6FE2-4389-BF40-89C597EC7E39}">
    <text>Equation 21</text>
  </threadedComment>
  <threadedComment ref="E6" dT="2025-01-24T21:28:26.27" personId="{00000000-0000-0000-0000-000000000000}" id="{95730A6C-E159-47E5-8E57-6773F98AE534}">
    <text>CFTREE for equation 21</text>
  </threadedComment>
  <threadedComment ref="E7" dT="2025-01-24T21:29:02.29" personId="{00000000-0000-0000-0000-000000000000}" id="{A1E174B2-B315-4FB6-BCD0-4B90331642E0}">
    <text>BfOREST for equation 21</text>
  </threadedComment>
  <threadedComment ref="E8" dT="2025-01-24T21:29:13.76" personId="{00000000-0000-0000-0000-000000000000}" id="{11B91D51-E54D-43F5-AA31-86465EC9A22D}">
    <text>RTREE for equation 21</text>
  </threadedComment>
  <threadedComment ref="E9" dT="2025-01-24T21:29:35.41" personId="{00000000-0000-0000-0000-000000000000}" id="{F44BDB2C-C729-4D41-9DDC-22C26BB96EF3}">
    <text>CCTREE_BSL,i for equation 21</text>
  </threadedComment>
  <threadedComment ref="E10" dT="2025-01-24T21:29:49.14" personId="{00000000-0000-0000-0000-000000000000}" id="{025477C1-CC6F-4AE6-9231-E5961FE0E46E}">
    <text>Ai for equation 21</text>
  </threadedComment>
</ThreadedComments>
</file>

<file path=xl/threadedComments/threadedComment63.xml><?xml version="1.0" encoding="utf-8"?>
<ThreadedComments xmlns="http://schemas.microsoft.com/office/spreadsheetml/2018/threadedcomments" xmlns:x="http://schemas.openxmlformats.org/spreadsheetml/2006/main">
  <threadedComment ref="E9" dT="2025-01-24T21:44:01.28" personId="{00000000-0000-0000-0000-000000000000}" id="{977DC15C-89F9-4A6A-B2AB-4C220CAF9807}">
    <text>Equation 24</text>
  </threadedComment>
  <threadedComment ref="E10" dT="2025-01-24T21:44:20.88" personId="{00000000-0000-0000-0000-000000000000}" id="{F9242AF8-A401-43E1-A9AB-1E45EBD97C95}">
    <text>CSHRUB,t2 for equation 24</text>
  </threadedComment>
  <threadedComment ref="E11" dT="2025-01-24T21:44:33.20" personId="{00000000-0000-0000-0000-000000000000}" id="{7647C9C1-1267-4B7C-9EBF-A587B86285EA}">
    <text>CSHRUB,t1 for equation 24</text>
  </threadedComment>
</ThreadedComments>
</file>

<file path=xl/threadedComments/threadedComment64.xml><?xml version="1.0" encoding="utf-8"?>
<ThreadedComments xmlns="http://schemas.microsoft.com/office/spreadsheetml/2018/threadedcomments" xmlns:x="http://schemas.openxmlformats.org/spreadsheetml/2006/main">
  <threadedComment ref="E5" dT="2025-01-24T21:44:43.38" personId="{00000000-0000-0000-0000-000000000000}" id="{9CB53BDD-194E-4641-BD02-421847F56277}">
    <text>Equation 25</text>
  </threadedComment>
  <threadedComment ref="E6" dT="2025-01-24T21:45:05.85" personId="{00000000-0000-0000-0000-000000000000}" id="{13B09567-6D27-4A0E-9FEB-D3FE8717F0C5}">
    <text>Change in CSHRUB,t2 for equation 25</text>
  </threadedComment>
  <threadedComment ref="E7" dT="2025-01-24T21:45:24.22" personId="{00000000-0000-0000-0000-000000000000}" id="{77602D5E-4C65-402A-B985-FEF4E11EC3D8}">
    <text>Change in CSHRUB,t1 for equation 25</text>
  </threadedComment>
  <threadedComment ref="E8" dT="2025-01-24T21:45:34.17" personId="{00000000-0000-0000-0000-000000000000}" id="{3FABCEBA-8E32-4264-91CF-7981664DA93C}">
    <text>T for equation 25</text>
  </threadedComment>
</ThreadedComments>
</file>

<file path=xl/threadedComments/threadedComment65.xml><?xml version="1.0" encoding="utf-8"?>
<ThreadedComments xmlns="http://schemas.microsoft.com/office/spreadsheetml/2018/threadedcomments" xmlns:x="http://schemas.openxmlformats.org/spreadsheetml/2006/main">
  <threadedComment ref="E5" dT="2025-01-24T21:45:46.77" personId="{00000000-0000-0000-0000-000000000000}" id="{EDFBE444-4C2A-4919-A4EC-D91F70D3C0EE}">
    <text>Equation 26</text>
  </threadedComment>
  <threadedComment ref="E6" dT="2025-01-24T21:46:01.64" personId="{00000000-0000-0000-0000-000000000000}" id="{3BB1EF0C-D2F0-4867-A4D2-4232DA872D18}">
    <text>CFs for equation 26</text>
  </threadedComment>
  <threadedComment ref="E7" dT="2025-01-24T21:46:11.67" personId="{00000000-0000-0000-0000-000000000000}" id="{7F4C4063-A3EF-419A-A171-A982FF433E74}">
    <text>Rs for equation 26</text>
  </threadedComment>
  <threadedComment ref="E9" dT="2025-01-24T21:46:51.75" personId="{00000000-0000-0000-0000-000000000000}" id="{55E58DF9-D3A5-4975-84BE-32CFEEB3292C}">
    <text>BDRSF for equation 27</text>
  </threadedComment>
  <threadedComment ref="E10" dT="2025-01-24T21:47:05.79" personId="{00000000-0000-0000-0000-000000000000}" id="{41BD3998-AF2E-4901-A37D-81B35E2A945E}">
    <text>bFOREST for equation 27</text>
  </threadedComment>
  <threadedComment ref="E11" dT="2025-01-24T21:47:20.17" personId="{00000000-0000-0000-0000-000000000000}" id="{23FE49A9-9F23-49C6-BEE1-683C67BD1520}">
    <text>CCSHRUB,i for equation 27</text>
  </threadedComment>
  <threadedComment ref="E12" dT="2025-01-24T21:47:37.60" personId="{00000000-0000-0000-0000-000000000000}" id="{F0309D05-1286-45D5-B3B6-561A60F7D5BE}">
    <text>ASHRUB,i for equation 26</text>
  </threadedComment>
  <threadedComment ref="E13" dT="2025-01-24T21:47:51.92" personId="{00000000-0000-0000-0000-000000000000}" id="{68EC8BE3-98A6-4EBA-9729-6DD5D723CD70}">
    <text>Equation 27</text>
  </threadedComment>
</ThreadedComments>
</file>

<file path=xl/threadedComments/threadedComment66.xml><?xml version="1.0" encoding="utf-8"?>
<ThreadedComments xmlns="http://schemas.microsoft.com/office/spreadsheetml/2018/threadedcomments" xmlns:x="http://schemas.openxmlformats.org/spreadsheetml/2006/main">
  <threadedComment ref="E12" dT="2025-01-24T21:08:37.93" personId="{00000000-0000-0000-0000-000000000000}" id="{AE7E6DDF-437F-45A3-A8BF-636DE39BB924}">
    <text>Equation 3</text>
  </threadedComment>
  <threadedComment ref="E13" dT="2025-01-24T21:07:54.22" personId="{00000000-0000-0000-0000-000000000000}" id="{6C00FBFE-3E65-41AB-8523-67BAFE3DB011}">
    <text>CFTREE for equation 3</text>
  </threadedComment>
  <threadedComment ref="E14" dT="2025-01-24T21:05:19.59" personId="{00000000-0000-0000-0000-000000000000}" id="{DCC9771F-B175-42E5-B1A7-206F9FE51F86}">
    <text>Equation 4</text>
  </threadedComment>
  <threadedComment ref="E15" dT="2025-01-24T21:07:32.01" personId="{00000000-0000-0000-0000-000000000000}" id="{E8E150CF-B8CA-4233-B6BC-207D19A92A0C}">
    <text>Equation 5</text>
  </threadedComment>
  <threadedComment ref="E16" dT="2025-01-24T21:05:51.80" personId="{00000000-0000-0000-0000-000000000000}" id="{46382F46-4433-42A9-9045-1D78FE4E583A}">
    <text>A for equation 4</text>
  </threadedComment>
  <threadedComment ref="E17" dT="2025-01-24T21:06:24.35" personId="{00000000-0000-0000-0000-000000000000}" id="{D5D82C61-A8AC-4A4B-982B-B98CD6188157}">
    <text>Equation 6</text>
  </threadedComment>
  <threadedComment ref="E18" dT="2025-01-24T21:06:48.46" personId="{00000000-0000-0000-0000-000000000000}" id="{7F8604FF-3B8B-414D-A8B0-FA298812C484}">
    <text>tVAL for equation 6</text>
  </threadedComment>
  <threadedComment ref="E20" dT="2025-01-24T21:56:24.85" personId="{00000000-0000-0000-0000-000000000000}" id="{BFC92038-AF87-4794-BA96-50615F94FE70}">
    <text>Equation 7</text>
  </threadedComment>
  <threadedComment ref="E21" dT="2025-01-24T21:59:35.41" personId="{00000000-0000-0000-0000-000000000000}" id="{C4942E49-0387-423B-9E68-8AC12DFEB414}">
    <text>wi for equation 6</text>
  </threadedComment>
  <threadedComment ref="E22" dT="2025-01-24T21:58:30.81" personId="{00000000-0000-0000-0000-000000000000}" id="{0A47A049-75C1-48A6-8438-EFE3116A06D2}">
    <text>Equation 8</text>
  </threadedComment>
  <threadedComment ref="E23" dT="2025-01-24T21:58:47.27" personId="{00000000-0000-0000-0000-000000000000}" id="{63CB382B-BA14-4287-B085-240D8D5E7BEA}">
    <text>ni for equation 8</text>
  </threadedComment>
  <threadedComment ref="E25" dT="2025-01-24T21:57:53.17" personId="{00000000-0000-0000-0000-000000000000}" id="{1531C213-E2FB-44D8-9AD1-2B3C4448D384}">
    <text>Change in bTREE,p,i for equation 7</text>
  </threadedComment>
  <threadedComment ref="E25" dT="2025-01-29T17:16:59.31" personId="{00000000-0000-0000-0000-000000000000}" id="{2F7B8C6F-1D99-4684-9B64-536042D7E249}" parentId="{1531C213-E2FB-44D8-9AD1-2B3C4448D384}">
    <text>Needs to be a stand alone sub schema for p</text>
  </threadedComment>
  <threadedComment ref="E27" dT="2025-01-24T22:02:33.42" personId="{00000000-0000-0000-0000-000000000000}" id="{6E4DA71C-C147-47CA-9BD3-01E7388B03B4}">
    <text>CTREE,t1 for equation 1</text>
  </threadedComment>
  <threadedComment ref="E28" dT="2025-01-24T22:02:16.16" personId="{00000000-0000-0000-0000-000000000000}" id="{2EA955A0-0016-423E-A8A4-787E7A3BCE2C}">
    <text>CTREE,t2 for equation 1</text>
  </threadedComment>
  <threadedComment ref="E29" dT="2025-01-24T22:02:01.41" personId="{00000000-0000-0000-0000-000000000000}" id="{F85C93A4-D648-45B8-8135-B3EFFAB4A2DE}">
    <text>u1 for equation 2</text>
  </threadedComment>
  <threadedComment ref="E30" dT="2025-01-24T22:01:50.45" personId="{00000000-0000-0000-0000-000000000000}" id="{1091A1DB-C3D2-48CC-8FC5-4AC53901CE94}">
    <text>u2 for equation 2</text>
  </threadedComment>
  <threadedComment ref="E31" dT="2025-01-24T22:01:36.31" personId="{00000000-0000-0000-0000-000000000000}" id="{EB187213-F194-4BCF-A27A-917138BCFBE3}">
    <text>Equation 2</text>
  </threadedComment>
  <threadedComment ref="E32" dT="2025-01-24T22:01:03.12" personId="{00000000-0000-0000-0000-000000000000}" id="{F0FA32A6-2A03-4E84-8C9F-1728F71C268D}">
    <text>Equation 1</text>
  </threadedComment>
  <threadedComment ref="E33" dT="2025-01-24T22:01:11.44" personId="{00000000-0000-0000-0000-000000000000}" id="{78D3FC9A-29E4-47F4-828F-3FAEEFD07758}">
    <text>Equation 2</text>
  </threadedComment>
  <threadedComment ref="E35" dT="2025-01-24T21:14:26.89" personId="{00000000-0000-0000-0000-000000000000}" id="{CA75C56A-3138-4622-8D2B-178F943974E3}">
    <text>Equation 11</text>
  </threadedComment>
  <threadedComment ref="E36" dT="2025-01-24T21:14:43.23" personId="{00000000-0000-0000-0000-000000000000}" id="{38B2FD66-B86A-475B-B98E-333712A8DA35}">
    <text>CTREE,t2 for equation 11</text>
  </threadedComment>
  <threadedComment ref="E37" dT="2025-01-24T21:14:56.44" personId="{00000000-0000-0000-0000-000000000000}" id="{BA8EDDF7-2A53-4BC6-9D84-24CC2B0CA419}">
    <text>CTREE,t1 for equation 11</text>
  </threadedComment>
  <threadedComment ref="E38" dT="2025-01-24T21:15:24.60" personId="{00000000-0000-0000-0000-000000000000}" id="{6264E0FA-63B3-45CE-B6F3-1CDDFF48A36B}">
    <text>T for equation 11</text>
  </threadedComment>
  <threadedComment ref="E42" dT="2025-01-24T21:23:49.18" personId="{00000000-0000-0000-0000-000000000000}" id="{D1E127FB-3688-40EF-B4FE-58B9B608983C}">
    <text>Equation 22</text>
  </threadedComment>
  <threadedComment ref="E43" dT="2025-01-24T21:24:05.82" personId="{00000000-0000-0000-0000-000000000000}" id="{A8719E00-F57D-4A5A-8B8A-0274C7BF7B90}">
    <text>CTREE,t1 for equation 22</text>
  </threadedComment>
  <threadedComment ref="E44" dT="2025-01-24T21:24:35.78" personId="{00000000-0000-0000-0000-000000000000}" id="{44E60A70-8A4F-4099-81FA-391C71BDAADC}">
    <text>Change in CTREE for equation 22</text>
  </threadedComment>
  <threadedComment ref="E45" dT="2025-01-24T21:25:15.22" personId="{00000000-0000-0000-0000-000000000000}" id="{C151D992-75BD-4E0C-AC0E-E5CA90B06560}">
    <text>U_c for equation 23</text>
  </threadedComment>
  <threadedComment ref="E46" dT="2025-01-29T17:30:04.87" personId="{00000000-0000-0000-0000-000000000000}" id="{BDA85022-69BF-4F8D-B5F2-BE0DA4ECDD2D}">
    <text>Equation 23</text>
  </threadedComment>
  <threadedComment ref="E47" dT="2025-01-24T21:25:56.99" personId="{00000000-0000-0000-0000-000000000000}" id="{66FEF4C6-377C-4218-B2EB-C9B937789E05}">
    <text>Uncertainty for t1 also equation 23</text>
  </threadedComment>
  <threadedComment ref="E62" dT="2025-01-24T21:32:22.56" personId="{00000000-0000-0000-0000-000000000000}" id="{533CEA30-6126-472D-9CBA-E675BC186D30}">
    <text>Equation 12</text>
  </threadedComment>
  <threadedComment ref="E63" dT="2025-01-24T21:32:39.66" personId="{00000000-0000-0000-0000-000000000000}" id="{71CABB3C-7A43-4FE5-9C8D-01822F330B89}">
    <text>CFTRRE for equation 12</text>
  </threadedComment>
  <threadedComment ref="E64" dT="2025-01-24T21:32:59.13" personId="{00000000-0000-0000-0000-000000000000}" id="{466E1B2C-F833-4784-B197-EC1C68265E50}">
    <text>Equation 13</text>
  </threadedComment>
  <threadedComment ref="E65" dT="2025-01-24T21:33:11.67" personId="{00000000-0000-0000-0000-000000000000}" id="{6B2B74F3-6839-4BD7-9569-99701B549152}">
    <text>A for equation 13</text>
  </threadedComment>
  <threadedComment ref="E66" dT="2025-01-24T21:33:49.53" personId="{00000000-0000-0000-0000-000000000000}" id="{2E61D585-0C7B-4C81-ACA9-2A0230E14405}">
    <text>Equation 14</text>
  </threadedComment>
  <threadedComment ref="E67" dT="2025-01-24T21:34:10.73" personId="{00000000-0000-0000-0000-000000000000}" id="{D64C5583-99E5-4F78-8682-9CD491EAEF70}">
    <text>Equation 15</text>
  </threadedComment>
  <threadedComment ref="E68" dT="2025-01-24T21:34:26.85" personId="{00000000-0000-0000-0000-000000000000}" id="{DEF8F176-CDE3-4836-AFD3-9D2AC3581C5E}">
    <text>tVAL for equation 15</text>
  </threadedComment>
  <threadedComment ref="E70" dT="2025-01-24T21:35:06.61" personId="{00000000-0000-0000-0000-000000000000}" id="{BE0337C2-8AEB-400D-BEE8-0F2222A048FB}">
    <text>Equation 16</text>
  </threadedComment>
  <threadedComment ref="E71" dT="2025-01-24T21:35:40.02" personId="{00000000-0000-0000-0000-000000000000}" id="{22A2926B-A50E-4107-9CCB-41023D7B3FAC}">
    <text>Wi for equation 15</text>
  </threadedComment>
  <threadedComment ref="E72" dT="2025-01-24T21:36:34.63" personId="{00000000-0000-0000-0000-000000000000}" id="{958A4C6F-ED5B-41A7-B199-C4DED4397881}">
    <text>Equation 17</text>
  </threadedComment>
  <threadedComment ref="E73" dT="2025-01-24T21:36:51.04" personId="{00000000-0000-0000-0000-000000000000}" id="{531F18E4-157C-4F59-BF43-3DC637A6F329}">
    <text>ni for equation 17</text>
  </threadedComment>
  <threadedComment ref="E75" dT="2025-01-24T21:36:16.10" personId="{00000000-0000-0000-0000-000000000000}" id="{A3F57754-FD98-4204-946B-401683352A4F}">
    <text>bTREE,p,i, for equation 17</text>
  </threadedComment>
  <threadedComment ref="E75" dT="2025-01-29T17:39:36.47" personId="{00000000-0000-0000-0000-000000000000}" id="{9EF49F7E-0DB2-4126-BDBA-E586DC253C77}" parentId="{A3F57754-FD98-4204-946B-401683352A4F}">
    <text>Needs a subschema for p</text>
  </threadedComment>
  <threadedComment ref="E77" dT="2025-01-24T21:38:04.67" personId="{00000000-0000-0000-0000-000000000000}" id="{86243B37-E026-45A9-8CD8-05EB0FA65B1C}">
    <text>Equation 12?</text>
  </threadedComment>
  <threadedComment ref="E78" dT="2025-01-24T21:38:15.63" personId="{00000000-0000-0000-0000-000000000000}" id="{A1617A8D-EE0A-46E0-9335-5987F1CC788C}">
    <text>CFTREE for equation 12</text>
  </threadedComment>
  <threadedComment ref="E79" dT="2025-01-24T21:38:35.72" personId="{00000000-0000-0000-0000-000000000000}" id="{1CC2E0FC-61A4-48B8-A3C0-933F748FC00B}">
    <text>Equation 13</text>
  </threadedComment>
  <threadedComment ref="E80" dT="2025-01-24T21:38:48.89" personId="{00000000-0000-0000-0000-000000000000}" id="{EAA0D1A7-2DB2-448B-BAAD-B906E0FD9450}">
    <text>A for equation 13</text>
  </threadedComment>
  <threadedComment ref="E81" dT="2025-01-24T21:39:01.30" personId="{00000000-0000-0000-0000-000000000000}" id="{F360C895-6CA3-41A8-B224-A6B061938A63}">
    <text>Equation 14</text>
  </threadedComment>
  <threadedComment ref="E82" dT="2025-01-24T21:40:03.74" personId="{00000000-0000-0000-0000-000000000000}" id="{6DC3008C-5BE4-45A6-8A62-A76AC469AC75}">
    <text>Equation 15</text>
  </threadedComment>
  <threadedComment ref="E83" dT="2025-01-24T21:39:23.91" personId="{00000000-0000-0000-0000-000000000000}" id="{AE1F935B-F42D-4FA4-8B26-81B08E7F791D}">
    <text>TVAL for equation 15</text>
  </threadedComment>
  <threadedComment ref="E85" dT="2025-01-24T21:40:13.24" personId="{00000000-0000-0000-0000-000000000000}" id="{0F19603D-0D1F-49D3-8B7B-63BA86D5C5A4}">
    <text>Equation 18</text>
  </threadedComment>
  <threadedComment ref="E86" dT="2025-01-24T21:41:35.54" personId="{00000000-0000-0000-0000-000000000000}" id="{3D7B3D93-FED6-4C85-9255-3CFE457BE765}">
    <text>ni for equation 19</text>
  </threadedComment>
  <threadedComment ref="E87" dT="2025-01-24T21:41:53.24" personId="{00000000-0000-0000-0000-000000000000}" id="{374E20BB-BDB3-4144-ADAC-2A95FB904F90}">
    <text>Slope for equation 18</text>
  </threadedComment>
  <threadedComment ref="E88" dT="2025-01-24T21:42:04.37" personId="{00000000-0000-0000-0000-000000000000}" id="{F8DC32C2-6CBD-4B0B-AC3C-A13AB3F11C8B}">
    <text>For equation 18</text>
  </threadedComment>
  <threadedComment ref="E89" dT="2025-01-24T21:42:11.80" personId="{00000000-0000-0000-0000-000000000000}" id="{261CC18B-83F3-494F-AEDC-5C69844A2E88}">
    <text>For equation 18</text>
  </threadedComment>
  <threadedComment ref="E90" dT="2025-01-24T21:42:31.87" personId="{00000000-0000-0000-0000-000000000000}" id="{01908FE6-99E8-4657-947C-0231D61E4FD9}">
    <text>Equation 19</text>
  </threadedComment>
  <threadedComment ref="E91" dT="2025-01-24T21:42:48.27" personId="{00000000-0000-0000-0000-000000000000}" id="{0BDDC299-D567-4A17-AD48-4E8829AFD8D5}">
    <text>a for equation 19</text>
  </threadedComment>
  <threadedComment ref="E92" dT="2025-01-24T21:43:00.46" personId="{00000000-0000-0000-0000-000000000000}" id="{C17F3638-4C44-4174-87AB-43CCD3565CD5}">
    <text>P for equation 19</text>
  </threadedComment>
  <threadedComment ref="E94" dT="2025-01-24T21:41:20.14" personId="{00000000-0000-0000-0000-000000000000}" id="{CAD432AA-22E7-4EC2-ABC6-7343F838DBD0}">
    <text>bTREE,p,i for equation 18</text>
  </threadedComment>
  <threadedComment ref="E94" dT="2025-01-29T17:42:04.91" personId="{00000000-0000-0000-0000-000000000000}" id="{9C0C0680-57D9-46C7-87B9-870ACF2DC2A4}" parentId="{CAD432AA-22E7-4EC2-ABC6-7343F838DBD0}">
    <text>Needs subschema for p</text>
  </threadedComment>
  <threadedComment ref="E95" dT="2025-01-24T21:43:35.34" personId="{00000000-0000-0000-0000-000000000000}" id="{721E5CEA-5191-4BFF-8CC2-92E22BF64548}">
    <text>date</text>
  </threadedComment>
  <threadedComment ref="E104" dT="2025-01-24T21:44:01.28" personId="{00000000-0000-0000-0000-000000000000}" id="{6E29FCD9-DA51-487B-8356-1E3DBAACB731}">
    <text>Equation 24</text>
  </threadedComment>
  <threadedComment ref="E105" dT="2025-01-24T21:44:20.88" personId="{00000000-0000-0000-0000-000000000000}" id="{F4DFD1B8-7490-4611-842E-300B35D91D23}">
    <text>CSHRUB,t2 for equation 24</text>
  </threadedComment>
  <threadedComment ref="E106" dT="2025-01-24T21:44:33.20" personId="{00000000-0000-0000-0000-000000000000}" id="{11F84DFE-45F5-48C3-B374-CAA694C7EBBF}">
    <text>CSHRUB,t1 for equation 24</text>
  </threadedComment>
  <threadedComment ref="E108" dT="2025-01-24T21:44:43.38" personId="{00000000-0000-0000-0000-000000000000}" id="{54720FD0-054D-4431-A1FE-4A2A9BABFEF2}">
    <text>Equation 25</text>
  </threadedComment>
  <threadedComment ref="E109" dT="2025-01-24T21:45:05.85" personId="{00000000-0000-0000-0000-000000000000}" id="{77CB11BE-8E60-406D-B6C3-89F8399C665F}">
    <text>Change in CSHRUB,t2 for equation 25</text>
  </threadedComment>
  <threadedComment ref="E110" dT="2025-01-24T21:45:24.22" personId="{00000000-0000-0000-0000-000000000000}" id="{0814F5A0-602B-41A2-B445-3ECD9C345CA8}">
    <text>Change in CSHRUB,t1 for equation 25</text>
  </threadedComment>
  <threadedComment ref="E111" dT="2025-01-24T21:45:34.17" personId="{00000000-0000-0000-0000-000000000000}" id="{6390C3F8-C80B-40E4-B219-2E7061731638}">
    <text>T for equation 25</text>
  </threadedComment>
  <threadedComment ref="E113" dT="2025-01-24T21:45:46.77" personId="{00000000-0000-0000-0000-000000000000}" id="{22AEF9D2-D9E3-463D-8890-FEFA8187C966}">
    <text>Equation 26</text>
  </threadedComment>
  <threadedComment ref="E114" dT="2025-01-24T21:46:01.64" personId="{00000000-0000-0000-0000-000000000000}" id="{9B2FB45A-9D10-4AB0-88E2-56C23AB927D9}">
    <text>CFs for equation 26</text>
  </threadedComment>
  <threadedComment ref="E115" dT="2025-01-24T21:46:11.67" personId="{00000000-0000-0000-0000-000000000000}" id="{C7785851-8C68-4374-92E4-C16B4D6B261E}">
    <text>Rs for equation 26</text>
  </threadedComment>
  <threadedComment ref="E117" dT="2025-01-24T21:46:51.75" personId="{00000000-0000-0000-0000-000000000000}" id="{F9304850-A8BB-4416-B23E-3D34D8480DFF}">
    <text>BDRSF for equation 27</text>
  </threadedComment>
  <threadedComment ref="E118" dT="2025-01-24T21:47:05.79" personId="{00000000-0000-0000-0000-000000000000}" id="{F3795940-BAEB-4936-8899-F09E5AA9621C}">
    <text>bFOREST for equation 27</text>
  </threadedComment>
  <threadedComment ref="E119" dT="2025-01-24T21:47:20.17" personId="{00000000-0000-0000-0000-000000000000}" id="{737E7FD4-6D51-46AB-95AA-7ED04BEC43A4}">
    <text>CCSHRUB,i for equation 27</text>
  </threadedComment>
  <threadedComment ref="E120" dT="2025-01-24T21:47:37.60" personId="{00000000-0000-0000-0000-000000000000}" id="{6BAC5BF1-18C7-45E0-BC04-2221B8C192A0}">
    <text>ASHRUB,i for equation 26</text>
  </threadedComment>
  <threadedComment ref="E121" dT="2025-01-24T21:47:51.92" personId="{00000000-0000-0000-0000-000000000000}" id="{A70394A2-EEEB-44DF-8393-0DF51903A46E}">
    <text>Equation 27</text>
  </threadedComment>
</ThreadedComments>
</file>

<file path=xl/threadedComments/threadedComment67.xml><?xml version="1.0" encoding="utf-8"?>
<ThreadedComments xmlns="http://schemas.microsoft.com/office/spreadsheetml/2018/threadedcomments" xmlns:x="http://schemas.openxmlformats.org/spreadsheetml/2006/main">
  <threadedComment ref="E10" dT="2025-01-24T21:08:37.93" personId="{00000000-0000-0000-0000-000000000000}" id="{7AC586FF-6E3C-447F-962B-6554BB1D192E}">
    <text>Equation 3</text>
  </threadedComment>
  <threadedComment ref="E11" dT="2025-01-24T21:07:54.22" personId="{00000000-0000-0000-0000-000000000000}" id="{A35C36C3-803A-48F8-B6CF-B4684CDDC606}">
    <text>CFTREE for equation 3</text>
  </threadedComment>
  <threadedComment ref="E12" dT="2025-01-24T21:05:19.59" personId="{00000000-0000-0000-0000-000000000000}" id="{33664538-2B02-491F-A07B-D5A98AEB4DE3}">
    <text>Equation 4</text>
  </threadedComment>
  <threadedComment ref="E13" dT="2025-01-24T21:07:32.01" personId="{00000000-0000-0000-0000-000000000000}" id="{7C5F32D0-6392-4BA6-A003-D85129D0BE82}">
    <text>Equation 5</text>
  </threadedComment>
  <threadedComment ref="E14" dT="2025-01-24T21:05:51.80" personId="{00000000-0000-0000-0000-000000000000}" id="{17F37E2C-C7CF-4550-92F7-45AF1A1A55DE}">
    <text>A for equation 4</text>
  </threadedComment>
  <threadedComment ref="E15" dT="2025-01-24T21:06:24.35" personId="{00000000-0000-0000-0000-000000000000}" id="{97D401EA-903D-4D96-8666-B48C6E95D6C0}">
    <text>Equation 6</text>
  </threadedComment>
  <threadedComment ref="E16" dT="2025-01-24T21:06:48.46" personId="{00000000-0000-0000-0000-000000000000}" id="{8B75F175-8452-4CA1-9B6C-ED5E86F526EF}">
    <text>tVAL for equation 6</text>
  </threadedComment>
  <threadedComment ref="E18" dT="2025-01-24T21:56:24.85" personId="{00000000-0000-0000-0000-000000000000}" id="{C1FDDD2F-4812-45D4-B2B4-AF9FEF6EEBC3}">
    <text>Equation 7</text>
  </threadedComment>
  <threadedComment ref="E19" dT="2025-01-24T21:59:35.41" personId="{00000000-0000-0000-0000-000000000000}" id="{742B5DD9-7FCB-4532-BD7A-0E37300BD3AC}">
    <text>wi for equation 6</text>
  </threadedComment>
  <threadedComment ref="E20" dT="2025-01-24T21:58:30.81" personId="{00000000-0000-0000-0000-000000000000}" id="{ABD50941-98BA-42E7-AE1D-6519B3F9D30C}">
    <text>Equation 8</text>
  </threadedComment>
  <threadedComment ref="E21" dT="2025-01-24T21:58:47.27" personId="{00000000-0000-0000-0000-000000000000}" id="{B93BCB2D-469E-4257-B05C-F94E4B73E0BC}">
    <text>ni for equation 8</text>
  </threadedComment>
  <threadedComment ref="E23" dT="2025-01-24T21:57:53.17" personId="{00000000-0000-0000-0000-000000000000}" id="{8FF08E30-CE83-45B2-919F-D7A92EFF28D5}">
    <text>Change in bTREE,p,i for equation 7</text>
  </threadedComment>
  <threadedComment ref="E23" dT="2025-01-29T17:16:59.31" personId="{00000000-0000-0000-0000-000000000000}" id="{474D8614-B067-4203-9234-BCD5903B8EAA}" parentId="{8FF08E30-CE83-45B2-919F-D7A92EFF28D5}">
    <text>Needs to be a stand alone sub schema for p</text>
  </threadedComment>
  <threadedComment ref="E25" dT="2025-01-24T22:02:33.42" personId="{00000000-0000-0000-0000-000000000000}" id="{3098B5AA-05C4-4E7C-8249-8B8C0308BB14}">
    <text>CTREE,t1 for equation 1</text>
  </threadedComment>
  <threadedComment ref="E26" dT="2025-01-24T22:02:16.16" personId="{00000000-0000-0000-0000-000000000000}" id="{CD0FEB78-6FF1-4654-82B3-2B844E242109}">
    <text>CTREE,t2 for equation 1</text>
  </threadedComment>
  <threadedComment ref="E27" dT="2025-01-24T22:02:01.41" personId="{00000000-0000-0000-0000-000000000000}" id="{04D88C67-5C7C-454A-8B11-3B79298F8377}">
    <text>u1 for equation 2</text>
  </threadedComment>
  <threadedComment ref="E28" dT="2025-01-24T22:01:50.45" personId="{00000000-0000-0000-0000-000000000000}" id="{6488BCD8-9134-4717-B492-B8FD441E6109}">
    <text>u2 for equation 2</text>
  </threadedComment>
  <threadedComment ref="E29" dT="2025-01-24T22:01:36.31" personId="{00000000-0000-0000-0000-000000000000}" id="{135CF094-BD8A-4DCD-A0EC-7802FECF8730}">
    <text>Equation 2</text>
  </threadedComment>
  <threadedComment ref="E30" dT="2025-01-24T22:01:03.12" personId="{00000000-0000-0000-0000-000000000000}" id="{8D30A7EA-C885-445F-B994-4F0AEF400BC0}">
    <text>Equation 1</text>
  </threadedComment>
  <threadedComment ref="E31" dT="2025-01-24T22:01:11.44" personId="{00000000-0000-0000-0000-000000000000}" id="{0B229ED4-B82E-4802-AD20-2FB3039B3BAE}">
    <text>Equation 2</text>
  </threadedComment>
</ThreadedComments>
</file>

<file path=xl/threadedComments/threadedComment68.xml><?xml version="1.0" encoding="utf-8"?>
<ThreadedComments xmlns="http://schemas.microsoft.com/office/spreadsheetml/2018/threadedcomments" xmlns:x="http://schemas.openxmlformats.org/spreadsheetml/2006/main">
  <threadedComment ref="E5" dT="2025-01-24T21:08:37.93" personId="{00000000-0000-0000-0000-000000000000}" id="{6727FD55-6DC5-4641-9801-C4B9CB78E67E}">
    <text>Equation 3</text>
  </threadedComment>
  <threadedComment ref="E6" dT="2025-01-24T21:07:54.22" personId="{00000000-0000-0000-0000-000000000000}" id="{799527A2-40A1-4792-940A-3D69D190E981}">
    <text>CFTREE for equation 3</text>
  </threadedComment>
  <threadedComment ref="E7" dT="2025-01-24T21:05:19.59" personId="{00000000-0000-0000-0000-000000000000}" id="{8810038C-B6DD-45EB-99E1-A544539D10A1}">
    <text>Equation 4</text>
  </threadedComment>
  <threadedComment ref="E8" dT="2025-01-24T21:07:32.01" personId="{00000000-0000-0000-0000-000000000000}" id="{B2F246E0-61D1-49D4-B0A4-574088F4D9A5}">
    <text>Equation 5</text>
  </threadedComment>
  <threadedComment ref="E9" dT="2025-01-24T21:05:51.80" personId="{00000000-0000-0000-0000-000000000000}" id="{D6657A1B-C93B-4E30-B98B-950C1E3AF13C}">
    <text>A for equation 4</text>
  </threadedComment>
  <threadedComment ref="E10" dT="2025-01-24T21:06:24.35" personId="{00000000-0000-0000-0000-000000000000}" id="{39196F97-E0D3-476C-8211-82CEECC0DB1A}">
    <text>Equation 6</text>
  </threadedComment>
  <threadedComment ref="E11" dT="2025-01-24T21:06:48.46" personId="{00000000-0000-0000-0000-000000000000}" id="{B54B45E2-1CA0-4817-9DB2-4C7EFC38FCE5}">
    <text>tVAL for equation 6</text>
  </threadedComment>
  <threadedComment ref="E13" dT="2025-01-24T21:56:24.85" personId="{00000000-0000-0000-0000-000000000000}" id="{F4EC0A38-0105-4F28-96ED-D0993E3B1022}">
    <text>Equation 7</text>
  </threadedComment>
  <threadedComment ref="E14" dT="2025-01-24T21:59:35.41" personId="{00000000-0000-0000-0000-000000000000}" id="{38AE5B1B-CBE6-4485-AB8E-977F73BC80DA}">
    <text>wi for equation 6</text>
  </threadedComment>
  <threadedComment ref="E15" dT="2025-01-24T21:58:30.81" personId="{00000000-0000-0000-0000-000000000000}" id="{C3751A01-7E0F-44B1-93B7-16F1B89B9287}">
    <text>Equation 8</text>
  </threadedComment>
  <threadedComment ref="E16" dT="2025-01-24T21:58:47.27" personId="{00000000-0000-0000-0000-000000000000}" id="{4D68E214-AA4E-4453-9E56-408FDD7DF3AC}">
    <text>ni for equation 8</text>
  </threadedComment>
  <threadedComment ref="E18" dT="2025-01-24T21:57:53.17" personId="{00000000-0000-0000-0000-000000000000}" id="{27BEF145-4313-4817-B842-409E26DA52F1}">
    <text>Change in bTREE,p,i for equation 7</text>
  </threadedComment>
  <threadedComment ref="E18" dT="2025-01-29T17:16:59.31" personId="{00000000-0000-0000-0000-000000000000}" id="{A3B8ABF6-CFA4-4A18-AC29-468A72C62BE8}" parentId="{27BEF145-4313-4817-B842-409E26DA52F1}">
    <text>Needs to be a stand alone sub schema for p</text>
  </threadedComment>
</ThreadedComments>
</file>

<file path=xl/threadedComments/threadedComment69.xml><?xml version="1.0" encoding="utf-8"?>
<ThreadedComments xmlns="http://schemas.microsoft.com/office/spreadsheetml/2018/threadedcomments" xmlns:x="http://schemas.openxmlformats.org/spreadsheetml/2006/main">
  <threadedComment ref="E5" dT="2025-01-24T21:56:24.85" personId="{00000000-0000-0000-0000-000000000000}" id="{4A8C6A39-4FEF-4D30-96DF-A425D38A2495}">
    <text>Equation 7</text>
  </threadedComment>
  <threadedComment ref="E6" dT="2025-01-24T21:59:35.41" personId="{00000000-0000-0000-0000-000000000000}" id="{7115BCDB-1B84-4391-BFD9-39306D7A9B6E}">
    <text>wi for equation 6</text>
  </threadedComment>
  <threadedComment ref="E7" dT="2025-01-24T21:58:30.81" personId="{00000000-0000-0000-0000-000000000000}" id="{85E22CC2-BD59-4D9B-A2AF-BF7DA3C0A9C6}">
    <text>Equation 8</text>
  </threadedComment>
  <threadedComment ref="E8" dT="2025-01-24T21:58:47.27" personId="{00000000-0000-0000-0000-000000000000}" id="{2C677D21-92A5-44E6-8CA3-9F77A75965F5}">
    <text>ni for equation 8</text>
  </threadedComment>
  <threadedComment ref="E10" dT="2025-01-24T21:57:53.17" personId="{00000000-0000-0000-0000-000000000000}" id="{B865B052-10FB-4D4A-936D-47D6801286DF}">
    <text>Change in bTREE,p,i for equation 7</text>
  </threadedComment>
  <threadedComment ref="E10" dT="2025-01-29T17:16:59.31" personId="{00000000-0000-0000-0000-000000000000}" id="{ABEE0E22-8638-441C-A10B-2F5BE3CB460C}" parentId="{B865B052-10FB-4D4A-936D-47D6801286DF}">
    <text>Needs to be a stand alone sub schema for p</text>
  </threadedComment>
</ThreadedComments>
</file>

<file path=xl/threadedComments/threadedComment7.xml><?xml version="1.0" encoding="utf-8"?>
<ThreadedComments xmlns="http://schemas.microsoft.com/office/spreadsheetml/2018/threadedcomments" xmlns:x="http://schemas.openxmlformats.org/spreadsheetml/2006/main">
  <threadedComment ref="E17" dT="2025-01-24T21:11:36.74" personId="{00000000-0000-0000-0000-000000000000}" id="{9E539B06-D2DC-4E88-B5EE-60B1F30DFE31}">
    <text>Equation 9</text>
  </threadedComment>
  <threadedComment ref="E19" dT="2025-01-24T21:11:58.89" personId="{00000000-0000-0000-0000-000000000000}" id="{85F907FD-B890-4455-9F9C-082F12569F6B}">
    <text>Equation 10</text>
  </threadedComment>
  <threadedComment ref="E20" dT="2025-01-24T21:12:11.78" personId="{00000000-0000-0000-0000-000000000000}" id="{6CCB6BCA-4BA7-4A8F-8FE8-2D03DC07654E}">
    <text>CFTREE for equation 10</text>
  </threadedComment>
  <threadedComment ref="E21" dT="2025-01-24T21:12:25.46" personId="{00000000-0000-0000-0000-000000000000}" id="{14FBDD7B-0D12-4D65-B711-AC2F18E52AD9}">
    <text>bForest for equation 10</text>
  </threadedComment>
  <threadedComment ref="E22" dT="2025-01-24T21:12:40.25" personId="{00000000-0000-0000-0000-000000000000}" id="{C5E566FC-CC04-446D-A9E1-58518DF3CD37}">
    <text>RTREE for equation 10</text>
  </threadedComment>
  <threadedComment ref="E23" dT="2025-01-24T21:12:53.39" personId="{00000000-0000-0000-0000-000000000000}" id="{B32E5202-54BC-4F7C-8552-0DCC39605744}">
    <text>CCREE_BSL_i for equation 10</text>
  </threadedComment>
  <threadedComment ref="E24" dT="2025-01-24T21:13:03.79" personId="{00000000-0000-0000-0000-000000000000}" id="{FDC47A8C-EA71-4E23-9B44-D606FB1A6E8F}">
    <text>Ai for equation 10</text>
  </threadedComment>
  <threadedComment ref="E26" dT="2025-01-24T21:08:37.93" personId="{00000000-0000-0000-0000-000000000000}" id="{5528C25A-89CF-4471-9D9E-D20EB99AFF43}">
    <text>Equation 3</text>
  </threadedComment>
  <threadedComment ref="E27" dT="2025-01-24T21:07:54.22" personId="{00000000-0000-0000-0000-000000000000}" id="{C40A7647-CAAF-4EF5-9100-7B24A085C011}">
    <text>CFTREE for equation 3</text>
  </threadedComment>
  <threadedComment ref="E28" dT="2025-01-24T21:05:19.59" personId="{00000000-0000-0000-0000-000000000000}" id="{065C5E4C-B57D-45F6-9C84-05AF760A330A}">
    <text>Equation 4</text>
  </threadedComment>
  <threadedComment ref="E29" dT="2025-01-24T21:07:32.01" personId="{00000000-0000-0000-0000-000000000000}" id="{568CEB30-9E33-4C2F-B148-91C5448A6B03}">
    <text>Equation 5</text>
  </threadedComment>
  <threadedComment ref="E30" dT="2025-01-24T21:05:51.80" personId="{00000000-0000-0000-0000-000000000000}" id="{F36BB4E5-4FFF-47B0-BA9B-E04020D299B2}">
    <text>A for equation 4</text>
  </threadedComment>
  <threadedComment ref="E31" dT="2025-01-24T21:06:24.35" personId="{00000000-0000-0000-0000-000000000000}" id="{9F380A23-E5D0-4232-B94C-8C965D8DAC89}">
    <text>Equation 6</text>
  </threadedComment>
  <threadedComment ref="E32" dT="2025-01-24T21:06:48.46" personId="{00000000-0000-0000-0000-000000000000}" id="{11D7D33E-ED0A-49D7-BF26-223FECE13231}">
    <text>tVAL for equation 6</text>
  </threadedComment>
  <threadedComment ref="E34" dT="2025-01-24T21:56:24.85" personId="{00000000-0000-0000-0000-000000000000}" id="{53A0F9EA-A06A-467F-939A-D796C6192E4B}">
    <text>Equation 7</text>
  </threadedComment>
  <threadedComment ref="E35" dT="2025-01-24T21:59:35.41" personId="{00000000-0000-0000-0000-000000000000}" id="{640242E9-8C7C-47AF-A168-15CF5556B6AA}">
    <text>wi for equation 6</text>
  </threadedComment>
  <threadedComment ref="E36" dT="2025-01-24T21:58:30.81" personId="{00000000-0000-0000-0000-000000000000}" id="{B74F99E3-2B8E-4759-BC98-5E50D623B489}">
    <text>Equation 8</text>
  </threadedComment>
  <threadedComment ref="E37" dT="2025-01-24T21:58:47.27" personId="{00000000-0000-0000-0000-000000000000}" id="{37C9EE2B-29F7-464B-A129-34ABBCC54870}">
    <text>ni for equation 8</text>
  </threadedComment>
  <threadedComment ref="E39" dT="2025-01-24T21:57:53.17" personId="{00000000-0000-0000-0000-000000000000}" id="{4F9D267A-B1A5-4FD9-837C-F959E3D524CF}">
    <text>Change in bTREE,p,i for equation 7</text>
  </threadedComment>
  <threadedComment ref="E39" dT="2025-01-29T17:16:59.31" personId="{00000000-0000-0000-0000-000000000000}" id="{E3A64191-0EEE-4480-AA86-8A7D3A62E0F1}" parentId="{4F9D267A-B1A5-4FD9-837C-F959E3D524CF}">
    <text>Needs to be a stand alone sub schema for p</text>
  </threadedComment>
  <threadedComment ref="E41" dT="2025-01-24T22:02:33.42" personId="{00000000-0000-0000-0000-000000000000}" id="{FF3B4F4D-660D-4971-AD54-3102E62D8D28}">
    <text>CTREE,t1 for equation 1</text>
  </threadedComment>
  <threadedComment ref="E42" dT="2025-01-24T22:02:16.16" personId="{00000000-0000-0000-0000-000000000000}" id="{E3A8452F-3D67-4B27-8C72-C385DD36440C}">
    <text>CTREE,t2 for equation 1</text>
  </threadedComment>
  <threadedComment ref="E43" dT="2025-01-24T22:02:01.41" personId="{00000000-0000-0000-0000-000000000000}" id="{6E252954-91FB-45D4-8EF1-75EB298D596F}">
    <text>u1 for equation 2</text>
  </threadedComment>
  <threadedComment ref="E44" dT="2025-01-24T22:01:50.45" personId="{00000000-0000-0000-0000-000000000000}" id="{30598A38-F6F1-47C8-8797-F7688CAEB27F}">
    <text>u2 for equation 2</text>
  </threadedComment>
  <threadedComment ref="E45" dT="2025-01-24T22:01:36.31" personId="{00000000-0000-0000-0000-000000000000}" id="{CBE3C88C-076C-4316-9FBB-2040682FBE9A}">
    <text>Equation 2</text>
  </threadedComment>
  <threadedComment ref="E46" dT="2025-01-24T22:01:03.12" personId="{00000000-0000-0000-0000-000000000000}" id="{DF7ED01B-ABA5-4896-A2AE-1BAE0C7564C0}">
    <text>Equation 1</text>
  </threadedComment>
  <threadedComment ref="E47" dT="2025-01-24T22:01:11.44" personId="{00000000-0000-0000-0000-000000000000}" id="{4E5FF715-4DC5-4E78-937E-A70599B35BD9}">
    <text>Equation 2</text>
  </threadedComment>
  <threadedComment ref="E49" dT="2025-01-24T21:14:26.89" personId="{00000000-0000-0000-0000-000000000000}" id="{8E06D14B-C0AD-4CD6-939F-94FF28832AF8}">
    <text>Equation 11</text>
  </threadedComment>
  <threadedComment ref="E50" dT="2025-01-24T21:14:43.23" personId="{00000000-0000-0000-0000-000000000000}" id="{B8E5A2E9-79A5-4E3F-8149-70F49B6D6E27}">
    <text>CTREE,t2 for equation 11</text>
  </threadedComment>
  <threadedComment ref="E51" dT="2025-01-24T21:14:56.44" personId="{00000000-0000-0000-0000-000000000000}" id="{E7F4DFC2-765A-4AD0-A97E-AF7C59F1359C}">
    <text>CTREE,t1 for equation 11</text>
  </threadedComment>
  <threadedComment ref="E52" dT="2025-01-24T21:15:24.60" personId="{00000000-0000-0000-0000-000000000000}" id="{EFA686FE-2A84-4849-8BBA-62B712E075C8}">
    <text>T for equation 11</text>
  </threadedComment>
  <threadedComment ref="E56" dT="2025-01-24T21:23:49.18" personId="{00000000-0000-0000-0000-000000000000}" id="{BA162553-889A-4297-9B5C-E1A03E2CF8E6}">
    <text>Equation 22</text>
  </threadedComment>
  <threadedComment ref="E57" dT="2025-01-24T21:24:05.82" personId="{00000000-0000-0000-0000-000000000000}" id="{5A43A508-B432-4579-981E-8884C6AF0489}">
    <text>CTREE,t1 for equation 22</text>
  </threadedComment>
  <threadedComment ref="E58" dT="2025-01-24T21:24:35.78" personId="{00000000-0000-0000-0000-000000000000}" id="{DAD47FCB-6FDA-42E1-B120-3D63D9B05AD4}">
    <text>Change in CTREE for equation 22</text>
  </threadedComment>
  <threadedComment ref="E59" dT="2025-01-24T21:25:15.22" personId="{00000000-0000-0000-0000-000000000000}" id="{88142AEA-43DE-4753-B7A7-BB5A43C07E24}">
    <text>U_c for equation 23</text>
  </threadedComment>
  <threadedComment ref="E60" dT="2025-01-29T17:30:04.87" personId="{00000000-0000-0000-0000-000000000000}" id="{60596C12-953C-4B57-961A-EFED3FCC9C12}">
    <text>Equation 23</text>
  </threadedComment>
  <threadedComment ref="E61" dT="2025-01-24T21:25:56.99" personId="{00000000-0000-0000-0000-000000000000}" id="{213D1B8F-7903-42D1-A1F6-283882CA2A50}">
    <text>Uncertainty for t1 also equation 23</text>
  </threadedComment>
  <threadedComment ref="E74" dT="2025-01-24T21:18:44.52" personId="{00000000-0000-0000-0000-000000000000}" id="{D1ABA7A6-FC48-48AF-BBDE-752F9C2D2E3E}">
    <text>Equation 20</text>
  </threadedComment>
  <threadedComment ref="E76" dT="2025-01-24T21:28:15.15" personId="{00000000-0000-0000-0000-000000000000}" id="{85B96B92-9D6E-404F-94B5-BCB7E0999ECB}">
    <text>Equation 21</text>
  </threadedComment>
  <threadedComment ref="E77" dT="2025-01-24T21:28:26.27" personId="{00000000-0000-0000-0000-000000000000}" id="{9BC4B267-80CA-40F1-A82A-7E24D47DFE8D}">
    <text>CFTREE for equation 21</text>
  </threadedComment>
  <threadedComment ref="E78" dT="2025-01-24T21:29:02.29" personId="{00000000-0000-0000-0000-000000000000}" id="{2D44458C-0C6A-4B2B-BBFE-D1A6817B72A3}">
    <text>BfOREST for equation 21</text>
  </threadedComment>
  <threadedComment ref="E79" dT="2025-01-24T21:29:13.76" personId="{00000000-0000-0000-0000-000000000000}" id="{20429124-D54B-40F0-A1B6-1BC24685A728}">
    <text>RTREE for equation 21</text>
  </threadedComment>
  <threadedComment ref="E80" dT="2025-01-24T21:29:35.41" personId="{00000000-0000-0000-0000-000000000000}" id="{F676850C-FEFB-4C24-8C97-96F46183E9FF}">
    <text>CCTREE_BSL,i for equation 21</text>
  </threadedComment>
  <threadedComment ref="E81" dT="2025-01-24T21:29:49.14" personId="{00000000-0000-0000-0000-000000000000}" id="{150720D8-A7B3-4DD7-B4DD-41CEB5C5E66C}">
    <text>Ai for equation 21</text>
  </threadedComment>
  <threadedComment ref="E85" dT="2025-01-24T21:32:22.56" personId="{00000000-0000-0000-0000-000000000000}" id="{A60E7133-EA72-4B4C-B869-49F0C09E4DBC}">
    <text>Equation 12</text>
  </threadedComment>
  <threadedComment ref="E86" dT="2025-01-24T21:32:39.66" personId="{00000000-0000-0000-0000-000000000000}" id="{C315B369-BAB8-4051-93E8-F6907EC6E2DF}">
    <text>CFTRRE for equation 12</text>
  </threadedComment>
  <threadedComment ref="E87" dT="2025-01-24T21:32:59.13" personId="{00000000-0000-0000-0000-000000000000}" id="{052FE103-0FCF-401D-9E4C-EEE08DB6F9FD}">
    <text>Equation 13</text>
  </threadedComment>
  <threadedComment ref="E88" dT="2025-01-24T21:33:11.67" personId="{00000000-0000-0000-0000-000000000000}" id="{4317197F-C41A-4FEF-B385-C388C4899E33}">
    <text>A for equation 13</text>
  </threadedComment>
  <threadedComment ref="E89" dT="2025-01-24T21:33:49.53" personId="{00000000-0000-0000-0000-000000000000}" id="{17988A63-AAFF-4FBE-B2A2-6594FCE59DF6}">
    <text>Equation 14</text>
  </threadedComment>
  <threadedComment ref="E90" dT="2025-01-24T21:34:10.73" personId="{00000000-0000-0000-0000-000000000000}" id="{A5535360-B3EB-4470-88A9-6ADCF340DA4F}">
    <text>Equation 15</text>
  </threadedComment>
  <threadedComment ref="E91" dT="2025-01-24T21:34:26.85" personId="{00000000-0000-0000-0000-000000000000}" id="{002DA28E-98C9-48DC-A2DC-D97FC5A4DB4E}">
    <text>tVAL for equation 15</text>
  </threadedComment>
  <threadedComment ref="E93" dT="2025-01-24T21:35:06.61" personId="{00000000-0000-0000-0000-000000000000}" id="{E98705F1-41A4-4F53-88AB-1463D4E19766}">
    <text>Equation 16</text>
  </threadedComment>
  <threadedComment ref="E94" dT="2025-01-24T21:35:40.02" personId="{00000000-0000-0000-0000-000000000000}" id="{B5A7D9B8-70CC-4003-870D-D26C416EB422}">
    <text>Wi for equation 15</text>
  </threadedComment>
  <threadedComment ref="E95" dT="2025-01-24T21:36:34.63" personId="{00000000-0000-0000-0000-000000000000}" id="{705C6A2C-6C80-4683-A42F-F6F8810C1CB5}">
    <text>Equation 17</text>
  </threadedComment>
  <threadedComment ref="E96" dT="2025-01-24T21:36:51.04" personId="{00000000-0000-0000-0000-000000000000}" id="{423CFB0D-0370-431E-9E05-AE470C0A654C}">
    <text>ni for equation 17</text>
  </threadedComment>
  <threadedComment ref="E98" dT="2025-01-24T21:36:16.10" personId="{00000000-0000-0000-0000-000000000000}" id="{B71161A7-42D3-472A-86EF-A2F10B65BE1B}">
    <text>bTREE,p,i, for equation 17</text>
  </threadedComment>
  <threadedComment ref="E98" dT="2025-01-29T17:39:36.47" personId="{00000000-0000-0000-0000-000000000000}" id="{DDF83F82-CD28-4B1B-BB48-C3E2105B9B06}" parentId="{B71161A7-42D3-472A-86EF-A2F10B65BE1B}">
    <text>Needs a subschema for p</text>
  </threadedComment>
  <threadedComment ref="E100" dT="2025-01-24T21:38:04.67" personId="{00000000-0000-0000-0000-000000000000}" id="{568D6087-C41B-4A87-89E3-B871A8981713}">
    <text>Equation 12?</text>
  </threadedComment>
  <threadedComment ref="E101" dT="2025-01-24T21:38:15.63" personId="{00000000-0000-0000-0000-000000000000}" id="{E645CFF2-8852-4FF2-AF4C-D56D83098F4F}">
    <text>CFTREE for equation 12</text>
  </threadedComment>
  <threadedComment ref="E102" dT="2025-01-24T21:38:35.72" personId="{00000000-0000-0000-0000-000000000000}" id="{34EAF3B5-DDFB-4DB6-A799-821956CF6EEA}">
    <text>Equation 13</text>
  </threadedComment>
  <threadedComment ref="E103" dT="2025-01-24T21:38:48.89" personId="{00000000-0000-0000-0000-000000000000}" id="{49C826DF-3CA7-46DF-B587-EC6980A132E9}">
    <text>A for equation 13</text>
  </threadedComment>
  <threadedComment ref="E104" dT="2025-01-24T21:39:01.30" personId="{00000000-0000-0000-0000-000000000000}" id="{8D4765AE-8DF9-4703-87B7-2AAF7A3F2428}">
    <text>Equation 14</text>
  </threadedComment>
  <threadedComment ref="E105" dT="2025-01-24T21:40:03.74" personId="{00000000-0000-0000-0000-000000000000}" id="{557072D1-CE01-4E03-A157-0B275F4E52F2}">
    <text>Equation 15</text>
  </threadedComment>
  <threadedComment ref="E106" dT="2025-01-24T21:39:23.91" personId="{00000000-0000-0000-0000-000000000000}" id="{0458710C-C574-4C58-A456-D80DA33E78DC}">
    <text>TVAL for equation 15</text>
  </threadedComment>
  <threadedComment ref="E108" dT="2025-01-24T21:40:13.24" personId="{00000000-0000-0000-0000-000000000000}" id="{D6347AEF-3453-403E-AA9B-1377A7C63B45}">
    <text>Equation 18</text>
  </threadedComment>
  <threadedComment ref="E109" dT="2025-01-24T21:41:35.54" personId="{00000000-0000-0000-0000-000000000000}" id="{F1494888-F62C-4685-92D9-E1512E8531B6}">
    <text>ni for equation 19</text>
  </threadedComment>
  <threadedComment ref="E110" dT="2025-01-24T21:41:53.24" personId="{00000000-0000-0000-0000-000000000000}" id="{D1E7DC37-2BF1-4541-A68D-89E095CC6BB0}">
    <text>Slope for equation 18</text>
  </threadedComment>
  <threadedComment ref="E111" dT="2025-01-24T21:42:04.37" personId="{00000000-0000-0000-0000-000000000000}" id="{1C861C39-DF31-4FF9-A4B7-F8018DB16145}">
    <text>For equation 18</text>
  </threadedComment>
  <threadedComment ref="E112" dT="2025-01-24T21:42:11.80" personId="{00000000-0000-0000-0000-000000000000}" id="{BAAD878C-A47C-474C-BF15-73F70AD42DC5}">
    <text>For equation 18</text>
  </threadedComment>
  <threadedComment ref="E113" dT="2025-01-24T21:42:31.87" personId="{00000000-0000-0000-0000-000000000000}" id="{21ACA440-B692-4043-9DE2-09D2BA8EBD32}">
    <text>Equation 19</text>
  </threadedComment>
  <threadedComment ref="E114" dT="2025-01-24T21:42:48.27" personId="{00000000-0000-0000-0000-000000000000}" id="{E7742FCB-0019-4028-B1A9-A372679BD53D}">
    <text>a for equation 19</text>
  </threadedComment>
  <threadedComment ref="E115" dT="2025-01-24T21:43:00.46" personId="{00000000-0000-0000-0000-000000000000}" id="{66E19E22-BDA7-46DE-A444-021F5D7D9ADF}">
    <text>P for equation 19</text>
  </threadedComment>
  <threadedComment ref="E117" dT="2025-01-24T21:41:20.14" personId="{00000000-0000-0000-0000-000000000000}" id="{C7EB5800-8C5D-4FBA-BD6D-A7AD524964A7}">
    <text>bTREE,p,i for equation 18</text>
  </threadedComment>
  <threadedComment ref="E117" dT="2025-01-29T17:42:04.91" personId="{00000000-0000-0000-0000-000000000000}" id="{E5798A17-9E60-4B53-84E3-9EC53CC769C3}" parentId="{C7EB5800-8C5D-4FBA-BD6D-A7AD524964A7}">
    <text>Needs subschema for p</text>
  </threadedComment>
  <threadedComment ref="E118" dT="2025-01-24T21:43:35.34" personId="{00000000-0000-0000-0000-000000000000}" id="{D90F0DF1-13E3-4A10-947B-298F179837FC}">
    <text>date</text>
  </threadedComment>
  <threadedComment ref="E127" dT="2025-01-24T21:44:01.28" personId="{00000000-0000-0000-0000-000000000000}" id="{A379CE2F-1F7C-4EAC-860E-7122F41A1C67}">
    <text>Equation 24</text>
  </threadedComment>
  <threadedComment ref="E128" dT="2025-01-24T21:44:20.88" personId="{00000000-0000-0000-0000-000000000000}" id="{CC82BC52-0811-4DE3-A000-EB7112E34A26}">
    <text>CSHRUB,t2 for equation 24</text>
  </threadedComment>
  <threadedComment ref="E129" dT="2025-01-24T21:44:33.20" personId="{00000000-0000-0000-0000-000000000000}" id="{1D04F58A-AE47-4E0A-8506-35E1B128A88B}">
    <text>CSHRUB,t1 for equation 24</text>
  </threadedComment>
  <threadedComment ref="E131" dT="2025-01-24T21:44:43.38" personId="{00000000-0000-0000-0000-000000000000}" id="{13738CB3-E948-46FB-9C31-3E3533E085E9}">
    <text>Equation 25</text>
  </threadedComment>
  <threadedComment ref="E132" dT="2025-01-24T21:45:05.85" personId="{00000000-0000-0000-0000-000000000000}" id="{DA213232-F92C-4CA1-B090-3DEA7955E304}">
    <text>Change in CSHRUB,t2 for equation 25</text>
  </threadedComment>
  <threadedComment ref="E133" dT="2025-01-24T21:45:24.22" personId="{00000000-0000-0000-0000-000000000000}" id="{1D4C3CD1-562C-416C-BAD5-41386C0D339A}">
    <text>Change in CSHRUB,t1 for equation 25</text>
  </threadedComment>
  <threadedComment ref="E134" dT="2025-01-24T21:45:34.17" personId="{00000000-0000-0000-0000-000000000000}" id="{910D4A9A-A8B4-4B00-A925-3E812E8EB82A}">
    <text>T for equation 25</text>
  </threadedComment>
  <threadedComment ref="E136" dT="2025-01-24T21:45:46.77" personId="{00000000-0000-0000-0000-000000000000}" id="{96274FFA-A157-47A9-979E-132BCBD63A3A}">
    <text>Equation 26</text>
  </threadedComment>
  <threadedComment ref="E137" dT="2025-01-24T21:46:01.64" personId="{00000000-0000-0000-0000-000000000000}" id="{33372BAF-F028-4A99-9D41-A8D40FD282A3}">
    <text>CFs for equation 26</text>
  </threadedComment>
  <threadedComment ref="E138" dT="2025-01-24T21:46:11.67" personId="{00000000-0000-0000-0000-000000000000}" id="{5098787D-C909-4E0B-9F09-64DE8E0C2589}">
    <text>Rs for equation 26</text>
  </threadedComment>
  <threadedComment ref="E140" dT="2025-01-24T21:46:51.75" personId="{00000000-0000-0000-0000-000000000000}" id="{BC992BA2-58F5-4E3B-AF2A-1ABF3F627533}">
    <text>BDRSF for equation 27</text>
  </threadedComment>
  <threadedComment ref="E141" dT="2025-01-24T21:47:05.79" personId="{00000000-0000-0000-0000-000000000000}" id="{4CC28205-8CE2-4D28-AEC8-1CFECC2E6C21}">
    <text>bFOREST for equation 27</text>
  </threadedComment>
  <threadedComment ref="E142" dT="2025-01-24T21:47:20.17" personId="{00000000-0000-0000-0000-000000000000}" id="{388FFE7F-8CA2-4708-8205-41353E48CE8D}">
    <text>CCSHRUB,i for equation 27</text>
  </threadedComment>
  <threadedComment ref="E143" dT="2025-01-24T21:47:37.60" personId="{00000000-0000-0000-0000-000000000000}" id="{89408810-E876-409A-AC2B-7253303310A6}">
    <text>ASHRUB,i for equation 26</text>
  </threadedComment>
  <threadedComment ref="E144" dT="2025-01-24T21:47:51.92" personId="{00000000-0000-0000-0000-000000000000}" id="{246A878D-F877-432F-B1C4-C8FDB3873957}">
    <text>Equation 27</text>
  </threadedComment>
  <threadedComment ref="E155" dT="2025-01-24T21:08:37.93" personId="{00000000-0000-0000-0000-000000000000}" id="{BB8E8FC6-893F-4FDD-97B4-2F980026BFCE}">
    <text>Equation 3</text>
  </threadedComment>
  <threadedComment ref="E156" dT="2025-01-24T21:07:54.22" personId="{00000000-0000-0000-0000-000000000000}" id="{0AE29EEB-6B26-472F-B1BB-2ABA74281E3A}">
    <text>CFTREE for equation 3</text>
  </threadedComment>
  <threadedComment ref="E157" dT="2025-01-24T21:05:19.59" personId="{00000000-0000-0000-0000-000000000000}" id="{EE7A9DD9-9125-47AE-AD63-97D62FA4FB41}">
    <text>Equation 4</text>
  </threadedComment>
  <threadedComment ref="E158" dT="2025-01-24T21:07:32.01" personId="{00000000-0000-0000-0000-000000000000}" id="{9F6A1704-DCAA-4BDC-B8FA-1B4B9E1ADC07}">
    <text>Equation 5</text>
  </threadedComment>
  <threadedComment ref="E159" dT="2025-01-24T21:05:51.80" personId="{00000000-0000-0000-0000-000000000000}" id="{33A76B2D-2F8A-4A8D-BA7E-77AE668A548B}">
    <text>A for equation 4</text>
  </threadedComment>
  <threadedComment ref="E160" dT="2025-01-24T21:06:24.35" personId="{00000000-0000-0000-0000-000000000000}" id="{ADAEDCCE-A795-42C0-804A-011249A714E7}">
    <text>Equation 6</text>
  </threadedComment>
  <threadedComment ref="E161" dT="2025-01-24T21:06:48.46" personId="{00000000-0000-0000-0000-000000000000}" id="{9D377F25-E7BB-4256-8EB7-405E19F6F03C}">
    <text>tVAL for equation 6</text>
  </threadedComment>
  <threadedComment ref="E163" dT="2025-01-24T21:56:24.85" personId="{00000000-0000-0000-0000-000000000000}" id="{76EE5A90-6FBD-46A4-83F1-446CE02C9254}">
    <text>Equation 7</text>
  </threadedComment>
  <threadedComment ref="E164" dT="2025-01-24T21:59:35.41" personId="{00000000-0000-0000-0000-000000000000}" id="{DFCA3E43-8616-4108-80FC-2E449BAC58D1}">
    <text>wi for equation 6</text>
  </threadedComment>
  <threadedComment ref="E165" dT="2025-01-24T21:58:30.81" personId="{00000000-0000-0000-0000-000000000000}" id="{57B50E1C-84DA-4CA8-A4F4-4BC653F4E0D2}">
    <text>Equation 8</text>
  </threadedComment>
  <threadedComment ref="E166" dT="2025-01-24T21:58:47.27" personId="{00000000-0000-0000-0000-000000000000}" id="{F79030E8-2F27-4274-AE20-0123B48A353A}">
    <text>ni for equation 8</text>
  </threadedComment>
  <threadedComment ref="E168" dT="2025-01-24T21:57:53.17" personId="{00000000-0000-0000-0000-000000000000}" id="{BE68EECE-3348-40D2-BC76-AA61DCB164F4}">
    <text>Change in bTREE,p,i for equation 7</text>
  </threadedComment>
  <threadedComment ref="E168" dT="2025-01-29T17:16:59.31" personId="{00000000-0000-0000-0000-000000000000}" id="{6F6B1D16-C5C8-457D-9160-2DDDBEF2B8C9}" parentId="{BE68EECE-3348-40D2-BC76-AA61DCB164F4}">
    <text>Needs to be a stand alone sub schema for p</text>
  </threadedComment>
  <threadedComment ref="E170" dT="2025-01-24T22:02:33.42" personId="{00000000-0000-0000-0000-000000000000}" id="{86655917-AA42-46C3-9355-C3C850B811F3}">
    <text>CTREE,t1 for equation 1</text>
  </threadedComment>
  <threadedComment ref="E171" dT="2025-01-24T22:02:16.16" personId="{00000000-0000-0000-0000-000000000000}" id="{17188B97-312C-4223-AB74-93396AA09621}">
    <text>CTREE,t2 for equation 1</text>
  </threadedComment>
  <threadedComment ref="E172" dT="2025-01-24T22:02:01.41" personId="{00000000-0000-0000-0000-000000000000}" id="{54522B89-B6C6-4080-89CA-0D7671A6EEDD}">
    <text>u1 for equation 2</text>
  </threadedComment>
  <threadedComment ref="E173" dT="2025-01-24T22:01:50.45" personId="{00000000-0000-0000-0000-000000000000}" id="{F0C2C463-9530-40AC-9C71-988A5646E099}">
    <text>u2 for equation 2</text>
  </threadedComment>
  <threadedComment ref="E174" dT="2025-01-24T22:01:36.31" personId="{00000000-0000-0000-0000-000000000000}" id="{57B22603-CD67-4901-959D-DCE0F6528561}">
    <text>Equation 2</text>
  </threadedComment>
  <threadedComment ref="E175" dT="2025-01-24T22:01:03.12" personId="{00000000-0000-0000-0000-000000000000}" id="{491FFC9E-C398-4930-9EEC-0EE8D85BD64C}">
    <text>Equation 1</text>
  </threadedComment>
  <threadedComment ref="E176" dT="2025-01-24T22:01:11.44" personId="{00000000-0000-0000-0000-000000000000}" id="{72178F64-B8FD-4EE6-BF59-5848685B6657}">
    <text>Equation 2</text>
  </threadedComment>
  <threadedComment ref="E178" dT="2025-01-24T21:14:26.89" personId="{00000000-0000-0000-0000-000000000000}" id="{8A2E38B2-E9AA-4FDF-81DB-794547D39D85}">
    <text>Equation 11</text>
  </threadedComment>
  <threadedComment ref="E179" dT="2025-01-24T21:14:43.23" personId="{00000000-0000-0000-0000-000000000000}" id="{5F85F644-8140-4F6D-B123-22BAA167E454}">
    <text>CTREE,t2 for equation 11</text>
  </threadedComment>
  <threadedComment ref="E180" dT="2025-01-24T21:14:56.44" personId="{00000000-0000-0000-0000-000000000000}" id="{4D542A37-7AE2-4275-AB6C-E6528F41184C}">
    <text>CTREE,t1 for equation 11</text>
  </threadedComment>
  <threadedComment ref="E181" dT="2025-01-24T21:15:24.60" personId="{00000000-0000-0000-0000-000000000000}" id="{7C912981-F6B8-4543-80AF-096ECE76813D}">
    <text>T for equation 11</text>
  </threadedComment>
  <threadedComment ref="E185" dT="2025-01-24T21:23:49.18" personId="{00000000-0000-0000-0000-000000000000}" id="{B55AD417-E2FC-451D-B939-921A214F744F}">
    <text>Equation 22</text>
  </threadedComment>
  <threadedComment ref="E186" dT="2025-01-24T21:24:05.82" personId="{00000000-0000-0000-0000-000000000000}" id="{E0B03691-4474-4438-B175-5C882A57476F}">
    <text>CTREE,t1 for equation 22</text>
  </threadedComment>
  <threadedComment ref="E187" dT="2025-01-24T21:24:35.78" personId="{00000000-0000-0000-0000-000000000000}" id="{EC825739-802F-4B28-8ED8-98A3EA171830}">
    <text>Change in CTREE for equation 22</text>
  </threadedComment>
  <threadedComment ref="E188" dT="2025-01-24T21:25:15.22" personId="{00000000-0000-0000-0000-000000000000}" id="{A561049D-2868-4020-962F-15AD102C1A03}">
    <text>U_c for equation 23</text>
  </threadedComment>
  <threadedComment ref="E189" dT="2025-01-29T17:30:04.87" personId="{00000000-0000-0000-0000-000000000000}" id="{6207B5A8-7319-4DD0-B2A5-7E481BEFCE23}">
    <text>Equation 23</text>
  </threadedComment>
  <threadedComment ref="E190" dT="2025-01-24T21:25:56.99" personId="{00000000-0000-0000-0000-000000000000}" id="{7FD300A4-A6EA-40EF-965B-DA80238953D5}">
    <text>Uncertainty for t1 also equation 23</text>
  </threadedComment>
  <threadedComment ref="E205" dT="2025-01-24T21:32:22.56" personId="{00000000-0000-0000-0000-000000000000}" id="{A6EA4FE4-E4F7-4DFA-8398-8841DC60DFD5}">
    <text>Equation 12</text>
  </threadedComment>
  <threadedComment ref="E206" dT="2025-01-24T21:32:39.66" personId="{00000000-0000-0000-0000-000000000000}" id="{A7877285-7D9C-4EBC-B331-EDECCD0DD443}">
    <text>CFTRRE for equation 12</text>
  </threadedComment>
  <threadedComment ref="E207" dT="2025-01-24T21:32:59.13" personId="{00000000-0000-0000-0000-000000000000}" id="{8ABDA2D6-E123-4B6F-816C-AD721C37AB2E}">
    <text>Equation 13</text>
  </threadedComment>
  <threadedComment ref="E208" dT="2025-01-24T21:33:11.67" personId="{00000000-0000-0000-0000-000000000000}" id="{CE3441FF-3A11-440C-9C3B-0D0A20AABBF1}">
    <text>A for equation 13</text>
  </threadedComment>
  <threadedComment ref="E209" dT="2025-01-24T21:33:49.53" personId="{00000000-0000-0000-0000-000000000000}" id="{DC491B58-1129-4BC8-A1C0-1BB81B97502A}">
    <text>Equation 14</text>
  </threadedComment>
  <threadedComment ref="E210" dT="2025-01-24T21:34:10.73" personId="{00000000-0000-0000-0000-000000000000}" id="{53FDFF63-B7A9-4EAD-BCDD-605B0E552785}">
    <text>Equation 15</text>
  </threadedComment>
  <threadedComment ref="E211" dT="2025-01-24T21:34:26.85" personId="{00000000-0000-0000-0000-000000000000}" id="{51906391-C256-4D8F-A864-63515D769D02}">
    <text>tVAL for equation 15</text>
  </threadedComment>
  <threadedComment ref="E213" dT="2025-01-24T21:35:06.61" personId="{00000000-0000-0000-0000-000000000000}" id="{C98E62AD-4DBB-4EC1-AD30-C0BD3C779047}">
    <text>Equation 16</text>
  </threadedComment>
  <threadedComment ref="E214" dT="2025-01-24T21:35:40.02" personId="{00000000-0000-0000-0000-000000000000}" id="{CCDFA39C-0BEF-487F-9FCA-C07F10A6A629}">
    <text>Wi for equation 15</text>
  </threadedComment>
  <threadedComment ref="E215" dT="2025-01-24T21:36:34.63" personId="{00000000-0000-0000-0000-000000000000}" id="{196AD2C9-33B5-44AB-B879-9C61E646BADF}">
    <text>Equation 17</text>
  </threadedComment>
  <threadedComment ref="E216" dT="2025-01-24T21:36:51.04" personId="{00000000-0000-0000-0000-000000000000}" id="{DDDFE32E-4798-4C6C-ADC2-1ACA0FD631A1}">
    <text>ni for equation 17</text>
  </threadedComment>
  <threadedComment ref="E218" dT="2025-01-24T21:36:16.10" personId="{00000000-0000-0000-0000-000000000000}" id="{ABE333F9-52B4-49FE-8F6F-03A65FFD7B76}">
    <text>bTREE,p,i, for equation 17</text>
  </threadedComment>
  <threadedComment ref="E218" dT="2025-01-29T17:39:36.47" personId="{00000000-0000-0000-0000-000000000000}" id="{AA8CDD0C-E2E6-48A6-A1AA-1D191AC378DE}" parentId="{ABE333F9-52B4-49FE-8F6F-03A65FFD7B76}">
    <text>Needs a subschema for p</text>
  </threadedComment>
  <threadedComment ref="E220" dT="2025-01-24T21:38:04.67" personId="{00000000-0000-0000-0000-000000000000}" id="{36105295-67F4-453D-A9C9-E4CE92DD116E}">
    <text>Equation 12?</text>
  </threadedComment>
  <threadedComment ref="E221" dT="2025-01-24T21:38:15.63" personId="{00000000-0000-0000-0000-000000000000}" id="{B2E604E2-FFD9-4351-9237-40D492EEB389}">
    <text>CFTREE for equation 12</text>
  </threadedComment>
  <threadedComment ref="E222" dT="2025-01-24T21:38:35.72" personId="{00000000-0000-0000-0000-000000000000}" id="{97BE9621-0B0A-487F-95DB-140F284C8063}">
    <text>Equation 13</text>
  </threadedComment>
  <threadedComment ref="E223" dT="2025-01-24T21:38:48.89" personId="{00000000-0000-0000-0000-000000000000}" id="{7AC425B4-FCEF-46FF-A5B2-7CA6B51F36A4}">
    <text>A for equation 13</text>
  </threadedComment>
  <threadedComment ref="E224" dT="2025-01-24T21:39:01.30" personId="{00000000-0000-0000-0000-000000000000}" id="{F099DCB5-7C0B-4DB5-85B3-E957D3499404}">
    <text>Equation 14</text>
  </threadedComment>
  <threadedComment ref="E225" dT="2025-01-24T21:40:03.74" personId="{00000000-0000-0000-0000-000000000000}" id="{4616636F-B2E6-4F20-BFF1-F63555ED02F0}">
    <text>Equation 15</text>
  </threadedComment>
  <threadedComment ref="E226" dT="2025-01-24T21:39:23.91" personId="{00000000-0000-0000-0000-000000000000}" id="{3E7F1964-80B8-47AF-8629-E26A9141CD90}">
    <text>TVAL for equation 15</text>
  </threadedComment>
  <threadedComment ref="E228" dT="2025-01-24T21:40:13.24" personId="{00000000-0000-0000-0000-000000000000}" id="{F69CBD29-0511-45E1-A3D1-28186799EB63}">
    <text>Equation 18</text>
  </threadedComment>
  <threadedComment ref="E229" dT="2025-01-24T21:41:35.54" personId="{00000000-0000-0000-0000-000000000000}" id="{1098BFFF-BEDB-4E37-A9E3-F016FDD1E9A4}">
    <text>ni for equation 19</text>
  </threadedComment>
  <threadedComment ref="E230" dT="2025-01-24T21:41:53.24" personId="{00000000-0000-0000-0000-000000000000}" id="{FAA2A452-38D4-4331-94AF-B0672BC7CFF0}">
    <text>Slope for equation 18</text>
  </threadedComment>
  <threadedComment ref="E231" dT="2025-01-24T21:42:04.37" personId="{00000000-0000-0000-0000-000000000000}" id="{37309807-889F-4453-B381-59FBCD18E9D3}">
    <text>For equation 18</text>
  </threadedComment>
  <threadedComment ref="E232" dT="2025-01-24T21:42:11.80" personId="{00000000-0000-0000-0000-000000000000}" id="{9759D971-5639-4DCA-9A31-08FA747D6DA5}">
    <text>For equation 18</text>
  </threadedComment>
  <threadedComment ref="E233" dT="2025-01-24T21:42:31.87" personId="{00000000-0000-0000-0000-000000000000}" id="{F8379491-1938-44D2-8370-FEC4AC24BB92}">
    <text>Equation 19</text>
  </threadedComment>
  <threadedComment ref="E234" dT="2025-01-24T21:42:48.27" personId="{00000000-0000-0000-0000-000000000000}" id="{7AB5FE00-2111-412D-88D9-F2694B6CE7AC}">
    <text>a for equation 19</text>
  </threadedComment>
  <threadedComment ref="E235" dT="2025-01-24T21:43:00.46" personId="{00000000-0000-0000-0000-000000000000}" id="{55FCC465-CDCC-4312-BCDC-7836984A4382}">
    <text>P for equation 19</text>
  </threadedComment>
  <threadedComment ref="E237" dT="2025-01-24T21:41:20.14" personId="{00000000-0000-0000-0000-000000000000}" id="{6C6A1499-FBCA-40B6-8EED-81879D487358}">
    <text>bTREE,p,i for equation 18</text>
  </threadedComment>
  <threadedComment ref="E237" dT="2025-01-29T17:42:04.91" personId="{00000000-0000-0000-0000-000000000000}" id="{ACBE35FB-9577-4A3D-A77E-39950998A3E2}" parentId="{6C6A1499-FBCA-40B6-8EED-81879D487358}">
    <text>Needs subschema for p</text>
  </threadedComment>
  <threadedComment ref="E238" dT="2025-01-24T21:43:35.34" personId="{00000000-0000-0000-0000-000000000000}" id="{15433B75-72DA-4C42-A4FF-9C0AB4BA2468}">
    <text>date</text>
  </threadedComment>
  <threadedComment ref="E247" dT="2025-01-24T21:44:01.28" personId="{00000000-0000-0000-0000-000000000000}" id="{B09E4E24-2884-4811-90AD-2271CCEB72B7}">
    <text>Equation 24</text>
  </threadedComment>
  <threadedComment ref="E248" dT="2025-01-24T21:44:20.88" personId="{00000000-0000-0000-0000-000000000000}" id="{876C2417-5D3D-4263-B819-28200D1405C8}">
    <text>CSHRUB,t2 for equation 24</text>
  </threadedComment>
  <threadedComment ref="E249" dT="2025-01-24T21:44:33.20" personId="{00000000-0000-0000-0000-000000000000}" id="{29FB69F7-9BEC-40D4-9F5C-1252328430F8}">
    <text>CSHRUB,t1 for equation 24</text>
  </threadedComment>
  <threadedComment ref="E251" dT="2025-01-24T21:44:43.38" personId="{00000000-0000-0000-0000-000000000000}" id="{BBA1529C-E7CF-4902-A456-DC7F4D9F9FDA}">
    <text>Equation 25</text>
  </threadedComment>
  <threadedComment ref="E252" dT="2025-01-24T21:45:05.85" personId="{00000000-0000-0000-0000-000000000000}" id="{8C598608-A57C-4514-BEB2-20E16B869CBD}">
    <text>Change in CSHRUB,t2 for equation 25</text>
  </threadedComment>
  <threadedComment ref="E253" dT="2025-01-24T21:45:24.22" personId="{00000000-0000-0000-0000-000000000000}" id="{799922EB-7F9C-46AE-9BBF-8CDD6ED9AAD1}">
    <text>Change in CSHRUB,t1 for equation 25</text>
  </threadedComment>
  <threadedComment ref="E254" dT="2025-01-24T21:45:34.17" personId="{00000000-0000-0000-0000-000000000000}" id="{9206FA7C-2C60-405A-B862-AF4B3B2D59EC}">
    <text>T for equation 25</text>
  </threadedComment>
  <threadedComment ref="E256" dT="2025-01-24T21:45:46.77" personId="{00000000-0000-0000-0000-000000000000}" id="{82AB769A-C147-41DA-8D6B-EFABA6304C66}">
    <text>Equation 26</text>
  </threadedComment>
  <threadedComment ref="E257" dT="2025-01-24T21:46:01.64" personId="{00000000-0000-0000-0000-000000000000}" id="{744E6E52-6A5A-4213-B412-FEE5E459A79F}">
    <text>CFs for equation 26</text>
  </threadedComment>
  <threadedComment ref="E258" dT="2025-01-24T21:46:11.67" personId="{00000000-0000-0000-0000-000000000000}" id="{BAA3F184-2262-481B-878E-9994DC79912E}">
    <text>Rs for equation 26</text>
  </threadedComment>
  <threadedComment ref="E260" dT="2025-01-24T21:46:51.75" personId="{00000000-0000-0000-0000-000000000000}" id="{5CCA5AF3-25C8-42D7-8A65-CE807EB43C6C}">
    <text>BDRSF for equation 27</text>
  </threadedComment>
  <threadedComment ref="E261" dT="2025-01-24T21:47:05.79" personId="{00000000-0000-0000-0000-000000000000}" id="{19FD7256-C95A-4FCC-91E6-9E662CCE6DEA}">
    <text>bFOREST for equation 27</text>
  </threadedComment>
  <threadedComment ref="E262" dT="2025-01-24T21:47:20.17" personId="{00000000-0000-0000-0000-000000000000}" id="{67F881DE-7CF4-4F3F-8A70-8B3202B1CF52}">
    <text>CCSHRUB,i for equation 27</text>
  </threadedComment>
  <threadedComment ref="E263" dT="2025-01-24T21:47:37.60" personId="{00000000-0000-0000-0000-000000000000}" id="{71F612AB-5EBC-4940-A536-250BB7DCA2DB}">
    <text>ASHRUB,i for equation 26</text>
  </threadedComment>
  <threadedComment ref="E264" dT="2025-01-24T21:47:51.92" personId="{00000000-0000-0000-0000-000000000000}" id="{370AC846-67D3-434C-84F9-6054F19860F6}">
    <text>Equation 27</text>
  </threadedComment>
</ThreadedComments>
</file>

<file path=xl/threadedComments/threadedComment70.xml><?xml version="1.0" encoding="utf-8"?>
<ThreadedComments xmlns="http://schemas.microsoft.com/office/spreadsheetml/2018/threadedcomments" xmlns:x="http://schemas.openxmlformats.org/spreadsheetml/2006/main">
  <threadedComment ref="E5" dT="2025-01-24T21:57:53.17" personId="{00000000-0000-0000-0000-000000000000}" id="{67FF03FA-C130-4D5C-A75F-EB08EA9EE546}">
    <text>Change in bTREE,p,i for equation 7</text>
  </threadedComment>
  <threadedComment ref="E5" dT="2025-01-29T17:16:59.31" personId="{00000000-0000-0000-0000-000000000000}" id="{D741C603-F9FE-4B0D-B278-F709A8F7CE37}" parentId="{67FF03FA-C130-4D5C-A75F-EB08EA9EE546}">
    <text>Needs to be a stand alone sub schema for p</text>
  </threadedComment>
</ThreadedComments>
</file>

<file path=xl/threadedComments/threadedComment71.xml><?xml version="1.0" encoding="utf-8"?>
<ThreadedComments xmlns="http://schemas.microsoft.com/office/spreadsheetml/2018/threadedcomments" xmlns:x="http://schemas.openxmlformats.org/spreadsheetml/2006/main">
  <threadedComment ref="E5" dT="2025-01-24T22:02:33.42" personId="{00000000-0000-0000-0000-000000000000}" id="{EA51461C-68F1-47D8-90FE-DB3301426383}">
    <text>CTREE,t1 for equation 1</text>
  </threadedComment>
  <threadedComment ref="E6" dT="2025-01-24T22:02:16.16" personId="{00000000-0000-0000-0000-000000000000}" id="{25E8D9CD-8DEF-456E-B8F7-2CA7C93EB299}">
    <text>CTREE,t2 for equation 1</text>
  </threadedComment>
  <threadedComment ref="E7" dT="2025-01-24T22:02:01.41" personId="{00000000-0000-0000-0000-000000000000}" id="{CA11E997-FFB3-494A-8A6A-D3D79BE0A70C}">
    <text>u1 for equation 2</text>
  </threadedComment>
  <threadedComment ref="E8" dT="2025-01-24T22:01:50.45" personId="{00000000-0000-0000-0000-000000000000}" id="{43D85769-C191-48F0-A742-ECFB17AA872A}">
    <text>u2 for equation 2</text>
  </threadedComment>
  <threadedComment ref="E9" dT="2025-01-24T22:01:36.31" personId="{00000000-0000-0000-0000-000000000000}" id="{9A8D9D38-709F-4D7B-9FA9-8F34FF8275A3}">
    <text>Equation 2</text>
  </threadedComment>
  <threadedComment ref="E10" dT="2025-01-24T22:01:03.12" personId="{00000000-0000-0000-0000-000000000000}" id="{2F0502D1-5901-4506-9964-844CDD7BD90B}">
    <text>Equation 1</text>
  </threadedComment>
  <threadedComment ref="E11" dT="2025-01-24T22:01:11.44" personId="{00000000-0000-0000-0000-000000000000}" id="{24E02E8A-E135-4A9B-83CB-EA8D3E8F8D7D}">
    <text>Equation 2</text>
  </threadedComment>
</ThreadedComments>
</file>

<file path=xl/threadedComments/threadedComment72.xml><?xml version="1.0" encoding="utf-8"?>
<ThreadedComments xmlns="http://schemas.microsoft.com/office/spreadsheetml/2018/threadedcomments" xmlns:x="http://schemas.openxmlformats.org/spreadsheetml/2006/main">
  <threadedComment ref="E5" dT="2025-01-24T21:14:26.89" personId="{00000000-0000-0000-0000-000000000000}" id="{C67D1022-3206-41FC-9504-6B83EC3643C1}">
    <text>Equation 11</text>
  </threadedComment>
  <threadedComment ref="E6" dT="2025-01-24T21:14:43.23" personId="{00000000-0000-0000-0000-000000000000}" id="{5E972338-466D-4A85-A3B9-0A3919AE54C3}">
    <text>CTREE,t2 for equation 11</text>
  </threadedComment>
  <threadedComment ref="E7" dT="2025-01-24T21:14:56.44" personId="{00000000-0000-0000-0000-000000000000}" id="{3A389444-1921-42BF-AEA6-4201FBA470FA}">
    <text>CTREE,t1 for equation 11</text>
  </threadedComment>
  <threadedComment ref="E8" dT="2025-01-24T21:15:24.60" personId="{00000000-0000-0000-0000-000000000000}" id="{B7A93122-50C2-41E5-B000-108B62EC0C8F}">
    <text>T for equation 11</text>
  </threadedComment>
</ThreadedComments>
</file>

<file path=xl/threadedComments/threadedComment73.xml><?xml version="1.0" encoding="utf-8"?>
<ThreadedComments xmlns="http://schemas.microsoft.com/office/spreadsheetml/2018/threadedcomments" xmlns:x="http://schemas.openxmlformats.org/spreadsheetml/2006/main">
  <threadedComment ref="E7" dT="2025-01-24T21:23:49.18" personId="{00000000-0000-0000-0000-000000000000}" id="{F4DCD997-CC3C-41CC-9B8B-907CA05CC928}">
    <text>Equation 22</text>
  </threadedComment>
  <threadedComment ref="E8" dT="2025-01-24T21:24:05.82" personId="{00000000-0000-0000-0000-000000000000}" id="{6BDB42B9-2CEE-45B2-BC77-D3A889D0A789}">
    <text>CTREE,t1 for equation 22</text>
  </threadedComment>
  <threadedComment ref="E9" dT="2025-01-24T21:24:35.78" personId="{00000000-0000-0000-0000-000000000000}" id="{8B7FBECF-13E5-4E67-997A-8CA3FC492D5B}">
    <text>Change in CTREE for equation 22</text>
  </threadedComment>
  <threadedComment ref="E10" dT="2025-01-24T21:25:15.22" personId="{00000000-0000-0000-0000-000000000000}" id="{07BCAF89-5128-44B0-88DC-A3CE33D6D4BD}">
    <text>U_c for equation 23</text>
  </threadedComment>
  <threadedComment ref="E11" dT="2025-01-29T17:30:04.87" personId="{00000000-0000-0000-0000-000000000000}" id="{A08DF429-CF8F-4735-91B6-499EAEF745A9}">
    <text>Equation 23</text>
  </threadedComment>
  <threadedComment ref="E12" dT="2025-01-24T21:25:56.99" personId="{00000000-0000-0000-0000-000000000000}" id="{546B6A49-A6F7-4419-BD4F-1026E4C01225}">
    <text>Uncertainty for t1 also equation 23</text>
  </threadedComment>
  <threadedComment ref="E26" dT="2025-01-24T21:32:22.56" personId="{00000000-0000-0000-0000-000000000000}" id="{B8A69B38-7E25-4FEC-96A0-87AE700AD280}">
    <text>Equation 12</text>
  </threadedComment>
  <threadedComment ref="E27" dT="2025-01-24T21:32:39.66" personId="{00000000-0000-0000-0000-000000000000}" id="{C2DF1A21-2DB7-4146-8B7A-4EA759DF2739}">
    <text>CFTRRE for equation 12</text>
  </threadedComment>
  <threadedComment ref="E28" dT="2025-01-24T21:32:59.13" personId="{00000000-0000-0000-0000-000000000000}" id="{5338F36C-3B37-492C-B924-686F511AD19C}">
    <text>Equation 13</text>
  </threadedComment>
  <threadedComment ref="E29" dT="2025-01-24T21:33:11.67" personId="{00000000-0000-0000-0000-000000000000}" id="{DB6A9FC7-2AE3-4BA1-BA89-DCE0EE1E4EBC}">
    <text>A for equation 13</text>
  </threadedComment>
  <threadedComment ref="E30" dT="2025-01-24T21:33:49.53" personId="{00000000-0000-0000-0000-000000000000}" id="{FE1F8CCE-4DE3-403C-977B-4BA81E021C19}">
    <text>Equation 14</text>
  </threadedComment>
  <threadedComment ref="E31" dT="2025-01-24T21:34:10.73" personId="{00000000-0000-0000-0000-000000000000}" id="{88E4865B-39C4-45EB-8636-68640C56047E}">
    <text>Equation 15</text>
  </threadedComment>
  <threadedComment ref="E32" dT="2025-01-24T21:34:26.85" personId="{00000000-0000-0000-0000-000000000000}" id="{0A58C090-BC42-4DA5-B947-32633E3BF004}">
    <text>tVAL for equation 15</text>
  </threadedComment>
  <threadedComment ref="E34" dT="2025-01-24T21:35:06.61" personId="{00000000-0000-0000-0000-000000000000}" id="{A572B326-9FE1-4CAA-BED0-324773D93261}">
    <text>Equation 16</text>
  </threadedComment>
  <threadedComment ref="E35" dT="2025-01-24T21:35:40.02" personId="{00000000-0000-0000-0000-000000000000}" id="{8DE4A091-A214-48AC-B5F1-0427C544B87D}">
    <text>Wi for equation 15</text>
  </threadedComment>
  <threadedComment ref="E36" dT="2025-01-24T21:36:34.63" personId="{00000000-0000-0000-0000-000000000000}" id="{294C5B2D-899F-480E-83E3-63429163A88D}">
    <text>Equation 17</text>
  </threadedComment>
  <threadedComment ref="E37" dT="2025-01-24T21:36:51.04" personId="{00000000-0000-0000-0000-000000000000}" id="{F51A0093-ED02-42E0-A1DD-4EE05530A5D9}">
    <text>ni for equation 17</text>
  </threadedComment>
  <threadedComment ref="E39" dT="2025-01-24T21:36:16.10" personId="{00000000-0000-0000-0000-000000000000}" id="{DC60F2D5-36A5-4D35-AF1C-57F8987606C2}">
    <text>bTREE,p,i, for equation 17</text>
  </threadedComment>
  <threadedComment ref="E39" dT="2025-01-29T17:39:36.47" personId="{00000000-0000-0000-0000-000000000000}" id="{7081CFC0-9CE6-4AA6-89DA-D11B21C99711}" parentId="{DC60F2D5-36A5-4D35-AF1C-57F8987606C2}">
    <text>Needs a subschema for p</text>
  </threadedComment>
  <threadedComment ref="E41" dT="2025-01-24T21:38:04.67" personId="{00000000-0000-0000-0000-000000000000}" id="{03EC65E5-D1FB-49ED-9BB6-4E4FD1AD9340}">
    <text>Equation 12?</text>
  </threadedComment>
  <threadedComment ref="E42" dT="2025-01-24T21:38:15.63" personId="{00000000-0000-0000-0000-000000000000}" id="{B7C789B5-6DDB-4937-86EF-296CA72028B1}">
    <text>CFTREE for equation 12</text>
  </threadedComment>
  <threadedComment ref="E43" dT="2025-01-24T21:38:35.72" personId="{00000000-0000-0000-0000-000000000000}" id="{7E41F2EE-01F9-4707-9852-383C4F44777A}">
    <text>Equation 13</text>
  </threadedComment>
  <threadedComment ref="E44" dT="2025-01-24T21:38:48.89" personId="{00000000-0000-0000-0000-000000000000}" id="{57E8BBF6-2F28-4700-AB62-444F5BE7A8D5}">
    <text>A for equation 13</text>
  </threadedComment>
  <threadedComment ref="E45" dT="2025-01-24T21:39:01.30" personId="{00000000-0000-0000-0000-000000000000}" id="{1463245D-4D7F-4ADD-860D-14DE286538D6}">
    <text>Equation 14</text>
  </threadedComment>
  <threadedComment ref="E46" dT="2025-01-24T21:40:03.74" personId="{00000000-0000-0000-0000-000000000000}" id="{8BE63896-CF57-44DD-B7B6-FE2BB7FF3CCA}">
    <text>Equation 15</text>
  </threadedComment>
  <threadedComment ref="E47" dT="2025-01-24T21:39:23.91" personId="{00000000-0000-0000-0000-000000000000}" id="{B014D66F-C7F2-4F47-902B-8EBD2C31D9B2}">
    <text>TVAL for equation 15</text>
  </threadedComment>
  <threadedComment ref="E49" dT="2025-01-24T21:40:13.24" personId="{00000000-0000-0000-0000-000000000000}" id="{8103FB23-EBC6-4C7D-928A-9721CC5D9481}">
    <text>Equation 18</text>
  </threadedComment>
  <threadedComment ref="E50" dT="2025-01-24T21:41:35.54" personId="{00000000-0000-0000-0000-000000000000}" id="{21BC9B8B-99A8-4A8D-9942-08CDD145A987}">
    <text>ni for equation 19</text>
  </threadedComment>
  <threadedComment ref="E51" dT="2025-01-24T21:41:53.24" personId="{00000000-0000-0000-0000-000000000000}" id="{F02323A3-3BB4-4F87-98E6-1C799BCDA045}">
    <text>Slope for equation 18</text>
  </threadedComment>
  <threadedComment ref="E52" dT="2025-01-24T21:42:04.37" personId="{00000000-0000-0000-0000-000000000000}" id="{405AA74A-E9D6-4188-8405-1E325FBCE2DF}">
    <text>For equation 18</text>
  </threadedComment>
  <threadedComment ref="E53" dT="2025-01-24T21:42:11.80" personId="{00000000-0000-0000-0000-000000000000}" id="{0005FB61-C387-40A3-B770-E583F3B35FEA}">
    <text>For equation 18</text>
  </threadedComment>
  <threadedComment ref="E54" dT="2025-01-24T21:42:31.87" personId="{00000000-0000-0000-0000-000000000000}" id="{1FC5B5C5-EA27-4FF5-BA2D-2E00B00D8F99}">
    <text>Equation 19</text>
  </threadedComment>
  <threadedComment ref="E55" dT="2025-01-24T21:42:48.27" personId="{00000000-0000-0000-0000-000000000000}" id="{87ED912D-B98D-4077-9CB4-16281CB9832E}">
    <text>a for equation 19</text>
  </threadedComment>
  <threadedComment ref="E56" dT="2025-01-24T21:43:00.46" personId="{00000000-0000-0000-0000-000000000000}" id="{37090A20-2D17-43E1-81BB-2EC73D05A674}">
    <text>P for equation 19</text>
  </threadedComment>
  <threadedComment ref="E58" dT="2025-01-24T21:41:20.14" personId="{00000000-0000-0000-0000-000000000000}" id="{61337984-47E8-4EA7-A1BB-3556F9891286}">
    <text>bTREE,p,i for equation 18</text>
  </threadedComment>
  <threadedComment ref="E58" dT="2025-01-29T17:42:04.91" personId="{00000000-0000-0000-0000-000000000000}" id="{2B0126E5-19C4-45C7-8DF2-2F4BA58B8C3A}" parentId="{61337984-47E8-4EA7-A1BB-3556F9891286}">
    <text>Needs subschema for p</text>
  </threadedComment>
  <threadedComment ref="E59" dT="2025-01-24T21:43:35.34" personId="{00000000-0000-0000-0000-000000000000}" id="{F8F837C5-0E47-4E0F-ADF5-696DB6200484}">
    <text>date</text>
  </threadedComment>
</ThreadedComments>
</file>

<file path=xl/threadedComments/threadedComment74.xml><?xml version="1.0" encoding="utf-8"?>
<ThreadedComments xmlns="http://schemas.microsoft.com/office/spreadsheetml/2018/threadedcomments" xmlns:x="http://schemas.openxmlformats.org/spreadsheetml/2006/main">
  <threadedComment ref="E5" dT="2025-01-24T21:23:49.18" personId="{00000000-0000-0000-0000-000000000000}" id="{7C48DEEC-0E22-42D4-B307-54DBA53DE7F2}">
    <text>Equation 22</text>
  </threadedComment>
  <threadedComment ref="E6" dT="2025-01-24T21:24:05.82" personId="{00000000-0000-0000-0000-000000000000}" id="{3314D0E8-D90F-475A-A7F6-F5C511E4B812}">
    <text>CTREE,t1 for equation 22</text>
  </threadedComment>
  <threadedComment ref="E7" dT="2025-01-24T21:24:35.78" personId="{00000000-0000-0000-0000-000000000000}" id="{0E38EA3A-B348-4903-A689-B0EFE10CA06B}">
    <text>Change in CTREE for equation 22</text>
  </threadedComment>
  <threadedComment ref="E8" dT="2025-01-24T21:25:15.22" personId="{00000000-0000-0000-0000-000000000000}" id="{76646CE7-051C-4156-9D04-B9BBE5C73DB3}">
    <text>U_c for equation 23</text>
  </threadedComment>
  <threadedComment ref="E9" dT="2025-01-29T17:30:04.87" personId="{00000000-0000-0000-0000-000000000000}" id="{84D63CA5-4401-45E1-8B30-85D2716636C7}">
    <text>Equation 23</text>
  </threadedComment>
  <threadedComment ref="E10" dT="2025-01-24T21:25:56.99" personId="{00000000-0000-0000-0000-000000000000}" id="{7B9B5B48-1787-4886-B0A5-E94FDAFBDD80}">
    <text>Uncertainty for t1 also equation 23</text>
  </threadedComment>
</ThreadedComments>
</file>

<file path=xl/threadedComments/threadedComment75.xml><?xml version="1.0" encoding="utf-8"?>
<ThreadedComments xmlns="http://schemas.microsoft.com/office/spreadsheetml/2018/threadedcomments" xmlns:x="http://schemas.openxmlformats.org/spreadsheetml/2006/main">
  <threadedComment ref="E7" dT="2025-01-24T21:32:22.56" personId="{00000000-0000-0000-0000-000000000000}" id="{8F4CB83E-97F0-4874-97AF-800315241973}">
    <text>Equation 12</text>
  </threadedComment>
  <threadedComment ref="E8" dT="2025-01-24T21:32:39.66" personId="{00000000-0000-0000-0000-000000000000}" id="{4A3CBDE3-7F71-4562-94F5-36383BAAF579}">
    <text>CFTRRE for equation 12</text>
  </threadedComment>
  <threadedComment ref="E9" dT="2025-01-24T21:32:59.13" personId="{00000000-0000-0000-0000-000000000000}" id="{2062AAC6-9F23-4E30-ACF9-B7733B242451}">
    <text>Equation 13</text>
  </threadedComment>
  <threadedComment ref="E10" dT="2025-01-24T21:33:11.67" personId="{00000000-0000-0000-0000-000000000000}" id="{44A0BB27-B405-4ACE-AB71-53BE15988335}">
    <text>A for equation 13</text>
  </threadedComment>
  <threadedComment ref="E11" dT="2025-01-24T21:33:49.53" personId="{00000000-0000-0000-0000-000000000000}" id="{0D6F3121-613E-4C2D-9CCF-195211806E5C}">
    <text>Equation 14</text>
  </threadedComment>
  <threadedComment ref="E12" dT="2025-01-24T21:34:10.73" personId="{00000000-0000-0000-0000-000000000000}" id="{36DF2643-EB0B-4701-9CED-8354544B08FB}">
    <text>Equation 15</text>
  </threadedComment>
  <threadedComment ref="E13" dT="2025-01-24T21:34:26.85" personId="{00000000-0000-0000-0000-000000000000}" id="{B725CF2F-FC58-412B-8AD2-450C9F4C328D}">
    <text>tVAL for equation 15</text>
  </threadedComment>
  <threadedComment ref="E15" dT="2025-01-24T21:35:06.61" personId="{00000000-0000-0000-0000-000000000000}" id="{98E412B6-2E53-414F-AAC4-72BAFC2E4404}">
    <text>Equation 16</text>
  </threadedComment>
  <threadedComment ref="E16" dT="2025-01-24T21:35:40.02" personId="{00000000-0000-0000-0000-000000000000}" id="{47F4B97E-640C-4815-A6AE-27F462EBC39E}">
    <text>Wi for equation 15</text>
  </threadedComment>
  <threadedComment ref="E17" dT="2025-01-24T21:36:34.63" personId="{00000000-0000-0000-0000-000000000000}" id="{7D300E3B-73F5-41B3-AEB7-74AB119F7B2C}">
    <text>Equation 17</text>
  </threadedComment>
  <threadedComment ref="E18" dT="2025-01-24T21:36:51.04" personId="{00000000-0000-0000-0000-000000000000}" id="{77C51D64-C762-49F0-8954-57B9C533E5B2}">
    <text>ni for equation 17</text>
  </threadedComment>
  <threadedComment ref="E20" dT="2025-01-24T21:36:16.10" personId="{00000000-0000-0000-0000-000000000000}" id="{F4FF037C-8B52-4AB1-9FBA-338EDF082400}">
    <text>bTREE,p,i, for equation 17</text>
  </threadedComment>
  <threadedComment ref="E20" dT="2025-01-29T17:39:36.47" personId="{00000000-0000-0000-0000-000000000000}" id="{794EBF3E-9F3F-4B29-9151-534E5BBF3D73}" parentId="{F4FF037C-8B52-4AB1-9FBA-338EDF082400}">
    <text>Needs a subschema for p</text>
  </threadedComment>
  <threadedComment ref="E22" dT="2025-01-24T21:38:04.67" personId="{00000000-0000-0000-0000-000000000000}" id="{47F7F14C-CBC2-4318-A706-A134F124EA7A}">
    <text>Equation 12?</text>
  </threadedComment>
  <threadedComment ref="E23" dT="2025-01-24T21:38:15.63" personId="{00000000-0000-0000-0000-000000000000}" id="{BDB9297A-7DEF-4EFB-82A5-0F7C10EDEBB4}">
    <text>CFTREE for equation 12</text>
  </threadedComment>
  <threadedComment ref="E24" dT="2025-01-24T21:38:35.72" personId="{00000000-0000-0000-0000-000000000000}" id="{7F13251F-58CA-44DE-9907-9598BBE1CBB2}">
    <text>Equation 13</text>
  </threadedComment>
  <threadedComment ref="E25" dT="2025-01-24T21:38:48.89" personId="{00000000-0000-0000-0000-000000000000}" id="{16EA93E0-6131-4700-AA77-907AF10FFADB}">
    <text>A for equation 13</text>
  </threadedComment>
  <threadedComment ref="E26" dT="2025-01-24T21:39:01.30" personId="{00000000-0000-0000-0000-000000000000}" id="{C4D5604A-A083-41E6-B93F-B24FC1BC064F}">
    <text>Equation 14</text>
  </threadedComment>
  <threadedComment ref="E27" dT="2025-01-24T21:40:03.74" personId="{00000000-0000-0000-0000-000000000000}" id="{081F83E9-52B1-4B2E-B028-8207F93A1590}">
    <text>Equation 15</text>
  </threadedComment>
  <threadedComment ref="E28" dT="2025-01-24T21:39:23.91" personId="{00000000-0000-0000-0000-000000000000}" id="{26FD91D1-A48C-4E28-86F1-D6E9984F99CB}">
    <text>TVAL for equation 15</text>
  </threadedComment>
  <threadedComment ref="E30" dT="2025-01-24T21:40:13.24" personId="{00000000-0000-0000-0000-000000000000}" id="{DBD6DAC8-AEA4-4C81-94D4-CBA5FEAF6982}">
    <text>Equation 18</text>
  </threadedComment>
  <threadedComment ref="E31" dT="2025-01-24T21:41:35.54" personId="{00000000-0000-0000-0000-000000000000}" id="{778CAB2D-5C82-48AB-B3FB-AA4DB2231DB0}">
    <text>ni for equation 19</text>
  </threadedComment>
  <threadedComment ref="E32" dT="2025-01-24T21:41:53.24" personId="{00000000-0000-0000-0000-000000000000}" id="{0673ACEF-B70A-491F-8B48-CD231C72FAE7}">
    <text>Slope for equation 18</text>
  </threadedComment>
  <threadedComment ref="E33" dT="2025-01-24T21:42:04.37" personId="{00000000-0000-0000-0000-000000000000}" id="{5595B0FF-008B-4F39-A633-3CD574DA97B5}">
    <text>For equation 18</text>
  </threadedComment>
  <threadedComment ref="E34" dT="2025-01-24T21:42:11.80" personId="{00000000-0000-0000-0000-000000000000}" id="{5E3C106B-2A18-41B4-B5C7-A5A592AE7DAB}">
    <text>For equation 18</text>
  </threadedComment>
  <threadedComment ref="E35" dT="2025-01-24T21:42:31.87" personId="{00000000-0000-0000-0000-000000000000}" id="{1311D3DF-E46C-4E3C-903E-573572F3D6D6}">
    <text>Equation 19</text>
  </threadedComment>
  <threadedComment ref="E36" dT="2025-01-24T21:42:48.27" personId="{00000000-0000-0000-0000-000000000000}" id="{464E3B09-A6C0-41AF-902B-6E91C8CCA158}">
    <text>a for equation 19</text>
  </threadedComment>
  <threadedComment ref="E37" dT="2025-01-24T21:43:00.46" personId="{00000000-0000-0000-0000-000000000000}" id="{8A46A7E0-4846-44C8-B883-17D784DE7F8C}">
    <text>P for equation 19</text>
  </threadedComment>
  <threadedComment ref="E39" dT="2025-01-24T21:41:20.14" personId="{00000000-0000-0000-0000-000000000000}" id="{BAB96B86-14C1-41F5-8444-6D928A63D17D}">
    <text>bTREE,p,i for equation 18</text>
  </threadedComment>
  <threadedComment ref="E39" dT="2025-01-29T17:42:04.91" personId="{00000000-0000-0000-0000-000000000000}" id="{C0377CC9-7162-4E88-8415-B100BB3DDF57}" parentId="{BAB96B86-14C1-41F5-8444-6D928A63D17D}">
    <text>Needs subschema for p</text>
  </threadedComment>
  <threadedComment ref="E40" dT="2025-01-24T21:43:35.34" personId="{00000000-0000-0000-0000-000000000000}" id="{D2570441-7318-4ABE-9ADC-41F6FAF54F7B}">
    <text>date</text>
  </threadedComment>
</ThreadedComments>
</file>

<file path=xl/threadedComments/threadedComment76.xml><?xml version="1.0" encoding="utf-8"?>
<ThreadedComments xmlns="http://schemas.microsoft.com/office/spreadsheetml/2018/threadedcomments" xmlns:x="http://schemas.openxmlformats.org/spreadsheetml/2006/main">
  <threadedComment ref="E5" dT="2025-01-24T21:32:22.56" personId="{00000000-0000-0000-0000-000000000000}" id="{147B1756-55E5-4060-BA70-581F7A145306}">
    <text>Equation 12</text>
  </threadedComment>
  <threadedComment ref="E6" dT="2025-01-24T21:32:39.66" personId="{00000000-0000-0000-0000-000000000000}" id="{D44A76A6-95BD-4657-B393-81811D897674}">
    <text>CFTRRE for equation 12</text>
  </threadedComment>
  <threadedComment ref="E7" dT="2025-01-24T21:32:59.13" personId="{00000000-0000-0000-0000-000000000000}" id="{37EA998F-6C13-4808-8CC8-F39F6E7BF2D7}">
    <text>Equation 13</text>
  </threadedComment>
  <threadedComment ref="E8" dT="2025-01-24T21:33:11.67" personId="{00000000-0000-0000-0000-000000000000}" id="{34493F27-F74D-4F9A-8A29-B1992F39A6D4}">
    <text>A for equation 13</text>
  </threadedComment>
  <threadedComment ref="E9" dT="2025-01-24T21:33:49.53" personId="{00000000-0000-0000-0000-000000000000}" id="{8470A9FC-20CD-42A9-A308-7F899011082B}">
    <text>Equation 14</text>
  </threadedComment>
  <threadedComment ref="E10" dT="2025-01-24T21:34:10.73" personId="{00000000-0000-0000-0000-000000000000}" id="{BEB618CE-AC97-4B43-A92E-3ED3951B6418}">
    <text>Equation 15</text>
  </threadedComment>
  <threadedComment ref="E11" dT="2025-01-24T21:34:26.85" personId="{00000000-0000-0000-0000-000000000000}" id="{B4BBC195-7332-4243-A891-64CADFD8E4C4}">
    <text>tVAL for equation 15</text>
  </threadedComment>
  <threadedComment ref="E13" dT="2025-01-24T21:35:06.61" personId="{00000000-0000-0000-0000-000000000000}" id="{19E3830F-92EC-4468-BEFC-38FDA0EE0138}">
    <text>Equation 16</text>
  </threadedComment>
  <threadedComment ref="E14" dT="2025-01-24T21:35:40.02" personId="{00000000-0000-0000-0000-000000000000}" id="{35CB59DA-26E5-4D51-8F85-294D4A46EB4B}">
    <text>Wi for equation 15</text>
  </threadedComment>
  <threadedComment ref="E15" dT="2025-01-24T21:36:34.63" personId="{00000000-0000-0000-0000-000000000000}" id="{5C0FD968-A160-4ACF-8DE8-0D18B517C27E}">
    <text>Equation 17</text>
  </threadedComment>
  <threadedComment ref="E16" dT="2025-01-24T21:36:51.04" personId="{00000000-0000-0000-0000-000000000000}" id="{99099D13-7357-4BA3-A4BC-BC445ABD9D61}">
    <text>ni for equation 17</text>
  </threadedComment>
  <threadedComment ref="E18" dT="2025-01-24T21:36:16.10" personId="{00000000-0000-0000-0000-000000000000}" id="{02C1F168-3929-4180-BBD8-4C604D600E77}">
    <text>bTREE,p,i, for equation 17</text>
  </threadedComment>
  <threadedComment ref="E18" dT="2025-01-29T17:39:36.47" personId="{00000000-0000-0000-0000-000000000000}" id="{EC64E911-4E8C-4B78-8BE1-B85B0DFA192A}" parentId="{02C1F168-3929-4180-BBD8-4C604D600E77}">
    <text>Needs a subschema for p</text>
  </threadedComment>
</ThreadedComments>
</file>

<file path=xl/threadedComments/threadedComment77.xml><?xml version="1.0" encoding="utf-8"?>
<ThreadedComments xmlns="http://schemas.microsoft.com/office/spreadsheetml/2018/threadedcomments" xmlns:x="http://schemas.openxmlformats.org/spreadsheetml/2006/main">
  <threadedComment ref="E5" dT="2025-01-24T21:35:06.61" personId="{00000000-0000-0000-0000-000000000000}" id="{FC70376A-620E-4F19-A3E5-A4FAF6FB87FF}">
    <text>Equation 16</text>
  </threadedComment>
  <threadedComment ref="E6" dT="2025-01-24T21:35:40.02" personId="{00000000-0000-0000-0000-000000000000}" id="{72BFB540-6176-4F21-8768-4E4F175C52D1}">
    <text>Wi for equation 15</text>
  </threadedComment>
  <threadedComment ref="E7" dT="2025-01-24T21:36:34.63" personId="{00000000-0000-0000-0000-000000000000}" id="{6F461468-DB59-4B26-B137-704D8CCDCB56}">
    <text>Equation 17</text>
  </threadedComment>
  <threadedComment ref="E8" dT="2025-01-24T21:36:51.04" personId="{00000000-0000-0000-0000-000000000000}" id="{830C583B-8B2C-4E60-A11F-05888B7F3299}">
    <text>ni for equation 17</text>
  </threadedComment>
  <threadedComment ref="E10" dT="2025-01-24T21:36:16.10" personId="{00000000-0000-0000-0000-000000000000}" id="{7A881304-3525-41EB-89E1-7952206569DC}">
    <text>bTREE,p,i, for equation 17</text>
  </threadedComment>
  <threadedComment ref="E10" dT="2025-01-29T17:39:36.47" personId="{00000000-0000-0000-0000-000000000000}" id="{F6E17014-019B-413A-ACD5-D4BB26C856E8}" parentId="{7A881304-3525-41EB-89E1-7952206569DC}">
    <text>Needs a subschema for p</text>
  </threadedComment>
</ThreadedComments>
</file>

<file path=xl/threadedComments/threadedComment78.xml><?xml version="1.0" encoding="utf-8"?>
<ThreadedComments xmlns="http://schemas.microsoft.com/office/spreadsheetml/2018/threadedcomments" xmlns:x="http://schemas.openxmlformats.org/spreadsheetml/2006/main">
  <threadedComment ref="E5" dT="2025-01-24T21:36:16.10" personId="{00000000-0000-0000-0000-000000000000}" id="{A49182CC-9622-4C40-8E23-EC2925F74DD8}">
    <text>bTREE,p,i, for equation 17</text>
  </threadedComment>
  <threadedComment ref="E5" dT="2025-01-29T17:39:36.47" personId="{00000000-0000-0000-0000-000000000000}" id="{024ADE63-71A4-4CBC-A3D4-ABCB21B3989A}" parentId="{A49182CC-9622-4C40-8E23-EC2925F74DD8}">
    <text>Needs a subschema for p</text>
  </threadedComment>
</ThreadedComments>
</file>

<file path=xl/threadedComments/threadedComment79.xml><?xml version="1.0" encoding="utf-8"?>
<ThreadedComments xmlns="http://schemas.microsoft.com/office/spreadsheetml/2018/threadedcomments" xmlns:x="http://schemas.openxmlformats.org/spreadsheetml/2006/main">
  <threadedComment ref="E5" dT="2025-01-24T21:38:04.67" personId="{00000000-0000-0000-0000-000000000000}" id="{73A4457B-0E8E-4BA2-B41C-9A6FEBE97F3B}">
    <text>Equation 12?</text>
  </threadedComment>
  <threadedComment ref="E6" dT="2025-01-24T21:38:15.63" personId="{00000000-0000-0000-0000-000000000000}" id="{AD9B6192-D095-4E99-BD44-281301E1A182}">
    <text>CFTREE for equation 12</text>
  </threadedComment>
  <threadedComment ref="E7" dT="2025-01-24T21:38:35.72" personId="{00000000-0000-0000-0000-000000000000}" id="{02712D1E-5D60-4321-8278-1A7E41A27A06}">
    <text>Equation 13</text>
  </threadedComment>
  <threadedComment ref="E8" dT="2025-01-24T21:38:48.89" personId="{00000000-0000-0000-0000-000000000000}" id="{11B74098-26F4-41F2-8880-11E8AEAECAAB}">
    <text>A for equation 13</text>
  </threadedComment>
  <threadedComment ref="E9" dT="2025-01-24T21:39:01.30" personId="{00000000-0000-0000-0000-000000000000}" id="{FF941A78-885B-434E-92ED-C682ABEFBBEC}">
    <text>Equation 14</text>
  </threadedComment>
  <threadedComment ref="E10" dT="2025-01-24T21:40:03.74" personId="{00000000-0000-0000-0000-000000000000}" id="{EF78CAAD-0D23-48BF-B2D6-F44C637376FF}">
    <text>Equation 15</text>
  </threadedComment>
  <threadedComment ref="E11" dT="2025-01-24T21:39:23.91" personId="{00000000-0000-0000-0000-000000000000}" id="{216A63DB-2C22-4DBE-88A2-218D68606574}">
    <text>TVAL for equation 15</text>
  </threadedComment>
  <threadedComment ref="E13" dT="2025-01-24T21:40:13.24" personId="{00000000-0000-0000-0000-000000000000}" id="{426F787F-8878-4F0B-B890-A4882CD06341}">
    <text>Equation 18</text>
  </threadedComment>
  <threadedComment ref="E14" dT="2025-01-24T21:41:35.54" personId="{00000000-0000-0000-0000-000000000000}" id="{6AB36F4A-D728-47FB-97D0-7131F794D148}">
    <text>ni for equation 19</text>
  </threadedComment>
  <threadedComment ref="E15" dT="2025-01-24T21:41:53.24" personId="{00000000-0000-0000-0000-000000000000}" id="{CD558306-5C58-4626-B50F-598FDC35ACF8}">
    <text>Slope for equation 18</text>
  </threadedComment>
  <threadedComment ref="E16" dT="2025-01-24T21:42:04.37" personId="{00000000-0000-0000-0000-000000000000}" id="{C111EB4B-11B9-4F17-BF43-2739AE9B9DE9}">
    <text>For equation 18</text>
  </threadedComment>
  <threadedComment ref="E17" dT="2025-01-24T21:42:11.80" personId="{00000000-0000-0000-0000-000000000000}" id="{3270127E-C5F0-465C-862D-CA91DFC5655B}">
    <text>For equation 18</text>
  </threadedComment>
  <threadedComment ref="E18" dT="2025-01-24T21:42:31.87" personId="{00000000-0000-0000-0000-000000000000}" id="{A9332A19-BD34-4DCA-A824-99DCF060456E}">
    <text>Equation 19</text>
  </threadedComment>
  <threadedComment ref="E19" dT="2025-01-24T21:42:48.27" personId="{00000000-0000-0000-0000-000000000000}" id="{4B6BEB05-DD11-40AD-9D64-4C3C0687F0F1}">
    <text>a for equation 19</text>
  </threadedComment>
  <threadedComment ref="E20" dT="2025-01-24T21:43:00.46" personId="{00000000-0000-0000-0000-000000000000}" id="{ED039F0B-FE98-4510-AA84-26D599A4C307}">
    <text>P for equation 19</text>
  </threadedComment>
  <threadedComment ref="E22" dT="2025-01-24T21:41:20.14" personId="{00000000-0000-0000-0000-000000000000}" id="{8F70814C-D6B6-4F13-B975-6C9BB2D18D42}">
    <text>bTREE,p,i for equation 18</text>
  </threadedComment>
  <threadedComment ref="E22" dT="2025-01-29T17:42:04.91" personId="{00000000-0000-0000-0000-000000000000}" id="{ECD4FA6E-4217-4067-BA59-668F34F481D6}" parentId="{8F70814C-D6B6-4F13-B975-6C9BB2D18D42}">
    <text>Needs subschema for p</text>
  </threadedComment>
</ThreadedComments>
</file>

<file path=xl/threadedComments/threadedComment8.xml><?xml version="1.0" encoding="utf-8"?>
<ThreadedComments xmlns="http://schemas.microsoft.com/office/spreadsheetml/2018/threadedcomments" xmlns:x="http://schemas.openxmlformats.org/spreadsheetml/2006/main">
  <threadedComment ref="E16" dT="2025-01-24T21:11:36.74" personId="{00000000-0000-0000-0000-000000000000}" id="{193DCC85-5455-426C-853B-7EB838229FFA}">
    <text>Equation 9</text>
  </threadedComment>
  <threadedComment ref="E18" dT="2025-01-24T21:11:58.89" personId="{00000000-0000-0000-0000-000000000000}" id="{E1A9883E-23A2-48B7-860B-CBA296923522}">
    <text>Equation 10</text>
  </threadedComment>
  <threadedComment ref="E19" dT="2025-01-24T21:12:11.78" personId="{00000000-0000-0000-0000-000000000000}" id="{1CA7019D-A55F-4840-BE68-7F0668C32406}">
    <text>CFTREE for equation 10</text>
  </threadedComment>
  <threadedComment ref="E20" dT="2025-01-24T21:12:25.46" personId="{00000000-0000-0000-0000-000000000000}" id="{8AE3635E-B2E2-4B8B-B3B0-90C4423136CA}">
    <text>bForest for equation 10</text>
  </threadedComment>
  <threadedComment ref="E21" dT="2025-01-24T21:12:40.25" personId="{00000000-0000-0000-0000-000000000000}" id="{C22C9A21-8C76-4D45-A38A-9019B2FE19FE}">
    <text>RTREE for equation 10</text>
  </threadedComment>
  <threadedComment ref="E22" dT="2025-01-24T21:12:53.39" personId="{00000000-0000-0000-0000-000000000000}" id="{BD1F78D8-3F6C-42A0-BE7E-FD853A59CC12}">
    <text>CCREE_BSL_i for equation 10</text>
  </threadedComment>
  <threadedComment ref="E23" dT="2025-01-24T21:13:03.79" personId="{00000000-0000-0000-0000-000000000000}" id="{2ABACD8D-44CE-4944-9426-69AB681547AA}">
    <text>Ai for equation 10</text>
  </threadedComment>
  <threadedComment ref="E25" dT="2025-01-24T21:08:37.93" personId="{00000000-0000-0000-0000-000000000000}" id="{95ED7203-419F-4D08-A878-02D3527EBBEC}">
    <text>Equation 3</text>
  </threadedComment>
  <threadedComment ref="E26" dT="2025-01-24T21:07:54.22" personId="{00000000-0000-0000-0000-000000000000}" id="{DFA8DF8A-06FC-484D-A5CF-15FA27928190}">
    <text>CFTREE for equation 3</text>
  </threadedComment>
  <threadedComment ref="E27" dT="2025-01-24T21:05:19.59" personId="{00000000-0000-0000-0000-000000000000}" id="{7B9B3433-75A4-40C9-BBAB-D6E3C41102CA}">
    <text>Equation 4</text>
  </threadedComment>
  <threadedComment ref="E28" dT="2025-01-24T21:07:32.01" personId="{00000000-0000-0000-0000-000000000000}" id="{0CDA3AC2-56E5-45D8-AC06-6CC83C32AB9D}">
    <text>Equation 5</text>
  </threadedComment>
  <threadedComment ref="E29" dT="2025-01-24T21:05:51.80" personId="{00000000-0000-0000-0000-000000000000}" id="{07E91479-C0D3-4533-98D7-FCFDEB0AFED3}">
    <text>A for equation 4</text>
  </threadedComment>
  <threadedComment ref="E30" dT="2025-01-24T21:06:24.35" personId="{00000000-0000-0000-0000-000000000000}" id="{9E581560-8247-403C-B258-D22FAAD81B78}">
    <text>Equation 6</text>
  </threadedComment>
  <threadedComment ref="E31" dT="2025-01-24T21:06:48.46" personId="{00000000-0000-0000-0000-000000000000}" id="{8BCEBE6E-9EC4-46B9-B7B7-2BE500745EE8}">
    <text>tVAL for equation 6</text>
  </threadedComment>
  <threadedComment ref="E33" dT="2025-01-24T21:56:24.85" personId="{00000000-0000-0000-0000-000000000000}" id="{C826EEE2-973A-451A-A44C-6AB8C0F870A7}">
    <text>Equation 7</text>
  </threadedComment>
  <threadedComment ref="E34" dT="2025-01-24T21:59:35.41" personId="{00000000-0000-0000-0000-000000000000}" id="{644C3363-ADB9-46BE-B622-D051C379AADD}">
    <text>wi for equation 6</text>
  </threadedComment>
  <threadedComment ref="E35" dT="2025-01-24T21:58:30.81" personId="{00000000-0000-0000-0000-000000000000}" id="{0087C9F6-E3A3-47FA-9A5D-043A2E74B371}">
    <text>Equation 8</text>
  </threadedComment>
  <threadedComment ref="E36" dT="2025-01-24T21:58:47.27" personId="{00000000-0000-0000-0000-000000000000}" id="{32FD45A3-F5DF-47EC-8620-AE4BE0391E73}">
    <text>ni for equation 8</text>
  </threadedComment>
  <threadedComment ref="E38" dT="2025-01-24T21:57:53.17" personId="{00000000-0000-0000-0000-000000000000}" id="{9527A7F2-B6F4-4DD7-8FE0-78EAC922AABC}">
    <text>Change in bTREE,p,i for equation 7</text>
  </threadedComment>
  <threadedComment ref="E38" dT="2025-01-29T17:16:59.31" personId="{00000000-0000-0000-0000-000000000000}" id="{0D926404-BEED-4630-82D0-3C35FC380D22}" parentId="{9527A7F2-B6F4-4DD7-8FE0-78EAC922AABC}">
    <text>Needs to be a stand alone sub schema for p</text>
  </threadedComment>
  <threadedComment ref="E40" dT="2025-01-24T22:02:33.42" personId="{00000000-0000-0000-0000-000000000000}" id="{0CC6C12F-5D19-4A9C-BD8D-74E9C2C79B59}">
    <text>CTREE,t1 for equation 1</text>
  </threadedComment>
  <threadedComment ref="E41" dT="2025-01-24T22:02:16.16" personId="{00000000-0000-0000-0000-000000000000}" id="{7F4BD7C5-76E3-4EB5-883C-DBD8A16BF0FE}">
    <text>CTREE,t2 for equation 1</text>
  </threadedComment>
  <threadedComment ref="E42" dT="2025-01-24T22:02:01.41" personId="{00000000-0000-0000-0000-000000000000}" id="{640B6324-B2FA-4E4C-8AE5-C103EDF8FF30}">
    <text>u1 for equation 2</text>
  </threadedComment>
  <threadedComment ref="E43" dT="2025-01-24T22:01:50.45" personId="{00000000-0000-0000-0000-000000000000}" id="{E4192666-6566-4CE1-B71B-BB21824ECDE3}">
    <text>u2 for equation 2</text>
  </threadedComment>
  <threadedComment ref="E44" dT="2025-01-24T22:01:36.31" personId="{00000000-0000-0000-0000-000000000000}" id="{B80C4A05-96CA-4705-A143-1347FDD1FB67}">
    <text>Equation 2</text>
  </threadedComment>
  <threadedComment ref="E45" dT="2025-01-24T22:01:03.12" personId="{00000000-0000-0000-0000-000000000000}" id="{13C6B012-2661-40A9-9993-B87AFEF2F2AF}">
    <text>Equation 1</text>
  </threadedComment>
  <threadedComment ref="E46" dT="2025-01-24T22:01:11.44" personId="{00000000-0000-0000-0000-000000000000}" id="{E5F8EFC1-A59F-45BA-BBA5-0C248920EE21}">
    <text>Equation 2</text>
  </threadedComment>
  <threadedComment ref="E48" dT="2025-01-24T21:14:26.89" personId="{00000000-0000-0000-0000-000000000000}" id="{AEE2991D-3677-47C9-9232-01A0E7E8F710}">
    <text>Equation 11</text>
  </threadedComment>
  <threadedComment ref="E49" dT="2025-01-24T21:14:43.23" personId="{00000000-0000-0000-0000-000000000000}" id="{0D15F2D2-3D0E-428E-A477-2DC216E7DCAD}">
    <text>CTREE,t2 for equation 11</text>
  </threadedComment>
  <threadedComment ref="E50" dT="2025-01-24T21:14:56.44" personId="{00000000-0000-0000-0000-000000000000}" id="{9E239E1D-D67C-43F5-A6F2-3AD1678A2523}">
    <text>CTREE,t1 for equation 11</text>
  </threadedComment>
  <threadedComment ref="E51" dT="2025-01-24T21:15:24.60" personId="{00000000-0000-0000-0000-000000000000}" id="{D2405866-24DC-4078-8554-F47246642A3A}">
    <text>T for equation 11</text>
  </threadedComment>
  <threadedComment ref="E55" dT="2025-01-24T21:23:49.18" personId="{00000000-0000-0000-0000-000000000000}" id="{A8805EC2-1CAD-475B-833F-19854F42710E}">
    <text>Equation 22</text>
  </threadedComment>
  <threadedComment ref="E56" dT="2025-01-24T21:24:05.82" personId="{00000000-0000-0000-0000-000000000000}" id="{F7A6F578-CD43-417F-90BE-16DD23538945}">
    <text>CTREE,t1 for equation 22</text>
  </threadedComment>
  <threadedComment ref="E57" dT="2025-01-24T21:24:35.78" personId="{00000000-0000-0000-0000-000000000000}" id="{56EA6E62-8AE6-4381-95C1-10CBA1F0519B}">
    <text>Change in CTREE for equation 22</text>
  </threadedComment>
  <threadedComment ref="E58" dT="2025-01-24T21:25:15.22" personId="{00000000-0000-0000-0000-000000000000}" id="{B97D529B-6FA6-4ACF-8AAA-F68A37975C22}">
    <text>U_c for equation 23</text>
  </threadedComment>
  <threadedComment ref="E59" dT="2025-01-29T17:30:04.87" personId="{00000000-0000-0000-0000-000000000000}" id="{6E710E8B-92B0-4AB4-BDBB-AE6A6CC1EFA1}">
    <text>Equation 23</text>
  </threadedComment>
  <threadedComment ref="E60" dT="2025-01-24T21:25:56.99" personId="{00000000-0000-0000-0000-000000000000}" id="{9E5A316F-C172-4296-A5BB-4B50B75E7BC4}">
    <text>Uncertainty for t1 also equation 23</text>
  </threadedComment>
  <threadedComment ref="E73" dT="2025-01-24T21:18:44.52" personId="{00000000-0000-0000-0000-000000000000}" id="{7CA1FA2E-5092-4979-A71B-E67367D1AEC1}">
    <text>Equation 20</text>
  </threadedComment>
  <threadedComment ref="E75" dT="2025-01-24T21:28:15.15" personId="{00000000-0000-0000-0000-000000000000}" id="{56C0F946-B9E2-443D-8CB8-013B8BAA9B6C}">
    <text>Equation 21</text>
  </threadedComment>
  <threadedComment ref="E76" dT="2025-01-24T21:28:26.27" personId="{00000000-0000-0000-0000-000000000000}" id="{DD89206B-136D-4A2D-BC01-27E4D5397267}">
    <text>CFTREE for equation 21</text>
  </threadedComment>
  <threadedComment ref="E77" dT="2025-01-24T21:29:02.29" personId="{00000000-0000-0000-0000-000000000000}" id="{D8FD0376-C463-48C7-B48A-B02668388DD1}">
    <text>BfOREST for equation 21</text>
  </threadedComment>
  <threadedComment ref="E78" dT="2025-01-24T21:29:13.76" personId="{00000000-0000-0000-0000-000000000000}" id="{FC0A42E9-F03B-44A1-B549-B54A93BFAD70}">
    <text>RTREE for equation 21</text>
  </threadedComment>
  <threadedComment ref="E79" dT="2025-01-24T21:29:35.41" personId="{00000000-0000-0000-0000-000000000000}" id="{E6A7BA03-D233-4BF6-850A-544E0918361B}">
    <text>CCTREE_BSL,i for equation 21</text>
  </threadedComment>
  <threadedComment ref="E80" dT="2025-01-24T21:29:49.14" personId="{00000000-0000-0000-0000-000000000000}" id="{2AA191D3-312F-4EFF-AC86-713D59513EE3}">
    <text>Ai for equation 21</text>
  </threadedComment>
  <threadedComment ref="E84" dT="2025-01-24T21:32:22.56" personId="{00000000-0000-0000-0000-000000000000}" id="{9DA8586A-B5F6-4A4E-AA88-C824AD05F063}">
    <text>Equation 12</text>
  </threadedComment>
  <threadedComment ref="E85" dT="2025-01-24T21:32:39.66" personId="{00000000-0000-0000-0000-000000000000}" id="{3D1228D6-FC45-47F1-88A5-D567830A6AD9}">
    <text>CFTRRE for equation 12</text>
  </threadedComment>
  <threadedComment ref="E86" dT="2025-01-24T21:32:59.13" personId="{00000000-0000-0000-0000-000000000000}" id="{F395289F-1CF8-4843-AF45-17E7FB807F40}">
    <text>Equation 13</text>
  </threadedComment>
  <threadedComment ref="E87" dT="2025-01-24T21:33:11.67" personId="{00000000-0000-0000-0000-000000000000}" id="{6E728680-BBD1-48BA-8F3A-6B9085B0FC09}">
    <text>A for equation 13</text>
  </threadedComment>
  <threadedComment ref="E88" dT="2025-01-24T21:33:49.53" personId="{00000000-0000-0000-0000-000000000000}" id="{63B91250-A435-43B8-9199-AA9D88D6D694}">
    <text>Equation 14</text>
  </threadedComment>
  <threadedComment ref="E89" dT="2025-01-24T21:34:10.73" personId="{00000000-0000-0000-0000-000000000000}" id="{D85F6BAB-79E8-4919-AA16-CE1C766597DE}">
    <text>Equation 15</text>
  </threadedComment>
  <threadedComment ref="E90" dT="2025-01-24T21:34:26.85" personId="{00000000-0000-0000-0000-000000000000}" id="{60A188C1-1C73-4B40-A403-2C2B5C0427F4}">
    <text>tVAL for equation 15</text>
  </threadedComment>
  <threadedComment ref="E92" dT="2025-01-24T21:35:06.61" personId="{00000000-0000-0000-0000-000000000000}" id="{25CC7548-633E-43DB-9FD1-D24106AD5301}">
    <text>Equation 16</text>
  </threadedComment>
  <threadedComment ref="E93" dT="2025-01-24T21:35:40.02" personId="{00000000-0000-0000-0000-000000000000}" id="{D69D6951-AAD2-40A5-9DAB-8FBEBA6DAF61}">
    <text>Wi for equation 15</text>
  </threadedComment>
  <threadedComment ref="E94" dT="2025-01-24T21:36:34.63" personId="{00000000-0000-0000-0000-000000000000}" id="{16ECB7F6-B7B9-490B-ACA5-282079D8EFCA}">
    <text>Equation 17</text>
  </threadedComment>
  <threadedComment ref="E95" dT="2025-01-24T21:36:51.04" personId="{00000000-0000-0000-0000-000000000000}" id="{5DE119F7-BCEE-4671-9EDA-5D0048D261AD}">
    <text>ni for equation 17</text>
  </threadedComment>
  <threadedComment ref="E97" dT="2025-01-24T21:36:16.10" personId="{00000000-0000-0000-0000-000000000000}" id="{F57EB55D-4CB4-4D5F-9A53-B990F0D214D0}">
    <text>bTREE,p,i, for equation 17</text>
  </threadedComment>
  <threadedComment ref="E97" dT="2025-01-29T17:39:36.47" personId="{00000000-0000-0000-0000-000000000000}" id="{FEAF59BA-E813-4846-A542-A35B593F7959}" parentId="{F57EB55D-4CB4-4D5F-9A53-B990F0D214D0}">
    <text>Needs a subschema for p</text>
  </threadedComment>
  <threadedComment ref="E99" dT="2025-01-24T21:38:04.67" personId="{00000000-0000-0000-0000-000000000000}" id="{238BEFC2-D30B-4A8F-BB28-8A841D6792BC}">
    <text>Equation 12?</text>
  </threadedComment>
  <threadedComment ref="E100" dT="2025-01-24T21:38:15.63" personId="{00000000-0000-0000-0000-000000000000}" id="{B507D02B-23DF-4A71-86C8-7EC57462C7F7}">
    <text>CFTREE for equation 12</text>
  </threadedComment>
  <threadedComment ref="E101" dT="2025-01-24T21:38:35.72" personId="{00000000-0000-0000-0000-000000000000}" id="{FDE11396-9ED2-47EC-B0E2-3777E67B3AA8}">
    <text>Equation 13</text>
  </threadedComment>
  <threadedComment ref="E102" dT="2025-01-24T21:38:48.89" personId="{00000000-0000-0000-0000-000000000000}" id="{AB2D349F-4D77-46C3-8B3B-00A074ACF827}">
    <text>A for equation 13</text>
  </threadedComment>
  <threadedComment ref="E103" dT="2025-01-24T21:39:01.30" personId="{00000000-0000-0000-0000-000000000000}" id="{2C418F74-BD2E-4B4F-B6E7-110076609F77}">
    <text>Equation 14</text>
  </threadedComment>
  <threadedComment ref="E104" dT="2025-01-24T21:40:03.74" personId="{00000000-0000-0000-0000-000000000000}" id="{337575A1-7DAF-4BB1-929F-0E22E296B5CB}">
    <text>Equation 15</text>
  </threadedComment>
  <threadedComment ref="E105" dT="2025-01-24T21:39:23.91" personId="{00000000-0000-0000-0000-000000000000}" id="{1C5806FE-25EC-40A2-BF60-8A0BB9E3D94D}">
    <text>TVAL for equation 15</text>
  </threadedComment>
  <threadedComment ref="E107" dT="2025-01-24T21:40:13.24" personId="{00000000-0000-0000-0000-000000000000}" id="{B4325A53-E1CC-4484-9037-4B19B6640573}">
    <text>Equation 18</text>
  </threadedComment>
  <threadedComment ref="E108" dT="2025-01-24T21:41:35.54" personId="{00000000-0000-0000-0000-000000000000}" id="{72E1C20A-9B19-4918-990C-7945F6F6E564}">
    <text>ni for equation 19</text>
  </threadedComment>
  <threadedComment ref="E109" dT="2025-01-24T21:41:53.24" personId="{00000000-0000-0000-0000-000000000000}" id="{4DB04C9B-2652-472B-82CC-6421E60524D5}">
    <text>Slope for equation 18</text>
  </threadedComment>
  <threadedComment ref="E110" dT="2025-01-24T21:42:04.37" personId="{00000000-0000-0000-0000-000000000000}" id="{BEF5743D-04A2-47E4-9A36-0659EA98A729}">
    <text>For equation 18</text>
  </threadedComment>
  <threadedComment ref="E111" dT="2025-01-24T21:42:11.80" personId="{00000000-0000-0000-0000-000000000000}" id="{13A8348B-5656-48DE-A555-691E8BB7AA53}">
    <text>For equation 18</text>
  </threadedComment>
  <threadedComment ref="E112" dT="2025-01-24T21:42:31.87" personId="{00000000-0000-0000-0000-000000000000}" id="{985FE5B4-95B9-4135-948B-EB02D1F4E834}">
    <text>Equation 19</text>
  </threadedComment>
  <threadedComment ref="E113" dT="2025-01-24T21:42:48.27" personId="{00000000-0000-0000-0000-000000000000}" id="{7AEA99EE-C14A-4EF0-95D7-5BDE9903AED9}">
    <text>a for equation 19</text>
  </threadedComment>
  <threadedComment ref="E114" dT="2025-01-24T21:43:00.46" personId="{00000000-0000-0000-0000-000000000000}" id="{8087ADE0-04A1-4D48-B71B-A45A4D483996}">
    <text>P for equation 19</text>
  </threadedComment>
  <threadedComment ref="E116" dT="2025-01-24T21:41:20.14" personId="{00000000-0000-0000-0000-000000000000}" id="{7C7F20AC-0F7E-4C27-9CCD-86DCFF0023C4}">
    <text>bTREE,p,i for equation 18</text>
  </threadedComment>
  <threadedComment ref="E116" dT="2025-01-29T17:42:04.91" personId="{00000000-0000-0000-0000-000000000000}" id="{B14E4E14-446A-4ACB-BBF7-EA2FB4ED916D}" parentId="{7C7F20AC-0F7E-4C27-9CCD-86DCFF0023C4}">
    <text>Needs subschema for p</text>
  </threadedComment>
  <threadedComment ref="E117" dT="2025-01-24T21:43:35.34" personId="{00000000-0000-0000-0000-000000000000}" id="{1875F749-F9FD-42E8-B7DE-1A8116B68EE2}">
    <text>date</text>
  </threadedComment>
  <threadedComment ref="E126" dT="2025-01-24T21:44:01.28" personId="{00000000-0000-0000-0000-000000000000}" id="{6FFA3C86-29B8-462B-97F3-4C893349F33B}">
    <text>Equation 24</text>
  </threadedComment>
  <threadedComment ref="E127" dT="2025-01-24T21:44:20.88" personId="{00000000-0000-0000-0000-000000000000}" id="{6B5A0F00-D42C-4EA4-8D21-4C25DCE46A34}">
    <text>CSHRUB,t2 for equation 24</text>
  </threadedComment>
  <threadedComment ref="E128" dT="2025-01-24T21:44:33.20" personId="{00000000-0000-0000-0000-000000000000}" id="{0846EF33-154E-4C4E-845B-7612D38CADE3}">
    <text>CSHRUB,t1 for equation 24</text>
  </threadedComment>
  <threadedComment ref="E130" dT="2025-01-24T21:44:43.38" personId="{00000000-0000-0000-0000-000000000000}" id="{8DF30725-41EF-4D6B-AC60-770806AF0B88}">
    <text>Equation 25</text>
  </threadedComment>
  <threadedComment ref="E131" dT="2025-01-24T21:45:05.85" personId="{00000000-0000-0000-0000-000000000000}" id="{4E54972C-A621-4DDF-A831-AFE88CAF9B6E}">
    <text>Change in CSHRUB,t2 for equation 25</text>
  </threadedComment>
  <threadedComment ref="E132" dT="2025-01-24T21:45:24.22" personId="{00000000-0000-0000-0000-000000000000}" id="{DA178A16-0586-41EE-8F93-D3947113544C}">
    <text>Change in CSHRUB,t1 for equation 25</text>
  </threadedComment>
  <threadedComment ref="E133" dT="2025-01-24T21:45:34.17" personId="{00000000-0000-0000-0000-000000000000}" id="{9D57DCD2-E110-4CB9-8220-5BBA2A9013A0}">
    <text>T for equation 25</text>
  </threadedComment>
  <threadedComment ref="E135" dT="2025-01-24T21:45:46.77" personId="{00000000-0000-0000-0000-000000000000}" id="{CA582E1D-9046-4CBC-9C52-49312F1450DE}">
    <text>Equation 26</text>
  </threadedComment>
  <threadedComment ref="E136" dT="2025-01-24T21:46:01.64" personId="{00000000-0000-0000-0000-000000000000}" id="{520E90A4-C005-4589-84AD-D8C137BEC7E3}">
    <text>CFs for equation 26</text>
  </threadedComment>
  <threadedComment ref="E137" dT="2025-01-24T21:46:11.67" personId="{00000000-0000-0000-0000-000000000000}" id="{54A9CCAA-E4C1-4320-8EE6-DCCFA05E4877}">
    <text>Rs for equation 26</text>
  </threadedComment>
  <threadedComment ref="E139" dT="2025-01-24T21:46:51.75" personId="{00000000-0000-0000-0000-000000000000}" id="{4FA58F26-2BF2-43AC-9F33-7D3645CA288F}">
    <text>BDRSF for equation 27</text>
  </threadedComment>
  <threadedComment ref="E140" dT="2025-01-24T21:47:05.79" personId="{00000000-0000-0000-0000-000000000000}" id="{27E41BEE-A3EF-481D-AF66-82F306E95685}">
    <text>bFOREST for equation 27</text>
  </threadedComment>
  <threadedComment ref="E141" dT="2025-01-24T21:47:20.17" personId="{00000000-0000-0000-0000-000000000000}" id="{7D9CF5F4-E451-4707-BBEA-6920C3E380F2}">
    <text>CCSHRUB,i for equation 27</text>
  </threadedComment>
  <threadedComment ref="E142" dT="2025-01-24T21:47:37.60" personId="{00000000-0000-0000-0000-000000000000}" id="{6A12C629-34EB-4434-9715-D4903C2C145E}">
    <text>ASHRUB,i for equation 26</text>
  </threadedComment>
  <threadedComment ref="E143" dT="2025-01-24T21:47:51.92" personId="{00000000-0000-0000-0000-000000000000}" id="{BF30298D-3CDA-49CD-9882-2F546815A729}">
    <text>Equation 27</text>
  </threadedComment>
  <threadedComment ref="E154" dT="2025-01-24T21:08:37.93" personId="{00000000-0000-0000-0000-000000000000}" id="{FEBBC373-C2DF-47D1-88DE-5819D6CE3C5B}">
    <text>Equation 3</text>
  </threadedComment>
  <threadedComment ref="E155" dT="2025-01-24T21:07:54.22" personId="{00000000-0000-0000-0000-000000000000}" id="{76C4F503-A77E-46A3-8168-9ECB032144C0}">
    <text>CFTREE for equation 3</text>
  </threadedComment>
  <threadedComment ref="E156" dT="2025-01-24T21:05:19.59" personId="{00000000-0000-0000-0000-000000000000}" id="{F5F3A181-F1FB-4C85-94B5-9D97E3CBD3C7}">
    <text>Equation 4</text>
  </threadedComment>
  <threadedComment ref="E157" dT="2025-01-24T21:07:32.01" personId="{00000000-0000-0000-0000-000000000000}" id="{DDDDC69E-834D-474B-9988-E4F18F1BCC79}">
    <text>Equation 5</text>
  </threadedComment>
  <threadedComment ref="E158" dT="2025-01-24T21:05:51.80" personId="{00000000-0000-0000-0000-000000000000}" id="{875DB33E-95F4-40A0-8169-FAD7213FEE46}">
    <text>A for equation 4</text>
  </threadedComment>
  <threadedComment ref="E159" dT="2025-01-24T21:06:24.35" personId="{00000000-0000-0000-0000-000000000000}" id="{B3D1B65B-A956-451C-A6BE-6BEF6964437E}">
    <text>Equation 6</text>
  </threadedComment>
  <threadedComment ref="E160" dT="2025-01-24T21:06:48.46" personId="{00000000-0000-0000-0000-000000000000}" id="{A86BB9CC-B54B-4A0B-BCBA-F57D697FF2D6}">
    <text>tVAL for equation 6</text>
  </threadedComment>
  <threadedComment ref="E162" dT="2025-01-24T21:56:24.85" personId="{00000000-0000-0000-0000-000000000000}" id="{94CCEC28-EE34-46D4-9ED9-D27A17AA5421}">
    <text>Equation 7</text>
  </threadedComment>
  <threadedComment ref="E163" dT="2025-01-24T21:59:35.41" personId="{00000000-0000-0000-0000-000000000000}" id="{0833E53B-79A8-4D59-8F73-83D979C3E478}">
    <text>wi for equation 6</text>
  </threadedComment>
  <threadedComment ref="E164" dT="2025-01-24T21:58:30.81" personId="{00000000-0000-0000-0000-000000000000}" id="{F6F0ACB2-721D-4744-BD1F-63018FF904EE}">
    <text>Equation 8</text>
  </threadedComment>
  <threadedComment ref="E165" dT="2025-01-24T21:58:47.27" personId="{00000000-0000-0000-0000-000000000000}" id="{44F2E363-8AAC-4CA4-AC7F-244736867F5D}">
    <text>ni for equation 8</text>
  </threadedComment>
  <threadedComment ref="E167" dT="2025-01-24T21:57:53.17" personId="{00000000-0000-0000-0000-000000000000}" id="{1905FE04-5DCD-4105-B2FC-D986C6218C65}">
    <text>Change in bTREE,p,i for equation 7</text>
  </threadedComment>
  <threadedComment ref="E167" dT="2025-01-29T17:16:59.31" personId="{00000000-0000-0000-0000-000000000000}" id="{E51FC982-23FB-45B8-AC79-FC804F21E116}" parentId="{1905FE04-5DCD-4105-B2FC-D986C6218C65}">
    <text>Needs to be a stand alone sub schema for p</text>
  </threadedComment>
  <threadedComment ref="E169" dT="2025-01-24T22:02:33.42" personId="{00000000-0000-0000-0000-000000000000}" id="{26B4DE85-AB21-486D-A807-030F999E5967}">
    <text>CTREE,t1 for equation 1</text>
  </threadedComment>
  <threadedComment ref="E170" dT="2025-01-24T22:02:16.16" personId="{00000000-0000-0000-0000-000000000000}" id="{7194E3C7-F8F4-4204-951D-FB2218E3FE24}">
    <text>CTREE,t2 for equation 1</text>
  </threadedComment>
  <threadedComment ref="E171" dT="2025-01-24T22:02:01.41" personId="{00000000-0000-0000-0000-000000000000}" id="{EE82FDBF-BCE0-4123-B0AF-E79330C42466}">
    <text>u1 for equation 2</text>
  </threadedComment>
  <threadedComment ref="E172" dT="2025-01-24T22:01:50.45" personId="{00000000-0000-0000-0000-000000000000}" id="{3AB3A63F-3C9B-4094-AB4A-2710F39993A9}">
    <text>u2 for equation 2</text>
  </threadedComment>
  <threadedComment ref="E173" dT="2025-01-24T22:01:36.31" personId="{00000000-0000-0000-0000-000000000000}" id="{EF759621-E3B7-4594-AC8E-76B05C689931}">
    <text>Equation 2</text>
  </threadedComment>
  <threadedComment ref="E174" dT="2025-01-24T22:01:03.12" personId="{00000000-0000-0000-0000-000000000000}" id="{C8D74175-331B-4305-BCAF-7EE0EA3B9243}">
    <text>Equation 1</text>
  </threadedComment>
  <threadedComment ref="E175" dT="2025-01-24T22:01:11.44" personId="{00000000-0000-0000-0000-000000000000}" id="{EF3D907A-195C-4396-B23A-97236C978E59}">
    <text>Equation 2</text>
  </threadedComment>
  <threadedComment ref="E177" dT="2025-01-24T21:14:26.89" personId="{00000000-0000-0000-0000-000000000000}" id="{46A5723C-E91E-47B5-8AC8-2585F418F2E6}">
    <text>Equation 11</text>
  </threadedComment>
  <threadedComment ref="E178" dT="2025-01-24T21:14:43.23" personId="{00000000-0000-0000-0000-000000000000}" id="{690EC276-BDAE-4BA2-B2D3-0BB144D30632}">
    <text>CTREE,t2 for equation 11</text>
  </threadedComment>
  <threadedComment ref="E179" dT="2025-01-24T21:14:56.44" personId="{00000000-0000-0000-0000-000000000000}" id="{2924C288-A68C-4020-A25B-6F2BDA8D4A53}">
    <text>CTREE,t1 for equation 11</text>
  </threadedComment>
  <threadedComment ref="E180" dT="2025-01-24T21:15:24.60" personId="{00000000-0000-0000-0000-000000000000}" id="{1DEA75E1-9414-4C39-891C-BC0DF16741FD}">
    <text>T for equation 11</text>
  </threadedComment>
  <threadedComment ref="E184" dT="2025-01-24T21:23:49.18" personId="{00000000-0000-0000-0000-000000000000}" id="{3084C6D2-BF34-4BAC-BBC3-340C3D154E2B}">
    <text>Equation 22</text>
  </threadedComment>
  <threadedComment ref="E185" dT="2025-01-24T21:24:05.82" personId="{00000000-0000-0000-0000-000000000000}" id="{E60721BA-F71F-451F-AB8D-032B1BE50234}">
    <text>CTREE,t1 for equation 22</text>
  </threadedComment>
  <threadedComment ref="E186" dT="2025-01-24T21:24:35.78" personId="{00000000-0000-0000-0000-000000000000}" id="{342C8ABD-39AB-4507-8E97-35284AAFFD8C}">
    <text>Change in CTREE for equation 22</text>
  </threadedComment>
  <threadedComment ref="E187" dT="2025-01-24T21:25:15.22" personId="{00000000-0000-0000-0000-000000000000}" id="{3E58BFD8-2666-4808-AD35-B92BB1BCAEA2}">
    <text>U_c for equation 23</text>
  </threadedComment>
  <threadedComment ref="E188" dT="2025-01-29T17:30:04.87" personId="{00000000-0000-0000-0000-000000000000}" id="{DCDB822A-583D-4BEF-BB72-84718B7AAD69}">
    <text>Equation 23</text>
  </threadedComment>
  <threadedComment ref="E189" dT="2025-01-24T21:25:56.99" personId="{00000000-0000-0000-0000-000000000000}" id="{6A2217A1-7B73-4A70-A8B3-AF1B67CB2705}">
    <text>Uncertainty for t1 also equation 23</text>
  </threadedComment>
  <threadedComment ref="E204" dT="2025-01-24T21:32:22.56" personId="{00000000-0000-0000-0000-000000000000}" id="{C662479D-F1AF-4277-B8BC-B1B80A690BDB}">
    <text>Equation 12</text>
  </threadedComment>
  <threadedComment ref="E205" dT="2025-01-24T21:32:39.66" personId="{00000000-0000-0000-0000-000000000000}" id="{4B5DDB44-8B3E-41F7-959B-E204B0299C6C}">
    <text>CFTRRE for equation 12</text>
  </threadedComment>
  <threadedComment ref="E206" dT="2025-01-24T21:32:59.13" personId="{00000000-0000-0000-0000-000000000000}" id="{3709EC15-4680-4E7F-AA8C-933F690D19D9}">
    <text>Equation 13</text>
  </threadedComment>
  <threadedComment ref="E207" dT="2025-01-24T21:33:11.67" personId="{00000000-0000-0000-0000-000000000000}" id="{092D3014-5004-4520-8908-7672C712A473}">
    <text>A for equation 13</text>
  </threadedComment>
  <threadedComment ref="E208" dT="2025-01-24T21:33:49.53" personId="{00000000-0000-0000-0000-000000000000}" id="{B139516E-C7A6-4F3C-813D-7643551381CB}">
    <text>Equation 14</text>
  </threadedComment>
  <threadedComment ref="E209" dT="2025-01-24T21:34:10.73" personId="{00000000-0000-0000-0000-000000000000}" id="{13C2ECB5-80A2-4E77-99FF-A8CD927CD366}">
    <text>Equation 15</text>
  </threadedComment>
  <threadedComment ref="E210" dT="2025-01-24T21:34:26.85" personId="{00000000-0000-0000-0000-000000000000}" id="{4D2CAE2A-2782-45A2-B91B-295A347F08EA}">
    <text>tVAL for equation 15</text>
  </threadedComment>
  <threadedComment ref="E212" dT="2025-01-24T21:35:06.61" personId="{00000000-0000-0000-0000-000000000000}" id="{16C91B07-6471-486F-9926-03169E17C01E}">
    <text>Equation 16</text>
  </threadedComment>
  <threadedComment ref="E213" dT="2025-01-24T21:35:40.02" personId="{00000000-0000-0000-0000-000000000000}" id="{0E20BD1F-1D89-48D6-9188-34F696A2F70A}">
    <text>Wi for equation 15</text>
  </threadedComment>
  <threadedComment ref="E214" dT="2025-01-24T21:36:34.63" personId="{00000000-0000-0000-0000-000000000000}" id="{571F1B99-53B2-4DE1-AEC7-D53F07EC4092}">
    <text>Equation 17</text>
  </threadedComment>
  <threadedComment ref="E215" dT="2025-01-24T21:36:51.04" personId="{00000000-0000-0000-0000-000000000000}" id="{DBF749F0-B934-42B3-A51D-508ABDA5F852}">
    <text>ni for equation 17</text>
  </threadedComment>
  <threadedComment ref="E217" dT="2025-01-24T21:36:16.10" personId="{00000000-0000-0000-0000-000000000000}" id="{F8D269F5-4A4B-4F2A-AFDA-6A6C359184A2}">
    <text>bTREE,p,i, for equation 17</text>
  </threadedComment>
  <threadedComment ref="E217" dT="2025-01-29T17:39:36.47" personId="{00000000-0000-0000-0000-000000000000}" id="{8B9B43BA-1338-45C7-85DB-3D5D521F8E1B}" parentId="{F8D269F5-4A4B-4F2A-AFDA-6A6C359184A2}">
    <text>Needs a subschema for p</text>
  </threadedComment>
  <threadedComment ref="E219" dT="2025-01-24T21:38:04.67" personId="{00000000-0000-0000-0000-000000000000}" id="{09C8B70D-28C2-4FCF-9C6D-E654B6DF8657}">
    <text>Equation 12?</text>
  </threadedComment>
  <threadedComment ref="E220" dT="2025-01-24T21:38:15.63" personId="{00000000-0000-0000-0000-000000000000}" id="{169A809C-A4B7-427A-99CA-1DD421172F66}">
    <text>CFTREE for equation 12</text>
  </threadedComment>
  <threadedComment ref="E221" dT="2025-01-24T21:38:35.72" personId="{00000000-0000-0000-0000-000000000000}" id="{3EEA85A6-2C67-4847-908C-F64BB24557CD}">
    <text>Equation 13</text>
  </threadedComment>
  <threadedComment ref="E222" dT="2025-01-24T21:38:48.89" personId="{00000000-0000-0000-0000-000000000000}" id="{B1C15CAF-14B6-4BDE-B569-8912EDA6EDE1}">
    <text>A for equation 13</text>
  </threadedComment>
  <threadedComment ref="E223" dT="2025-01-24T21:39:01.30" personId="{00000000-0000-0000-0000-000000000000}" id="{C7F4C9C4-FB5C-4677-B5A8-1D25B306417C}">
    <text>Equation 14</text>
  </threadedComment>
  <threadedComment ref="E224" dT="2025-01-24T21:40:03.74" personId="{00000000-0000-0000-0000-000000000000}" id="{66E30537-7500-4248-8608-0853761E001C}">
    <text>Equation 15</text>
  </threadedComment>
  <threadedComment ref="E225" dT="2025-01-24T21:39:23.91" personId="{00000000-0000-0000-0000-000000000000}" id="{62C02FE6-AB7F-4FEF-B0A4-B0497FEE400D}">
    <text>TVAL for equation 15</text>
  </threadedComment>
  <threadedComment ref="E227" dT="2025-01-24T21:40:13.24" personId="{00000000-0000-0000-0000-000000000000}" id="{3F027C50-E795-4CD0-A179-E7B1E2AFEF71}">
    <text>Equation 18</text>
  </threadedComment>
  <threadedComment ref="E228" dT="2025-01-24T21:41:35.54" personId="{00000000-0000-0000-0000-000000000000}" id="{C46DF5A0-1B89-4CFD-9F9F-64B9F97D133D}">
    <text>ni for equation 19</text>
  </threadedComment>
  <threadedComment ref="E229" dT="2025-01-24T21:41:53.24" personId="{00000000-0000-0000-0000-000000000000}" id="{E4EF1CA6-C4BA-4046-A287-125AC58AD1E9}">
    <text>Slope for equation 18</text>
  </threadedComment>
  <threadedComment ref="E230" dT="2025-01-24T21:42:04.37" personId="{00000000-0000-0000-0000-000000000000}" id="{9965EF55-264D-41F7-8F36-CF5644A6F784}">
    <text>For equation 18</text>
  </threadedComment>
  <threadedComment ref="E231" dT="2025-01-24T21:42:11.80" personId="{00000000-0000-0000-0000-000000000000}" id="{3005583D-FEAE-4550-8566-114060484CE4}">
    <text>For equation 18</text>
  </threadedComment>
  <threadedComment ref="E232" dT="2025-01-24T21:42:31.87" personId="{00000000-0000-0000-0000-000000000000}" id="{CF88604F-B3BE-466F-BBF3-5585ACB0640D}">
    <text>Equation 19</text>
  </threadedComment>
  <threadedComment ref="E233" dT="2025-01-24T21:42:48.27" personId="{00000000-0000-0000-0000-000000000000}" id="{2E0D58E4-89AB-474A-8005-D15B100ECBF5}">
    <text>a for equation 19</text>
  </threadedComment>
  <threadedComment ref="E234" dT="2025-01-24T21:43:00.46" personId="{00000000-0000-0000-0000-000000000000}" id="{04DC5737-B11E-4F67-B221-A0D28D718823}">
    <text>P for equation 19</text>
  </threadedComment>
  <threadedComment ref="E236" dT="2025-01-24T21:41:20.14" personId="{00000000-0000-0000-0000-000000000000}" id="{66387E9B-C12D-4668-A303-E46C2D1C05AB}">
    <text>bTREE,p,i for equation 18</text>
  </threadedComment>
  <threadedComment ref="E236" dT="2025-01-29T17:42:04.91" personId="{00000000-0000-0000-0000-000000000000}" id="{620B259C-66C8-44B0-9000-7E73075CC76B}" parentId="{66387E9B-C12D-4668-A303-E46C2D1C05AB}">
    <text>Needs subschema for p</text>
  </threadedComment>
  <threadedComment ref="E237" dT="2025-01-24T21:43:35.34" personId="{00000000-0000-0000-0000-000000000000}" id="{F7897D7E-CFD2-43BC-8A4D-A2ECA81CC5F4}">
    <text>date</text>
  </threadedComment>
  <threadedComment ref="E246" dT="2025-01-24T21:44:01.28" personId="{00000000-0000-0000-0000-000000000000}" id="{737648F7-4266-4D72-B8EC-7E7FBE49EDB1}">
    <text>Equation 24</text>
  </threadedComment>
  <threadedComment ref="E247" dT="2025-01-24T21:44:20.88" personId="{00000000-0000-0000-0000-000000000000}" id="{AF4E16C4-0DF7-4B2C-9B7E-C7933E128F84}">
    <text>CSHRUB,t2 for equation 24</text>
  </threadedComment>
  <threadedComment ref="E248" dT="2025-01-24T21:44:33.20" personId="{00000000-0000-0000-0000-000000000000}" id="{0DE1EB49-17A7-48C7-B5A8-02B0E25F33F6}">
    <text>CSHRUB,t1 for equation 24</text>
  </threadedComment>
  <threadedComment ref="E250" dT="2025-01-24T21:44:43.38" personId="{00000000-0000-0000-0000-000000000000}" id="{C3536F7B-067B-4F6D-B576-134D23E4E42D}">
    <text>Equation 25</text>
  </threadedComment>
  <threadedComment ref="E251" dT="2025-01-24T21:45:05.85" personId="{00000000-0000-0000-0000-000000000000}" id="{4AA5D372-7DD6-47CC-ACC3-50F30A952D1C}">
    <text>Change in CSHRUB,t2 for equation 25</text>
  </threadedComment>
  <threadedComment ref="E252" dT="2025-01-24T21:45:24.22" personId="{00000000-0000-0000-0000-000000000000}" id="{AA3DE2D0-9398-4969-92F5-8894E17591A6}">
    <text>Change in CSHRUB,t1 for equation 25</text>
  </threadedComment>
  <threadedComment ref="E253" dT="2025-01-24T21:45:34.17" personId="{00000000-0000-0000-0000-000000000000}" id="{59DB3DD5-3F6E-495F-9AA1-9948853948DA}">
    <text>T for equation 25</text>
  </threadedComment>
  <threadedComment ref="E255" dT="2025-01-24T21:45:46.77" personId="{00000000-0000-0000-0000-000000000000}" id="{A4017819-E6A4-43E1-8DBA-EA4FBD704E17}">
    <text>Equation 26</text>
  </threadedComment>
  <threadedComment ref="E256" dT="2025-01-24T21:46:01.64" personId="{00000000-0000-0000-0000-000000000000}" id="{BF6E8C8B-64B3-43FA-BAB7-AE48BA851B30}">
    <text>CFs for equation 26</text>
  </threadedComment>
  <threadedComment ref="E257" dT="2025-01-24T21:46:11.67" personId="{00000000-0000-0000-0000-000000000000}" id="{9F61E18C-483E-477F-B301-9E3DB44690A4}">
    <text>Rs for equation 26</text>
  </threadedComment>
  <threadedComment ref="E259" dT="2025-01-24T21:46:51.75" personId="{00000000-0000-0000-0000-000000000000}" id="{DBBBCFBA-B9DA-4A5A-823F-E11FDB0C0D59}">
    <text>BDRSF for equation 27</text>
  </threadedComment>
  <threadedComment ref="E260" dT="2025-01-24T21:47:05.79" personId="{00000000-0000-0000-0000-000000000000}" id="{CF49869B-D00E-4E7B-9811-AED314F399C9}">
    <text>bFOREST for equation 27</text>
  </threadedComment>
  <threadedComment ref="E261" dT="2025-01-24T21:47:20.17" personId="{00000000-0000-0000-0000-000000000000}" id="{80023493-07F9-4BB9-B004-039D5C0E067E}">
    <text>CCSHRUB,i for equation 27</text>
  </threadedComment>
  <threadedComment ref="E262" dT="2025-01-24T21:47:37.60" personId="{00000000-0000-0000-0000-000000000000}" id="{67CD27C9-006E-4614-8AA7-E0D16098F420}">
    <text>ASHRUB,i for equation 26</text>
  </threadedComment>
  <threadedComment ref="E263" dT="2025-01-24T21:47:51.92" personId="{00000000-0000-0000-0000-000000000000}" id="{7F1FF554-101A-4AE6-9577-2FBE19E24204}">
    <text>Equation 27</text>
  </threadedComment>
</ThreadedComments>
</file>

<file path=xl/threadedComments/threadedComment80.xml><?xml version="1.0" encoding="utf-8"?>
<ThreadedComments xmlns="http://schemas.microsoft.com/office/spreadsheetml/2018/threadedcomments" xmlns:x="http://schemas.openxmlformats.org/spreadsheetml/2006/main">
  <threadedComment ref="E5" dT="2025-01-24T21:40:13.24" personId="{00000000-0000-0000-0000-000000000000}" id="{073EF58B-56BA-4596-BB3D-91CC84C47095}">
    <text>Equation 18</text>
  </threadedComment>
  <threadedComment ref="E6" dT="2025-01-24T21:41:35.54" personId="{00000000-0000-0000-0000-000000000000}" id="{93D53491-1D53-4708-9A50-BCA5A75428FF}">
    <text>ni for equation 19</text>
  </threadedComment>
  <threadedComment ref="E7" dT="2025-01-24T21:41:53.24" personId="{00000000-0000-0000-0000-000000000000}" id="{01290E34-AB9E-4FC3-92C8-918188C69A18}">
    <text>Slope for equation 18</text>
  </threadedComment>
  <threadedComment ref="E8" dT="2025-01-24T21:42:04.37" personId="{00000000-0000-0000-0000-000000000000}" id="{11993DB6-2E7E-41CE-8ED2-D0D4A43EED6F}">
    <text>For equation 18</text>
  </threadedComment>
  <threadedComment ref="E9" dT="2025-01-24T21:42:11.80" personId="{00000000-0000-0000-0000-000000000000}" id="{ED79282A-7AE8-4A1F-9EEE-C9FF154D9985}">
    <text>For equation 18</text>
  </threadedComment>
  <threadedComment ref="E10" dT="2025-01-24T21:42:31.87" personId="{00000000-0000-0000-0000-000000000000}" id="{533ABFB3-6C60-413E-87A5-1398C9E66140}">
    <text>Equation 19</text>
  </threadedComment>
  <threadedComment ref="E11" dT="2025-01-24T21:42:48.27" personId="{00000000-0000-0000-0000-000000000000}" id="{5F1FFC6E-63B5-46C9-9697-0E0786AC3993}">
    <text>a for equation 19</text>
  </threadedComment>
  <threadedComment ref="E12" dT="2025-01-24T21:43:00.46" personId="{00000000-0000-0000-0000-000000000000}" id="{916B8349-CD41-478E-B5F0-A470376B3271}">
    <text>P for equation 19</text>
  </threadedComment>
  <threadedComment ref="E14" dT="2025-01-24T21:41:20.14" personId="{00000000-0000-0000-0000-000000000000}" id="{9697C6A7-7203-40F0-852C-788AF785BD76}">
    <text>bTREE,p,i for equation 18</text>
  </threadedComment>
  <threadedComment ref="E14" dT="2025-01-29T17:42:04.91" personId="{00000000-0000-0000-0000-000000000000}" id="{171EB80D-8EE6-4A97-8E87-3D19B4E31BF3}" parentId="{9697C6A7-7203-40F0-852C-788AF785BD76}">
    <text>Needs subschema for p</text>
  </threadedComment>
</ThreadedComments>
</file>

<file path=xl/threadedComments/threadedComment81.xml><?xml version="1.0" encoding="utf-8"?>
<ThreadedComments xmlns="http://schemas.microsoft.com/office/spreadsheetml/2018/threadedcomments" xmlns:x="http://schemas.openxmlformats.org/spreadsheetml/2006/main">
  <threadedComment ref="E9" dT="2025-01-24T21:44:01.28" personId="{00000000-0000-0000-0000-000000000000}" id="{AD4AC052-6635-4F52-A908-8347DD3BB042}">
    <text>Equation 24</text>
  </threadedComment>
  <threadedComment ref="E10" dT="2025-01-24T21:44:20.88" personId="{00000000-0000-0000-0000-000000000000}" id="{2DAAF999-79D2-406E-AE71-1F62FC5BE9A2}">
    <text>CSHRUB,t2 for equation 24</text>
  </threadedComment>
  <threadedComment ref="E11" dT="2025-01-24T21:44:33.20" personId="{00000000-0000-0000-0000-000000000000}" id="{48F17167-B033-4FE7-8782-A26DE8B21066}">
    <text>CSHRUB,t1 for equation 24</text>
  </threadedComment>
</ThreadedComments>
</file>

<file path=xl/threadedComments/threadedComment82.xml><?xml version="1.0" encoding="utf-8"?>
<ThreadedComments xmlns="http://schemas.microsoft.com/office/spreadsheetml/2018/threadedcomments" xmlns:x="http://schemas.openxmlformats.org/spreadsheetml/2006/main">
  <threadedComment ref="E5" dT="2025-01-24T21:44:43.38" personId="{00000000-0000-0000-0000-000000000000}" id="{370295E8-0C0B-4B89-87A2-A550BD9EF496}">
    <text>Equation 25</text>
  </threadedComment>
  <threadedComment ref="E6" dT="2025-01-24T21:45:05.85" personId="{00000000-0000-0000-0000-000000000000}" id="{43E48D55-4471-4A29-9E81-E23840A3D7A5}">
    <text>Change in CSHRUB,t2 for equation 25</text>
  </threadedComment>
  <threadedComment ref="E7" dT="2025-01-24T21:45:24.22" personId="{00000000-0000-0000-0000-000000000000}" id="{B4C2566B-3C06-4059-AE96-21C674409CF8}">
    <text>Change in CSHRUB,t1 for equation 25</text>
  </threadedComment>
  <threadedComment ref="E8" dT="2025-01-24T21:45:34.17" personId="{00000000-0000-0000-0000-000000000000}" id="{78743D18-0090-409C-9C2A-4649F6EA45E5}">
    <text>T for equation 25</text>
  </threadedComment>
</ThreadedComments>
</file>

<file path=xl/threadedComments/threadedComment83.xml><?xml version="1.0" encoding="utf-8"?>
<ThreadedComments xmlns="http://schemas.microsoft.com/office/spreadsheetml/2018/threadedcomments" xmlns:x="http://schemas.openxmlformats.org/spreadsheetml/2006/main">
  <threadedComment ref="E5" dT="2025-01-24T21:45:46.77" personId="{00000000-0000-0000-0000-000000000000}" id="{02E73014-13B1-4EB9-9EB6-2A10065E1856}">
    <text>Equation 26</text>
  </threadedComment>
  <threadedComment ref="E6" dT="2025-01-24T21:46:01.64" personId="{00000000-0000-0000-0000-000000000000}" id="{18A228A5-4980-4D8E-AA6A-52AF3FC1CA24}">
    <text>CFs for equation 26</text>
  </threadedComment>
  <threadedComment ref="E7" dT="2025-01-24T21:46:11.67" personId="{00000000-0000-0000-0000-000000000000}" id="{DC67EA6B-AE0A-4E1F-B1D5-2F41FFAF36F9}">
    <text>Rs for equation 26</text>
  </threadedComment>
  <threadedComment ref="E9" dT="2025-01-24T21:46:51.75" personId="{00000000-0000-0000-0000-000000000000}" id="{7B14FEAF-BFD1-473D-BEE8-DADC5377AEED}">
    <text>BDRSF for equation 27</text>
  </threadedComment>
  <threadedComment ref="E10" dT="2025-01-24T21:47:05.79" personId="{00000000-0000-0000-0000-000000000000}" id="{747F9247-EABE-4FFC-95D8-061256B7A695}">
    <text>bFOREST for equation 27</text>
  </threadedComment>
  <threadedComment ref="E11" dT="2025-01-24T21:47:20.17" personId="{00000000-0000-0000-0000-000000000000}" id="{DEE03AD8-6D38-4F97-9651-61E5BCBE5D6F}">
    <text>CCSHRUB,i for equation 27</text>
  </threadedComment>
  <threadedComment ref="E12" dT="2025-01-24T21:47:37.60" personId="{00000000-0000-0000-0000-000000000000}" id="{9B5AB545-70D7-455F-9FD7-B73BC5A6884C}">
    <text>ASHRUB,i for equation 26</text>
  </threadedComment>
  <threadedComment ref="E13" dT="2025-01-24T21:47:51.92" personId="{00000000-0000-0000-0000-000000000000}" id="{560C19AA-FD7D-4785-9292-03CCE6C28280}">
    <text>Equation 27</text>
  </threadedComment>
</ThreadedComments>
</file>

<file path=xl/threadedComments/threadedComment84.xml><?xml version="1.0" encoding="utf-8"?>
<ThreadedComments xmlns="http://schemas.microsoft.com/office/spreadsheetml/2018/threadedcomments" xmlns:x="http://schemas.openxmlformats.org/spreadsheetml/2006/main">
  <threadedComment ref="E5" dT="2025-01-24T21:46:51.75" personId="{00000000-0000-0000-0000-000000000000}" id="{4E14AC8B-D871-4249-B867-CBC71D8D4B11}">
    <text>BDRSF for equation 27</text>
  </threadedComment>
  <threadedComment ref="E6" dT="2025-01-24T21:47:05.79" personId="{00000000-0000-0000-0000-000000000000}" id="{858D3CFD-307A-4ED6-BCF9-03E0CA3C356E}">
    <text>bFOREST for equation 27</text>
  </threadedComment>
  <threadedComment ref="E7" dT="2025-01-24T21:47:20.17" personId="{00000000-0000-0000-0000-000000000000}" id="{F00068ED-23CC-455B-B51C-863CA1236FB2}">
    <text>CCSHRUB,i for equation 27</text>
  </threadedComment>
  <threadedComment ref="E8" dT="2025-01-24T21:47:37.60" personId="{00000000-0000-0000-0000-000000000000}" id="{0F74A222-B183-4690-8114-1BEB8AA8CDB0}">
    <text>ASHRUB,i for equation 26</text>
  </threadedComment>
  <threadedComment ref="E9" dT="2025-01-24T21:47:51.92" personId="{00000000-0000-0000-0000-000000000000}" id="{5EA1538F-60E7-4614-B677-7F836A801275}">
    <text>Equation 27</text>
  </threadedComment>
</ThreadedComments>
</file>

<file path=xl/threadedComments/threadedComment85.xml><?xml version="1.0" encoding="utf-8"?>
<ThreadedComments xmlns="http://schemas.microsoft.com/office/spreadsheetml/2018/threadedcomments" xmlns:x="http://schemas.openxmlformats.org/spreadsheetml/2006/main">
  <threadedComment ref="E13" dT="2025-01-24T21:11:36.74" personId="{00000000-0000-0000-0000-000000000000}" id="{5395E4ED-8E97-4C31-A4C6-364C59365269}">
    <text>Equation 9</text>
  </threadedComment>
  <threadedComment ref="E15" dT="2025-01-24T21:11:58.89" personId="{00000000-0000-0000-0000-000000000000}" id="{505B7186-E588-481C-BEDA-892A4FE6CF8A}">
    <text>Equation 10</text>
  </threadedComment>
  <threadedComment ref="E16" dT="2025-01-24T21:12:11.78" personId="{00000000-0000-0000-0000-000000000000}" id="{933A460E-5D67-4408-A7A4-307958991CD4}">
    <text>CFTREE for equation 10</text>
  </threadedComment>
  <threadedComment ref="E17" dT="2025-01-24T21:12:25.46" personId="{00000000-0000-0000-0000-000000000000}" id="{20841765-1B89-4D34-A5F0-AAB8C2FE9F95}">
    <text>bForest for equation 10</text>
  </threadedComment>
  <threadedComment ref="E18" dT="2025-01-24T21:12:40.25" personId="{00000000-0000-0000-0000-000000000000}" id="{0A849BD7-1275-47AA-A026-274BC4665A77}">
    <text>RTREE for equation 10</text>
  </threadedComment>
  <threadedComment ref="E19" dT="2025-01-24T21:12:53.39" personId="{00000000-0000-0000-0000-000000000000}" id="{6D340ED4-4AFC-4997-A68F-F4EB5E57CF80}">
    <text>CCREE_BSL_i for equation 10</text>
  </threadedComment>
  <threadedComment ref="E20" dT="2025-01-24T21:13:03.79" personId="{00000000-0000-0000-0000-000000000000}" id="{FAD10F96-4F2F-47C9-9346-F6AE729B713C}">
    <text>Ai for equation 10</text>
  </threadedComment>
  <threadedComment ref="E22" dT="2025-01-24T21:08:37.93" personId="{00000000-0000-0000-0000-000000000000}" id="{092EBF23-CBA1-4689-AC4C-A1AF68EBAFBB}">
    <text>Equation 3</text>
  </threadedComment>
  <threadedComment ref="E23" dT="2025-01-24T21:07:54.22" personId="{00000000-0000-0000-0000-000000000000}" id="{EE6EAF6D-824A-4A82-9365-B6155B55802C}">
    <text>CFTREE for equation 3</text>
  </threadedComment>
  <threadedComment ref="E24" dT="2025-01-24T21:05:19.59" personId="{00000000-0000-0000-0000-000000000000}" id="{C05CF809-F26F-4C6F-822B-6E4A3E7CB414}">
    <text>Equation 4</text>
  </threadedComment>
  <threadedComment ref="E25" dT="2025-01-24T21:07:32.01" personId="{00000000-0000-0000-0000-000000000000}" id="{4FD490D3-7D00-4F88-A0C4-EFFFA0782071}">
    <text>Equation 5</text>
  </threadedComment>
  <threadedComment ref="E26" dT="2025-01-24T21:05:51.80" personId="{00000000-0000-0000-0000-000000000000}" id="{43328B9A-582A-4F25-9C2F-74366EE00560}">
    <text>A for equation 4</text>
  </threadedComment>
  <threadedComment ref="E27" dT="2025-01-24T21:06:24.35" personId="{00000000-0000-0000-0000-000000000000}" id="{49964E15-A021-4706-8226-93C8D0EB0394}">
    <text>Equation 6</text>
  </threadedComment>
  <threadedComment ref="E28" dT="2025-01-24T21:06:48.46" personId="{00000000-0000-0000-0000-000000000000}" id="{E5F21A3D-06D4-4F9B-A8AB-A470DCE9133B}">
    <text>tVAL for equation 6</text>
  </threadedComment>
  <threadedComment ref="E30" dT="2025-01-24T21:56:24.85" personId="{00000000-0000-0000-0000-000000000000}" id="{6387DA71-2AE7-4E2E-AFD6-224DE502F990}">
    <text>Equation 7</text>
  </threadedComment>
  <threadedComment ref="E31" dT="2025-01-24T21:59:35.41" personId="{00000000-0000-0000-0000-000000000000}" id="{9B218C3B-1108-4383-87D2-5E7279CA69AB}">
    <text>wi for equation 6</text>
  </threadedComment>
  <threadedComment ref="E32" dT="2025-01-24T21:58:30.81" personId="{00000000-0000-0000-0000-000000000000}" id="{C02E2908-383D-4A3F-AE09-CA984AF18B63}">
    <text>Equation 8</text>
  </threadedComment>
  <threadedComment ref="E33" dT="2025-01-24T21:58:47.27" personId="{00000000-0000-0000-0000-000000000000}" id="{CF5906AA-5F0A-45CF-8944-DA003A0016FC}">
    <text>ni for equation 8</text>
  </threadedComment>
  <threadedComment ref="E35" dT="2025-01-24T21:57:53.17" personId="{00000000-0000-0000-0000-000000000000}" id="{375F0F08-3A0B-4183-B8A0-C7C71505827A}">
    <text>Change in bTREE,p,i for equation 7</text>
  </threadedComment>
  <threadedComment ref="E35" dT="2025-01-29T17:16:59.31" personId="{00000000-0000-0000-0000-000000000000}" id="{FE841965-D3C2-4FF4-B14F-EE78681C929C}" parentId="{375F0F08-3A0B-4183-B8A0-C7C71505827A}">
    <text>Needs to be a stand alone sub schema for p</text>
  </threadedComment>
  <threadedComment ref="E37" dT="2025-01-24T22:02:33.42" personId="{00000000-0000-0000-0000-000000000000}" id="{E5E78005-0C4B-4F26-98A7-0C70AFEE68CA}">
    <text>CTREE,t1 for equation 1</text>
  </threadedComment>
  <threadedComment ref="E38" dT="2025-01-24T22:02:16.16" personId="{00000000-0000-0000-0000-000000000000}" id="{B113D47C-873B-49FD-8944-5E2D06802FDF}">
    <text>CTREE,t2 for equation 1</text>
  </threadedComment>
  <threadedComment ref="E39" dT="2025-01-24T22:02:01.41" personId="{00000000-0000-0000-0000-000000000000}" id="{30A93166-5C1F-4AEF-A2EB-B6D16C9AF7BE}">
    <text>u1 for equation 2</text>
  </threadedComment>
  <threadedComment ref="E40" dT="2025-01-24T22:01:50.45" personId="{00000000-0000-0000-0000-000000000000}" id="{EF05025C-C1C9-4FE7-BFCE-22F83A11A426}">
    <text>u2 for equation 2</text>
  </threadedComment>
  <threadedComment ref="E41" dT="2025-01-24T22:01:36.31" personId="{00000000-0000-0000-0000-000000000000}" id="{90DDFE0D-1713-49F6-8D00-AEA15BB71320}">
    <text>Equation 2</text>
  </threadedComment>
  <threadedComment ref="E42" dT="2025-01-24T22:01:03.12" personId="{00000000-0000-0000-0000-000000000000}" id="{03C650AE-0820-4755-9A88-D621173310A8}">
    <text>Equation 1</text>
  </threadedComment>
  <threadedComment ref="E43" dT="2025-01-24T22:01:11.44" personId="{00000000-0000-0000-0000-000000000000}" id="{6BC16FCB-5171-45FF-A24E-BDAC95DA1E73}">
    <text>Equation 2</text>
  </threadedComment>
  <threadedComment ref="E45" dT="2025-01-24T21:14:26.89" personId="{00000000-0000-0000-0000-000000000000}" id="{3657E7F3-476A-406C-BFCB-E0A92714B987}">
    <text>Equation 11</text>
  </threadedComment>
  <threadedComment ref="E46" dT="2025-01-24T21:14:43.23" personId="{00000000-0000-0000-0000-000000000000}" id="{37DD455C-0DE0-48EB-BCC4-195C769F7763}">
    <text>CTREE,t2 for equation 11</text>
  </threadedComment>
  <threadedComment ref="E47" dT="2025-01-24T21:14:56.44" personId="{00000000-0000-0000-0000-000000000000}" id="{766D7441-4353-4D1E-8756-14D3C0B221B9}">
    <text>CTREE,t1 for equation 11</text>
  </threadedComment>
  <threadedComment ref="E48" dT="2025-01-24T21:15:24.60" personId="{00000000-0000-0000-0000-000000000000}" id="{3DE1675B-8E73-4527-A462-871D9DEE86FD}">
    <text>T for equation 11</text>
  </threadedComment>
  <threadedComment ref="E52" dT="2025-01-24T21:23:49.18" personId="{00000000-0000-0000-0000-000000000000}" id="{2AA32A8A-2ED8-4A49-88FC-BC68840E5E6B}">
    <text>Equation 22</text>
  </threadedComment>
  <threadedComment ref="E53" dT="2025-01-24T21:24:05.82" personId="{00000000-0000-0000-0000-000000000000}" id="{6DEF38BA-D631-443A-84FF-914D23A4DCA6}">
    <text>CTREE,t1 for equation 22</text>
  </threadedComment>
  <threadedComment ref="E54" dT="2025-01-24T21:24:35.78" personId="{00000000-0000-0000-0000-000000000000}" id="{8D0F2CAE-8724-4A6E-870F-811215803AD2}">
    <text>Change in CTREE for equation 22</text>
  </threadedComment>
  <threadedComment ref="E55" dT="2025-01-24T21:25:15.22" personId="{00000000-0000-0000-0000-000000000000}" id="{A6CA24D4-7ABF-4120-82C1-9A678D6D8D79}">
    <text>U_c for equation 23</text>
  </threadedComment>
  <threadedComment ref="E56" dT="2025-01-29T17:30:04.87" personId="{00000000-0000-0000-0000-000000000000}" id="{F674E242-2600-4E83-AF45-1A4186B7CC9B}">
    <text>Equation 23</text>
  </threadedComment>
  <threadedComment ref="E57" dT="2025-01-24T21:25:56.99" personId="{00000000-0000-0000-0000-000000000000}" id="{AE98A35F-71B0-4F38-ABC7-D38637E20245}">
    <text>Uncertainty for t1 also equation 23</text>
  </threadedComment>
  <threadedComment ref="E70" dT="2025-01-24T21:18:44.52" personId="{00000000-0000-0000-0000-000000000000}" id="{C25C2F9C-EA3F-4B82-B90C-8A49BDAA668D}">
    <text>Equation 20</text>
  </threadedComment>
  <threadedComment ref="E72" dT="2025-01-24T21:28:15.15" personId="{00000000-0000-0000-0000-000000000000}" id="{B93DE298-EFE3-4500-B887-8774A45B16B9}">
    <text>Equation 21</text>
  </threadedComment>
  <threadedComment ref="E73" dT="2025-01-24T21:28:26.27" personId="{00000000-0000-0000-0000-000000000000}" id="{DFF00C2F-E7FC-477B-9C6A-DBAD486F235C}">
    <text>CFTREE for equation 21</text>
  </threadedComment>
  <threadedComment ref="E74" dT="2025-01-24T21:29:02.29" personId="{00000000-0000-0000-0000-000000000000}" id="{C9C84ACF-039D-48D2-84EE-FD7C49AB7F0B}">
    <text>BfOREST for equation 21</text>
  </threadedComment>
  <threadedComment ref="E75" dT="2025-01-24T21:29:13.76" personId="{00000000-0000-0000-0000-000000000000}" id="{FB779869-679B-4339-B22C-B391BBEF9CB0}">
    <text>RTREE for equation 21</text>
  </threadedComment>
  <threadedComment ref="E76" dT="2025-01-24T21:29:35.41" personId="{00000000-0000-0000-0000-000000000000}" id="{8F80E26D-1183-46B2-BA06-2B37F79533BA}">
    <text>CCTREE_BSL,i for equation 21</text>
  </threadedComment>
  <threadedComment ref="E77" dT="2025-01-24T21:29:49.14" personId="{00000000-0000-0000-0000-000000000000}" id="{7C5DDDCA-9978-4B47-B434-3C29BC6BBD8D}">
    <text>Ai for equation 21</text>
  </threadedComment>
  <threadedComment ref="E81" dT="2025-01-24T21:32:22.56" personId="{00000000-0000-0000-0000-000000000000}" id="{B9EF3C69-5CD6-4175-B371-7092310AF65F}">
    <text>Equation 12</text>
  </threadedComment>
  <threadedComment ref="E82" dT="2025-01-24T21:32:39.66" personId="{00000000-0000-0000-0000-000000000000}" id="{E3A9574F-2BBF-47EE-BF58-0FFBB44C5C41}">
    <text>CFTRRE for equation 12</text>
  </threadedComment>
  <threadedComment ref="E83" dT="2025-01-24T21:32:59.13" personId="{00000000-0000-0000-0000-000000000000}" id="{FDBD1AD0-32AD-43D4-AAF0-A5ACA4FB7D58}">
    <text>Equation 13</text>
  </threadedComment>
  <threadedComment ref="E84" dT="2025-01-24T21:33:11.67" personId="{00000000-0000-0000-0000-000000000000}" id="{6B139F29-5534-4792-BA5A-800E217BEBE6}">
    <text>A for equation 13</text>
  </threadedComment>
  <threadedComment ref="E85" dT="2025-01-24T21:33:49.53" personId="{00000000-0000-0000-0000-000000000000}" id="{5C79D388-4CAE-436C-92A2-41A31A6BD1F2}">
    <text>Equation 14</text>
  </threadedComment>
  <threadedComment ref="E86" dT="2025-01-24T21:34:10.73" personId="{00000000-0000-0000-0000-000000000000}" id="{B7852F9F-F0AB-46AB-A335-28E3CCF99908}">
    <text>Equation 15</text>
  </threadedComment>
  <threadedComment ref="E87" dT="2025-01-24T21:34:26.85" personId="{00000000-0000-0000-0000-000000000000}" id="{93CBB25E-687F-462F-90F4-CC0F58D402DA}">
    <text>tVAL for equation 15</text>
  </threadedComment>
  <threadedComment ref="E89" dT="2025-01-24T21:35:06.61" personId="{00000000-0000-0000-0000-000000000000}" id="{42822335-4185-447E-BD3A-AC69A0D22965}">
    <text>Equation 16</text>
  </threadedComment>
  <threadedComment ref="E90" dT="2025-01-24T21:35:40.02" personId="{00000000-0000-0000-0000-000000000000}" id="{B6239ABD-2CAF-4B3C-B0C4-BF9F82F89507}">
    <text>Wi for equation 15</text>
  </threadedComment>
  <threadedComment ref="E91" dT="2025-01-24T21:36:34.63" personId="{00000000-0000-0000-0000-000000000000}" id="{76BEADFE-892C-4E01-B1A8-212DAB6A619E}">
    <text>Equation 17</text>
  </threadedComment>
  <threadedComment ref="E92" dT="2025-01-24T21:36:51.04" personId="{00000000-0000-0000-0000-000000000000}" id="{09482853-FD32-4D06-81F3-B3CE5CC46C98}">
    <text>ni for equation 17</text>
  </threadedComment>
  <threadedComment ref="E94" dT="2025-01-24T21:36:16.10" personId="{00000000-0000-0000-0000-000000000000}" id="{0C26BE9D-22E2-4986-817F-C88CC0CCE96C}">
    <text>bTREE,p,i, for equation 17</text>
  </threadedComment>
  <threadedComment ref="E94" dT="2025-01-29T17:39:36.47" personId="{00000000-0000-0000-0000-000000000000}" id="{6184A373-0400-4717-ADD2-E803ECA8D618}" parentId="{0C26BE9D-22E2-4986-817F-C88CC0CCE96C}">
    <text>Needs a subschema for p</text>
  </threadedComment>
  <threadedComment ref="E96" dT="2025-01-24T21:38:04.67" personId="{00000000-0000-0000-0000-000000000000}" id="{FA7125EC-8056-48FC-82A5-EFA83F9DCF9B}">
    <text>Equation 12?</text>
  </threadedComment>
  <threadedComment ref="E97" dT="2025-01-24T21:38:15.63" personId="{00000000-0000-0000-0000-000000000000}" id="{63927D50-705C-4089-8DD4-976B33DA5700}">
    <text>CFTREE for equation 12</text>
  </threadedComment>
  <threadedComment ref="E98" dT="2025-01-24T21:38:35.72" personId="{00000000-0000-0000-0000-000000000000}" id="{26D46455-2E0F-4216-A3C7-9345E6B43C32}">
    <text>Equation 13</text>
  </threadedComment>
  <threadedComment ref="E99" dT="2025-01-24T21:38:48.89" personId="{00000000-0000-0000-0000-000000000000}" id="{B3661AF0-2FD8-451E-A0C1-E54F8AD6A215}">
    <text>A for equation 13</text>
  </threadedComment>
  <threadedComment ref="E100" dT="2025-01-24T21:39:01.30" personId="{00000000-0000-0000-0000-000000000000}" id="{5FEC04C5-408F-4EF8-86E6-CED63D20AE85}">
    <text>Equation 14</text>
  </threadedComment>
  <threadedComment ref="E101" dT="2025-01-24T21:40:03.74" personId="{00000000-0000-0000-0000-000000000000}" id="{5B14B476-88C6-4678-8987-2054476F02B4}">
    <text>Equation 15</text>
  </threadedComment>
  <threadedComment ref="E102" dT="2025-01-24T21:39:23.91" personId="{00000000-0000-0000-0000-000000000000}" id="{B9EB7191-D50A-477C-A1F5-203C86275C59}">
    <text>TVAL for equation 15</text>
  </threadedComment>
  <threadedComment ref="E104" dT="2025-01-24T21:40:13.24" personId="{00000000-0000-0000-0000-000000000000}" id="{BA9DBAA9-2FF7-413B-A15D-EC3142CA3B95}">
    <text>Equation 18</text>
  </threadedComment>
  <threadedComment ref="E105" dT="2025-01-24T21:41:35.54" personId="{00000000-0000-0000-0000-000000000000}" id="{0066C2F0-BF05-4FDC-9A5D-5CEE54D83B62}">
    <text>ni for equation 19</text>
  </threadedComment>
  <threadedComment ref="E106" dT="2025-01-24T21:41:53.24" personId="{00000000-0000-0000-0000-000000000000}" id="{AE3DF0B0-543C-44FE-881F-6D486C3D70CC}">
    <text>Slope for equation 18</text>
  </threadedComment>
  <threadedComment ref="E107" dT="2025-01-24T21:42:04.37" personId="{00000000-0000-0000-0000-000000000000}" id="{64A7822A-20C6-4BCC-ABAE-F20BCE09FC32}">
    <text>For equation 18</text>
  </threadedComment>
  <threadedComment ref="E108" dT="2025-01-24T21:42:11.80" personId="{00000000-0000-0000-0000-000000000000}" id="{6069DFA3-4BC2-4ECB-8AD7-A6F437C12386}">
    <text>For equation 18</text>
  </threadedComment>
  <threadedComment ref="E109" dT="2025-01-24T21:42:31.87" personId="{00000000-0000-0000-0000-000000000000}" id="{7504F200-D56E-4899-8738-0F2C2FEE3E86}">
    <text>Equation 19</text>
  </threadedComment>
  <threadedComment ref="E110" dT="2025-01-24T21:42:48.27" personId="{00000000-0000-0000-0000-000000000000}" id="{8D4860E2-2361-4CC0-BDEA-F7424FD6F122}">
    <text>a for equation 19</text>
  </threadedComment>
  <threadedComment ref="E111" dT="2025-01-24T21:43:00.46" personId="{00000000-0000-0000-0000-000000000000}" id="{F050DA93-6E0E-45CE-9FFC-60700D166C38}">
    <text>P for equation 19</text>
  </threadedComment>
  <threadedComment ref="E113" dT="2025-01-24T21:41:20.14" personId="{00000000-0000-0000-0000-000000000000}" id="{0E0BA09D-3805-4DF4-BB1E-BA13C48607DF}">
    <text>bTREE,p,i for equation 18</text>
  </threadedComment>
  <threadedComment ref="E113" dT="2025-01-29T17:42:04.91" personId="{00000000-0000-0000-0000-000000000000}" id="{C01A735F-7A81-470E-8EB4-75A94693B72C}" parentId="{0E0BA09D-3805-4DF4-BB1E-BA13C48607DF}">
    <text>Needs subschema for p</text>
  </threadedComment>
  <threadedComment ref="E114" dT="2025-01-24T21:43:35.34" personId="{00000000-0000-0000-0000-000000000000}" id="{4F1292A5-F221-4971-8497-FB784DE95CE0}">
    <text>date</text>
  </threadedComment>
  <threadedComment ref="E123" dT="2025-01-24T21:44:01.28" personId="{00000000-0000-0000-0000-000000000000}" id="{68CB1664-C91E-4B67-B958-8D0D38AEB5DB}">
    <text>Equation 24</text>
  </threadedComment>
  <threadedComment ref="E124" dT="2025-01-24T21:44:20.88" personId="{00000000-0000-0000-0000-000000000000}" id="{07FEE29C-F6F2-49A1-ADD1-CC05EE4FD73E}">
    <text>CSHRUB,t2 for equation 24</text>
  </threadedComment>
  <threadedComment ref="E125" dT="2025-01-24T21:44:33.20" personId="{00000000-0000-0000-0000-000000000000}" id="{934EF5C6-05C2-4D28-BED3-46BC48BE3DB1}">
    <text>CSHRUB,t1 for equation 24</text>
  </threadedComment>
  <threadedComment ref="E127" dT="2025-01-24T21:44:43.38" personId="{00000000-0000-0000-0000-000000000000}" id="{EA6235FB-3646-41DE-AC20-ED7638E510D1}">
    <text>Equation 25</text>
  </threadedComment>
  <threadedComment ref="E128" dT="2025-01-24T21:45:05.85" personId="{00000000-0000-0000-0000-000000000000}" id="{4181E392-CCE7-43BA-85FC-C12EC158E6A6}">
    <text>Change in CSHRUB,t2 for equation 25</text>
  </threadedComment>
  <threadedComment ref="E129" dT="2025-01-24T21:45:24.22" personId="{00000000-0000-0000-0000-000000000000}" id="{ECFE04B7-017A-474C-AA92-343C01860980}">
    <text>Change in CSHRUB,t1 for equation 25</text>
  </threadedComment>
  <threadedComment ref="E130" dT="2025-01-24T21:45:34.17" personId="{00000000-0000-0000-0000-000000000000}" id="{E04AB917-B8DF-4373-8D1C-355C3CAE7FEC}">
    <text>T for equation 25</text>
  </threadedComment>
  <threadedComment ref="E132" dT="2025-01-24T21:45:46.77" personId="{00000000-0000-0000-0000-000000000000}" id="{5B81D85D-BDDC-4356-843B-BE34007B7EE4}">
    <text>Equation 26</text>
  </threadedComment>
  <threadedComment ref="E133" dT="2025-01-24T21:46:01.64" personId="{00000000-0000-0000-0000-000000000000}" id="{2A897D52-E039-4214-B04E-AE985705D60E}">
    <text>CFs for equation 26</text>
  </threadedComment>
  <threadedComment ref="E134" dT="2025-01-24T21:46:11.67" personId="{00000000-0000-0000-0000-000000000000}" id="{D52CB14A-7EBF-4025-B5DA-0569E8802C1B}">
    <text>Rs for equation 26</text>
  </threadedComment>
  <threadedComment ref="E136" dT="2025-01-24T21:46:51.75" personId="{00000000-0000-0000-0000-000000000000}" id="{FE8BBF56-F81B-4810-9F48-3D954F7D299D}">
    <text>BDRSF for equation 27</text>
  </threadedComment>
  <threadedComment ref="E137" dT="2025-01-24T21:47:05.79" personId="{00000000-0000-0000-0000-000000000000}" id="{6901AD89-8ECC-40F8-BC25-E75CA838039D}">
    <text>bFOREST for equation 27</text>
  </threadedComment>
  <threadedComment ref="E138" dT="2025-01-24T21:47:20.17" personId="{00000000-0000-0000-0000-000000000000}" id="{752411A2-571C-43B9-B670-BE9DF626E7A4}">
    <text>CCSHRUB,i for equation 27</text>
  </threadedComment>
  <threadedComment ref="E139" dT="2025-01-24T21:47:37.60" personId="{00000000-0000-0000-0000-000000000000}" id="{BD37DA5A-4035-464F-AF7A-82948E12E5ED}">
    <text>ASHRUB,i for equation 26</text>
  </threadedComment>
  <threadedComment ref="E140" dT="2025-01-24T21:47:51.92" personId="{00000000-0000-0000-0000-000000000000}" id="{4C0A1631-5658-4694-AA69-B8EC562B0917}">
    <text>Equation 27</text>
  </threadedComment>
  <threadedComment ref="E151" dT="2025-01-24T21:08:37.93" personId="{00000000-0000-0000-0000-000000000000}" id="{52E0F034-75BE-4B5B-A3C5-D8C48BB693AC}">
    <text>Equation 3</text>
  </threadedComment>
  <threadedComment ref="E152" dT="2025-01-24T21:07:54.22" personId="{00000000-0000-0000-0000-000000000000}" id="{338C226E-F0C3-4DCD-A8FD-8E6434B019BF}">
    <text>CFTREE for equation 3</text>
  </threadedComment>
  <threadedComment ref="E153" dT="2025-01-24T21:05:19.59" personId="{00000000-0000-0000-0000-000000000000}" id="{45778C49-D148-42DC-80A8-144F16D5E7FB}">
    <text>Equation 4</text>
  </threadedComment>
  <threadedComment ref="E154" dT="2025-01-24T21:07:32.01" personId="{00000000-0000-0000-0000-000000000000}" id="{C7B41709-9AFF-4B14-B042-2410B14844EE}">
    <text>Equation 5</text>
  </threadedComment>
  <threadedComment ref="E155" dT="2025-01-24T21:05:51.80" personId="{00000000-0000-0000-0000-000000000000}" id="{F6CDDA67-3D34-469B-8BFA-65D9D4B49EB5}">
    <text>A for equation 4</text>
  </threadedComment>
  <threadedComment ref="E156" dT="2025-01-24T21:06:24.35" personId="{00000000-0000-0000-0000-000000000000}" id="{DEA5E291-B2B3-4E18-AAD8-8126E24A5CAD}">
    <text>Equation 6</text>
  </threadedComment>
  <threadedComment ref="E157" dT="2025-01-24T21:06:48.46" personId="{00000000-0000-0000-0000-000000000000}" id="{946DDE23-52D5-41EB-83B6-22BC91347D99}">
    <text>tVAL for equation 6</text>
  </threadedComment>
  <threadedComment ref="E159" dT="2025-01-24T21:56:24.85" personId="{00000000-0000-0000-0000-000000000000}" id="{4731F6D5-D516-4D75-97E6-80C65AAF26D1}">
    <text>Equation 7</text>
  </threadedComment>
  <threadedComment ref="E160" dT="2025-01-24T21:59:35.41" personId="{00000000-0000-0000-0000-000000000000}" id="{6455C62C-67C6-40A4-8555-4C5974E0C555}">
    <text>wi for equation 6</text>
  </threadedComment>
  <threadedComment ref="E161" dT="2025-01-24T21:58:30.81" personId="{00000000-0000-0000-0000-000000000000}" id="{7502877F-F0BA-4BC4-8386-698B1BC402B5}">
    <text>Equation 8</text>
  </threadedComment>
  <threadedComment ref="E162" dT="2025-01-24T21:58:47.27" personId="{00000000-0000-0000-0000-000000000000}" id="{8D3242EC-6EAA-4F9A-8FE5-789B04D8639A}">
    <text>ni for equation 8</text>
  </threadedComment>
  <threadedComment ref="E164" dT="2025-01-24T21:57:53.17" personId="{00000000-0000-0000-0000-000000000000}" id="{BEDD4BD7-E311-4B2E-BD3B-6C8F751ED1B6}">
    <text>Change in bTREE,p,i for equation 7</text>
  </threadedComment>
  <threadedComment ref="E164" dT="2025-01-29T17:16:59.31" personId="{00000000-0000-0000-0000-000000000000}" id="{6A166EC4-E7F3-4834-8EE6-02CBD43B53CB}" parentId="{BEDD4BD7-E311-4B2E-BD3B-6C8F751ED1B6}">
    <text>Needs to be a stand alone sub schema for p</text>
  </threadedComment>
  <threadedComment ref="E166" dT="2025-01-24T22:02:33.42" personId="{00000000-0000-0000-0000-000000000000}" id="{57CF954A-79D0-41FB-B99D-8173E81F3585}">
    <text>CTREE,t1 for equation 1</text>
  </threadedComment>
  <threadedComment ref="E167" dT="2025-01-24T22:02:16.16" personId="{00000000-0000-0000-0000-000000000000}" id="{68670FF7-4143-49D2-9E39-FF4E3848CCE4}">
    <text>CTREE,t2 for equation 1</text>
  </threadedComment>
  <threadedComment ref="E168" dT="2025-01-24T22:02:01.41" personId="{00000000-0000-0000-0000-000000000000}" id="{6C8B2C55-5598-4688-87D1-FEFF37E84B10}">
    <text>u1 for equation 2</text>
  </threadedComment>
  <threadedComment ref="E169" dT="2025-01-24T22:01:50.45" personId="{00000000-0000-0000-0000-000000000000}" id="{F47FF2E1-E63D-4FBD-A7EC-FB02A5E7501D}">
    <text>u2 for equation 2</text>
  </threadedComment>
  <threadedComment ref="E170" dT="2025-01-24T22:01:36.31" personId="{00000000-0000-0000-0000-000000000000}" id="{7434F1E1-AB6E-4A3C-A82A-EF2BC0106337}">
    <text>Equation 2</text>
  </threadedComment>
  <threadedComment ref="E171" dT="2025-01-24T22:01:03.12" personId="{00000000-0000-0000-0000-000000000000}" id="{00A9AC24-0F5E-45DF-8B23-88109C084165}">
    <text>Equation 1</text>
  </threadedComment>
  <threadedComment ref="E172" dT="2025-01-24T22:01:11.44" personId="{00000000-0000-0000-0000-000000000000}" id="{5C7F8F2D-FB4F-477C-BB5A-A7031388D165}">
    <text>Equation 2</text>
  </threadedComment>
  <threadedComment ref="E174" dT="2025-01-24T21:14:26.89" personId="{00000000-0000-0000-0000-000000000000}" id="{FB7B2188-9844-41B9-B846-44568A7B4144}">
    <text>Equation 11</text>
  </threadedComment>
  <threadedComment ref="E175" dT="2025-01-24T21:14:43.23" personId="{00000000-0000-0000-0000-000000000000}" id="{1F2E3A6C-662E-421B-98DD-065AF20E9664}">
    <text>CTREE,t2 for equation 11</text>
  </threadedComment>
  <threadedComment ref="E176" dT="2025-01-24T21:14:56.44" personId="{00000000-0000-0000-0000-000000000000}" id="{88FA476D-EBF5-4C81-8019-E82623DCF98D}">
    <text>CTREE,t1 for equation 11</text>
  </threadedComment>
  <threadedComment ref="E177" dT="2025-01-24T21:15:24.60" personId="{00000000-0000-0000-0000-000000000000}" id="{35D3E893-709F-460E-B9BB-E1F73B6930C8}">
    <text>T for equation 11</text>
  </threadedComment>
  <threadedComment ref="E181" dT="2025-01-24T21:23:49.18" personId="{00000000-0000-0000-0000-000000000000}" id="{CF886F23-595A-4F3B-B7DC-EBB21F63E451}">
    <text>Equation 22</text>
  </threadedComment>
  <threadedComment ref="E182" dT="2025-01-24T21:24:05.82" personId="{00000000-0000-0000-0000-000000000000}" id="{EAA01034-919F-4738-8ACE-B34471AB6C9B}">
    <text>CTREE,t1 for equation 22</text>
  </threadedComment>
  <threadedComment ref="E183" dT="2025-01-24T21:24:35.78" personId="{00000000-0000-0000-0000-000000000000}" id="{DF7247BA-6CB7-4C95-A79E-4E84A9F43965}">
    <text>Change in CTREE for equation 22</text>
  </threadedComment>
  <threadedComment ref="E184" dT="2025-01-24T21:25:15.22" personId="{00000000-0000-0000-0000-000000000000}" id="{78A502C9-E3E9-4465-A007-6DBCC6C4294C}">
    <text>U_c for equation 23</text>
  </threadedComment>
  <threadedComment ref="E185" dT="2025-01-29T17:30:04.87" personId="{00000000-0000-0000-0000-000000000000}" id="{A9BF4E76-20E1-450A-9554-01D007BF8B0A}">
    <text>Equation 23</text>
  </threadedComment>
  <threadedComment ref="E186" dT="2025-01-24T21:25:56.99" personId="{00000000-0000-0000-0000-000000000000}" id="{2F23F473-C5F1-416C-9D70-51131A163FC1}">
    <text>Uncertainty for t1 also equation 23</text>
  </threadedComment>
  <threadedComment ref="E201" dT="2025-01-24T21:32:22.56" personId="{00000000-0000-0000-0000-000000000000}" id="{D32FB39B-0ACF-4AB8-9D01-9367B2B69C62}">
    <text>Equation 12</text>
  </threadedComment>
  <threadedComment ref="E202" dT="2025-01-24T21:32:39.66" personId="{00000000-0000-0000-0000-000000000000}" id="{9CCDA31D-D1C6-482D-964D-B48F8FCC06A3}">
    <text>CFTRRE for equation 12</text>
  </threadedComment>
  <threadedComment ref="E203" dT="2025-01-24T21:32:59.13" personId="{00000000-0000-0000-0000-000000000000}" id="{7E9C0F6A-6867-4C77-8CAC-D5F98EE66E27}">
    <text>Equation 13</text>
  </threadedComment>
  <threadedComment ref="E204" dT="2025-01-24T21:33:11.67" personId="{00000000-0000-0000-0000-000000000000}" id="{EA2AACF0-3D09-4195-832C-555FBD7F7B73}">
    <text>A for equation 13</text>
  </threadedComment>
  <threadedComment ref="E205" dT="2025-01-24T21:33:49.53" personId="{00000000-0000-0000-0000-000000000000}" id="{91003DC4-A4AF-4615-B582-4A349F67DB8D}">
    <text>Equation 14</text>
  </threadedComment>
  <threadedComment ref="E206" dT="2025-01-24T21:34:10.73" personId="{00000000-0000-0000-0000-000000000000}" id="{B32DC052-8D07-4253-8D10-A20D78C69016}">
    <text>Equation 15</text>
  </threadedComment>
  <threadedComment ref="E207" dT="2025-01-24T21:34:26.85" personId="{00000000-0000-0000-0000-000000000000}" id="{806B5DA8-7A2E-4EB7-BEAE-6768717984AA}">
    <text>tVAL for equation 15</text>
  </threadedComment>
  <threadedComment ref="E209" dT="2025-01-24T21:35:06.61" personId="{00000000-0000-0000-0000-000000000000}" id="{9E901F67-A14C-488D-BCE2-092E090C54A9}">
    <text>Equation 16</text>
  </threadedComment>
  <threadedComment ref="E210" dT="2025-01-24T21:35:40.02" personId="{00000000-0000-0000-0000-000000000000}" id="{94B8CC6F-FB49-441E-8854-20B063ABABD4}">
    <text>Wi for equation 15</text>
  </threadedComment>
  <threadedComment ref="E211" dT="2025-01-24T21:36:34.63" personId="{00000000-0000-0000-0000-000000000000}" id="{55B63918-361A-40F2-8CD7-8CB43FE07465}">
    <text>Equation 17</text>
  </threadedComment>
  <threadedComment ref="E212" dT="2025-01-24T21:36:51.04" personId="{00000000-0000-0000-0000-000000000000}" id="{EC8BDF2E-AC42-421E-8B0C-D1926373AD2B}">
    <text>ni for equation 17</text>
  </threadedComment>
  <threadedComment ref="E214" dT="2025-01-24T21:36:16.10" personId="{00000000-0000-0000-0000-000000000000}" id="{67588FB2-BC98-4E18-AA8D-FB7B467D1D22}">
    <text>bTREE,p,i, for equation 17</text>
  </threadedComment>
  <threadedComment ref="E214" dT="2025-01-29T17:39:36.47" personId="{00000000-0000-0000-0000-000000000000}" id="{0B59A3BD-578C-4082-945B-5B2F23398FA4}" parentId="{67588FB2-BC98-4E18-AA8D-FB7B467D1D22}">
    <text>Needs a subschema for p</text>
  </threadedComment>
  <threadedComment ref="E216" dT="2025-01-24T21:38:04.67" personId="{00000000-0000-0000-0000-000000000000}" id="{58056765-9003-4589-9E22-EBFAAB6851E5}">
    <text>Equation 12?</text>
  </threadedComment>
  <threadedComment ref="E217" dT="2025-01-24T21:38:15.63" personId="{00000000-0000-0000-0000-000000000000}" id="{05755DBF-9214-46A4-9ACF-563C4CB84F7E}">
    <text>CFTREE for equation 12</text>
  </threadedComment>
  <threadedComment ref="E218" dT="2025-01-24T21:38:35.72" personId="{00000000-0000-0000-0000-000000000000}" id="{DC48B31A-7E11-49E3-BC7E-841473C0AD1C}">
    <text>Equation 13</text>
  </threadedComment>
  <threadedComment ref="E219" dT="2025-01-24T21:38:48.89" personId="{00000000-0000-0000-0000-000000000000}" id="{139A11FB-3AC2-48EF-8093-1E223EEF24BF}">
    <text>A for equation 13</text>
  </threadedComment>
  <threadedComment ref="E220" dT="2025-01-24T21:39:01.30" personId="{00000000-0000-0000-0000-000000000000}" id="{A08DEECF-1B27-48CC-9765-1931F2CD76C4}">
    <text>Equation 14</text>
  </threadedComment>
  <threadedComment ref="E221" dT="2025-01-24T21:40:03.74" personId="{00000000-0000-0000-0000-000000000000}" id="{09DD68B4-C32F-49AF-A434-D87AE11D7B9A}">
    <text>Equation 15</text>
  </threadedComment>
  <threadedComment ref="E222" dT="2025-01-24T21:39:23.91" personId="{00000000-0000-0000-0000-000000000000}" id="{C861A880-0F19-47A4-A904-1FC9457CE766}">
    <text>TVAL for equation 15</text>
  </threadedComment>
  <threadedComment ref="E224" dT="2025-01-24T21:40:13.24" personId="{00000000-0000-0000-0000-000000000000}" id="{AB1ECE8F-637D-43E2-BE38-4CC7E5FA8452}">
    <text>Equation 18</text>
  </threadedComment>
  <threadedComment ref="E225" dT="2025-01-24T21:41:35.54" personId="{00000000-0000-0000-0000-000000000000}" id="{222DB80D-9186-4531-BAA6-0495F009341A}">
    <text>ni for equation 19</text>
  </threadedComment>
  <threadedComment ref="E226" dT="2025-01-24T21:41:53.24" personId="{00000000-0000-0000-0000-000000000000}" id="{44CBAEEB-ED02-4E2C-8434-4E4A6A6ED2CE}">
    <text>Slope for equation 18</text>
  </threadedComment>
  <threadedComment ref="E227" dT="2025-01-24T21:42:04.37" personId="{00000000-0000-0000-0000-000000000000}" id="{BC7C4AC7-9FE8-44C2-A4AE-684F6C6C356F}">
    <text>For equation 18</text>
  </threadedComment>
  <threadedComment ref="E228" dT="2025-01-24T21:42:11.80" personId="{00000000-0000-0000-0000-000000000000}" id="{9667B96A-AB69-4C88-9E83-1FAC5A475089}">
    <text>For equation 18</text>
  </threadedComment>
  <threadedComment ref="E229" dT="2025-01-24T21:42:31.87" personId="{00000000-0000-0000-0000-000000000000}" id="{12056774-F44A-48E8-A149-1C5BF428E91D}">
    <text>Equation 19</text>
  </threadedComment>
  <threadedComment ref="E230" dT="2025-01-24T21:42:48.27" personId="{00000000-0000-0000-0000-000000000000}" id="{8A91DEF5-33B6-44F8-B406-A86207EDE5B2}">
    <text>a for equation 19</text>
  </threadedComment>
  <threadedComment ref="E231" dT="2025-01-24T21:43:00.46" personId="{00000000-0000-0000-0000-000000000000}" id="{06DF3378-D8B1-4D3B-BBD7-64119BC463E9}">
    <text>P for equation 19</text>
  </threadedComment>
  <threadedComment ref="E233" dT="2025-01-24T21:41:20.14" personId="{00000000-0000-0000-0000-000000000000}" id="{DBABC8CF-8C58-43F1-82C1-92D17F591977}">
    <text>bTREE,p,i for equation 18</text>
  </threadedComment>
  <threadedComment ref="E233" dT="2025-01-29T17:42:04.91" personId="{00000000-0000-0000-0000-000000000000}" id="{B86983D3-812A-4E6B-8E0E-9103104E6B16}" parentId="{DBABC8CF-8C58-43F1-82C1-92D17F591977}">
    <text>Needs subschema for p</text>
  </threadedComment>
  <threadedComment ref="E234" dT="2025-01-24T21:43:35.34" personId="{00000000-0000-0000-0000-000000000000}" id="{9E2AE846-D0F8-4A0D-8B3C-6BA0B0F9944B}">
    <text>date</text>
  </threadedComment>
  <threadedComment ref="E243" dT="2025-01-24T21:44:01.28" personId="{00000000-0000-0000-0000-000000000000}" id="{5B98CB54-CADD-4400-891C-8F7FFE8D36FE}">
    <text>Equation 24</text>
  </threadedComment>
  <threadedComment ref="E244" dT="2025-01-24T21:44:20.88" personId="{00000000-0000-0000-0000-000000000000}" id="{00A8C96D-9E7C-4497-A40C-45EF851F44F2}">
    <text>CSHRUB,t2 for equation 24</text>
  </threadedComment>
  <threadedComment ref="E245" dT="2025-01-24T21:44:33.20" personId="{00000000-0000-0000-0000-000000000000}" id="{A2C37DBB-57B2-4254-B31D-996FD61C022C}">
    <text>CSHRUB,t1 for equation 24</text>
  </threadedComment>
  <threadedComment ref="E247" dT="2025-01-24T21:44:43.38" personId="{00000000-0000-0000-0000-000000000000}" id="{FBFC8D37-9CAD-4936-A7ED-06D2AFE8F1B4}">
    <text>Equation 25</text>
  </threadedComment>
  <threadedComment ref="E248" dT="2025-01-24T21:45:05.85" personId="{00000000-0000-0000-0000-000000000000}" id="{FBBB84B6-6714-48AD-B829-342A14A2219E}">
    <text>Change in CSHRUB,t2 for equation 25</text>
  </threadedComment>
  <threadedComment ref="E249" dT="2025-01-24T21:45:24.22" personId="{00000000-0000-0000-0000-000000000000}" id="{C6E2099C-ECD0-4A60-A470-73D0DAE77EC4}">
    <text>Change in CSHRUB,t1 for equation 25</text>
  </threadedComment>
  <threadedComment ref="E250" dT="2025-01-24T21:45:34.17" personId="{00000000-0000-0000-0000-000000000000}" id="{665D414A-5083-4B18-973E-084443ADBF1D}">
    <text>T for equation 25</text>
  </threadedComment>
  <threadedComment ref="E252" dT="2025-01-24T21:45:46.77" personId="{00000000-0000-0000-0000-000000000000}" id="{9A7E6582-EE7B-4093-B787-DE22BD051971}">
    <text>Equation 26</text>
  </threadedComment>
  <threadedComment ref="E253" dT="2025-01-24T21:46:01.64" personId="{00000000-0000-0000-0000-000000000000}" id="{DD94B9D9-1424-42CD-8DAB-68EB3DB2376D}">
    <text>CFs for equation 26</text>
  </threadedComment>
  <threadedComment ref="E254" dT="2025-01-24T21:46:11.67" personId="{00000000-0000-0000-0000-000000000000}" id="{834B378E-9FD5-4605-BDEF-F135393DE83C}">
    <text>Rs for equation 26</text>
  </threadedComment>
  <threadedComment ref="E256" dT="2025-01-24T21:46:51.75" personId="{00000000-0000-0000-0000-000000000000}" id="{FCEBF18A-96CB-4D3B-9DB0-045AC3A9FA7D}">
    <text>BDRSF for equation 27</text>
  </threadedComment>
  <threadedComment ref="E257" dT="2025-01-24T21:47:05.79" personId="{00000000-0000-0000-0000-000000000000}" id="{B7D0F031-3F02-4059-A0A0-62A6EEC30F42}">
    <text>bFOREST for equation 27</text>
  </threadedComment>
  <threadedComment ref="E258" dT="2025-01-24T21:47:20.17" personId="{00000000-0000-0000-0000-000000000000}" id="{C5649AEA-9A2A-497F-9255-D2943F3E1D27}">
    <text>CCSHRUB,i for equation 27</text>
  </threadedComment>
  <threadedComment ref="E259" dT="2025-01-24T21:47:37.60" personId="{00000000-0000-0000-0000-000000000000}" id="{A3CC95F7-83D5-4A2D-A75F-537E932DCB69}">
    <text>ASHRUB,i for equation 26</text>
  </threadedComment>
  <threadedComment ref="E260" dT="2025-01-24T21:47:51.92" personId="{00000000-0000-0000-0000-000000000000}" id="{D696AB4C-8329-4866-8CCD-DDF4381FFA0E}">
    <text>Equation 27</text>
  </threadedComment>
</ThreadedComments>
</file>

<file path=xl/threadedComments/threadedComment9.xml><?xml version="1.0" encoding="utf-8"?>
<ThreadedComments xmlns="http://schemas.microsoft.com/office/spreadsheetml/2018/threadedcomments" xmlns:x="http://schemas.openxmlformats.org/spreadsheetml/2006/main">
  <threadedComment ref="E10" dT="2025-01-10T21:11:10.69" personId="{00000000-0000-0000-0000-000000000000}" id="{217496B4-29DB-4B15-AF00-86306A04E94B}">
    <text>Equation 54</text>
  </threadedComment>
  <threadedComment ref="E15" dT="2025-01-10T21:10:55.37" personId="{00000000-0000-0000-0000-000000000000}" id="{EECB04B8-59A3-47B5-A35E-3C03DA3C51F1}">
    <text>Equation 11</text>
  </threadedComment>
  <threadedComment ref="E18" dT="2025-01-10T21:10:20.81" personId="{00000000-0000-0000-0000-000000000000}" id="{0253E3FC-A4B3-425B-B560-3851ABAD1FFA}">
    <text>Equation 54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100.xml.rels><?xml version="1.0" encoding="UTF-8" standalone="yes"?>
<Relationships xmlns="http://schemas.openxmlformats.org/package/2006/relationships"><Relationship Id="rId3" Type="http://schemas.microsoft.com/office/2017/10/relationships/threadedComment" Target="../threadedComments/threadedComment53.xml"/><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101.xml.rels><?xml version="1.0" encoding="UTF-8" standalone="yes"?>
<Relationships xmlns="http://schemas.openxmlformats.org/package/2006/relationships"><Relationship Id="rId3" Type="http://schemas.microsoft.com/office/2017/10/relationships/threadedComment" Target="../threadedComments/threadedComment54.xml"/><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102.xml.rels><?xml version="1.0" encoding="UTF-8" standalone="yes"?>
<Relationships xmlns="http://schemas.openxmlformats.org/package/2006/relationships"><Relationship Id="rId3" Type="http://schemas.microsoft.com/office/2017/10/relationships/threadedComment" Target="../threadedComments/threadedComment55.xml"/><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103.xml.rels><?xml version="1.0" encoding="UTF-8" standalone="yes"?>
<Relationships xmlns="http://schemas.openxmlformats.org/package/2006/relationships"><Relationship Id="rId3" Type="http://schemas.microsoft.com/office/2017/10/relationships/threadedComment" Target="../threadedComments/threadedComment56.xml"/><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104.xml.rels><?xml version="1.0" encoding="UTF-8" standalone="yes"?>
<Relationships xmlns="http://schemas.openxmlformats.org/package/2006/relationships"><Relationship Id="rId3" Type="http://schemas.microsoft.com/office/2017/10/relationships/threadedComment" Target="../threadedComments/threadedComment57.xml"/><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105.xml.rels><?xml version="1.0" encoding="UTF-8" standalone="yes"?>
<Relationships xmlns="http://schemas.openxmlformats.org/package/2006/relationships"><Relationship Id="rId3" Type="http://schemas.microsoft.com/office/2017/10/relationships/threadedComment" Target="../threadedComments/threadedComment58.xml"/><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106.xml.rels><?xml version="1.0" encoding="UTF-8" standalone="yes"?>
<Relationships xmlns="http://schemas.openxmlformats.org/package/2006/relationships"><Relationship Id="rId3" Type="http://schemas.microsoft.com/office/2017/10/relationships/threadedComment" Target="../threadedComments/threadedComment59.xml"/><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107.xml.rels><?xml version="1.0" encoding="UTF-8" standalone="yes"?>
<Relationships xmlns="http://schemas.openxmlformats.org/package/2006/relationships"><Relationship Id="rId3" Type="http://schemas.microsoft.com/office/2017/10/relationships/threadedComment" Target="../threadedComments/threadedComment60.xml"/><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3" Type="http://schemas.microsoft.com/office/2017/10/relationships/threadedComment" Target="../threadedComments/threadedComment61.xml"/><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111.xml.rels><?xml version="1.0" encoding="UTF-8" standalone="yes"?>
<Relationships xmlns="http://schemas.openxmlformats.org/package/2006/relationships"><Relationship Id="rId3" Type="http://schemas.microsoft.com/office/2017/10/relationships/threadedComment" Target="../threadedComments/threadedComment62.xml"/><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112.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77.bin"/><Relationship Id="rId4" Type="http://schemas.microsoft.com/office/2017/10/relationships/threadedComment" Target="../threadedComments/threadedComment63.xml"/></Relationships>
</file>

<file path=xl/worksheets/_rels/sheet113.xml.rels><?xml version="1.0" encoding="UTF-8" standalone="yes"?>
<Relationships xmlns="http://schemas.openxmlformats.org/package/2006/relationships"><Relationship Id="rId3" Type="http://schemas.microsoft.com/office/2017/10/relationships/threadedComment" Target="../threadedComments/threadedComment64.xml"/><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114.xml.rels><?xml version="1.0" encoding="UTF-8" standalone="yes"?>
<Relationships xmlns="http://schemas.openxmlformats.org/package/2006/relationships"><Relationship Id="rId3" Type="http://schemas.microsoft.com/office/2017/10/relationships/threadedComment" Target="../threadedComments/threadedComment65.xml"/><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115.xml.rels><?xml version="1.0" encoding="UTF-8" standalone="yes"?>
<Relationships xmlns="http://schemas.openxmlformats.org/package/2006/relationships"><Relationship Id="rId3" Type="http://schemas.microsoft.com/office/2017/10/relationships/threadedComment" Target="../threadedComments/threadedComment66.xml"/><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116.xml.rels><?xml version="1.0" encoding="UTF-8" standalone="yes"?>
<Relationships xmlns="http://schemas.openxmlformats.org/package/2006/relationships"><Relationship Id="rId3" Type="http://schemas.microsoft.com/office/2017/10/relationships/threadedComment" Target="../threadedComments/threadedComment67.xml"/><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118.xml.rels><?xml version="1.0" encoding="UTF-8" standalone="yes"?>
<Relationships xmlns="http://schemas.openxmlformats.org/package/2006/relationships"><Relationship Id="rId3" Type="http://schemas.microsoft.com/office/2017/10/relationships/threadedComment" Target="../threadedComments/threadedComment68.xml"/><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119.xml.rels><?xml version="1.0" encoding="UTF-8" standalone="yes"?>
<Relationships xmlns="http://schemas.openxmlformats.org/package/2006/relationships"><Relationship Id="rId3" Type="http://schemas.microsoft.com/office/2017/10/relationships/threadedComment" Target="../threadedComments/threadedComment69.xml"/><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120.xml.rels><?xml version="1.0" encoding="UTF-8" standalone="yes"?>
<Relationships xmlns="http://schemas.openxmlformats.org/package/2006/relationships"><Relationship Id="rId3" Type="http://schemas.microsoft.com/office/2017/10/relationships/threadedComment" Target="../threadedComments/threadedComment70.xml"/><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121.xml.rels><?xml version="1.0" encoding="UTF-8" standalone="yes"?>
<Relationships xmlns="http://schemas.openxmlformats.org/package/2006/relationships"><Relationship Id="rId3" Type="http://schemas.microsoft.com/office/2017/10/relationships/threadedComment" Target="../threadedComments/threadedComment71.xml"/><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122.xml.rels><?xml version="1.0" encoding="UTF-8" standalone="yes"?>
<Relationships xmlns="http://schemas.openxmlformats.org/package/2006/relationships"><Relationship Id="rId3" Type="http://schemas.microsoft.com/office/2017/10/relationships/threadedComment" Target="../threadedComments/threadedComment72.xml"/><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123.xml.rels><?xml version="1.0" encoding="UTF-8" standalone="yes"?>
<Relationships xmlns="http://schemas.openxmlformats.org/package/2006/relationships"><Relationship Id="rId3" Type="http://schemas.microsoft.com/office/2017/10/relationships/threadedComment" Target="../threadedComments/threadedComment73.xml"/><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124.xml.rels><?xml version="1.0" encoding="UTF-8" standalone="yes"?>
<Relationships xmlns="http://schemas.openxmlformats.org/package/2006/relationships"><Relationship Id="rId3" Type="http://schemas.microsoft.com/office/2017/10/relationships/threadedComment" Target="../threadedComments/threadedComment74.xml"/><Relationship Id="rId2" Type="http://schemas.openxmlformats.org/officeDocument/2006/relationships/comments" Target="../comments74.xml"/><Relationship Id="rId1" Type="http://schemas.openxmlformats.org/officeDocument/2006/relationships/vmlDrawing" Target="../drawings/vmlDrawing74.vml"/></Relationships>
</file>

<file path=xl/worksheets/_rels/sheet127.xml.rels><?xml version="1.0" encoding="UTF-8" standalone="yes"?>
<Relationships xmlns="http://schemas.openxmlformats.org/package/2006/relationships"><Relationship Id="rId3" Type="http://schemas.microsoft.com/office/2017/10/relationships/threadedComment" Target="../threadedComments/threadedComment75.xml"/><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128.xml.rels><?xml version="1.0" encoding="UTF-8" standalone="yes"?>
<Relationships xmlns="http://schemas.openxmlformats.org/package/2006/relationships"><Relationship Id="rId3" Type="http://schemas.microsoft.com/office/2017/10/relationships/threadedComment" Target="../threadedComments/threadedComment76.xml"/><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129.xml.rels><?xml version="1.0" encoding="UTF-8" standalone="yes"?>
<Relationships xmlns="http://schemas.openxmlformats.org/package/2006/relationships"><Relationship Id="rId3" Type="http://schemas.microsoft.com/office/2017/10/relationships/threadedComment" Target="../threadedComments/threadedComment77.xml"/><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130.xml.rels><?xml version="1.0" encoding="UTF-8" standalone="yes"?>
<Relationships xmlns="http://schemas.openxmlformats.org/package/2006/relationships"><Relationship Id="rId3" Type="http://schemas.microsoft.com/office/2017/10/relationships/threadedComment" Target="../threadedComments/threadedComment78.xml"/><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131.xml.rels><?xml version="1.0" encoding="UTF-8" standalone="yes"?>
<Relationships xmlns="http://schemas.openxmlformats.org/package/2006/relationships"><Relationship Id="rId3" Type="http://schemas.microsoft.com/office/2017/10/relationships/threadedComment" Target="../threadedComments/threadedComment79.xml"/><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132.xml.rels><?xml version="1.0" encoding="UTF-8" standalone="yes"?>
<Relationships xmlns="http://schemas.openxmlformats.org/package/2006/relationships"><Relationship Id="rId3" Type="http://schemas.microsoft.com/office/2017/10/relationships/threadedComment" Target="../threadedComments/threadedComment80.xml"/><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134.xml.rels><?xml version="1.0" encoding="UTF-8" standalone="yes"?>
<Relationships xmlns="http://schemas.openxmlformats.org/package/2006/relationships"><Relationship Id="rId3" Type="http://schemas.microsoft.com/office/2017/10/relationships/threadedComment" Target="../threadedComments/threadedComment81.xml"/><Relationship Id="rId2" Type="http://schemas.openxmlformats.org/officeDocument/2006/relationships/comments" Target="../comments81.xml"/><Relationship Id="rId1" Type="http://schemas.openxmlformats.org/officeDocument/2006/relationships/vmlDrawing" Target="../drawings/vmlDrawing81.vml"/></Relationships>
</file>

<file path=xl/worksheets/_rels/sheet135.xml.rels><?xml version="1.0" encoding="UTF-8" standalone="yes"?>
<Relationships xmlns="http://schemas.openxmlformats.org/package/2006/relationships"><Relationship Id="rId3" Type="http://schemas.microsoft.com/office/2017/10/relationships/threadedComment" Target="../threadedComments/threadedComment82.xml"/><Relationship Id="rId2" Type="http://schemas.openxmlformats.org/officeDocument/2006/relationships/comments" Target="../comments82.xml"/><Relationship Id="rId1" Type="http://schemas.openxmlformats.org/officeDocument/2006/relationships/vmlDrawing" Target="../drawings/vmlDrawing82.vml"/></Relationships>
</file>

<file path=xl/worksheets/_rels/sheet136.xml.rels><?xml version="1.0" encoding="UTF-8" standalone="yes"?>
<Relationships xmlns="http://schemas.openxmlformats.org/package/2006/relationships"><Relationship Id="rId3" Type="http://schemas.microsoft.com/office/2017/10/relationships/threadedComment" Target="../threadedComments/threadedComment83.xml"/><Relationship Id="rId2" Type="http://schemas.openxmlformats.org/officeDocument/2006/relationships/comments" Target="../comments83.xml"/><Relationship Id="rId1" Type="http://schemas.openxmlformats.org/officeDocument/2006/relationships/vmlDrawing" Target="../drawings/vmlDrawing83.vml"/></Relationships>
</file>

<file path=xl/worksheets/_rels/sheet137.xml.rels><?xml version="1.0" encoding="UTF-8" standalone="yes"?>
<Relationships xmlns="http://schemas.openxmlformats.org/package/2006/relationships"><Relationship Id="rId3" Type="http://schemas.microsoft.com/office/2017/10/relationships/threadedComment" Target="../threadedComments/threadedComment84.xml"/><Relationship Id="rId2" Type="http://schemas.openxmlformats.org/officeDocument/2006/relationships/comments" Target="../comments84.xml"/><Relationship Id="rId1" Type="http://schemas.openxmlformats.org/officeDocument/2006/relationships/vmlDrawing" Target="../drawings/vmlDrawing84.vml"/></Relationships>
</file>

<file path=xl/worksheets/_rels/sheet153.xml.rels><?xml version="1.0" encoding="UTF-8" standalone="yes"?>
<Relationships xmlns="http://schemas.openxmlformats.org/package/2006/relationships"><Relationship Id="rId3" Type="http://schemas.microsoft.com/office/2017/10/relationships/threadedComment" Target="../threadedComments/threadedComment85.xml"/><Relationship Id="rId2" Type="http://schemas.openxmlformats.org/officeDocument/2006/relationships/comments" Target="../comments85.xml"/><Relationship Id="rId1" Type="http://schemas.openxmlformats.org/officeDocument/2006/relationships/vmlDrawing" Target="../drawings/vmlDrawing8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microsoft.com/office/2017/10/relationships/threadedComment" Target="../threadedComments/threadedComment1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 Id="rId4" Type="http://schemas.microsoft.com/office/2017/10/relationships/threadedComment" Target="../threadedComments/threadedComment13.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 Id="rId4" Type="http://schemas.microsoft.com/office/2017/10/relationships/threadedComment" Target="../threadedComments/threadedComment14.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2.bin"/><Relationship Id="rId4" Type="http://schemas.microsoft.com/office/2017/10/relationships/threadedComment" Target="../threadedComments/threadedComment15.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4" Type="http://schemas.microsoft.com/office/2017/10/relationships/threadedComment" Target="../threadedComments/threadedComment16.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 Id="rId4"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 Id="rId4" Type="http://schemas.microsoft.com/office/2017/10/relationships/threadedComment" Target="../threadedComments/threadedComment18.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 Id="rId4" Type="http://schemas.microsoft.com/office/2017/10/relationships/threadedComment" Target="../threadedComments/threadedComment19.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 Id="rId4" Type="http://schemas.microsoft.com/office/2017/10/relationships/threadedComment" Target="../threadedComments/threadedComment20.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 Id="rId4" Type="http://schemas.microsoft.com/office/2017/10/relationships/threadedComment" Target="../threadedComments/threadedComment21.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 Id="rId4" Type="http://schemas.microsoft.com/office/2017/10/relationships/threadedComment" Target="../threadedComments/threadedComment22.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2.bin"/><Relationship Id="rId4" Type="http://schemas.microsoft.com/office/2017/10/relationships/threadedComment" Target="../threadedComments/threadedComment23.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3.bin"/><Relationship Id="rId4" Type="http://schemas.microsoft.com/office/2017/10/relationships/threadedComment" Target="../threadedComments/threadedComment24.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4.bin"/><Relationship Id="rId4" Type="http://schemas.microsoft.com/office/2017/10/relationships/threadedComment" Target="../threadedComments/threadedComment2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5.bin"/><Relationship Id="rId4" Type="http://schemas.microsoft.com/office/2017/10/relationships/threadedComment" Target="../threadedComments/threadedComment27.xml"/></Relationships>
</file>

<file path=xl/worksheets/_rels/sheet4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6.bin"/><Relationship Id="rId4" Type="http://schemas.microsoft.com/office/2017/10/relationships/threadedComment" Target="../threadedComments/threadedComment28.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7.bin"/><Relationship Id="rId4" Type="http://schemas.microsoft.com/office/2017/10/relationships/threadedComment" Target="../threadedComments/threadedComment29.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8.bin"/><Relationship Id="rId4" Type="http://schemas.microsoft.com/office/2017/10/relationships/threadedComment" Target="../threadedComments/threadedComment30.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9.bin"/><Relationship Id="rId4" Type="http://schemas.microsoft.com/office/2017/10/relationships/threadedComment" Target="../threadedComments/threadedComment31.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1.bin"/><Relationship Id="rId4" Type="http://schemas.microsoft.com/office/2017/10/relationships/threadedComment" Target="../threadedComments/threadedComment32.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43.bin"/><Relationship Id="rId4" Type="http://schemas.microsoft.com/office/2017/10/relationships/threadedComment" Target="../threadedComments/threadedComment33.xml"/></Relationships>
</file>

<file path=xl/worksheets/_rels/sheet51.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4.bin"/><Relationship Id="rId4" Type="http://schemas.microsoft.com/office/2017/10/relationships/threadedComment" Target="../threadedComments/threadedComment34.xml"/></Relationships>
</file>

<file path=xl/worksheets/_rels/sheet52.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5.bin"/><Relationship Id="rId4" Type="http://schemas.microsoft.com/office/2017/10/relationships/threadedComment" Target="../threadedComments/threadedComment35.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7.bin"/><Relationship Id="rId4" Type="http://schemas.microsoft.com/office/2017/10/relationships/threadedComment" Target="../threadedComments/threadedComment36.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9.bin"/><Relationship Id="rId4" Type="http://schemas.microsoft.com/office/2017/10/relationships/threadedComment" Target="../threadedComments/threadedComment37.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50.bin"/><Relationship Id="rId4" Type="http://schemas.microsoft.com/office/2017/10/relationships/threadedComment" Target="../threadedComments/threadedComment38.xml"/></Relationships>
</file>

<file path=xl/worksheets/_rels/sheet58.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51.bin"/><Relationship Id="rId4" Type="http://schemas.microsoft.com/office/2017/10/relationships/threadedComment" Target="../threadedComments/threadedComment39.xml"/></Relationships>
</file>

<file path=xl/worksheets/_rels/sheet59.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52.bin"/><Relationship Id="rId4" Type="http://schemas.microsoft.com/office/2017/10/relationships/threadedComment" Target="../threadedComments/threadedComment40.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60.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53.bin"/><Relationship Id="rId4" Type="http://schemas.microsoft.com/office/2017/10/relationships/threadedComment" Target="../threadedComments/threadedComment41.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55.bin"/><Relationship Id="rId4" Type="http://schemas.microsoft.com/office/2017/10/relationships/threadedComment" Target="../threadedComments/threadedComment42.x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57.bin"/><Relationship Id="rId4" Type="http://schemas.microsoft.com/office/2017/10/relationships/threadedComment" Target="../threadedComments/threadedComment43.xm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60.bin"/><Relationship Id="rId4" Type="http://schemas.microsoft.com/office/2017/10/relationships/threadedComment" Target="../threadedComments/threadedComment44.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70.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63.bin"/><Relationship Id="rId4" Type="http://schemas.microsoft.com/office/2017/10/relationships/threadedComment" Target="../threadedComments/threadedComment45.xml"/></Relationships>
</file>

<file path=xl/worksheets/_rels/sheet71.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64.bin"/><Relationship Id="rId4" Type="http://schemas.microsoft.com/office/2017/10/relationships/threadedComment" Target="../threadedComments/threadedComment46.xml"/></Relationships>
</file>

<file path=xl/worksheets/_rels/sheet72.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65.bin"/><Relationship Id="rId4" Type="http://schemas.microsoft.com/office/2017/10/relationships/threadedComment" Target="../threadedComments/threadedComment47.xml"/></Relationships>
</file>

<file path=xl/worksheets/_rels/sheet73.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66.bin"/><Relationship Id="rId4" Type="http://schemas.microsoft.com/office/2017/10/relationships/threadedComment" Target="../threadedComments/threadedComment48.xml"/></Relationships>
</file>

<file path=xl/worksheets/_rels/sheet74.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67.bin"/><Relationship Id="rId4" Type="http://schemas.microsoft.com/office/2017/10/relationships/threadedComment" Target="../threadedComments/threadedComment49.xml"/></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69.bin"/><Relationship Id="rId4" Type="http://schemas.microsoft.com/office/2017/10/relationships/threadedComment" Target="../threadedComments/threadedComment50.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71.bin"/><Relationship Id="rId4" Type="http://schemas.microsoft.com/office/2017/10/relationships/threadedComment" Target="../threadedComments/threadedComment51.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73.bin"/><Relationship Id="rId4" Type="http://schemas.microsoft.com/office/2017/10/relationships/threadedComment" Target="../threadedComments/threadedComment52.xml"/></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98D4-57EC-4530-8378-CB8A154E321C}">
  <sheetPr codeName="Sheet1">
    <outlinePr summaryBelow="0" summaryRight="0"/>
  </sheetPr>
  <dimension ref="A1:L696"/>
  <sheetViews>
    <sheetView topLeftCell="A26" workbookViewId="0">
      <selection activeCell="E144" sqref="E144"/>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2" t="s">
        <v>0</v>
      </c>
      <c r="B1" s="32"/>
      <c r="C1" s="32"/>
      <c r="D1" s="32"/>
      <c r="E1" s="32"/>
      <c r="F1" s="32"/>
      <c r="G1" s="32"/>
    </row>
    <row r="2" spans="1:7" ht="18.75">
      <c r="A2" s="1" t="s">
        <v>1</v>
      </c>
      <c r="B2" s="33"/>
      <c r="C2" s="33"/>
      <c r="D2" s="33"/>
      <c r="E2" s="33"/>
      <c r="F2" s="33"/>
      <c r="G2" s="33"/>
    </row>
    <row r="3" spans="1:7" ht="18.75">
      <c r="A3" s="1" t="s">
        <v>2</v>
      </c>
      <c r="B3" s="33" t="s">
        <v>3</v>
      </c>
      <c r="C3" s="33"/>
      <c r="D3" s="33"/>
      <c r="E3" s="33"/>
      <c r="F3" s="33"/>
      <c r="G3" s="33"/>
    </row>
    <row r="4" spans="1:7" ht="18.75">
      <c r="A4" s="2" t="s">
        <v>4</v>
      </c>
      <c r="B4" s="2" t="s">
        <v>5</v>
      </c>
      <c r="C4" s="2" t="s">
        <v>6</v>
      </c>
      <c r="D4" s="2" t="s">
        <v>7</v>
      </c>
      <c r="E4" s="2" t="s">
        <v>8</v>
      </c>
      <c r="F4" s="2" t="s">
        <v>9</v>
      </c>
      <c r="G4" s="2" t="s">
        <v>10</v>
      </c>
    </row>
    <row r="5" spans="1:7">
      <c r="A5" s="3" t="s">
        <v>11</v>
      </c>
      <c r="B5" s="10" t="s">
        <v>12</v>
      </c>
      <c r="C5" s="3"/>
      <c r="D5" s="3"/>
      <c r="E5" s="3" t="s">
        <v>13</v>
      </c>
      <c r="F5" s="3" t="s">
        <v>14</v>
      </c>
      <c r="G5" s="3"/>
    </row>
    <row r="6" spans="1:7" ht="75" outlineLevel="1">
      <c r="A6" s="3" t="s">
        <v>14</v>
      </c>
      <c r="B6" s="3" t="s">
        <v>15</v>
      </c>
      <c r="C6" s="3"/>
      <c r="D6" s="3"/>
      <c r="E6" s="3" t="s">
        <v>16</v>
      </c>
      <c r="F6" s="3" t="s">
        <v>14</v>
      </c>
      <c r="G6" s="3"/>
    </row>
    <row r="7" spans="1:7" ht="30" outlineLevel="1">
      <c r="A7" s="3" t="s">
        <v>11</v>
      </c>
      <c r="B7" s="3" t="s">
        <v>17</v>
      </c>
      <c r="C7" s="10" t="s">
        <v>18</v>
      </c>
      <c r="D7" s="3"/>
      <c r="E7" s="3" t="s">
        <v>19</v>
      </c>
      <c r="F7" s="3" t="s">
        <v>14</v>
      </c>
      <c r="G7" s="3" t="s">
        <v>20</v>
      </c>
    </row>
    <row r="8" spans="1:7" ht="30" outlineLevel="1">
      <c r="A8" s="3" t="s">
        <v>11</v>
      </c>
      <c r="B8" s="3" t="s">
        <v>17</v>
      </c>
      <c r="C8" s="10" t="s">
        <v>21</v>
      </c>
      <c r="D8" s="3"/>
      <c r="E8" s="3" t="s">
        <v>22</v>
      </c>
      <c r="F8" s="3" t="s">
        <v>14</v>
      </c>
      <c r="G8" s="3" t="s">
        <v>23</v>
      </c>
    </row>
    <row r="9" spans="1:7" ht="30" outlineLevel="1">
      <c r="A9" s="3" t="s">
        <v>11</v>
      </c>
      <c r="B9" s="3" t="s">
        <v>17</v>
      </c>
      <c r="C9" s="10" t="s">
        <v>24</v>
      </c>
      <c r="D9" s="3"/>
      <c r="E9" s="3" t="s">
        <v>25</v>
      </c>
      <c r="F9" s="3" t="s">
        <v>14</v>
      </c>
      <c r="G9" s="3" t="s">
        <v>20</v>
      </c>
    </row>
    <row r="10" spans="1:7" ht="30" outlineLevel="1">
      <c r="A10" s="3" t="s">
        <v>11</v>
      </c>
      <c r="B10" s="3" t="s">
        <v>17</v>
      </c>
      <c r="C10" s="10" t="s">
        <v>26</v>
      </c>
      <c r="D10" s="3"/>
      <c r="E10" s="3" t="s">
        <v>27</v>
      </c>
      <c r="F10" s="3" t="s">
        <v>14</v>
      </c>
      <c r="G10" s="3" t="s">
        <v>20</v>
      </c>
    </row>
    <row r="11" spans="1:7" ht="30" outlineLevel="1">
      <c r="A11" s="3" t="s">
        <v>11</v>
      </c>
      <c r="B11" s="3" t="s">
        <v>17</v>
      </c>
      <c r="C11" s="10" t="s">
        <v>28</v>
      </c>
      <c r="D11" s="3"/>
      <c r="E11" s="3" t="s">
        <v>29</v>
      </c>
      <c r="F11" s="3" t="s">
        <v>14</v>
      </c>
      <c r="G11" s="3" t="s">
        <v>23</v>
      </c>
    </row>
    <row r="12" spans="1:7" ht="30" outlineLevel="1">
      <c r="A12" s="3" t="s">
        <v>11</v>
      </c>
      <c r="B12" s="3" t="s">
        <v>17</v>
      </c>
      <c r="C12" s="10" t="s">
        <v>30</v>
      </c>
      <c r="D12" s="3"/>
      <c r="E12" s="3" t="s">
        <v>31</v>
      </c>
      <c r="F12" s="3" t="s">
        <v>14</v>
      </c>
      <c r="G12" s="3" t="s">
        <v>20</v>
      </c>
    </row>
    <row r="13" spans="1:7" ht="30" outlineLevel="1">
      <c r="A13" s="3" t="s">
        <v>11</v>
      </c>
      <c r="B13" s="3" t="s">
        <v>17</v>
      </c>
      <c r="C13" s="10" t="s">
        <v>32</v>
      </c>
      <c r="D13" s="3"/>
      <c r="E13" s="3" t="s">
        <v>33</v>
      </c>
      <c r="F13" s="3" t="s">
        <v>14</v>
      </c>
      <c r="G13" s="3" t="s">
        <v>20</v>
      </c>
    </row>
    <row r="14" spans="1:7" ht="30" outlineLevel="1">
      <c r="A14" s="3" t="s">
        <v>11</v>
      </c>
      <c r="B14" s="3" t="s">
        <v>17</v>
      </c>
      <c r="C14" s="10" t="s">
        <v>34</v>
      </c>
      <c r="D14" s="3"/>
      <c r="E14" s="3" t="s">
        <v>35</v>
      </c>
      <c r="F14" s="3" t="s">
        <v>14</v>
      </c>
      <c r="G14" s="3" t="s">
        <v>20</v>
      </c>
    </row>
    <row r="15" spans="1:7" ht="30" outlineLevel="1">
      <c r="A15" s="3" t="s">
        <v>11</v>
      </c>
      <c r="B15" s="3" t="s">
        <v>17</v>
      </c>
      <c r="C15" s="10" t="s">
        <v>36</v>
      </c>
      <c r="D15" s="3"/>
      <c r="E15" s="3" t="s">
        <v>37</v>
      </c>
      <c r="F15" s="3" t="s">
        <v>14</v>
      </c>
      <c r="G15" s="3" t="s">
        <v>23</v>
      </c>
    </row>
    <row r="16" spans="1:7" ht="30" outlineLevel="1">
      <c r="A16" s="3" t="s">
        <v>11</v>
      </c>
      <c r="B16" s="3" t="s">
        <v>17</v>
      </c>
      <c r="C16" s="10" t="s">
        <v>38</v>
      </c>
      <c r="D16" s="3"/>
      <c r="E16" s="3" t="s">
        <v>39</v>
      </c>
      <c r="F16" s="3" t="s">
        <v>14</v>
      </c>
      <c r="G16" s="3" t="s">
        <v>20</v>
      </c>
    </row>
    <row r="17" spans="1:7" ht="30" outlineLevel="1">
      <c r="A17" s="3" t="s">
        <v>11</v>
      </c>
      <c r="B17" s="3" t="s">
        <v>17</v>
      </c>
      <c r="C17" s="10" t="s">
        <v>40</v>
      </c>
      <c r="D17" s="3"/>
      <c r="E17" s="3" t="s">
        <v>41</v>
      </c>
      <c r="F17" s="3" t="s">
        <v>14</v>
      </c>
      <c r="G17" s="3" t="s">
        <v>20</v>
      </c>
    </row>
    <row r="18" spans="1:7" ht="30" outlineLevel="1">
      <c r="A18" s="3" t="s">
        <v>11</v>
      </c>
      <c r="B18" s="3" t="s">
        <v>17</v>
      </c>
      <c r="C18" s="10" t="s">
        <v>42</v>
      </c>
      <c r="D18" s="3"/>
      <c r="E18" s="3" t="s">
        <v>43</v>
      </c>
      <c r="F18" s="3" t="s">
        <v>14</v>
      </c>
      <c r="G18" s="3" t="s">
        <v>20</v>
      </c>
    </row>
    <row r="19" spans="1:7" ht="60" outlineLevel="1">
      <c r="A19" s="3" t="s">
        <v>14</v>
      </c>
      <c r="B19" s="3" t="s">
        <v>44</v>
      </c>
      <c r="C19" s="3"/>
      <c r="D19" s="3"/>
      <c r="E19" s="3" t="s">
        <v>45</v>
      </c>
      <c r="F19" s="3" t="s">
        <v>14</v>
      </c>
      <c r="G19" s="3"/>
    </row>
    <row r="20" spans="1:7" outlineLevel="1">
      <c r="A20" s="3" t="s">
        <v>14</v>
      </c>
      <c r="B20" s="3" t="s">
        <v>46</v>
      </c>
      <c r="C20" s="3" t="s">
        <v>47</v>
      </c>
      <c r="D20" s="3" t="s">
        <v>48</v>
      </c>
      <c r="E20" s="3" t="s">
        <v>49</v>
      </c>
      <c r="F20" s="3" t="s">
        <v>14</v>
      </c>
      <c r="G20" s="3" t="str">
        <f>G7</f>
        <v>Included</v>
      </c>
    </row>
    <row r="21" spans="1:7" outlineLevel="1">
      <c r="A21" s="3" t="s">
        <v>14</v>
      </c>
      <c r="B21" s="3" t="s">
        <v>46</v>
      </c>
      <c r="C21" s="3" t="s">
        <v>47</v>
      </c>
      <c r="D21" s="3" t="s">
        <v>48</v>
      </c>
      <c r="E21" s="3" t="s">
        <v>50</v>
      </c>
      <c r="F21" s="3" t="s">
        <v>14</v>
      </c>
      <c r="G21" s="3" t="str">
        <f>G8</f>
        <v>Excluded</v>
      </c>
    </row>
    <row r="22" spans="1:7" outlineLevel="1">
      <c r="A22" s="3" t="s">
        <v>14</v>
      </c>
      <c r="B22" s="3" t="s">
        <v>46</v>
      </c>
      <c r="C22" s="3" t="s">
        <v>47</v>
      </c>
      <c r="D22" s="3" t="s">
        <v>48</v>
      </c>
      <c r="E22" s="3" t="s">
        <v>51</v>
      </c>
      <c r="F22" s="3" t="s">
        <v>14</v>
      </c>
      <c r="G22" s="3" t="str">
        <f>G9</f>
        <v>Included</v>
      </c>
    </row>
    <row r="23" spans="1:7" outlineLevel="1">
      <c r="A23" s="3" t="s">
        <v>14</v>
      </c>
      <c r="B23" s="3" t="s">
        <v>46</v>
      </c>
      <c r="C23" s="3" t="s">
        <v>47</v>
      </c>
      <c r="D23" s="3" t="s">
        <v>48</v>
      </c>
      <c r="E23" s="3" t="s">
        <v>52</v>
      </c>
      <c r="F23" s="3" t="s">
        <v>14</v>
      </c>
      <c r="G23" s="3" t="str">
        <f t="shared" ref="G23:G31" si="0">G10</f>
        <v>Included</v>
      </c>
    </row>
    <row r="24" spans="1:7" outlineLevel="1">
      <c r="A24" s="3" t="s">
        <v>14</v>
      </c>
      <c r="B24" s="3" t="s">
        <v>46</v>
      </c>
      <c r="C24" s="3" t="s">
        <v>47</v>
      </c>
      <c r="D24" s="3" t="s">
        <v>48</v>
      </c>
      <c r="E24" s="3" t="s">
        <v>53</v>
      </c>
      <c r="F24" s="3" t="s">
        <v>14</v>
      </c>
      <c r="G24" s="3" t="str">
        <f t="shared" si="0"/>
        <v>Excluded</v>
      </c>
    </row>
    <row r="25" spans="1:7" outlineLevel="1">
      <c r="A25" s="3" t="s">
        <v>14</v>
      </c>
      <c r="B25" s="3" t="s">
        <v>46</v>
      </c>
      <c r="C25" s="3" t="s">
        <v>47</v>
      </c>
      <c r="D25" s="3" t="s">
        <v>48</v>
      </c>
      <c r="E25" s="3" t="s">
        <v>54</v>
      </c>
      <c r="F25" s="3" t="s">
        <v>14</v>
      </c>
      <c r="G25" s="3" t="str">
        <f t="shared" si="0"/>
        <v>Included</v>
      </c>
    </row>
    <row r="26" spans="1:7" outlineLevel="1">
      <c r="A26" s="3" t="s">
        <v>14</v>
      </c>
      <c r="B26" s="3" t="s">
        <v>46</v>
      </c>
      <c r="C26" s="3" t="s">
        <v>47</v>
      </c>
      <c r="D26" s="3" t="s">
        <v>48</v>
      </c>
      <c r="E26" s="3" t="s">
        <v>55</v>
      </c>
      <c r="F26" s="3" t="s">
        <v>14</v>
      </c>
      <c r="G26" s="3" t="str">
        <f t="shared" si="0"/>
        <v>Included</v>
      </c>
    </row>
    <row r="27" spans="1:7" outlineLevel="1">
      <c r="A27" s="3" t="s">
        <v>14</v>
      </c>
      <c r="B27" s="3" t="s">
        <v>46</v>
      </c>
      <c r="C27" s="3" t="s">
        <v>47</v>
      </c>
      <c r="D27" s="3" t="s">
        <v>48</v>
      </c>
      <c r="E27" s="3" t="s">
        <v>56</v>
      </c>
      <c r="F27" s="3" t="s">
        <v>14</v>
      </c>
      <c r="G27" s="3" t="str">
        <f t="shared" si="0"/>
        <v>Included</v>
      </c>
    </row>
    <row r="28" spans="1:7" outlineLevel="1">
      <c r="A28" s="3" t="s">
        <v>14</v>
      </c>
      <c r="B28" s="3" t="s">
        <v>46</v>
      </c>
      <c r="C28" s="3" t="s">
        <v>47</v>
      </c>
      <c r="D28" s="3" t="s">
        <v>48</v>
      </c>
      <c r="E28" s="3" t="s">
        <v>57</v>
      </c>
      <c r="F28" s="3" t="s">
        <v>14</v>
      </c>
      <c r="G28" s="3" t="str">
        <f t="shared" si="0"/>
        <v>Excluded</v>
      </c>
    </row>
    <row r="29" spans="1:7" outlineLevel="1">
      <c r="A29" s="3" t="s">
        <v>14</v>
      </c>
      <c r="B29" s="3" t="s">
        <v>46</v>
      </c>
      <c r="C29" s="3" t="s">
        <v>47</v>
      </c>
      <c r="D29" s="3" t="s">
        <v>48</v>
      </c>
      <c r="E29" s="3" t="s">
        <v>58</v>
      </c>
      <c r="F29" s="3" t="s">
        <v>14</v>
      </c>
      <c r="G29" s="3" t="str">
        <f t="shared" si="0"/>
        <v>Included</v>
      </c>
    </row>
    <row r="30" spans="1:7" outlineLevel="1">
      <c r="A30" s="3" t="s">
        <v>14</v>
      </c>
      <c r="B30" s="3" t="s">
        <v>46</v>
      </c>
      <c r="C30" s="3" t="s">
        <v>47</v>
      </c>
      <c r="D30" s="3" t="s">
        <v>48</v>
      </c>
      <c r="E30" s="3" t="s">
        <v>59</v>
      </c>
      <c r="F30" s="3" t="s">
        <v>14</v>
      </c>
      <c r="G30" s="3" t="str">
        <f t="shared" si="0"/>
        <v>Included</v>
      </c>
    </row>
    <row r="31" spans="1:7" outlineLevel="1">
      <c r="A31" s="3" t="s">
        <v>14</v>
      </c>
      <c r="B31" s="3" t="s">
        <v>46</v>
      </c>
      <c r="C31" s="3" t="s">
        <v>47</v>
      </c>
      <c r="D31" s="3" t="s">
        <v>48</v>
      </c>
      <c r="E31" s="3" t="s">
        <v>60</v>
      </c>
      <c r="F31" s="3" t="s">
        <v>14</v>
      </c>
      <c r="G31" s="3" t="str">
        <f t="shared" si="0"/>
        <v>Included</v>
      </c>
    </row>
    <row r="32" spans="1:7">
      <c r="A32" s="3" t="s">
        <v>11</v>
      </c>
      <c r="B32" s="10" t="s">
        <v>61</v>
      </c>
      <c r="C32" s="3"/>
      <c r="D32" s="3"/>
      <c r="E32" s="3" t="s">
        <v>62</v>
      </c>
      <c r="F32" s="3" t="s">
        <v>14</v>
      </c>
      <c r="G32" s="3"/>
    </row>
    <row r="33" spans="1:7" ht="30" outlineLevel="1" collapsed="1">
      <c r="A33" s="3" t="s">
        <v>11</v>
      </c>
      <c r="B33" s="3" t="s">
        <v>17</v>
      </c>
      <c r="C33" s="10" t="s">
        <v>63</v>
      </c>
      <c r="D33" s="3"/>
      <c r="E33" s="3" t="s">
        <v>64</v>
      </c>
      <c r="F33" s="3" t="s">
        <v>14</v>
      </c>
      <c r="G33" s="3" t="s">
        <v>65</v>
      </c>
    </row>
    <row r="34" spans="1:7" ht="60" outlineLevel="1">
      <c r="A34" s="3" t="s">
        <v>11</v>
      </c>
      <c r="B34" s="3" t="s">
        <v>17</v>
      </c>
      <c r="C34" s="10" t="s">
        <v>66</v>
      </c>
      <c r="D34" s="3"/>
      <c r="E34" s="3" t="s">
        <v>67</v>
      </c>
      <c r="F34" s="3" t="s">
        <v>14</v>
      </c>
      <c r="G34" s="3" t="s">
        <v>68</v>
      </c>
    </row>
    <row r="35" spans="1:7" outlineLevel="1">
      <c r="A35" s="3" t="s">
        <v>14</v>
      </c>
      <c r="B35" s="3" t="s">
        <v>46</v>
      </c>
      <c r="C35" s="3"/>
      <c r="D35" s="3" t="s">
        <v>48</v>
      </c>
      <c r="E35" s="3" t="s">
        <v>69</v>
      </c>
      <c r="F35" s="3" t="s">
        <v>14</v>
      </c>
      <c r="G35" s="3" t="str">
        <f>"Approach 3"</f>
        <v>Approach 3</v>
      </c>
    </row>
    <row r="36" spans="1:7" outlineLevel="1">
      <c r="A36" s="3" t="s">
        <v>14</v>
      </c>
      <c r="B36" s="3" t="s">
        <v>46</v>
      </c>
      <c r="C36" s="3"/>
      <c r="D36" s="3" t="s">
        <v>48</v>
      </c>
      <c r="E36" s="3" t="s">
        <v>70</v>
      </c>
      <c r="F36" s="3" t="s">
        <v>14</v>
      </c>
      <c r="G36" s="3" t="str">
        <f>"Approach 3"</f>
        <v>Approach 3</v>
      </c>
    </row>
    <row r="37" spans="1:7" outlineLevel="1">
      <c r="A37" s="3" t="s">
        <v>14</v>
      </c>
      <c r="B37" s="3" t="s">
        <v>46</v>
      </c>
      <c r="C37" s="3"/>
      <c r="D37" s="3" t="s">
        <v>48</v>
      </c>
      <c r="E37" s="3" t="s">
        <v>71</v>
      </c>
      <c r="F37" s="3" t="s">
        <v>14</v>
      </c>
      <c r="G37" s="3" t="str">
        <f>IF(AND(G33="Approach 1: Measure and Model"),"Approach 1",IF(AND(G33="Approach 3: Default Factors"),"Approach 3"))</f>
        <v>Approach 1</v>
      </c>
    </row>
    <row r="38" spans="1:7" outlineLevel="1">
      <c r="A38" s="3" t="s">
        <v>14</v>
      </c>
      <c r="B38" s="3" t="s">
        <v>46</v>
      </c>
      <c r="C38" s="3"/>
      <c r="D38" s="3" t="s">
        <v>48</v>
      </c>
      <c r="E38" s="3" t="s">
        <v>72</v>
      </c>
      <c r="F38" s="3" t="s">
        <v>14</v>
      </c>
      <c r="G38" s="3" t="str">
        <f>"Approach 3"</f>
        <v>Approach 3</v>
      </c>
    </row>
    <row r="39" spans="1:7" outlineLevel="1">
      <c r="A39" s="3" t="s">
        <v>14</v>
      </c>
      <c r="B39" s="3" t="s">
        <v>46</v>
      </c>
      <c r="C39" s="3"/>
      <c r="D39" s="3" t="s">
        <v>48</v>
      </c>
      <c r="E39" s="3" t="s">
        <v>73</v>
      </c>
      <c r="F39" s="3" t="s">
        <v>14</v>
      </c>
      <c r="G39" s="3" t="str">
        <f>IF(AND(G33="Approach 1: Measure and Model"),"Approach 1",IF(AND(G33="Approach 3: Default Factors"),"Approach 3"))</f>
        <v>Approach 1</v>
      </c>
    </row>
    <row r="40" spans="1:7" outlineLevel="1">
      <c r="A40" s="3" t="s">
        <v>14</v>
      </c>
      <c r="B40" s="3" t="s">
        <v>46</v>
      </c>
      <c r="C40" s="3"/>
      <c r="D40" s="3" t="s">
        <v>48</v>
      </c>
      <c r="E40" s="3" t="s">
        <v>74</v>
      </c>
      <c r="F40" s="3" t="s">
        <v>14</v>
      </c>
      <c r="G40" s="3" t="str">
        <f>IF(AND(G34="Approach 1: Measure and Model"),"Approach 1",IF(AND(G34="Approach 2: Measure and Remeasure"),"Approach 2"))</f>
        <v>Approach 2</v>
      </c>
    </row>
    <row r="41" spans="1:7" outlineLevel="1">
      <c r="A41" s="3" t="s">
        <v>14</v>
      </c>
      <c r="B41" s="3" t="s">
        <v>46</v>
      </c>
      <c r="C41" s="3"/>
      <c r="D41" s="3" t="s">
        <v>48</v>
      </c>
      <c r="E41" s="3" t="s">
        <v>75</v>
      </c>
      <c r="F41" s="3" t="s">
        <v>14</v>
      </c>
      <c r="G41" s="3" t="str">
        <f>"Approach 1"</f>
        <v>Approach 1</v>
      </c>
    </row>
    <row r="42" spans="1:7" outlineLevel="1">
      <c r="A42" s="3" t="s">
        <v>14</v>
      </c>
      <c r="B42" s="3" t="s">
        <v>46</v>
      </c>
      <c r="C42" s="3"/>
      <c r="D42" s="3" t="s">
        <v>48</v>
      </c>
      <c r="E42" s="3" t="s">
        <v>76</v>
      </c>
      <c r="F42" s="3" t="s">
        <v>14</v>
      </c>
      <c r="G42" s="3" t="str">
        <f>"CDM AR-TOOL 14 &amp; AR-AMS0007"</f>
        <v>CDM AR-TOOL 14 &amp; AR-AMS0007</v>
      </c>
    </row>
    <row r="43" spans="1:7" outlineLevel="1">
      <c r="A43" s="3" t="s">
        <v>14</v>
      </c>
      <c r="B43" s="3" t="s">
        <v>46</v>
      </c>
      <c r="C43" s="3"/>
      <c r="D43" s="3" t="s">
        <v>48</v>
      </c>
      <c r="E43" s="3" t="s">
        <v>77</v>
      </c>
      <c r="F43" s="3" t="s">
        <v>14</v>
      </c>
      <c r="G43" s="3" t="str">
        <f>"Approach 3"</f>
        <v>Approach 3</v>
      </c>
    </row>
    <row r="44" spans="1:7" outlineLevel="1">
      <c r="A44" s="3" t="s">
        <v>14</v>
      </c>
      <c r="B44" s="3" t="s">
        <v>46</v>
      </c>
      <c r="C44" s="3"/>
      <c r="D44" s="3" t="s">
        <v>48</v>
      </c>
      <c r="E44" s="3" t="s">
        <v>78</v>
      </c>
      <c r="F44" s="3" t="s">
        <v>14</v>
      </c>
      <c r="G44" s="3" t="str">
        <f>IF(AND(G33="Approach 1: Measure and Model"),"Approach 1",IF(AND(G33="Approach 3: Default Factors"),"Approach 3"))</f>
        <v>Approach 1</v>
      </c>
    </row>
    <row r="45" spans="1:7" outlineLevel="1">
      <c r="A45" s="3" t="s">
        <v>14</v>
      </c>
      <c r="B45" s="3" t="s">
        <v>46</v>
      </c>
      <c r="C45" s="3"/>
      <c r="D45" s="3" t="s">
        <v>48</v>
      </c>
      <c r="E45" s="3" t="s">
        <v>79</v>
      </c>
      <c r="F45" s="3" t="s">
        <v>14</v>
      </c>
      <c r="G45" s="3" t="str">
        <f>"Approach 3"</f>
        <v>Approach 3</v>
      </c>
    </row>
    <row r="46" spans="1:7">
      <c r="A46" s="3" t="s">
        <v>11</v>
      </c>
      <c r="B46" s="9" t="s">
        <v>80</v>
      </c>
      <c r="C46" s="3"/>
      <c r="D46" s="3"/>
      <c r="E46" s="3" t="s">
        <v>81</v>
      </c>
      <c r="F46" s="3" t="s">
        <v>11</v>
      </c>
      <c r="G46" s="3"/>
    </row>
    <row r="47" spans="1:7" outlineLevel="1">
      <c r="A47" s="3" t="s">
        <v>11</v>
      </c>
      <c r="B47" s="3" t="s">
        <v>82</v>
      </c>
      <c r="C47" s="3"/>
      <c r="D47" s="3"/>
      <c r="E47" s="3" t="s">
        <v>83</v>
      </c>
      <c r="F47" s="3" t="s">
        <v>14</v>
      </c>
      <c r="G47" s="3">
        <v>1</v>
      </c>
    </row>
    <row r="48" spans="1:7" outlineLevel="1" collapsed="1">
      <c r="A48" s="3" t="s">
        <v>14</v>
      </c>
      <c r="B48" s="9" t="s">
        <v>84</v>
      </c>
      <c r="C48" s="3" t="s">
        <v>47</v>
      </c>
      <c r="D48" s="3" t="b">
        <f>EXACT(G41,"Approach 1")</f>
        <v>1</v>
      </c>
      <c r="E48" s="3" t="s">
        <v>85</v>
      </c>
      <c r="F48" s="3" t="s">
        <v>14</v>
      </c>
      <c r="G48" s="3"/>
    </row>
    <row r="49" spans="1:7" hidden="1" outlineLevel="3" collapsed="1">
      <c r="A49" s="3" t="s">
        <v>11</v>
      </c>
      <c r="B49" s="9" t="s">
        <v>86</v>
      </c>
      <c r="C49" s="3"/>
      <c r="D49" s="3"/>
      <c r="E49" s="3" t="s">
        <v>87</v>
      </c>
      <c r="F49" s="3" t="s">
        <v>11</v>
      </c>
      <c r="G49" s="3"/>
    </row>
    <row r="50" spans="1:7" ht="14.25" hidden="1" customHeight="1" outlineLevel="4">
      <c r="A50" s="3" t="s">
        <v>11</v>
      </c>
      <c r="B50" s="3" t="s">
        <v>46</v>
      </c>
      <c r="C50" s="3"/>
      <c r="D50" s="3"/>
      <c r="E50" s="3" t="s">
        <v>88</v>
      </c>
      <c r="F50" s="3" t="s">
        <v>14</v>
      </c>
      <c r="G50" s="3" t="s">
        <v>89</v>
      </c>
    </row>
    <row r="51" spans="1:7" hidden="1" outlineLevel="4">
      <c r="A51" s="3" t="s">
        <v>11</v>
      </c>
      <c r="B51" s="3" t="s">
        <v>82</v>
      </c>
      <c r="C51" s="3"/>
      <c r="D51" s="3"/>
      <c r="E51" s="3" t="s">
        <v>90</v>
      </c>
      <c r="F51" s="3" t="s">
        <v>14</v>
      </c>
      <c r="G51" s="3">
        <v>1148.7226376613501</v>
      </c>
    </row>
    <row r="52" spans="1:7" hidden="1" outlineLevel="4">
      <c r="A52" s="3" t="s">
        <v>11</v>
      </c>
      <c r="B52" s="9" t="s">
        <v>91</v>
      </c>
      <c r="C52" s="3"/>
      <c r="D52" s="3"/>
      <c r="E52" s="3" t="s">
        <v>92</v>
      </c>
      <c r="F52" s="3" t="s">
        <v>14</v>
      </c>
      <c r="G52" s="3"/>
    </row>
    <row r="53" spans="1:7" hidden="1" outlineLevel="5">
      <c r="A53" s="3" t="s">
        <v>11</v>
      </c>
      <c r="B53" s="9" t="s">
        <v>93</v>
      </c>
      <c r="C53" s="3"/>
      <c r="D53" s="3"/>
      <c r="E53" s="3" t="s">
        <v>94</v>
      </c>
      <c r="F53" s="3" t="s">
        <v>14</v>
      </c>
      <c r="G53" s="3"/>
    </row>
    <row r="54" spans="1:7" ht="30" hidden="1" outlineLevel="6" collapsed="1">
      <c r="A54" s="3" t="s">
        <v>14</v>
      </c>
      <c r="B54" s="3" t="s">
        <v>82</v>
      </c>
      <c r="C54" s="3" t="s">
        <v>47</v>
      </c>
      <c r="D54" s="3" t="s">
        <v>48</v>
      </c>
      <c r="E54" s="3" t="s">
        <v>95</v>
      </c>
      <c r="F54" s="3" t="s">
        <v>14</v>
      </c>
      <c r="G54" s="3">
        <f>IF(G27="Included",G55*G56,0)</f>
        <v>560</v>
      </c>
    </row>
    <row r="55" spans="1:7" hidden="1" outlineLevel="6">
      <c r="A55" s="3" t="s">
        <v>11</v>
      </c>
      <c r="B55" s="3" t="s">
        <v>82</v>
      </c>
      <c r="C55" s="3" t="s">
        <v>47</v>
      </c>
      <c r="D55" s="3"/>
      <c r="E55" s="3" t="s">
        <v>96</v>
      </c>
      <c r="F55" s="3" t="s">
        <v>14</v>
      </c>
      <c r="G55" s="3">
        <v>28</v>
      </c>
    </row>
    <row r="56" spans="1:7" ht="45" hidden="1" outlineLevel="6">
      <c r="A56" s="3" t="s">
        <v>11</v>
      </c>
      <c r="B56" s="3" t="s">
        <v>82</v>
      </c>
      <c r="C56" s="3" t="s">
        <v>47</v>
      </c>
      <c r="D56" s="3"/>
      <c r="E56" s="3" t="s">
        <v>97</v>
      </c>
      <c r="F56" s="3" t="s">
        <v>14</v>
      </c>
      <c r="G56" s="3">
        <v>20</v>
      </c>
    </row>
    <row r="57" spans="1:7" ht="14.25" hidden="1" customHeight="1" outlineLevel="4">
      <c r="A57" s="3" t="s">
        <v>11</v>
      </c>
      <c r="B57" s="9" t="s">
        <v>98</v>
      </c>
      <c r="C57" s="3"/>
      <c r="D57" s="3"/>
      <c r="E57" s="3" t="s">
        <v>99</v>
      </c>
      <c r="F57" s="3" t="s">
        <v>14</v>
      </c>
      <c r="G57" s="3"/>
    </row>
    <row r="58" spans="1:7" hidden="1" outlineLevel="5">
      <c r="A58" s="3" t="s">
        <v>11</v>
      </c>
      <c r="B58" s="9" t="s">
        <v>100</v>
      </c>
      <c r="C58" s="3"/>
      <c r="D58" s="3"/>
      <c r="E58" s="3" t="s">
        <v>101</v>
      </c>
      <c r="F58" s="3" t="s">
        <v>14</v>
      </c>
      <c r="G58" s="3"/>
    </row>
    <row r="59" spans="1:7" ht="30" hidden="1" outlineLevel="6" collapsed="1">
      <c r="A59" s="3" t="s">
        <v>14</v>
      </c>
      <c r="B59" s="3" t="s">
        <v>82</v>
      </c>
      <c r="C59" s="3"/>
      <c r="D59" s="3" t="s">
        <v>48</v>
      </c>
      <c r="E59" s="3" t="s">
        <v>102</v>
      </c>
      <c r="F59" s="3" t="s">
        <v>14</v>
      </c>
      <c r="G59" s="3">
        <f>IF(G27="Included",G60*G61,0)</f>
        <v>420</v>
      </c>
    </row>
    <row r="60" spans="1:7" hidden="1" outlineLevel="6">
      <c r="A60" s="3" t="s">
        <v>11</v>
      </c>
      <c r="B60" s="3" t="s">
        <v>82</v>
      </c>
      <c r="C60" s="3" t="s">
        <v>47</v>
      </c>
      <c r="D60" s="3"/>
      <c r="E60" s="3" t="s">
        <v>96</v>
      </c>
      <c r="F60" s="3" t="s">
        <v>14</v>
      </c>
      <c r="G60" s="3">
        <v>28</v>
      </c>
    </row>
    <row r="61" spans="1:7" ht="45" hidden="1" outlineLevel="6">
      <c r="A61" s="3" t="s">
        <v>11</v>
      </c>
      <c r="B61" s="3" t="s">
        <v>82</v>
      </c>
      <c r="C61" s="3" t="s">
        <v>47</v>
      </c>
      <c r="D61" s="3"/>
      <c r="E61" s="3" t="s">
        <v>103</v>
      </c>
      <c r="F61" s="3" t="s">
        <v>14</v>
      </c>
      <c r="G61" s="3">
        <v>15</v>
      </c>
    </row>
    <row r="62" spans="1:7" ht="14.25" hidden="1" customHeight="1" outlineLevel="3">
      <c r="A62" s="3" t="s">
        <v>14</v>
      </c>
      <c r="B62" s="3" t="s">
        <v>82</v>
      </c>
      <c r="C62" s="3"/>
      <c r="D62" s="3" t="s">
        <v>48</v>
      </c>
      <c r="E62" s="3" t="s">
        <v>104</v>
      </c>
      <c r="F62" s="3" t="s">
        <v>14</v>
      </c>
      <c r="G62" s="3">
        <f>SUM(G54-G59)*G51</f>
        <v>160821.169272589</v>
      </c>
    </row>
    <row r="63" spans="1:7" outlineLevel="1">
      <c r="A63" s="3" t="s">
        <v>14</v>
      </c>
      <c r="B63" s="9" t="s">
        <v>105</v>
      </c>
      <c r="C63" s="3" t="s">
        <v>47</v>
      </c>
      <c r="D63" s="3" t="b">
        <f>EXACT(G39,"Approach 1")</f>
        <v>1</v>
      </c>
      <c r="E63" s="3" t="s">
        <v>106</v>
      </c>
      <c r="F63" s="3" t="s">
        <v>14</v>
      </c>
      <c r="G63" s="3"/>
    </row>
    <row r="64" spans="1:7" outlineLevel="3">
      <c r="A64" s="3" t="s">
        <v>11</v>
      </c>
      <c r="B64" s="9" t="s">
        <v>107</v>
      </c>
      <c r="C64" s="3"/>
      <c r="D64" s="3"/>
      <c r="E64" s="3" t="s">
        <v>108</v>
      </c>
      <c r="F64" s="3" t="s">
        <v>11</v>
      </c>
      <c r="G64" s="3"/>
    </row>
    <row r="65" spans="1:7" ht="14.25" customHeight="1" outlineLevel="4">
      <c r="A65" s="3" t="s">
        <v>11</v>
      </c>
      <c r="B65" s="3" t="s">
        <v>46</v>
      </c>
      <c r="C65" s="3"/>
      <c r="D65" s="3"/>
      <c r="E65" s="3" t="s">
        <v>88</v>
      </c>
      <c r="F65" s="3" t="s">
        <v>14</v>
      </c>
      <c r="G65" s="3" t="s">
        <v>89</v>
      </c>
    </row>
    <row r="66" spans="1:7" outlineLevel="4">
      <c r="A66" s="3" t="s">
        <v>11</v>
      </c>
      <c r="B66" s="3" t="s">
        <v>82</v>
      </c>
      <c r="C66" s="3"/>
      <c r="D66" s="3"/>
      <c r="E66" s="3" t="s">
        <v>90</v>
      </c>
      <c r="F66" s="3" t="s">
        <v>14</v>
      </c>
      <c r="G66" s="3">
        <v>1148.7226376613501</v>
      </c>
    </row>
    <row r="67" spans="1:7" outlineLevel="4">
      <c r="A67" s="3" t="s">
        <v>11</v>
      </c>
      <c r="B67" s="9" t="s">
        <v>109</v>
      </c>
      <c r="C67" s="3"/>
      <c r="D67" s="3"/>
      <c r="E67" s="3" t="s">
        <v>110</v>
      </c>
      <c r="F67" s="3" t="s">
        <v>14</v>
      </c>
      <c r="G67" s="3"/>
    </row>
    <row r="68" spans="1:7" outlineLevel="5">
      <c r="A68" s="3" t="s">
        <v>11</v>
      </c>
      <c r="B68" s="9" t="s">
        <v>111</v>
      </c>
      <c r="C68" s="3"/>
      <c r="D68" s="3"/>
      <c r="E68" s="3" t="s">
        <v>112</v>
      </c>
      <c r="F68" s="3" t="s">
        <v>14</v>
      </c>
      <c r="G68" s="3"/>
    </row>
    <row r="69" spans="1:7" ht="45" outlineLevel="6" collapsed="1">
      <c r="A69" s="3" t="s">
        <v>14</v>
      </c>
      <c r="B69" s="3" t="s">
        <v>82</v>
      </c>
      <c r="C69" s="3" t="s">
        <v>47</v>
      </c>
      <c r="D69" s="3" t="s">
        <v>48</v>
      </c>
      <c r="E69" s="3" t="s">
        <v>113</v>
      </c>
      <c r="F69" s="3" t="s">
        <v>14</v>
      </c>
      <c r="G69" s="3">
        <f>IF(AND(G11="Excluded",G18="Excluded",G12="Excluded"),0,G70*G71)</f>
        <v>265</v>
      </c>
    </row>
    <row r="70" spans="1:7" outlineLevel="6">
      <c r="A70" s="3" t="s">
        <v>11</v>
      </c>
      <c r="B70" s="3" t="s">
        <v>82</v>
      </c>
      <c r="C70" s="3" t="s">
        <v>47</v>
      </c>
      <c r="D70" s="3"/>
      <c r="E70" s="3" t="s">
        <v>114</v>
      </c>
      <c r="F70" s="3" t="s">
        <v>14</v>
      </c>
      <c r="G70" s="3">
        <v>265</v>
      </c>
    </row>
    <row r="71" spans="1:7" ht="45" outlineLevel="6">
      <c r="A71" s="3" t="s">
        <v>11</v>
      </c>
      <c r="B71" s="3" t="s">
        <v>82</v>
      </c>
      <c r="C71" s="3" t="s">
        <v>47</v>
      </c>
      <c r="D71" s="3"/>
      <c r="E71" s="3" t="s">
        <v>115</v>
      </c>
      <c r="F71" s="3" t="s">
        <v>14</v>
      </c>
      <c r="G71" s="3">
        <v>1</v>
      </c>
    </row>
    <row r="72" spans="1:7" ht="14.25" customHeight="1" outlineLevel="4">
      <c r="A72" s="3" t="s">
        <v>11</v>
      </c>
      <c r="B72" s="9" t="s">
        <v>116</v>
      </c>
      <c r="C72" s="3"/>
      <c r="D72" s="3"/>
      <c r="E72" s="3" t="s">
        <v>117</v>
      </c>
      <c r="F72" s="3" t="s">
        <v>14</v>
      </c>
      <c r="G72" s="3"/>
    </row>
    <row r="73" spans="1:7" outlineLevel="5">
      <c r="A73" s="3" t="s">
        <v>11</v>
      </c>
      <c r="B73" s="9" t="s">
        <v>118</v>
      </c>
      <c r="C73" s="3"/>
      <c r="D73" s="3"/>
      <c r="E73" s="3" t="s">
        <v>119</v>
      </c>
      <c r="F73" s="3" t="s">
        <v>14</v>
      </c>
      <c r="G73" s="3"/>
    </row>
    <row r="74" spans="1:7" ht="45" outlineLevel="6" collapsed="1">
      <c r="A74" s="3" t="s">
        <v>14</v>
      </c>
      <c r="B74" s="3" t="s">
        <v>82</v>
      </c>
      <c r="C74" s="3" t="s">
        <v>47</v>
      </c>
      <c r="D74" s="3" t="s">
        <v>48</v>
      </c>
      <c r="E74" s="3" t="s">
        <v>120</v>
      </c>
      <c r="F74" s="3" t="s">
        <v>14</v>
      </c>
      <c r="G74" s="3">
        <f>IF(AND(G24="Excluded",G30="Excluded",G25="Excluded"),0,G75*G76)</f>
        <v>132.5</v>
      </c>
    </row>
    <row r="75" spans="1:7" outlineLevel="6">
      <c r="A75" s="3" t="s">
        <v>11</v>
      </c>
      <c r="B75" s="3" t="s">
        <v>82</v>
      </c>
      <c r="C75" s="3" t="s">
        <v>47</v>
      </c>
      <c r="D75" s="3"/>
      <c r="E75" s="3" t="s">
        <v>114</v>
      </c>
      <c r="F75" s="3" t="s">
        <v>14</v>
      </c>
      <c r="G75" s="3">
        <v>265</v>
      </c>
    </row>
    <row r="76" spans="1:7" ht="45" outlineLevel="6">
      <c r="A76" s="3" t="s">
        <v>11</v>
      </c>
      <c r="B76" s="3" t="s">
        <v>82</v>
      </c>
      <c r="C76" s="3" t="s">
        <v>47</v>
      </c>
      <c r="D76" s="3"/>
      <c r="E76" s="3" t="s">
        <v>121</v>
      </c>
      <c r="F76" s="3" t="s">
        <v>14</v>
      </c>
      <c r="G76" s="3">
        <v>0.5</v>
      </c>
    </row>
    <row r="77" spans="1:7" ht="14.25" customHeight="1" outlineLevel="3">
      <c r="A77" s="3" t="s">
        <v>14</v>
      </c>
      <c r="B77" s="3" t="s">
        <v>82</v>
      </c>
      <c r="C77" s="3"/>
      <c r="D77" s="3" t="s">
        <v>48</v>
      </c>
      <c r="E77" s="3" t="s">
        <v>122</v>
      </c>
      <c r="F77" s="3" t="s">
        <v>14</v>
      </c>
      <c r="G77" s="3">
        <f>SUM(G69-G74)*G66</f>
        <v>152205.74949012889</v>
      </c>
    </row>
    <row r="78" spans="1:7" ht="14.25" customHeight="1" outlineLevel="1" collapsed="1">
      <c r="A78" s="12" t="s">
        <v>14</v>
      </c>
      <c r="B78" s="14" t="s">
        <v>123</v>
      </c>
      <c r="C78" s="12"/>
      <c r="D78" s="12" t="b">
        <f>EXACT(G40,"Approach 1")</f>
        <v>0</v>
      </c>
      <c r="E78" s="12" t="s">
        <v>124</v>
      </c>
      <c r="F78" s="12" t="s">
        <v>14</v>
      </c>
      <c r="G78" s="12"/>
    </row>
    <row r="79" spans="1:7" hidden="1" outlineLevel="4" collapsed="1">
      <c r="A79" s="3" t="s">
        <v>11</v>
      </c>
      <c r="B79" s="10" t="s">
        <v>125</v>
      </c>
      <c r="C79" s="10"/>
      <c r="D79" s="3"/>
      <c r="E79" s="3" t="s">
        <v>126</v>
      </c>
      <c r="F79" s="3" t="s">
        <v>11</v>
      </c>
      <c r="G79" s="3"/>
    </row>
    <row r="80" spans="1:7" hidden="1" outlineLevel="6">
      <c r="A80" s="3" t="s">
        <v>11</v>
      </c>
      <c r="B80" s="3" t="s">
        <v>46</v>
      </c>
      <c r="C80" s="10"/>
      <c r="D80" s="3"/>
      <c r="E80" s="3" t="s">
        <v>88</v>
      </c>
      <c r="F80" s="3" t="s">
        <v>14</v>
      </c>
      <c r="G80" s="3" t="s">
        <v>89</v>
      </c>
    </row>
    <row r="81" spans="1:7" hidden="1" outlineLevel="6">
      <c r="A81" s="3" t="s">
        <v>11</v>
      </c>
      <c r="B81" s="3" t="s">
        <v>82</v>
      </c>
      <c r="C81" s="10"/>
      <c r="D81" s="3"/>
      <c r="E81" s="3" t="s">
        <v>90</v>
      </c>
      <c r="F81" s="3" t="s">
        <v>14</v>
      </c>
      <c r="G81" s="3">
        <v>1148.7226376613501</v>
      </c>
    </row>
    <row r="82" spans="1:7" hidden="1" outlineLevel="5">
      <c r="A82" s="3" t="s">
        <v>11</v>
      </c>
      <c r="B82" s="9" t="s">
        <v>127</v>
      </c>
      <c r="C82" s="10"/>
      <c r="D82" s="3"/>
      <c r="E82" s="3" t="s">
        <v>128</v>
      </c>
      <c r="F82" s="3" t="s">
        <v>14</v>
      </c>
      <c r="G82" s="3"/>
    </row>
    <row r="83" spans="1:7" ht="60" hidden="1" outlineLevel="6">
      <c r="A83" s="3" t="s">
        <v>14</v>
      </c>
      <c r="B83" s="3" t="s">
        <v>44</v>
      </c>
      <c r="C83" s="10"/>
      <c r="D83" s="3"/>
      <c r="E83" s="3" t="s">
        <v>129</v>
      </c>
      <c r="F83" s="3" t="s">
        <v>14</v>
      </c>
      <c r="G83" s="3"/>
    </row>
    <row r="84" spans="1:7" hidden="1" outlineLevel="6">
      <c r="A84" s="3" t="s">
        <v>11</v>
      </c>
      <c r="B84" s="9" t="s">
        <v>130</v>
      </c>
      <c r="C84" s="10"/>
      <c r="D84" s="3"/>
      <c r="E84" s="3" t="s">
        <v>131</v>
      </c>
      <c r="F84" s="3" t="s">
        <v>11</v>
      </c>
      <c r="G84" s="3"/>
    </row>
    <row r="85" spans="1:7" hidden="1" outlineLevel="6">
      <c r="A85" s="3" t="s">
        <v>11</v>
      </c>
      <c r="B85" s="3" t="s">
        <v>82</v>
      </c>
      <c r="C85" s="10"/>
      <c r="D85" s="3"/>
      <c r="E85" s="3" t="s">
        <v>132</v>
      </c>
      <c r="F85" s="3" t="s">
        <v>14</v>
      </c>
      <c r="G85" s="3">
        <v>0</v>
      </c>
    </row>
    <row r="86" spans="1:7" hidden="1" outlineLevel="6">
      <c r="A86" s="3" t="s">
        <v>11</v>
      </c>
      <c r="B86" s="3" t="s">
        <v>46</v>
      </c>
      <c r="C86" s="10"/>
      <c r="D86" s="3"/>
      <c r="E86" s="3" t="s">
        <v>133</v>
      </c>
      <c r="F86" s="3" t="s">
        <v>14</v>
      </c>
      <c r="G86" s="3">
        <v>1704871</v>
      </c>
    </row>
    <row r="87" spans="1:7" hidden="1" outlineLevel="6">
      <c r="A87" s="3" t="s">
        <v>11</v>
      </c>
      <c r="B87" s="9" t="s">
        <v>134</v>
      </c>
      <c r="C87" s="10"/>
      <c r="D87" s="3"/>
      <c r="E87" s="3" t="s">
        <v>135</v>
      </c>
      <c r="F87" s="3" t="s">
        <v>11</v>
      </c>
      <c r="G87" s="3"/>
    </row>
    <row r="88" spans="1:7" hidden="1" outlineLevel="6">
      <c r="A88" s="3" t="s">
        <v>11</v>
      </c>
      <c r="B88" s="3" t="s">
        <v>46</v>
      </c>
      <c r="C88" s="10"/>
      <c r="D88" s="3"/>
      <c r="E88" s="3" t="s">
        <v>136</v>
      </c>
      <c r="F88" s="3" t="s">
        <v>14</v>
      </c>
      <c r="G88" s="3" t="s">
        <v>137</v>
      </c>
    </row>
    <row r="89" spans="1:7" hidden="1" outlineLevel="6">
      <c r="A89" s="3" t="s">
        <v>11</v>
      </c>
      <c r="B89" s="3" t="s">
        <v>82</v>
      </c>
      <c r="C89" s="10"/>
      <c r="D89" s="3"/>
      <c r="E89" s="3" t="s">
        <v>138</v>
      </c>
      <c r="F89" s="3" t="s">
        <v>14</v>
      </c>
      <c r="G89" s="3">
        <v>36.170999999999999</v>
      </c>
    </row>
    <row r="90" spans="1:7" hidden="1" outlineLevel="6">
      <c r="A90" s="3" t="s">
        <v>11</v>
      </c>
      <c r="B90" s="3" t="s">
        <v>46</v>
      </c>
      <c r="C90" s="10"/>
      <c r="D90" s="3"/>
      <c r="E90" s="3" t="s">
        <v>139</v>
      </c>
      <c r="F90" s="3" t="s">
        <v>14</v>
      </c>
      <c r="G90" s="3" t="s">
        <v>140</v>
      </c>
    </row>
    <row r="91" spans="1:7" hidden="1" outlineLevel="6">
      <c r="A91" s="3" t="s">
        <v>14</v>
      </c>
      <c r="B91" s="3" t="s">
        <v>82</v>
      </c>
      <c r="C91" s="10"/>
      <c r="D91" s="3" t="s">
        <v>48</v>
      </c>
      <c r="E91" s="3" t="s">
        <v>141</v>
      </c>
      <c r="F91" s="3" t="s">
        <v>14</v>
      </c>
      <c r="G91" s="3" t="e">
        <f>#REF!</f>
        <v>#REF!</v>
      </c>
    </row>
    <row r="92" spans="1:7" ht="17.25" hidden="1" customHeight="1" outlineLevel="6">
      <c r="A92" s="3" t="s">
        <v>14</v>
      </c>
      <c r="B92" s="3" t="s">
        <v>82</v>
      </c>
      <c r="C92" s="10"/>
      <c r="D92" s="3" t="s">
        <v>48</v>
      </c>
      <c r="E92" s="3" t="s">
        <v>142</v>
      </c>
      <c r="F92" s="3" t="s">
        <v>14</v>
      </c>
      <c r="G92" s="3" t="e">
        <f>(#REF!*#REF!/SUM(#REF!,G89)+G91*G89/SUM(#REF!,G89))*44/12</f>
        <v>#REF!</v>
      </c>
    </row>
    <row r="93" spans="1:7" hidden="1" outlineLevel="5">
      <c r="A93" s="3" t="s">
        <v>14</v>
      </c>
      <c r="B93" s="3" t="s">
        <v>82</v>
      </c>
      <c r="C93" s="10"/>
      <c r="D93" s="3" t="s">
        <v>48</v>
      </c>
      <c r="E93" s="3" t="s">
        <v>143</v>
      </c>
      <c r="F93" s="3" t="s">
        <v>14</v>
      </c>
      <c r="G93" s="3" t="e">
        <f>((#REF!-G92)*(1/(#REF!-G85)))*G81</f>
        <v>#REF!</v>
      </c>
    </row>
    <row r="94" spans="1:7" ht="45" hidden="1" outlineLevel="5">
      <c r="A94" s="3" t="s">
        <v>14</v>
      </c>
      <c r="B94" s="3" t="s">
        <v>82</v>
      </c>
      <c r="C94" s="10"/>
      <c r="D94" s="3" t="s">
        <v>48</v>
      </c>
      <c r="E94" s="3" t="s">
        <v>144</v>
      </c>
      <c r="F94" s="3" t="s">
        <v>14</v>
      </c>
      <c r="G94" s="3" t="e">
        <f>SUM(G93)</f>
        <v>#REF!</v>
      </c>
    </row>
    <row r="95" spans="1:7" ht="30" hidden="1" outlineLevel="5">
      <c r="A95" s="3" t="s">
        <v>14</v>
      </c>
      <c r="B95" s="3" t="s">
        <v>82</v>
      </c>
      <c r="C95" s="10"/>
      <c r="D95" s="3" t="s">
        <v>48</v>
      </c>
      <c r="E95" s="3" t="s">
        <v>145</v>
      </c>
      <c r="F95" s="3" t="s">
        <v>14</v>
      </c>
      <c r="G95" s="3" t="e">
        <f>G94</f>
        <v>#REF!</v>
      </c>
    </row>
    <row r="96" spans="1:7" hidden="1" outlineLevel="5">
      <c r="A96" s="3" t="s">
        <v>11</v>
      </c>
      <c r="B96" s="9" t="s">
        <v>146</v>
      </c>
      <c r="C96" s="10"/>
      <c r="D96" s="3" t="s">
        <v>48</v>
      </c>
      <c r="E96" s="3" t="s">
        <v>147</v>
      </c>
      <c r="F96" s="3" t="s">
        <v>14</v>
      </c>
      <c r="G96" s="3" t="e">
        <f>G95</f>
        <v>#REF!</v>
      </c>
    </row>
    <row r="97" spans="1:7" ht="60" hidden="1" outlineLevel="6">
      <c r="A97" s="3" t="s">
        <v>14</v>
      </c>
      <c r="B97" s="3" t="s">
        <v>44</v>
      </c>
      <c r="C97" s="10"/>
      <c r="D97" s="3"/>
      <c r="E97" s="3" t="s">
        <v>129</v>
      </c>
      <c r="F97" s="3" t="s">
        <v>14</v>
      </c>
      <c r="G97" s="3"/>
    </row>
    <row r="98" spans="1:7" hidden="1" outlineLevel="6">
      <c r="A98" s="3" t="s">
        <v>11</v>
      </c>
      <c r="B98" s="9" t="s">
        <v>130</v>
      </c>
      <c r="C98" s="10"/>
      <c r="D98" s="3"/>
      <c r="E98" s="3" t="s">
        <v>131</v>
      </c>
      <c r="F98" s="3" t="s">
        <v>11</v>
      </c>
      <c r="G98" s="3"/>
    </row>
    <row r="99" spans="1:7" hidden="1" outlineLevel="6">
      <c r="A99" s="3" t="s">
        <v>11</v>
      </c>
      <c r="B99" s="3" t="s">
        <v>82</v>
      </c>
      <c r="C99" s="10"/>
      <c r="D99" s="3"/>
      <c r="E99" s="3" t="s">
        <v>132</v>
      </c>
      <c r="F99" s="3" t="s">
        <v>14</v>
      </c>
      <c r="G99" s="3">
        <v>0</v>
      </c>
    </row>
    <row r="100" spans="1:7" hidden="1" outlineLevel="6">
      <c r="A100" s="3" t="s">
        <v>11</v>
      </c>
      <c r="B100" s="3" t="s">
        <v>46</v>
      </c>
      <c r="C100" s="10"/>
      <c r="D100" s="3"/>
      <c r="E100" s="3" t="s">
        <v>133</v>
      </c>
      <c r="F100" s="3" t="s">
        <v>14</v>
      </c>
      <c r="G100" s="3">
        <v>1704871</v>
      </c>
    </row>
    <row r="101" spans="1:7" hidden="1" outlineLevel="6">
      <c r="A101" s="3" t="s">
        <v>11</v>
      </c>
      <c r="B101" s="9" t="s">
        <v>134</v>
      </c>
      <c r="C101" s="10"/>
      <c r="D101" s="3"/>
      <c r="E101" s="3" t="s">
        <v>135</v>
      </c>
      <c r="F101" s="3" t="s">
        <v>11</v>
      </c>
      <c r="G101" s="3"/>
    </row>
    <row r="102" spans="1:7" hidden="1" outlineLevel="6">
      <c r="A102" s="3" t="s">
        <v>11</v>
      </c>
      <c r="B102" s="3" t="s">
        <v>46</v>
      </c>
      <c r="C102" s="10"/>
      <c r="D102" s="3"/>
      <c r="E102" s="3" t="s">
        <v>136</v>
      </c>
      <c r="F102" s="3" t="s">
        <v>14</v>
      </c>
      <c r="G102" s="3" t="s">
        <v>137</v>
      </c>
    </row>
    <row r="103" spans="1:7" hidden="1" outlineLevel="6">
      <c r="A103" s="3" t="s">
        <v>11</v>
      </c>
      <c r="B103" s="3" t="s">
        <v>82</v>
      </c>
      <c r="C103" s="10"/>
      <c r="D103" s="3"/>
      <c r="E103" s="3" t="s">
        <v>138</v>
      </c>
      <c r="F103" s="3" t="s">
        <v>14</v>
      </c>
      <c r="G103" s="3">
        <v>36.170999999999999</v>
      </c>
    </row>
    <row r="104" spans="1:7" hidden="1" outlineLevel="6">
      <c r="A104" s="3" t="s">
        <v>11</v>
      </c>
      <c r="B104" s="3" t="s">
        <v>46</v>
      </c>
      <c r="C104" s="10"/>
      <c r="D104" s="3"/>
      <c r="E104" s="3" t="s">
        <v>139</v>
      </c>
      <c r="F104" s="3" t="s">
        <v>14</v>
      </c>
      <c r="G104" s="3" t="s">
        <v>140</v>
      </c>
    </row>
    <row r="105" spans="1:7" hidden="1" outlineLevel="6">
      <c r="A105" s="3" t="s">
        <v>14</v>
      </c>
      <c r="B105" s="3" t="s">
        <v>82</v>
      </c>
      <c r="C105" s="10"/>
      <c r="D105" s="3" t="s">
        <v>48</v>
      </c>
      <c r="E105" s="3" t="s">
        <v>141</v>
      </c>
      <c r="F105" s="3" t="s">
        <v>14</v>
      </c>
      <c r="G105" s="3" t="e">
        <f>#REF!</f>
        <v>#REF!</v>
      </c>
    </row>
    <row r="106" spans="1:7" hidden="1" outlineLevel="6">
      <c r="A106" s="3" t="s">
        <v>14</v>
      </c>
      <c r="B106" s="3" t="s">
        <v>82</v>
      </c>
      <c r="C106" s="10"/>
      <c r="D106" s="3" t="s">
        <v>48</v>
      </c>
      <c r="E106" s="3" t="s">
        <v>142</v>
      </c>
      <c r="F106" s="3" t="s">
        <v>14</v>
      </c>
      <c r="G106" s="3" t="e">
        <f>(G105*G103/SUM(G103,#REF!)+#REF!*#REF!/SUM(G103,#REF!))*44/12</f>
        <v>#REF!</v>
      </c>
    </row>
    <row r="107" spans="1:7" hidden="1" outlineLevel="5">
      <c r="A107" s="3" t="s">
        <v>14</v>
      </c>
      <c r="B107" s="3" t="s">
        <v>82</v>
      </c>
      <c r="C107" s="10"/>
      <c r="D107" s="3" t="s">
        <v>48</v>
      </c>
      <c r="E107" s="3" t="s">
        <v>148</v>
      </c>
      <c r="F107" s="3" t="s">
        <v>14</v>
      </c>
      <c r="G107" s="3" t="e">
        <f>((#REF!-G106)*(1/(#REF!-G99)))*G81</f>
        <v>#REF!</v>
      </c>
    </row>
    <row r="108" spans="1:7" ht="45" hidden="1" outlineLevel="5">
      <c r="A108" s="3" t="s">
        <v>14</v>
      </c>
      <c r="B108" s="3" t="s">
        <v>82</v>
      </c>
      <c r="C108" s="10"/>
      <c r="D108" s="3" t="s">
        <v>48</v>
      </c>
      <c r="E108" s="3" t="s">
        <v>149</v>
      </c>
      <c r="F108" s="3" t="s">
        <v>14</v>
      </c>
      <c r="G108" s="3" t="e">
        <f>SUM(G107)</f>
        <v>#REF!</v>
      </c>
    </row>
    <row r="109" spans="1:7" ht="30" hidden="1" outlineLevel="5">
      <c r="A109" s="3" t="s">
        <v>14</v>
      </c>
      <c r="B109" s="3" t="s">
        <v>82</v>
      </c>
      <c r="C109" s="10"/>
      <c r="D109" s="3" t="s">
        <v>48</v>
      </c>
      <c r="E109" s="3" t="s">
        <v>150</v>
      </c>
      <c r="F109" s="3" t="s">
        <v>14</v>
      </c>
      <c r="G109" s="3" t="e">
        <f>G108</f>
        <v>#REF!</v>
      </c>
    </row>
    <row r="110" spans="1:7" hidden="1" outlineLevel="3">
      <c r="A110" s="3" t="s">
        <v>14</v>
      </c>
      <c r="B110" s="3" t="s">
        <v>82</v>
      </c>
      <c r="C110" s="10"/>
      <c r="D110" s="3" t="s">
        <v>48</v>
      </c>
      <c r="E110" s="3" t="s">
        <v>151</v>
      </c>
      <c r="F110" s="3" t="s">
        <v>14</v>
      </c>
      <c r="G110" s="3" t="e">
        <f>SUM(G93)</f>
        <v>#REF!</v>
      </c>
    </row>
    <row r="111" spans="1:7" hidden="1" outlineLevel="3">
      <c r="A111" s="3" t="s">
        <v>14</v>
      </c>
      <c r="B111" s="3" t="s">
        <v>82</v>
      </c>
      <c r="C111" s="10"/>
      <c r="D111" s="3" t="s">
        <v>48</v>
      </c>
      <c r="E111" s="3" t="s">
        <v>152</v>
      </c>
      <c r="F111" s="3" t="s">
        <v>14</v>
      </c>
      <c r="G111" s="3" t="e">
        <f>SUM(G107)</f>
        <v>#REF!</v>
      </c>
    </row>
    <row r="112" spans="1:7" ht="60" hidden="1" outlineLevel="3">
      <c r="A112" s="3" t="s">
        <v>14</v>
      </c>
      <c r="B112" s="3" t="s">
        <v>82</v>
      </c>
      <c r="C112" s="10"/>
      <c r="D112" s="3" t="s">
        <v>48</v>
      </c>
      <c r="E112" s="3" t="s">
        <v>153</v>
      </c>
      <c r="F112" s="3" t="s">
        <v>14</v>
      </c>
      <c r="G112" s="3" t="e">
        <f>IF((G111-G110)&gt;=0,1,-1)</f>
        <v>#REF!</v>
      </c>
    </row>
    <row r="113" spans="1:7" ht="14.25" customHeight="1" outlineLevel="1" collapsed="1">
      <c r="A113" s="12" t="s">
        <v>14</v>
      </c>
      <c r="B113" s="14" t="s">
        <v>154</v>
      </c>
      <c r="C113" s="12"/>
      <c r="D113" s="12" t="b">
        <f>EXACT(G40,"Approach 2")</f>
        <v>1</v>
      </c>
      <c r="E113" s="12" t="s">
        <v>155</v>
      </c>
      <c r="F113" s="12" t="s">
        <v>14</v>
      </c>
      <c r="G113" s="12"/>
    </row>
    <row r="114" spans="1:7" hidden="1" outlineLevel="4">
      <c r="A114" s="3" t="s">
        <v>11</v>
      </c>
      <c r="B114" s="10" t="s">
        <v>156</v>
      </c>
      <c r="C114" s="10"/>
      <c r="D114" s="3"/>
      <c r="E114" s="3" t="s">
        <v>157</v>
      </c>
      <c r="F114" s="3" t="s">
        <v>11</v>
      </c>
      <c r="G114" s="3"/>
    </row>
    <row r="115" spans="1:7" hidden="1" outlineLevel="6">
      <c r="A115" s="3" t="s">
        <v>11</v>
      </c>
      <c r="B115" s="3" t="s">
        <v>46</v>
      </c>
      <c r="C115" s="10"/>
      <c r="D115" s="3"/>
      <c r="E115" s="3" t="s">
        <v>88</v>
      </c>
      <c r="F115" s="3" t="s">
        <v>14</v>
      </c>
      <c r="G115" s="3" t="s">
        <v>89</v>
      </c>
    </row>
    <row r="116" spans="1:7" hidden="1" outlineLevel="6">
      <c r="A116" s="3" t="s">
        <v>11</v>
      </c>
      <c r="B116" s="3" t="s">
        <v>82</v>
      </c>
      <c r="C116" s="10"/>
      <c r="D116" s="3"/>
      <c r="E116" s="3" t="s">
        <v>90</v>
      </c>
      <c r="F116" s="3" t="s">
        <v>14</v>
      </c>
      <c r="G116" s="3">
        <v>1148.7226376613501</v>
      </c>
    </row>
    <row r="117" spans="1:7" hidden="1" outlineLevel="5">
      <c r="A117" s="3" t="s">
        <v>11</v>
      </c>
      <c r="B117" s="9" t="s">
        <v>158</v>
      </c>
      <c r="C117" s="10"/>
      <c r="D117" s="3"/>
      <c r="E117" s="3" t="s">
        <v>159</v>
      </c>
      <c r="F117" s="3" t="s">
        <v>14</v>
      </c>
      <c r="G117" s="3"/>
    </row>
    <row r="118" spans="1:7" ht="60" hidden="1" outlineLevel="6">
      <c r="A118" s="3" t="s">
        <v>14</v>
      </c>
      <c r="B118" s="3" t="s">
        <v>44</v>
      </c>
      <c r="C118" s="10"/>
      <c r="D118" s="3"/>
      <c r="E118" s="3" t="s">
        <v>160</v>
      </c>
      <c r="F118" s="3" t="s">
        <v>14</v>
      </c>
      <c r="G118" s="3"/>
    </row>
    <row r="119" spans="1:7" hidden="1" outlineLevel="6">
      <c r="A119" s="3" t="s">
        <v>11</v>
      </c>
      <c r="B119" s="9" t="s">
        <v>161</v>
      </c>
      <c r="C119" s="10"/>
      <c r="D119" s="3"/>
      <c r="E119" s="3" t="s">
        <v>162</v>
      </c>
      <c r="F119" s="3" t="s">
        <v>11</v>
      </c>
      <c r="G119" s="3"/>
    </row>
    <row r="120" spans="1:7" hidden="1" outlineLevel="6">
      <c r="A120" s="3" t="s">
        <v>11</v>
      </c>
      <c r="B120" s="3" t="s">
        <v>82</v>
      </c>
      <c r="C120" s="10"/>
      <c r="D120" s="3"/>
      <c r="E120" s="3" t="s">
        <v>132</v>
      </c>
      <c r="F120" s="3" t="s">
        <v>14</v>
      </c>
      <c r="G120" s="3">
        <v>0</v>
      </c>
    </row>
    <row r="121" spans="1:7" hidden="1" outlineLevel="6">
      <c r="A121" s="3" t="s">
        <v>11</v>
      </c>
      <c r="B121" s="3" t="s">
        <v>46</v>
      </c>
      <c r="C121" s="10"/>
      <c r="D121" s="3"/>
      <c r="E121" s="3" t="s">
        <v>133</v>
      </c>
      <c r="F121" s="3" t="s">
        <v>14</v>
      </c>
      <c r="G121" s="3">
        <v>1704871</v>
      </c>
    </row>
    <row r="122" spans="1:7" hidden="1" outlineLevel="6">
      <c r="A122" s="3" t="s">
        <v>11</v>
      </c>
      <c r="B122" s="9" t="s">
        <v>163</v>
      </c>
      <c r="C122" s="10"/>
      <c r="D122" s="3"/>
      <c r="E122" s="3" t="s">
        <v>164</v>
      </c>
      <c r="F122" s="3" t="s">
        <v>11</v>
      </c>
      <c r="G122" s="3"/>
    </row>
    <row r="123" spans="1:7" hidden="1" outlineLevel="6">
      <c r="A123" s="3" t="s">
        <v>11</v>
      </c>
      <c r="B123" s="3" t="s">
        <v>46</v>
      </c>
      <c r="C123" s="10"/>
      <c r="D123" s="3"/>
      <c r="E123" s="3" t="s">
        <v>136</v>
      </c>
      <c r="F123" s="3" t="s">
        <v>14</v>
      </c>
      <c r="G123" s="3" t="s">
        <v>137</v>
      </c>
    </row>
    <row r="124" spans="1:7" hidden="1" outlineLevel="6">
      <c r="A124" s="3" t="s">
        <v>11</v>
      </c>
      <c r="B124" s="3" t="s">
        <v>82</v>
      </c>
      <c r="C124" s="10"/>
      <c r="D124" s="3"/>
      <c r="E124" s="3" t="s">
        <v>138</v>
      </c>
      <c r="F124" s="3" t="s">
        <v>14</v>
      </c>
      <c r="G124" s="3">
        <v>36.170999999999999</v>
      </c>
    </row>
    <row r="125" spans="1:7" hidden="1" outlineLevel="6">
      <c r="A125" s="3" t="s">
        <v>11</v>
      </c>
      <c r="B125" s="3" t="s">
        <v>46</v>
      </c>
      <c r="C125" s="10"/>
      <c r="D125" s="3"/>
      <c r="E125" s="3" t="s">
        <v>139</v>
      </c>
      <c r="F125" s="3" t="s">
        <v>14</v>
      </c>
      <c r="G125" s="3" t="s">
        <v>140</v>
      </c>
    </row>
    <row r="126" spans="1:7" hidden="1" outlineLevel="6">
      <c r="A126" s="3" t="s">
        <v>14</v>
      </c>
      <c r="B126" s="3" t="s">
        <v>82</v>
      </c>
      <c r="C126" s="10"/>
      <c r="D126" s="3" t="s">
        <v>48</v>
      </c>
      <c r="E126" s="3" t="s">
        <v>141</v>
      </c>
      <c r="F126" s="3" t="s">
        <v>14</v>
      </c>
      <c r="G126" s="3" t="e">
        <f>#REF!</f>
        <v>#REF!</v>
      </c>
    </row>
    <row r="127" spans="1:7" ht="17.25" hidden="1" customHeight="1" outlineLevel="6">
      <c r="A127" s="3" t="s">
        <v>14</v>
      </c>
      <c r="B127" s="3" t="s">
        <v>82</v>
      </c>
      <c r="C127" s="10"/>
      <c r="D127" s="3" t="s">
        <v>48</v>
      </c>
      <c r="E127" s="3" t="s">
        <v>142</v>
      </c>
      <c r="F127" s="3" t="s">
        <v>14</v>
      </c>
      <c r="G127" s="3" t="e">
        <f>(G126*G124/SUM(G124,#REF!)+#REF!*#REF!/SUM(G124,#REF!))*44/12</f>
        <v>#REF!</v>
      </c>
    </row>
    <row r="128" spans="1:7" hidden="1" outlineLevel="5">
      <c r="A128" s="3" t="s">
        <v>14</v>
      </c>
      <c r="B128" s="3" t="s">
        <v>82</v>
      </c>
      <c r="C128" s="10"/>
      <c r="D128" s="3" t="s">
        <v>48</v>
      </c>
      <c r="E128" s="3" t="s">
        <v>143</v>
      </c>
      <c r="F128" s="3" t="s">
        <v>14</v>
      </c>
      <c r="G128" s="3" t="e">
        <f>((#REF!-G127)*(1/(#REF!-G120)))*G116</f>
        <v>#REF!</v>
      </c>
    </row>
    <row r="129" spans="1:7" hidden="1" outlineLevel="5">
      <c r="A129" s="3" t="s">
        <v>11</v>
      </c>
      <c r="B129" s="9" t="s">
        <v>165</v>
      </c>
      <c r="C129" s="10"/>
      <c r="D129" s="3" t="s">
        <v>48</v>
      </c>
      <c r="E129" s="3" t="s">
        <v>166</v>
      </c>
      <c r="F129" s="3" t="s">
        <v>14</v>
      </c>
      <c r="G129" s="3" t="e">
        <f>#REF!</f>
        <v>#REF!</v>
      </c>
    </row>
    <row r="130" spans="1:7" ht="60" hidden="1" outlineLevel="6">
      <c r="A130" s="3" t="s">
        <v>14</v>
      </c>
      <c r="B130" s="3" t="s">
        <v>44</v>
      </c>
      <c r="C130" s="10"/>
      <c r="D130" s="3"/>
      <c r="E130" s="3" t="s">
        <v>160</v>
      </c>
      <c r="F130" s="3" t="s">
        <v>14</v>
      </c>
      <c r="G130" s="3"/>
    </row>
    <row r="131" spans="1:7" hidden="1" outlineLevel="6">
      <c r="A131" s="3" t="s">
        <v>11</v>
      </c>
      <c r="B131" s="9" t="s">
        <v>161</v>
      </c>
      <c r="C131" s="10"/>
      <c r="D131" s="3"/>
      <c r="E131" s="3" t="s">
        <v>162</v>
      </c>
      <c r="F131" s="3" t="s">
        <v>11</v>
      </c>
      <c r="G131" s="3"/>
    </row>
    <row r="132" spans="1:7" hidden="1" outlineLevel="6">
      <c r="A132" s="3" t="s">
        <v>11</v>
      </c>
      <c r="B132" s="3" t="s">
        <v>82</v>
      </c>
      <c r="C132" s="10"/>
      <c r="D132" s="3"/>
      <c r="E132" s="3" t="s">
        <v>132</v>
      </c>
      <c r="F132" s="3" t="s">
        <v>14</v>
      </c>
      <c r="G132" s="3">
        <v>0</v>
      </c>
    </row>
    <row r="133" spans="1:7" hidden="1" outlineLevel="6">
      <c r="A133" s="3" t="s">
        <v>11</v>
      </c>
      <c r="B133" s="3" t="s">
        <v>46</v>
      </c>
      <c r="C133" s="10"/>
      <c r="D133" s="3"/>
      <c r="E133" s="3" t="s">
        <v>133</v>
      </c>
      <c r="F133" s="3" t="s">
        <v>14</v>
      </c>
      <c r="G133" s="3">
        <v>1704871</v>
      </c>
    </row>
    <row r="134" spans="1:7" hidden="1" outlineLevel="6">
      <c r="A134" s="3" t="s">
        <v>11</v>
      </c>
      <c r="B134" s="9" t="s">
        <v>163</v>
      </c>
      <c r="C134" s="10"/>
      <c r="D134" s="3"/>
      <c r="E134" s="3" t="s">
        <v>164</v>
      </c>
      <c r="F134" s="3" t="s">
        <v>11</v>
      </c>
      <c r="G134" s="3"/>
    </row>
    <row r="135" spans="1:7" hidden="1" outlineLevel="6">
      <c r="A135" s="3" t="s">
        <v>11</v>
      </c>
      <c r="B135" s="3" t="s">
        <v>46</v>
      </c>
      <c r="C135" s="10"/>
      <c r="D135" s="3"/>
      <c r="E135" s="3" t="s">
        <v>136</v>
      </c>
      <c r="F135" s="3" t="s">
        <v>14</v>
      </c>
      <c r="G135" s="3" t="s">
        <v>137</v>
      </c>
    </row>
    <row r="136" spans="1:7" hidden="1" outlineLevel="6">
      <c r="A136" s="3" t="s">
        <v>11</v>
      </c>
      <c r="B136" s="3" t="s">
        <v>82</v>
      </c>
      <c r="C136" s="10"/>
      <c r="D136" s="3"/>
      <c r="E136" s="3" t="s">
        <v>138</v>
      </c>
      <c r="F136" s="3" t="s">
        <v>14</v>
      </c>
      <c r="G136" s="3">
        <v>36.170999999999999</v>
      </c>
    </row>
    <row r="137" spans="1:7" hidden="1" outlineLevel="6">
      <c r="A137" s="3" t="s">
        <v>11</v>
      </c>
      <c r="B137" s="3" t="s">
        <v>46</v>
      </c>
      <c r="C137" s="10"/>
      <c r="D137" s="3"/>
      <c r="E137" s="3" t="s">
        <v>139</v>
      </c>
      <c r="F137" s="3" t="s">
        <v>14</v>
      </c>
      <c r="G137" s="3" t="s">
        <v>140</v>
      </c>
    </row>
    <row r="138" spans="1:7" hidden="1" outlineLevel="6">
      <c r="A138" s="3" t="s">
        <v>14</v>
      </c>
      <c r="B138" s="3" t="s">
        <v>82</v>
      </c>
      <c r="C138" s="10"/>
      <c r="D138" s="3" t="s">
        <v>48</v>
      </c>
      <c r="E138" s="3" t="s">
        <v>141</v>
      </c>
      <c r="F138" s="3" t="s">
        <v>14</v>
      </c>
      <c r="G138" s="3" t="e">
        <f>#REF!</f>
        <v>#REF!</v>
      </c>
    </row>
    <row r="139" spans="1:7" hidden="1" outlineLevel="6">
      <c r="A139" s="3" t="s">
        <v>14</v>
      </c>
      <c r="B139" s="3" t="s">
        <v>82</v>
      </c>
      <c r="C139" s="10"/>
      <c r="D139" s="3" t="s">
        <v>48</v>
      </c>
      <c r="E139" s="3" t="s">
        <v>142</v>
      </c>
      <c r="F139" s="3" t="s">
        <v>14</v>
      </c>
      <c r="G139" s="3" t="e">
        <f>(G138*G136/SUM(G136,#REF!)+#REF!*#REF!/SUM(G136,#REF!))*44/12</f>
        <v>#REF!</v>
      </c>
    </row>
    <row r="140" spans="1:7" hidden="1" outlineLevel="5">
      <c r="A140" s="3" t="s">
        <v>14</v>
      </c>
      <c r="B140" s="3" t="s">
        <v>82</v>
      </c>
      <c r="C140" s="10"/>
      <c r="D140" s="3" t="s">
        <v>48</v>
      </c>
      <c r="E140" s="3" t="s">
        <v>148</v>
      </c>
      <c r="F140" s="3" t="s">
        <v>14</v>
      </c>
      <c r="G140" s="3" t="e">
        <f>((#REF!-G139)*(1/(#REF!-G132)))*G116</f>
        <v>#REF!</v>
      </c>
    </row>
    <row r="141" spans="1:7" hidden="1" outlineLevel="3">
      <c r="A141" s="3" t="s">
        <v>14</v>
      </c>
      <c r="B141" s="3" t="s">
        <v>82</v>
      </c>
      <c r="C141" s="10"/>
      <c r="D141" s="3" t="s">
        <v>48</v>
      </c>
      <c r="E141" s="3" t="s">
        <v>151</v>
      </c>
      <c r="F141" s="3" t="s">
        <v>14</v>
      </c>
      <c r="G141" s="3" t="e">
        <f>SUM(G128)</f>
        <v>#REF!</v>
      </c>
    </row>
    <row r="142" spans="1:7" hidden="1" outlineLevel="3">
      <c r="A142" s="3" t="s">
        <v>14</v>
      </c>
      <c r="B142" s="3" t="s">
        <v>82</v>
      </c>
      <c r="C142" s="10"/>
      <c r="D142" s="3" t="s">
        <v>48</v>
      </c>
      <c r="E142" s="3" t="s">
        <v>152</v>
      </c>
      <c r="F142" s="3" t="s">
        <v>14</v>
      </c>
      <c r="G142" s="3" t="e">
        <f>SUM(G140)</f>
        <v>#REF!</v>
      </c>
    </row>
    <row r="143" spans="1:7" ht="60" hidden="1" outlineLevel="3">
      <c r="A143" s="3" t="s">
        <v>14</v>
      </c>
      <c r="B143" s="3" t="s">
        <v>82</v>
      </c>
      <c r="C143" s="10"/>
      <c r="D143" s="3" t="s">
        <v>48</v>
      </c>
      <c r="E143" s="3" t="s">
        <v>153</v>
      </c>
      <c r="F143" s="3" t="s">
        <v>14</v>
      </c>
      <c r="G143" s="3" t="e">
        <f>IF((G142-G141)&gt;=0,1,-1)</f>
        <v>#REF!</v>
      </c>
    </row>
    <row r="144" spans="1:7" outlineLevel="1" collapsed="1">
      <c r="A144" s="3" t="s">
        <v>11</v>
      </c>
      <c r="B144" s="10" t="s">
        <v>167</v>
      </c>
      <c r="C144" s="3" t="s">
        <v>47</v>
      </c>
      <c r="D144" s="3"/>
      <c r="E144" s="3" t="s">
        <v>168</v>
      </c>
      <c r="F144" s="3" t="s">
        <v>14</v>
      </c>
      <c r="G144" s="3"/>
    </row>
    <row r="145" spans="1:7" ht="14.25" hidden="1" customHeight="1" outlineLevel="3">
      <c r="A145" s="3" t="s">
        <v>11</v>
      </c>
      <c r="B145" s="9" t="s">
        <v>169</v>
      </c>
      <c r="C145" s="3"/>
      <c r="D145" s="3"/>
      <c r="E145" s="3" t="s">
        <v>170</v>
      </c>
      <c r="F145" s="3" t="s">
        <v>11</v>
      </c>
      <c r="G145" s="3"/>
    </row>
    <row r="146" spans="1:7" ht="14.25" hidden="1" customHeight="1" outlineLevel="4">
      <c r="A146" s="3" t="s">
        <v>11</v>
      </c>
      <c r="B146" s="3" t="s">
        <v>46</v>
      </c>
      <c r="C146" s="3"/>
      <c r="D146" s="3"/>
      <c r="E146" s="3" t="s">
        <v>88</v>
      </c>
      <c r="F146" s="3" t="s">
        <v>14</v>
      </c>
      <c r="G146" s="3" t="s">
        <v>89</v>
      </c>
    </row>
    <row r="147" spans="1:7" hidden="1" outlineLevel="4">
      <c r="A147" s="3" t="s">
        <v>11</v>
      </c>
      <c r="B147" s="3" t="s">
        <v>82</v>
      </c>
      <c r="C147" s="3"/>
      <c r="D147" s="3"/>
      <c r="E147" s="3" t="s">
        <v>90</v>
      </c>
      <c r="F147" s="3" t="s">
        <v>14</v>
      </c>
      <c r="G147" s="3">
        <v>1148.7226376613501</v>
      </c>
    </row>
    <row r="148" spans="1:7" hidden="1" outlineLevel="4">
      <c r="A148" s="3" t="s">
        <v>11</v>
      </c>
      <c r="B148" s="9" t="s">
        <v>171</v>
      </c>
      <c r="C148" s="3"/>
      <c r="D148" s="3"/>
      <c r="E148" s="3" t="s">
        <v>172</v>
      </c>
      <c r="F148" s="3" t="s">
        <v>14</v>
      </c>
      <c r="G148" s="3"/>
    </row>
    <row r="149" spans="1:7" hidden="1" outlineLevel="6" collapsed="1">
      <c r="A149" s="3" t="s">
        <v>14</v>
      </c>
      <c r="B149" s="9" t="s">
        <v>173</v>
      </c>
      <c r="C149" s="3"/>
      <c r="D149" s="3"/>
      <c r="E149" s="3" t="s">
        <v>174</v>
      </c>
      <c r="F149" s="3" t="s">
        <v>14</v>
      </c>
      <c r="G149" s="3"/>
    </row>
    <row r="150" spans="1:7" hidden="1" outlineLevel="6">
      <c r="A150" s="3" t="s">
        <v>11</v>
      </c>
      <c r="B150" s="10" t="s">
        <v>175</v>
      </c>
      <c r="C150" s="3"/>
      <c r="D150" s="3"/>
      <c r="E150" s="3" t="s">
        <v>176</v>
      </c>
      <c r="F150" s="3" t="s">
        <v>11</v>
      </c>
      <c r="G150" s="3"/>
    </row>
    <row r="151" spans="1:7" hidden="1" outlineLevel="6">
      <c r="A151" s="4" t="s">
        <v>11</v>
      </c>
      <c r="B151" s="4" t="s">
        <v>46</v>
      </c>
      <c r="C151" s="5" t="s">
        <v>47</v>
      </c>
      <c r="D151" s="8"/>
      <c r="E151" s="4" t="s">
        <v>177</v>
      </c>
      <c r="F151" s="4" t="s">
        <v>14</v>
      </c>
      <c r="G151" s="4" t="s">
        <v>178</v>
      </c>
    </row>
    <row r="152" spans="1:7" ht="45" hidden="1" outlineLevel="6">
      <c r="A152" s="4" t="s">
        <v>14</v>
      </c>
      <c r="B152" s="4" t="s">
        <v>82</v>
      </c>
      <c r="C152" s="5" t="s">
        <v>47</v>
      </c>
      <c r="D152" s="8" t="s">
        <v>48</v>
      </c>
      <c r="E152" s="4" t="s">
        <v>179</v>
      </c>
      <c r="F152" s="4" t="s">
        <v>14</v>
      </c>
      <c r="G152" s="4">
        <f>G153*G154</f>
        <v>86.58</v>
      </c>
    </row>
    <row r="153" spans="1:7" hidden="1" outlineLevel="6">
      <c r="A153" s="4" t="s">
        <v>11</v>
      </c>
      <c r="B153" s="4" t="s">
        <v>82</v>
      </c>
      <c r="C153" s="5" t="s">
        <v>47</v>
      </c>
      <c r="D153" s="8"/>
      <c r="E153" s="4" t="s">
        <v>180</v>
      </c>
      <c r="F153" s="4" t="s">
        <v>14</v>
      </c>
      <c r="G153" s="4">
        <v>30000</v>
      </c>
    </row>
    <row r="154" spans="1:7" hidden="1" outlineLevel="6">
      <c r="A154" s="4" t="s">
        <v>11</v>
      </c>
      <c r="B154" s="4" t="s">
        <v>82</v>
      </c>
      <c r="C154" s="5" t="s">
        <v>47</v>
      </c>
      <c r="D154" s="8"/>
      <c r="E154" s="4" t="s">
        <v>181</v>
      </c>
      <c r="F154" s="4" t="s">
        <v>14</v>
      </c>
      <c r="G154" s="4">
        <v>2.8860000000000001E-3</v>
      </c>
    </row>
    <row r="155" spans="1:7" ht="30" hidden="1" outlineLevel="6" collapsed="1">
      <c r="A155" s="3" t="s">
        <v>14</v>
      </c>
      <c r="B155" s="3" t="s">
        <v>82</v>
      </c>
      <c r="C155" s="3" t="s">
        <v>47</v>
      </c>
      <c r="D155" s="3" t="s">
        <v>48</v>
      </c>
      <c r="E155" s="3" t="s">
        <v>182</v>
      </c>
      <c r="F155" s="3" t="s">
        <v>14</v>
      </c>
      <c r="G155" s="3">
        <f>IF(G9="Included",G156/G147,0)</f>
        <v>7.5370674487851674E-2</v>
      </c>
    </row>
    <row r="156" spans="1:7" ht="45" hidden="1" outlineLevel="6">
      <c r="A156" s="3" t="s">
        <v>14</v>
      </c>
      <c r="B156" s="3" t="s">
        <v>82</v>
      </c>
      <c r="C156" s="3"/>
      <c r="D156" s="3" t="s">
        <v>48</v>
      </c>
      <c r="E156" s="3" t="s">
        <v>183</v>
      </c>
      <c r="F156" s="3" t="s">
        <v>14</v>
      </c>
      <c r="G156" s="3">
        <f>SUM(G152)</f>
        <v>86.58</v>
      </c>
    </row>
    <row r="157" spans="1:7" hidden="1" outlineLevel="6" collapsed="1">
      <c r="A157" s="3" t="s">
        <v>14</v>
      </c>
      <c r="B157" s="9" t="s">
        <v>184</v>
      </c>
      <c r="C157" s="3"/>
      <c r="D157" s="3"/>
      <c r="E157" s="3" t="s">
        <v>185</v>
      </c>
      <c r="F157" s="3" t="s">
        <v>14</v>
      </c>
      <c r="G157" s="3"/>
    </row>
    <row r="158" spans="1:7" ht="30" hidden="1" outlineLevel="6">
      <c r="A158" s="4" t="s">
        <v>11</v>
      </c>
      <c r="B158" s="4" t="s">
        <v>82</v>
      </c>
      <c r="C158" s="5" t="s">
        <v>47</v>
      </c>
      <c r="D158" s="8"/>
      <c r="E158" s="4" t="s">
        <v>186</v>
      </c>
      <c r="F158" s="4" t="s">
        <v>14</v>
      </c>
      <c r="G158" s="4">
        <v>10</v>
      </c>
    </row>
    <row r="159" spans="1:7" hidden="1" outlineLevel="6">
      <c r="A159" s="4" t="s">
        <v>14</v>
      </c>
      <c r="B159" s="4" t="s">
        <v>82</v>
      </c>
      <c r="C159" s="5"/>
      <c r="D159" s="8" t="s">
        <v>48</v>
      </c>
      <c r="E159" s="4" t="s">
        <v>187</v>
      </c>
      <c r="F159" s="4" t="s">
        <v>14</v>
      </c>
      <c r="G159" s="4">
        <f>0.12</f>
        <v>0.12</v>
      </c>
    </row>
    <row r="160" spans="1:7" ht="30" hidden="1" outlineLevel="6">
      <c r="A160" s="4" t="s">
        <v>11</v>
      </c>
      <c r="B160" s="4" t="s">
        <v>82</v>
      </c>
      <c r="C160" s="5"/>
      <c r="D160" s="8"/>
      <c r="E160" s="4" t="s">
        <v>188</v>
      </c>
      <c r="F160" s="4" t="s">
        <v>14</v>
      </c>
      <c r="G160" s="4">
        <v>5</v>
      </c>
    </row>
    <row r="161" spans="1:7" hidden="1" outlineLevel="6">
      <c r="A161" s="4" t="s">
        <v>14</v>
      </c>
      <c r="B161" s="4" t="s">
        <v>82</v>
      </c>
      <c r="C161" s="5"/>
      <c r="D161" s="8" t="s">
        <v>48</v>
      </c>
      <c r="E161" s="4" t="s">
        <v>189</v>
      </c>
      <c r="F161" s="4" t="s">
        <v>14</v>
      </c>
      <c r="G161" s="4">
        <f>0.13</f>
        <v>0.13</v>
      </c>
    </row>
    <row r="162" spans="1:7" ht="30" hidden="1" outlineLevel="6">
      <c r="A162" s="4" t="s">
        <v>14</v>
      </c>
      <c r="B162" s="4" t="s">
        <v>82</v>
      </c>
      <c r="C162" s="5"/>
      <c r="D162" s="8" t="s">
        <v>48</v>
      </c>
      <c r="E162" s="4" t="s">
        <v>190</v>
      </c>
      <c r="F162" s="4" t="s">
        <v>14</v>
      </c>
      <c r="G162" s="4">
        <f>((G158*G159)+(G160*G161))*G164</f>
        <v>6.7833333333333332</v>
      </c>
    </row>
    <row r="163" spans="1:7" ht="30" hidden="1" outlineLevel="6">
      <c r="A163" s="4" t="s">
        <v>14</v>
      </c>
      <c r="B163" s="4" t="s">
        <v>82</v>
      </c>
      <c r="C163" s="5"/>
      <c r="D163" s="8" t="s">
        <v>48</v>
      </c>
      <c r="E163" s="4" t="s">
        <v>191</v>
      </c>
      <c r="F163" s="4" t="s">
        <v>14</v>
      </c>
      <c r="G163" s="4">
        <f>IF(AND(G31="Included",G45="Approach 3"),G162/G147,0)</f>
        <v>5.9051098245467837E-3</v>
      </c>
    </row>
    <row r="164" spans="1:7" ht="30" hidden="1" outlineLevel="6">
      <c r="A164" s="4" t="s">
        <v>14</v>
      </c>
      <c r="B164" s="4" t="s">
        <v>82</v>
      </c>
      <c r="C164" s="5"/>
      <c r="D164" s="8" t="s">
        <v>48</v>
      </c>
      <c r="E164" s="4" t="s">
        <v>192</v>
      </c>
      <c r="F164" s="4" t="s">
        <v>14</v>
      </c>
      <c r="G164" s="4">
        <f>44/12</f>
        <v>3.6666666666666665</v>
      </c>
    </row>
    <row r="165" spans="1:7" hidden="1" outlineLevel="6" collapsed="1">
      <c r="A165" s="3" t="s">
        <v>14</v>
      </c>
      <c r="B165" s="9" t="s">
        <v>193</v>
      </c>
      <c r="C165" s="3"/>
      <c r="D165" s="3"/>
      <c r="E165" s="3" t="s">
        <v>194</v>
      </c>
      <c r="F165" s="3" t="s">
        <v>14</v>
      </c>
      <c r="G165" s="3"/>
    </row>
    <row r="166" spans="1:7" hidden="1" outlineLevel="6">
      <c r="A166" s="3" t="s">
        <v>11</v>
      </c>
      <c r="B166" s="10" t="s">
        <v>195</v>
      </c>
      <c r="C166" s="3"/>
      <c r="D166" s="3"/>
      <c r="E166" s="3" t="s">
        <v>196</v>
      </c>
      <c r="F166" s="3" t="s">
        <v>14</v>
      </c>
      <c r="G166" s="3"/>
    </row>
    <row r="167" spans="1:7" hidden="1" outlineLevel="6">
      <c r="A167" s="4" t="s">
        <v>11</v>
      </c>
      <c r="B167" s="4" t="s">
        <v>46</v>
      </c>
      <c r="C167" s="5" t="s">
        <v>47</v>
      </c>
      <c r="D167" s="8"/>
      <c r="E167" s="4" t="s">
        <v>197</v>
      </c>
      <c r="F167" s="4" t="s">
        <v>14</v>
      </c>
      <c r="G167" s="4" t="s">
        <v>198</v>
      </c>
    </row>
    <row r="168" spans="1:7" hidden="1" outlineLevel="6">
      <c r="A168" s="4" t="s">
        <v>11</v>
      </c>
      <c r="B168" s="4" t="s">
        <v>46</v>
      </c>
      <c r="C168" s="5"/>
      <c r="D168" s="8"/>
      <c r="E168" s="4" t="s">
        <v>199</v>
      </c>
      <c r="F168" s="4" t="s">
        <v>14</v>
      </c>
      <c r="G168" s="4" t="s">
        <v>200</v>
      </c>
    </row>
    <row r="169" spans="1:7" ht="30" hidden="1" outlineLevel="6">
      <c r="A169" s="4" t="s">
        <v>11</v>
      </c>
      <c r="B169" s="4" t="s">
        <v>82</v>
      </c>
      <c r="C169" s="5"/>
      <c r="D169" s="8"/>
      <c r="E169" s="4" t="s">
        <v>201</v>
      </c>
      <c r="F169" s="4" t="s">
        <v>14</v>
      </c>
      <c r="G169" s="4">
        <v>160</v>
      </c>
    </row>
    <row r="170" spans="1:7" ht="30" hidden="1" outlineLevel="6">
      <c r="A170" s="4" t="s">
        <v>11</v>
      </c>
      <c r="B170" s="4" t="s">
        <v>82</v>
      </c>
      <c r="C170" s="5"/>
      <c r="D170" s="8"/>
      <c r="E170" s="4" t="s">
        <v>202</v>
      </c>
      <c r="F170" s="4" t="s">
        <v>14</v>
      </c>
      <c r="G170" s="4">
        <v>13.289693946836101</v>
      </c>
    </row>
    <row r="171" spans="1:7" ht="30" hidden="1" outlineLevel="6">
      <c r="A171" s="4" t="s">
        <v>14</v>
      </c>
      <c r="B171" s="4" t="s">
        <v>82</v>
      </c>
      <c r="C171" s="5"/>
      <c r="D171" s="8" t="s">
        <v>48</v>
      </c>
      <c r="E171" s="4" t="s">
        <v>190</v>
      </c>
      <c r="F171" s="4" t="s">
        <v>14</v>
      </c>
      <c r="G171" s="4">
        <f>G169*G170</f>
        <v>2126.3510314937762</v>
      </c>
    </row>
    <row r="172" spans="1:7" ht="30" hidden="1" outlineLevel="6">
      <c r="A172" s="3" t="s">
        <v>14</v>
      </c>
      <c r="B172" s="3" t="s">
        <v>82</v>
      </c>
      <c r="C172" s="3"/>
      <c r="D172" s="3" t="s">
        <v>48</v>
      </c>
      <c r="E172" s="3" t="s">
        <v>191</v>
      </c>
      <c r="F172" s="3" t="s">
        <v>14</v>
      </c>
      <c r="G172" s="3">
        <f>SUM(G171)</f>
        <v>2126.3510314937762</v>
      </c>
    </row>
    <row r="173" spans="1:7" ht="30" hidden="1" outlineLevel="6">
      <c r="A173" s="3" t="s">
        <v>14</v>
      </c>
      <c r="B173" s="3" t="s">
        <v>82</v>
      </c>
      <c r="C173" s="3"/>
      <c r="D173" s="3" t="s">
        <v>48</v>
      </c>
      <c r="E173" s="3" t="s">
        <v>203</v>
      </c>
      <c r="F173" s="3" t="s">
        <v>14</v>
      </c>
      <c r="G173" s="3">
        <f>IF(G16="Included",(((G175*G172)/G174)/G147),0)</f>
        <v>5.1829594829816368E-2</v>
      </c>
    </row>
    <row r="174" spans="1:7" hidden="1" outlineLevel="6">
      <c r="A174" s="3" t="s">
        <v>14</v>
      </c>
      <c r="B174" s="3" t="s">
        <v>82</v>
      </c>
      <c r="C174" s="3"/>
      <c r="D174" s="3" t="s">
        <v>48</v>
      </c>
      <c r="E174" s="3" t="s">
        <v>204</v>
      </c>
      <c r="F174" s="3" t="s">
        <v>14</v>
      </c>
      <c r="G174" s="3">
        <f>1000</f>
        <v>1000</v>
      </c>
    </row>
    <row r="175" spans="1:7" hidden="1" outlineLevel="6">
      <c r="A175" s="3" t="s">
        <v>11</v>
      </c>
      <c r="B175" s="3" t="s">
        <v>82</v>
      </c>
      <c r="C175" s="3"/>
      <c r="D175" s="3"/>
      <c r="E175" s="3" t="s">
        <v>96</v>
      </c>
      <c r="F175" s="3" t="s">
        <v>14</v>
      </c>
      <c r="G175" s="3">
        <v>28</v>
      </c>
    </row>
    <row r="176" spans="1:7" hidden="1" outlineLevel="6" collapsed="1">
      <c r="A176" s="3" t="s">
        <v>14</v>
      </c>
      <c r="B176" s="9" t="s">
        <v>205</v>
      </c>
      <c r="C176" s="3"/>
      <c r="D176" s="3"/>
      <c r="E176" s="3" t="s">
        <v>206</v>
      </c>
      <c r="F176" s="3" t="s">
        <v>14</v>
      </c>
      <c r="G176" s="3"/>
    </row>
    <row r="177" spans="1:7" hidden="1" outlineLevel="6">
      <c r="A177" s="3" t="s">
        <v>11</v>
      </c>
      <c r="B177" s="10" t="s">
        <v>207</v>
      </c>
      <c r="C177" s="3"/>
      <c r="D177" s="3"/>
      <c r="E177" s="3" t="s">
        <v>208</v>
      </c>
      <c r="F177" s="3" t="s">
        <v>14</v>
      </c>
      <c r="G177" s="3"/>
    </row>
    <row r="178" spans="1:7" hidden="1" outlineLevel="6">
      <c r="A178" s="4" t="s">
        <v>11</v>
      </c>
      <c r="B178" s="4" t="s">
        <v>46</v>
      </c>
      <c r="C178" s="5" t="s">
        <v>47</v>
      </c>
      <c r="D178" s="8"/>
      <c r="E178" s="4" t="s">
        <v>197</v>
      </c>
      <c r="F178" s="4" t="s">
        <v>14</v>
      </c>
      <c r="G178" s="4" t="s">
        <v>198</v>
      </c>
    </row>
    <row r="179" spans="1:7" hidden="1" outlineLevel="6">
      <c r="A179" s="4" t="s">
        <v>11</v>
      </c>
      <c r="B179" s="4" t="s">
        <v>46</v>
      </c>
      <c r="C179" s="5"/>
      <c r="D179" s="8"/>
      <c r="E179" s="4" t="s">
        <v>199</v>
      </c>
      <c r="F179" s="4" t="s">
        <v>14</v>
      </c>
      <c r="G179" s="4" t="s">
        <v>200</v>
      </c>
    </row>
    <row r="180" spans="1:7" ht="30" hidden="1" outlineLevel="6">
      <c r="A180" s="4" t="s">
        <v>11</v>
      </c>
      <c r="B180" s="4" t="s">
        <v>82</v>
      </c>
      <c r="C180" s="5"/>
      <c r="D180" s="8"/>
      <c r="E180" s="4" t="s">
        <v>201</v>
      </c>
      <c r="F180" s="4" t="s">
        <v>14</v>
      </c>
      <c r="G180" s="4">
        <v>160</v>
      </c>
    </row>
    <row r="181" spans="1:7" hidden="1" outlineLevel="6">
      <c r="A181" s="4" t="s">
        <v>11</v>
      </c>
      <c r="B181" s="4" t="s">
        <v>46</v>
      </c>
      <c r="C181" s="5"/>
      <c r="D181" s="8"/>
      <c r="E181" s="4" t="s">
        <v>209</v>
      </c>
      <c r="F181" s="4" t="s">
        <v>14</v>
      </c>
      <c r="G181" s="4" t="s">
        <v>210</v>
      </c>
    </row>
    <row r="182" spans="1:7" ht="45" hidden="1" outlineLevel="6">
      <c r="A182" s="4" t="s">
        <v>14</v>
      </c>
      <c r="B182" s="4" t="s">
        <v>82</v>
      </c>
      <c r="C182" s="5"/>
      <c r="D182" s="8"/>
      <c r="E182" s="4" t="s">
        <v>211</v>
      </c>
      <c r="F182" s="4" t="s">
        <v>14</v>
      </c>
      <c r="G182" s="4">
        <v>1</v>
      </c>
    </row>
    <row r="183" spans="1:7" ht="30" hidden="1" outlineLevel="6">
      <c r="A183" s="4" t="s">
        <v>11</v>
      </c>
      <c r="B183" s="4" t="s">
        <v>82</v>
      </c>
      <c r="C183" s="5"/>
      <c r="D183" s="8"/>
      <c r="E183" s="4" t="s">
        <v>212</v>
      </c>
      <c r="F183" s="4" t="s">
        <v>14</v>
      </c>
      <c r="G183" s="4">
        <v>30</v>
      </c>
    </row>
    <row r="184" spans="1:7" ht="30" hidden="1" outlineLevel="6">
      <c r="A184" s="4" t="s">
        <v>11</v>
      </c>
      <c r="B184" s="4" t="s">
        <v>82</v>
      </c>
      <c r="C184" s="5"/>
      <c r="D184" s="8"/>
      <c r="E184" s="4" t="s">
        <v>213</v>
      </c>
      <c r="F184" s="4" t="s">
        <v>14</v>
      </c>
      <c r="G184" s="4">
        <v>8.3000000000000007</v>
      </c>
    </row>
    <row r="185" spans="1:7" ht="45" hidden="1" outlineLevel="6">
      <c r="A185" s="4" t="s">
        <v>14</v>
      </c>
      <c r="B185" s="4" t="s">
        <v>82</v>
      </c>
      <c r="C185" s="5"/>
      <c r="D185" s="8"/>
      <c r="E185" s="4" t="s">
        <v>214</v>
      </c>
      <c r="F185" s="4" t="s">
        <v>14</v>
      </c>
      <c r="G185" s="4">
        <v>0.6</v>
      </c>
    </row>
    <row r="186" spans="1:7" ht="45" hidden="1" outlineLevel="6">
      <c r="A186" s="4" t="s">
        <v>14</v>
      </c>
      <c r="B186" s="4" t="s">
        <v>82</v>
      </c>
      <c r="C186" s="5"/>
      <c r="D186" s="8" t="s">
        <v>48</v>
      </c>
      <c r="E186" s="4" t="s">
        <v>215</v>
      </c>
      <c r="F186" s="4" t="s">
        <v>14</v>
      </c>
      <c r="G186" s="4">
        <f>(G184*(G183/G187))*G188</f>
        <v>90.885000000000005</v>
      </c>
    </row>
    <row r="187" spans="1:7" hidden="1" outlineLevel="6">
      <c r="A187" s="4" t="s">
        <v>14</v>
      </c>
      <c r="B187" s="4" t="s">
        <v>82</v>
      </c>
      <c r="C187" s="5"/>
      <c r="D187" s="8" t="s">
        <v>48</v>
      </c>
      <c r="E187" s="4" t="s">
        <v>216</v>
      </c>
      <c r="F187" s="4" t="s">
        <v>14</v>
      </c>
      <c r="G187" s="4">
        <v>1000</v>
      </c>
    </row>
    <row r="188" spans="1:7" hidden="1" outlineLevel="6">
      <c r="A188" s="4" t="s">
        <v>14</v>
      </c>
      <c r="B188" s="4" t="s">
        <v>82</v>
      </c>
      <c r="C188" s="5"/>
      <c r="D188" s="8" t="s">
        <v>48</v>
      </c>
      <c r="E188" s="4" t="s">
        <v>217</v>
      </c>
      <c r="F188" s="4" t="s">
        <v>14</v>
      </c>
      <c r="G188" s="4">
        <f>365</f>
        <v>365</v>
      </c>
    </row>
    <row r="189" spans="1:7" ht="18" hidden="1" outlineLevel="6">
      <c r="A189" s="3" t="s">
        <v>14</v>
      </c>
      <c r="B189" s="3" t="s">
        <v>82</v>
      </c>
      <c r="C189" s="3"/>
      <c r="D189" s="3" t="s">
        <v>48</v>
      </c>
      <c r="E189" s="3" t="s">
        <v>218</v>
      </c>
      <c r="F189" s="3" t="s">
        <v>14</v>
      </c>
      <c r="G189" s="3">
        <f>SUM((G180*G186*G182*G185))</f>
        <v>8724.9599999999991</v>
      </c>
    </row>
    <row r="190" spans="1:7" ht="30" hidden="1" outlineLevel="6">
      <c r="A190" s="3" t="s">
        <v>14</v>
      </c>
      <c r="B190" s="3" t="s">
        <v>82</v>
      </c>
      <c r="C190" s="3"/>
      <c r="D190" s="3" t="s">
        <v>48</v>
      </c>
      <c r="E190" s="3" t="s">
        <v>219</v>
      </c>
      <c r="F190" s="3" t="s">
        <v>14</v>
      </c>
      <c r="G190" s="3">
        <f>IF(G10="Included",(G191*G189/(G192*G147)),0)</f>
        <v>2.126700319037507E-4</v>
      </c>
    </row>
    <row r="191" spans="1:7" hidden="1" outlineLevel="6">
      <c r="A191" s="3" t="s">
        <v>11</v>
      </c>
      <c r="B191" s="3" t="s">
        <v>82</v>
      </c>
      <c r="C191" s="3"/>
      <c r="D191" s="3"/>
      <c r="E191" s="3" t="s">
        <v>96</v>
      </c>
      <c r="F191" s="3" t="s">
        <v>14</v>
      </c>
      <c r="G191" s="3">
        <v>28</v>
      </c>
    </row>
    <row r="192" spans="1:7" hidden="1" outlineLevel="6">
      <c r="A192" s="3" t="s">
        <v>14</v>
      </c>
      <c r="B192" s="3" t="s">
        <v>82</v>
      </c>
      <c r="C192" s="3"/>
      <c r="D192" s="3" t="s">
        <v>48</v>
      </c>
      <c r="E192" s="3" t="s">
        <v>220</v>
      </c>
      <c r="F192" s="3" t="s">
        <v>14</v>
      </c>
      <c r="G192" s="3">
        <f>10^6</f>
        <v>1000000</v>
      </c>
    </row>
    <row r="193" spans="1:7" hidden="1" outlineLevel="6" collapsed="1">
      <c r="A193" s="3" t="s">
        <v>14</v>
      </c>
      <c r="B193" s="9" t="s">
        <v>221</v>
      </c>
      <c r="C193" s="3"/>
      <c r="D193" s="3"/>
      <c r="E193" s="3" t="s">
        <v>222</v>
      </c>
      <c r="F193" s="3" t="s">
        <v>14</v>
      </c>
      <c r="G193" s="3"/>
    </row>
    <row r="194" spans="1:7" hidden="1" outlineLevel="6">
      <c r="A194" s="3" t="s">
        <v>11</v>
      </c>
      <c r="B194" s="10" t="s">
        <v>223</v>
      </c>
      <c r="C194" s="3"/>
      <c r="D194" s="3"/>
      <c r="E194" s="3" t="s">
        <v>224</v>
      </c>
      <c r="F194" s="3" t="s">
        <v>14</v>
      </c>
      <c r="G194" s="3"/>
    </row>
    <row r="195" spans="1:7" hidden="1" outlineLevel="6">
      <c r="A195" s="4" t="s">
        <v>11</v>
      </c>
      <c r="B195" s="4" t="s">
        <v>46</v>
      </c>
      <c r="C195" s="5" t="s">
        <v>47</v>
      </c>
      <c r="D195" s="8"/>
      <c r="E195" s="4" t="s">
        <v>225</v>
      </c>
      <c r="F195" s="4" t="s">
        <v>14</v>
      </c>
      <c r="G195" s="4" t="s">
        <v>226</v>
      </c>
    </row>
    <row r="196" spans="1:7" ht="30" hidden="1" outlineLevel="6">
      <c r="A196" s="4" t="s">
        <v>11</v>
      </c>
      <c r="B196" s="4" t="s">
        <v>82</v>
      </c>
      <c r="C196" s="5"/>
      <c r="D196" s="8"/>
      <c r="E196" s="4" t="s">
        <v>227</v>
      </c>
      <c r="F196" s="4" t="s">
        <v>14</v>
      </c>
      <c r="G196" s="4">
        <v>0.92</v>
      </c>
    </row>
    <row r="197" spans="1:7" ht="30" hidden="1" outlineLevel="6">
      <c r="A197" s="4" t="s">
        <v>11</v>
      </c>
      <c r="B197" s="4" t="s">
        <v>82</v>
      </c>
      <c r="C197" s="5"/>
      <c r="D197" s="8"/>
      <c r="E197" s="4" t="s">
        <v>228</v>
      </c>
      <c r="F197" s="4" t="s">
        <v>14</v>
      </c>
      <c r="G197" s="4">
        <v>2.2999999999999998</v>
      </c>
    </row>
    <row r="198" spans="1:7" ht="30" hidden="1" outlineLevel="6">
      <c r="A198" s="4" t="s">
        <v>11</v>
      </c>
      <c r="B198" s="4" t="s">
        <v>82</v>
      </c>
      <c r="C198" s="5"/>
      <c r="D198" s="8"/>
      <c r="E198" s="4" t="s">
        <v>229</v>
      </c>
      <c r="F198" s="4" t="s">
        <v>14</v>
      </c>
      <c r="G198" s="4">
        <v>1423149.0296307299</v>
      </c>
    </row>
    <row r="199" spans="1:7" ht="18" hidden="1" outlineLevel="6">
      <c r="A199" s="4" t="s">
        <v>14</v>
      </c>
      <c r="B199" s="4" t="s">
        <v>82</v>
      </c>
      <c r="C199" s="5"/>
      <c r="D199" s="8" t="s">
        <v>48</v>
      </c>
      <c r="E199" s="4" t="s">
        <v>230</v>
      </c>
      <c r="F199" s="4" t="s">
        <v>14</v>
      </c>
      <c r="G199" s="4">
        <f>G198*G196*G197</f>
        <v>3011383.3466986245</v>
      </c>
    </row>
    <row r="200" spans="1:7" ht="18" hidden="1" outlineLevel="6">
      <c r="A200" s="3" t="s">
        <v>11</v>
      </c>
      <c r="B200" s="3" t="s">
        <v>82</v>
      </c>
      <c r="C200" s="3"/>
      <c r="D200" s="3"/>
      <c r="E200" s="3" t="s">
        <v>231</v>
      </c>
      <c r="F200" s="3" t="s">
        <v>14</v>
      </c>
      <c r="G200" s="3">
        <f>SUM(G199)</f>
        <v>3011383.3466986245</v>
      </c>
    </row>
    <row r="201" spans="1:7" ht="30" hidden="1" outlineLevel="6">
      <c r="A201" s="3" t="s">
        <v>14</v>
      </c>
      <c r="B201" s="3" t="s">
        <v>82</v>
      </c>
      <c r="C201" s="3"/>
      <c r="D201" s="3" t="s">
        <v>48</v>
      </c>
      <c r="E201" s="3" t="s">
        <v>232</v>
      </c>
      <c r="F201" s="3" t="s">
        <v>14</v>
      </c>
      <c r="G201" s="3">
        <f>IF(G7="Included",(((G202*G200)/G203)/G147),0)</f>
        <v>7.3402169455999811E-2</v>
      </c>
    </row>
    <row r="202" spans="1:7" hidden="1" outlineLevel="6">
      <c r="A202" s="3" t="s">
        <v>11</v>
      </c>
      <c r="B202" s="3" t="s">
        <v>82</v>
      </c>
      <c r="C202" s="3"/>
      <c r="D202" s="3"/>
      <c r="E202" s="3" t="s">
        <v>96</v>
      </c>
      <c r="F202" s="3" t="s">
        <v>14</v>
      </c>
      <c r="G202" s="3">
        <v>28</v>
      </c>
    </row>
    <row r="203" spans="1:7" hidden="1" outlineLevel="6">
      <c r="A203" s="3" t="s">
        <v>14</v>
      </c>
      <c r="B203" s="3" t="s">
        <v>82</v>
      </c>
      <c r="C203" s="3"/>
      <c r="D203" s="3" t="s">
        <v>48</v>
      </c>
      <c r="E203" s="3" t="s">
        <v>220</v>
      </c>
      <c r="F203" s="3" t="s">
        <v>14</v>
      </c>
      <c r="G203" s="3">
        <f>10^6</f>
        <v>1000000</v>
      </c>
    </row>
    <row r="204" spans="1:7" hidden="1" outlineLevel="6" collapsed="1">
      <c r="A204" s="3" t="s">
        <v>14</v>
      </c>
      <c r="B204" s="9" t="s">
        <v>233</v>
      </c>
      <c r="C204" s="3"/>
      <c r="D204" s="3"/>
      <c r="E204" s="3" t="s">
        <v>234</v>
      </c>
      <c r="F204" s="3" t="s">
        <v>14</v>
      </c>
      <c r="G204" s="3"/>
    </row>
    <row r="205" spans="1:7" hidden="1" outlineLevel="6">
      <c r="A205" s="3" t="s">
        <v>11</v>
      </c>
      <c r="B205" s="10" t="s">
        <v>235</v>
      </c>
      <c r="C205" s="3"/>
      <c r="D205" s="3"/>
      <c r="E205" s="3" t="s">
        <v>236</v>
      </c>
      <c r="F205" s="3" t="s">
        <v>11</v>
      </c>
      <c r="G205" s="3"/>
    </row>
    <row r="206" spans="1:7" hidden="1" outlineLevel="6">
      <c r="A206" s="4" t="s">
        <v>11</v>
      </c>
      <c r="B206" s="4" t="s">
        <v>46</v>
      </c>
      <c r="C206" s="5"/>
      <c r="D206" s="8"/>
      <c r="E206" s="4" t="s">
        <v>237</v>
      </c>
      <c r="F206" s="4" t="s">
        <v>14</v>
      </c>
      <c r="G206" s="4" t="s">
        <v>238</v>
      </c>
    </row>
    <row r="207" spans="1:7" ht="30" hidden="1" outlineLevel="6">
      <c r="A207" s="4" t="s">
        <v>11</v>
      </c>
      <c r="B207" s="4" t="s">
        <v>46</v>
      </c>
      <c r="C207" s="5" t="s">
        <v>47</v>
      </c>
      <c r="D207" s="8"/>
      <c r="E207" s="4" t="s">
        <v>239</v>
      </c>
      <c r="F207" s="4" t="s">
        <v>14</v>
      </c>
      <c r="G207" s="4">
        <v>314.03539242142602</v>
      </c>
    </row>
    <row r="208" spans="1:7" hidden="1" outlineLevel="6">
      <c r="A208" s="4" t="s">
        <v>11</v>
      </c>
      <c r="B208" s="4" t="s">
        <v>82</v>
      </c>
      <c r="C208" s="5"/>
      <c r="D208" s="8"/>
      <c r="E208" s="4" t="s">
        <v>240</v>
      </c>
      <c r="F208" s="4" t="s">
        <v>14</v>
      </c>
      <c r="G208" s="4">
        <v>0.82</v>
      </c>
    </row>
    <row r="209" spans="1:7" ht="30" hidden="1" outlineLevel="6">
      <c r="A209" s="3" t="s">
        <v>14</v>
      </c>
      <c r="B209" s="3" t="s">
        <v>82</v>
      </c>
      <c r="C209" s="3"/>
      <c r="D209" s="3" t="s">
        <v>48</v>
      </c>
      <c r="E209" s="3" t="s">
        <v>241</v>
      </c>
      <c r="F209" s="3" t="s">
        <v>14</v>
      </c>
      <c r="G209" s="3">
        <f>SUM(G207*G208)</f>
        <v>257.5090217855693</v>
      </c>
    </row>
    <row r="210" spans="1:7" hidden="1" outlineLevel="6">
      <c r="A210" s="3" t="s">
        <v>11</v>
      </c>
      <c r="B210" s="10" t="s">
        <v>242</v>
      </c>
      <c r="C210" s="3"/>
      <c r="D210" s="3"/>
      <c r="E210" s="3" t="s">
        <v>243</v>
      </c>
      <c r="F210" s="3" t="s">
        <v>11</v>
      </c>
      <c r="G210" s="3"/>
    </row>
    <row r="211" spans="1:7" hidden="1" outlineLevel="6">
      <c r="A211" s="4" t="s">
        <v>11</v>
      </c>
      <c r="B211" s="4" t="s">
        <v>46</v>
      </c>
      <c r="C211" s="5"/>
      <c r="D211" s="8"/>
      <c r="E211" s="4" t="s">
        <v>244</v>
      </c>
      <c r="F211" s="4" t="s">
        <v>14</v>
      </c>
      <c r="G211" s="4" t="s">
        <v>245</v>
      </c>
    </row>
    <row r="212" spans="1:7" ht="30" hidden="1" outlineLevel="6">
      <c r="A212" s="4" t="s">
        <v>11</v>
      </c>
      <c r="B212" s="4" t="s">
        <v>82</v>
      </c>
      <c r="C212" s="5"/>
      <c r="D212" s="8"/>
      <c r="E212" s="4" t="s">
        <v>246</v>
      </c>
      <c r="F212" s="4" t="s">
        <v>14</v>
      </c>
      <c r="G212" s="4">
        <v>483.31272857651902</v>
      </c>
    </row>
    <row r="213" spans="1:7" hidden="1" outlineLevel="6">
      <c r="A213" s="4" t="s">
        <v>11</v>
      </c>
      <c r="B213" s="4" t="s">
        <v>82</v>
      </c>
      <c r="C213" s="5"/>
      <c r="D213" s="8"/>
      <c r="E213" s="4" t="s">
        <v>247</v>
      </c>
      <c r="F213" s="4" t="s">
        <v>14</v>
      </c>
      <c r="G213" s="4">
        <v>6.6600000000000006E-2</v>
      </c>
    </row>
    <row r="214" spans="1:7" ht="30" hidden="1" outlineLevel="6">
      <c r="A214" s="3" t="s">
        <v>14</v>
      </c>
      <c r="B214" s="3" t="s">
        <v>82</v>
      </c>
      <c r="C214" s="3"/>
      <c r="D214" s="3" t="s">
        <v>48</v>
      </c>
      <c r="E214" s="3" t="s">
        <v>248</v>
      </c>
      <c r="F214" s="3" t="s">
        <v>14</v>
      </c>
      <c r="G214" s="3">
        <f>SUM(G212*G213)</f>
        <v>32.18862772319617</v>
      </c>
    </row>
    <row r="215" spans="1:7" ht="30" hidden="1" outlineLevel="6">
      <c r="A215" s="3" t="s">
        <v>11</v>
      </c>
      <c r="B215" s="3" t="s">
        <v>82</v>
      </c>
      <c r="C215" s="3"/>
      <c r="D215" s="3"/>
      <c r="E215" s="3" t="s">
        <v>249</v>
      </c>
      <c r="F215" s="3" t="s">
        <v>14</v>
      </c>
      <c r="G215" s="3">
        <v>0.01</v>
      </c>
    </row>
    <row r="216" spans="1:7" ht="30" hidden="1" outlineLevel="6">
      <c r="A216" s="3" t="s">
        <v>14</v>
      </c>
      <c r="B216" s="3" t="s">
        <v>82</v>
      </c>
      <c r="C216" s="3"/>
      <c r="D216" s="3" t="s">
        <v>48</v>
      </c>
      <c r="E216" s="3" t="s">
        <v>250</v>
      </c>
      <c r="F216" s="3" t="s">
        <v>14</v>
      </c>
      <c r="G216" s="3">
        <f>((G209+G214)*G215*44/28*G226)/G147</f>
        <v>1.0501958817208847</v>
      </c>
    </row>
    <row r="217" spans="1:7" ht="30" hidden="1" outlineLevel="6">
      <c r="A217" s="3" t="s">
        <v>11</v>
      </c>
      <c r="B217" s="3" t="s">
        <v>82</v>
      </c>
      <c r="C217" s="3"/>
      <c r="D217" s="3"/>
      <c r="E217" s="3" t="s">
        <v>251</v>
      </c>
      <c r="F217" s="3" t="s">
        <v>14</v>
      </c>
      <c r="G217" s="3">
        <v>0.11</v>
      </c>
    </row>
    <row r="218" spans="1:7" ht="30" hidden="1" outlineLevel="6">
      <c r="A218" s="3" t="s">
        <v>11</v>
      </c>
      <c r="B218" s="3" t="s">
        <v>82</v>
      </c>
      <c r="C218" s="3"/>
      <c r="D218" s="3"/>
      <c r="E218" s="3" t="s">
        <v>252</v>
      </c>
      <c r="F218" s="3" t="s">
        <v>14</v>
      </c>
      <c r="G218" s="3">
        <v>0.21</v>
      </c>
    </row>
    <row r="219" spans="1:7" ht="30" hidden="1" outlineLevel="6">
      <c r="A219" s="3" t="s">
        <v>11</v>
      </c>
      <c r="B219" s="3" t="s">
        <v>82</v>
      </c>
      <c r="C219" s="3"/>
      <c r="D219" s="3"/>
      <c r="E219" s="3" t="s">
        <v>253</v>
      </c>
      <c r="F219" s="3" t="s">
        <v>14</v>
      </c>
      <c r="G219" s="3">
        <v>0.01</v>
      </c>
    </row>
    <row r="220" spans="1:7" ht="45" hidden="1" outlineLevel="6">
      <c r="A220" s="3" t="s">
        <v>14</v>
      </c>
      <c r="B220" s="3" t="s">
        <v>82</v>
      </c>
      <c r="C220" s="3"/>
      <c r="D220" s="3" t="s">
        <v>48</v>
      </c>
      <c r="E220" s="3" t="s">
        <v>254</v>
      </c>
      <c r="F220" s="3" t="s">
        <v>14</v>
      </c>
      <c r="G220" s="3">
        <f>((G209*G217)+(G214*G218))*G219*(44/28)*G226</f>
        <v>146.10648042328191</v>
      </c>
    </row>
    <row r="221" spans="1:7" ht="45" hidden="1" outlineLevel="6">
      <c r="A221" s="3" t="s">
        <v>11</v>
      </c>
      <c r="B221" s="3" t="s">
        <v>82</v>
      </c>
      <c r="C221" s="3"/>
      <c r="D221" s="3"/>
      <c r="E221" s="3" t="s">
        <v>255</v>
      </c>
      <c r="F221" s="3" t="s">
        <v>14</v>
      </c>
      <c r="G221" s="3">
        <v>0.24</v>
      </c>
    </row>
    <row r="222" spans="1:7" ht="30" hidden="1" outlineLevel="6">
      <c r="A222" s="3" t="s">
        <v>11</v>
      </c>
      <c r="B222" s="3" t="s">
        <v>82</v>
      </c>
      <c r="C222" s="3"/>
      <c r="D222" s="3"/>
      <c r="E222" s="3" t="s">
        <v>256</v>
      </c>
      <c r="F222" s="3" t="s">
        <v>14</v>
      </c>
      <c r="G222" s="3">
        <v>1.0999999999999999E-2</v>
      </c>
    </row>
    <row r="223" spans="1:7" ht="45" hidden="1" outlineLevel="6">
      <c r="A223" s="3" t="s">
        <v>14</v>
      </c>
      <c r="B223" s="3" t="s">
        <v>82</v>
      </c>
      <c r="C223" s="3"/>
      <c r="D223" s="3" t="s">
        <v>48</v>
      </c>
      <c r="E223" s="3" t="s">
        <v>257</v>
      </c>
      <c r="F223" s="3" t="s">
        <v>14</v>
      </c>
      <c r="G223" s="3">
        <f>(G209+G214)*G221*G222*(44/28)*G226</f>
        <v>318.48531879423649</v>
      </c>
    </row>
    <row r="224" spans="1:7" ht="30" hidden="1" outlineLevel="6">
      <c r="A224" s="3" t="s">
        <v>14</v>
      </c>
      <c r="B224" s="3" t="s">
        <v>82</v>
      </c>
      <c r="C224" s="3"/>
      <c r="D224" s="3" t="s">
        <v>48</v>
      </c>
      <c r="E224" s="3" t="s">
        <v>258</v>
      </c>
      <c r="F224" s="3" t="s">
        <v>14</v>
      </c>
      <c r="G224" s="3">
        <f>(G220+G223)/G147</f>
        <v>0.40444210289384297</v>
      </c>
    </row>
    <row r="225" spans="1:7" ht="30" hidden="1" outlineLevel="6">
      <c r="A225" s="3" t="s">
        <v>14</v>
      </c>
      <c r="B225" s="3" t="s">
        <v>82</v>
      </c>
      <c r="C225" s="3"/>
      <c r="D225" s="3" t="s">
        <v>48</v>
      </c>
      <c r="E225" s="3" t="s">
        <v>259</v>
      </c>
      <c r="F225" s="3" t="s">
        <v>14</v>
      </c>
      <c r="G225" s="3">
        <f>IF(AND(G17="Included",G44="Approach 3"),G216+G224,0)</f>
        <v>0</v>
      </c>
    </row>
    <row r="226" spans="1:7" hidden="1" outlineLevel="6">
      <c r="A226" s="3" t="s">
        <v>11</v>
      </c>
      <c r="B226" s="3" t="s">
        <v>82</v>
      </c>
      <c r="C226" s="3"/>
      <c r="D226" s="3"/>
      <c r="E226" s="3" t="s">
        <v>114</v>
      </c>
      <c r="F226" s="3" t="s">
        <v>14</v>
      </c>
      <c r="G226" s="3">
        <v>265</v>
      </c>
    </row>
    <row r="227" spans="1:7" hidden="1" outlineLevel="6" collapsed="1">
      <c r="A227" s="3" t="s">
        <v>14</v>
      </c>
      <c r="B227" s="9" t="s">
        <v>260</v>
      </c>
      <c r="C227" s="3"/>
      <c r="D227" s="3"/>
      <c r="E227" s="3" t="s">
        <v>261</v>
      </c>
      <c r="F227" s="3" t="s">
        <v>14</v>
      </c>
      <c r="G227" s="3"/>
    </row>
    <row r="228" spans="1:7" hidden="1" outlineLevel="6">
      <c r="A228" s="3" t="s">
        <v>11</v>
      </c>
      <c r="B228" s="10" t="s">
        <v>262</v>
      </c>
      <c r="C228" s="3"/>
      <c r="D228" s="3"/>
      <c r="E228" s="3" t="s">
        <v>263</v>
      </c>
      <c r="F228" s="3" t="s">
        <v>11</v>
      </c>
      <c r="G228" s="3"/>
    </row>
    <row r="229" spans="1:7" hidden="1" outlineLevel="6">
      <c r="A229" s="4" t="s">
        <v>11</v>
      </c>
      <c r="B229" s="4" t="s">
        <v>46</v>
      </c>
      <c r="C229" s="5"/>
      <c r="D229" s="8"/>
      <c r="E229" s="4" t="s">
        <v>264</v>
      </c>
      <c r="F229" s="4" t="s">
        <v>14</v>
      </c>
      <c r="G229" s="4" t="s">
        <v>198</v>
      </c>
    </row>
    <row r="230" spans="1:7" ht="30" hidden="1" outlineLevel="6">
      <c r="A230" s="4" t="s">
        <v>11</v>
      </c>
      <c r="B230" s="4" t="s">
        <v>82</v>
      </c>
      <c r="C230" s="5"/>
      <c r="D230" s="8"/>
      <c r="E230" s="4" t="s">
        <v>201</v>
      </c>
      <c r="F230" s="4" t="s">
        <v>14</v>
      </c>
      <c r="G230" s="4">
        <v>160</v>
      </c>
    </row>
    <row r="231" spans="1:7" hidden="1" outlineLevel="6">
      <c r="A231" s="4" t="s">
        <v>11</v>
      </c>
      <c r="B231" s="4" t="s">
        <v>46</v>
      </c>
      <c r="C231" s="5" t="s">
        <v>47</v>
      </c>
      <c r="D231" s="8"/>
      <c r="E231" s="4" t="s">
        <v>199</v>
      </c>
      <c r="F231" s="4" t="s">
        <v>14</v>
      </c>
      <c r="G231" s="4" t="s">
        <v>200</v>
      </c>
    </row>
    <row r="232" spans="1:7" hidden="1" outlineLevel="6">
      <c r="A232" s="4" t="s">
        <v>11</v>
      </c>
      <c r="B232" s="4" t="s">
        <v>46</v>
      </c>
      <c r="C232" s="5"/>
      <c r="D232" s="8"/>
      <c r="E232" s="4" t="s">
        <v>265</v>
      </c>
      <c r="F232" s="4" t="s">
        <v>14</v>
      </c>
      <c r="G232" s="4" t="s">
        <v>266</v>
      </c>
    </row>
    <row r="233" spans="1:7" ht="45" hidden="1" outlineLevel="6">
      <c r="A233" s="4" t="s">
        <v>14</v>
      </c>
      <c r="B233" s="4" t="s">
        <v>82</v>
      </c>
      <c r="C233" s="5"/>
      <c r="D233" s="8"/>
      <c r="E233" s="4" t="s">
        <v>267</v>
      </c>
      <c r="F233" s="4" t="s">
        <v>14</v>
      </c>
      <c r="G233" s="4">
        <v>1</v>
      </c>
    </row>
    <row r="234" spans="1:7" ht="30" hidden="1" outlineLevel="6">
      <c r="A234" s="4" t="s">
        <v>11</v>
      </c>
      <c r="B234" s="4"/>
      <c r="C234" s="5"/>
      <c r="D234" s="8"/>
      <c r="E234" s="4" t="s">
        <v>268</v>
      </c>
      <c r="F234" s="4" t="s">
        <v>14</v>
      </c>
      <c r="G234" s="4">
        <v>3.504</v>
      </c>
    </row>
    <row r="235" spans="1:7" ht="30" hidden="1" outlineLevel="6">
      <c r="A235" s="4" t="s">
        <v>11</v>
      </c>
      <c r="B235" s="4" t="s">
        <v>82</v>
      </c>
      <c r="C235" s="5"/>
      <c r="D235" s="8"/>
      <c r="E235" s="4" t="s">
        <v>269</v>
      </c>
      <c r="F235" s="4" t="s">
        <v>14</v>
      </c>
      <c r="G235" s="4">
        <v>3.0000000000000001E-3</v>
      </c>
    </row>
    <row r="236" spans="1:7" ht="30" hidden="1" outlineLevel="6">
      <c r="A236" s="4" t="s">
        <v>11</v>
      </c>
      <c r="B236" s="4" t="s">
        <v>82</v>
      </c>
      <c r="C236" s="5"/>
      <c r="D236" s="8"/>
      <c r="E236" s="4" t="s">
        <v>270</v>
      </c>
      <c r="F236" s="4" t="s">
        <v>14</v>
      </c>
      <c r="G236" s="4">
        <v>1</v>
      </c>
    </row>
    <row r="237" spans="1:7" ht="30" hidden="1" outlineLevel="6">
      <c r="A237" s="4" t="s">
        <v>14</v>
      </c>
      <c r="B237" s="4" t="s">
        <v>82</v>
      </c>
      <c r="C237" s="5"/>
      <c r="D237" s="8" t="s">
        <v>48</v>
      </c>
      <c r="E237" s="4" t="s">
        <v>271</v>
      </c>
      <c r="F237" s="4" t="s">
        <v>14</v>
      </c>
      <c r="G237" s="4">
        <f>(G230*G234)*G233*G236/1000</f>
        <v>0.56064000000000003</v>
      </c>
    </row>
    <row r="238" spans="1:7" ht="45" hidden="1" outlineLevel="6">
      <c r="A238" s="4"/>
      <c r="B238" s="4" t="s">
        <v>82</v>
      </c>
      <c r="C238" s="5"/>
      <c r="D238" s="8"/>
      <c r="E238" s="4" t="s">
        <v>255</v>
      </c>
      <c r="F238" s="4" t="s">
        <v>14</v>
      </c>
      <c r="G238" s="4">
        <v>0.24</v>
      </c>
    </row>
    <row r="239" spans="1:7" ht="30" hidden="1" outlineLevel="6">
      <c r="A239" s="4" t="s">
        <v>11</v>
      </c>
      <c r="B239" s="4" t="s">
        <v>82</v>
      </c>
      <c r="C239" s="5"/>
      <c r="D239" s="8"/>
      <c r="E239" s="4" t="s">
        <v>252</v>
      </c>
      <c r="F239" s="4" t="s">
        <v>14</v>
      </c>
      <c r="G239" s="4">
        <v>0.21</v>
      </c>
    </row>
    <row r="240" spans="1:7" ht="30" hidden="1" outlineLevel="6">
      <c r="A240" s="4" t="s">
        <v>11</v>
      </c>
      <c r="B240" s="4" t="s">
        <v>82</v>
      </c>
      <c r="C240" s="5"/>
      <c r="D240" s="8"/>
      <c r="E240" s="4" t="s">
        <v>256</v>
      </c>
      <c r="F240" s="4" t="s">
        <v>14</v>
      </c>
      <c r="G240" s="4">
        <v>1.0999999999999999E-2</v>
      </c>
    </row>
    <row r="241" spans="1:7" ht="30" hidden="1" outlineLevel="6">
      <c r="A241" s="4" t="s">
        <v>11</v>
      </c>
      <c r="B241" s="4" t="s">
        <v>82</v>
      </c>
      <c r="C241" s="5"/>
      <c r="D241" s="8"/>
      <c r="E241" s="4" t="s">
        <v>253</v>
      </c>
      <c r="F241" s="4" t="s">
        <v>14</v>
      </c>
      <c r="G241" s="4">
        <v>0.01</v>
      </c>
    </row>
    <row r="242" spans="1:7" ht="75" hidden="1" outlineLevel="6">
      <c r="A242" s="4" t="s">
        <v>14</v>
      </c>
      <c r="B242" s="4" t="s">
        <v>82</v>
      </c>
      <c r="C242" s="5"/>
      <c r="D242" s="8" t="s">
        <v>48</v>
      </c>
      <c r="E242" s="4" t="s">
        <v>272</v>
      </c>
      <c r="F242" s="4" t="s">
        <v>14</v>
      </c>
      <c r="G242" s="4">
        <f>G237*G238*G240*(44/28)*G247</f>
        <v>0.6163515977142856</v>
      </c>
    </row>
    <row r="243" spans="1:7" ht="45" hidden="1" outlineLevel="6">
      <c r="A243" s="4" t="s">
        <v>14</v>
      </c>
      <c r="B243" s="4" t="s">
        <v>82</v>
      </c>
      <c r="C243" s="5"/>
      <c r="D243" s="8" t="s">
        <v>48</v>
      </c>
      <c r="E243" s="4" t="s">
        <v>273</v>
      </c>
      <c r="F243" s="4" t="s">
        <v>14</v>
      </c>
      <c r="G243" s="4">
        <f>G237*G239*G241*(44/28)*G247</f>
        <v>0.49027968000000005</v>
      </c>
    </row>
    <row r="244" spans="1:7" ht="45" hidden="1" outlineLevel="6">
      <c r="A244" s="3" t="s">
        <v>14</v>
      </c>
      <c r="B244" s="3" t="s">
        <v>82</v>
      </c>
      <c r="C244" s="3"/>
      <c r="D244" s="3" t="s">
        <v>48</v>
      </c>
      <c r="E244" s="3" t="s">
        <v>274</v>
      </c>
      <c r="F244" s="3" t="s">
        <v>14</v>
      </c>
      <c r="G244" s="3">
        <f>SUM((G237*G235*(44/28)*G247))/G147</f>
        <v>6.0972032751358094E-4</v>
      </c>
    </row>
    <row r="245" spans="1:7" ht="30" hidden="1" outlineLevel="6">
      <c r="A245" s="3" t="s">
        <v>14</v>
      </c>
      <c r="B245" s="3" t="s">
        <v>82</v>
      </c>
      <c r="C245" s="3"/>
      <c r="D245" s="3" t="s">
        <v>48</v>
      </c>
      <c r="E245" s="3" t="s">
        <v>275</v>
      </c>
      <c r="F245" s="3" t="s">
        <v>14</v>
      </c>
      <c r="G245" s="3">
        <f>SUM((G243+G242))/G147</f>
        <v>9.6335811747145779E-4</v>
      </c>
    </row>
    <row r="246" spans="1:7" ht="30" hidden="1" outlineLevel="6">
      <c r="A246" s="3" t="s">
        <v>14</v>
      </c>
      <c r="B246" s="3" t="s">
        <v>82</v>
      </c>
      <c r="C246" s="3"/>
      <c r="D246" s="3" t="s">
        <v>48</v>
      </c>
      <c r="E246" s="3" t="s">
        <v>276</v>
      </c>
      <c r="F246" s="3" t="s">
        <v>14</v>
      </c>
      <c r="G246" s="3">
        <f>IF(AND(G11="Included",G37="Approach 1"),G244+G245,0)</f>
        <v>0</v>
      </c>
    </row>
    <row r="247" spans="1:7" hidden="1" outlineLevel="6">
      <c r="A247" s="3" t="s">
        <v>11</v>
      </c>
      <c r="B247" s="3" t="s">
        <v>82</v>
      </c>
      <c r="C247" s="3"/>
      <c r="D247" s="3"/>
      <c r="E247" s="3" t="s">
        <v>114</v>
      </c>
      <c r="F247" s="3" t="s">
        <v>14</v>
      </c>
      <c r="G247" s="3">
        <v>265</v>
      </c>
    </row>
    <row r="248" spans="1:7" hidden="1" outlineLevel="6" collapsed="1">
      <c r="A248" s="3" t="s">
        <v>14</v>
      </c>
      <c r="B248" s="9" t="s">
        <v>277</v>
      </c>
      <c r="C248" s="3"/>
      <c r="D248" s="3"/>
      <c r="E248" s="3" t="s">
        <v>278</v>
      </c>
      <c r="F248" s="3" t="s">
        <v>14</v>
      </c>
      <c r="G248" s="3"/>
    </row>
    <row r="249" spans="1:7" hidden="1" outlineLevel="6">
      <c r="A249" s="3" t="s">
        <v>11</v>
      </c>
      <c r="B249" s="10" t="s">
        <v>279</v>
      </c>
      <c r="C249" s="3"/>
      <c r="D249" s="3"/>
      <c r="E249" s="3" t="s">
        <v>280</v>
      </c>
      <c r="F249" s="3" t="s">
        <v>11</v>
      </c>
      <c r="G249" s="3"/>
    </row>
    <row r="250" spans="1:7" hidden="1" outlineLevel="6">
      <c r="A250" s="4" t="s">
        <v>11</v>
      </c>
      <c r="B250" s="4" t="s">
        <v>46</v>
      </c>
      <c r="C250" s="5"/>
      <c r="D250" s="8"/>
      <c r="E250" s="4" t="s">
        <v>281</v>
      </c>
      <c r="F250" s="4" t="s">
        <v>14</v>
      </c>
      <c r="G250" s="4" t="s">
        <v>282</v>
      </c>
    </row>
    <row r="251" spans="1:7" ht="30" hidden="1" outlineLevel="6">
      <c r="A251" s="4" t="s">
        <v>11</v>
      </c>
      <c r="B251" s="4" t="s">
        <v>82</v>
      </c>
      <c r="C251" s="5"/>
      <c r="D251" s="8"/>
      <c r="E251" s="4" t="s">
        <v>283</v>
      </c>
      <c r="F251" s="4" t="s">
        <v>14</v>
      </c>
      <c r="G251" s="4">
        <v>10000</v>
      </c>
    </row>
    <row r="252" spans="1:7" hidden="1" outlineLevel="6">
      <c r="A252" s="4" t="s">
        <v>11</v>
      </c>
      <c r="B252" s="4" t="s">
        <v>82</v>
      </c>
      <c r="C252" s="5" t="s">
        <v>47</v>
      </c>
      <c r="D252" s="8"/>
      <c r="E252" s="4" t="s">
        <v>284</v>
      </c>
      <c r="F252" s="4" t="s">
        <v>14</v>
      </c>
      <c r="G252" s="4">
        <v>8.0000000000000002E-3</v>
      </c>
    </row>
    <row r="253" spans="1:7" hidden="1" outlineLevel="6">
      <c r="A253" s="3" t="s">
        <v>11</v>
      </c>
      <c r="B253" s="3" t="s">
        <v>82</v>
      </c>
      <c r="C253" s="3"/>
      <c r="D253" s="3"/>
      <c r="E253" s="3" t="s">
        <v>240</v>
      </c>
      <c r="F253" s="3" t="s">
        <v>14</v>
      </c>
      <c r="G253" s="3">
        <v>0.01</v>
      </c>
    </row>
    <row r="254" spans="1:7" ht="30" hidden="1" outlineLevel="6">
      <c r="A254" s="3" t="s">
        <v>14</v>
      </c>
      <c r="B254" s="3" t="s">
        <v>82</v>
      </c>
      <c r="C254" s="3"/>
      <c r="D254" s="3" t="s">
        <v>48</v>
      </c>
      <c r="E254" s="3" t="s">
        <v>285</v>
      </c>
      <c r="F254" s="3" t="s">
        <v>14</v>
      </c>
      <c r="G254" s="3">
        <f>SUM(G251*G252)</f>
        <v>80</v>
      </c>
    </row>
    <row r="255" spans="1:7" ht="45" hidden="1" outlineLevel="6">
      <c r="A255" s="3" t="s">
        <v>11</v>
      </c>
      <c r="B255" s="3" t="s">
        <v>82</v>
      </c>
      <c r="C255" s="3"/>
      <c r="D255" s="3" t="s">
        <v>48</v>
      </c>
      <c r="E255" s="3" t="s">
        <v>286</v>
      </c>
      <c r="F255" s="3" t="s">
        <v>14</v>
      </c>
      <c r="G255" s="3">
        <f>(G254*G253*(44/28)*G256)/G147</f>
        <v>0.29001157130592697</v>
      </c>
    </row>
    <row r="256" spans="1:7" hidden="1" outlineLevel="6">
      <c r="A256" s="3" t="s">
        <v>11</v>
      </c>
      <c r="B256" s="3" t="s">
        <v>82</v>
      </c>
      <c r="C256" s="3"/>
      <c r="D256" s="3"/>
      <c r="E256" s="3" t="s">
        <v>114</v>
      </c>
      <c r="F256" s="3" t="s">
        <v>14</v>
      </c>
      <c r="G256" s="3">
        <v>265</v>
      </c>
    </row>
    <row r="257" spans="1:7" hidden="1" outlineLevel="6" collapsed="1">
      <c r="A257" s="3" t="s">
        <v>14</v>
      </c>
      <c r="B257" s="10" t="s">
        <v>287</v>
      </c>
      <c r="C257" s="3"/>
      <c r="D257" s="3"/>
      <c r="E257" s="3" t="s">
        <v>288</v>
      </c>
      <c r="F257" s="3" t="s">
        <v>14</v>
      </c>
      <c r="G257" s="3"/>
    </row>
    <row r="258" spans="1:7" hidden="1" outlineLevel="6">
      <c r="A258" s="3" t="s">
        <v>11</v>
      </c>
      <c r="B258" s="10" t="s">
        <v>289</v>
      </c>
      <c r="C258" s="3"/>
      <c r="D258" s="3"/>
      <c r="E258" s="3" t="s">
        <v>290</v>
      </c>
      <c r="F258" s="3" t="s">
        <v>11</v>
      </c>
      <c r="G258" s="3"/>
    </row>
    <row r="259" spans="1:7" hidden="1" outlineLevel="6">
      <c r="A259" s="4" t="s">
        <v>11</v>
      </c>
      <c r="B259" s="4" t="s">
        <v>46</v>
      </c>
      <c r="C259" s="5" t="s">
        <v>47</v>
      </c>
      <c r="D259" s="8"/>
      <c r="E259" s="4" t="s">
        <v>225</v>
      </c>
      <c r="F259" s="4" t="s">
        <v>14</v>
      </c>
      <c r="G259" s="4" t="s">
        <v>226</v>
      </c>
    </row>
    <row r="260" spans="1:7" ht="30" hidden="1" outlineLevel="6">
      <c r="A260" s="4" t="s">
        <v>11</v>
      </c>
      <c r="B260" s="4" t="s">
        <v>82</v>
      </c>
      <c r="C260" s="5"/>
      <c r="D260" s="8"/>
      <c r="E260" s="4" t="s">
        <v>227</v>
      </c>
      <c r="F260" s="4" t="s">
        <v>14</v>
      </c>
      <c r="G260" s="4">
        <v>0.92</v>
      </c>
    </row>
    <row r="261" spans="1:7" ht="30" hidden="1" outlineLevel="6">
      <c r="A261" s="4" t="s">
        <v>11</v>
      </c>
      <c r="B261" s="4" t="s">
        <v>82</v>
      </c>
      <c r="C261" s="5"/>
      <c r="D261" s="8"/>
      <c r="E261" s="4" t="s">
        <v>291</v>
      </c>
      <c r="F261" s="4" t="s">
        <v>14</v>
      </c>
      <c r="G261" s="4">
        <v>0.21</v>
      </c>
    </row>
    <row r="262" spans="1:7" ht="30" hidden="1" outlineLevel="6">
      <c r="A262" s="4" t="s">
        <v>11</v>
      </c>
      <c r="B262" s="4" t="s">
        <v>82</v>
      </c>
      <c r="C262" s="5"/>
      <c r="D262" s="8"/>
      <c r="E262" s="4" t="s">
        <v>229</v>
      </c>
      <c r="F262" s="4" t="s">
        <v>14</v>
      </c>
      <c r="G262" s="4">
        <v>1423149.0296307299</v>
      </c>
    </row>
    <row r="263" spans="1:7" ht="18" hidden="1" outlineLevel="6">
      <c r="A263" s="4" t="s">
        <v>14</v>
      </c>
      <c r="B263" s="4" t="s">
        <v>82</v>
      </c>
      <c r="C263" s="5"/>
      <c r="D263" s="8" t="s">
        <v>48</v>
      </c>
      <c r="E263" s="4" t="s">
        <v>292</v>
      </c>
      <c r="F263" s="4" t="s">
        <v>14</v>
      </c>
      <c r="G263" s="4">
        <f>G262*G260*G261</f>
        <v>274952.39252465701</v>
      </c>
    </row>
    <row r="264" spans="1:7" ht="18" hidden="1" outlineLevel="6">
      <c r="A264" s="3" t="s">
        <v>11</v>
      </c>
      <c r="B264" s="3" t="s">
        <v>82</v>
      </c>
      <c r="C264" s="3"/>
      <c r="D264" s="3"/>
      <c r="E264" s="3" t="s">
        <v>293</v>
      </c>
      <c r="F264" s="3" t="s">
        <v>14</v>
      </c>
      <c r="G264" s="3">
        <f>SUM(G263)</f>
        <v>274952.39252465701</v>
      </c>
    </row>
    <row r="265" spans="1:7" ht="30" hidden="1" outlineLevel="6">
      <c r="A265" s="3" t="s">
        <v>14</v>
      </c>
      <c r="B265" s="3" t="s">
        <v>82</v>
      </c>
      <c r="C265" s="3"/>
      <c r="D265" s="3" t="s">
        <v>48</v>
      </c>
      <c r="E265" s="3" t="s">
        <v>294</v>
      </c>
      <c r="F265" s="3" t="s">
        <v>14</v>
      </c>
      <c r="G265" s="3">
        <f>IF(G8="Included",(((G266*G264)/G267)/G147),0)</f>
        <v>0</v>
      </c>
    </row>
    <row r="266" spans="1:7" hidden="1" outlineLevel="6">
      <c r="A266" s="3" t="s">
        <v>11</v>
      </c>
      <c r="B266" s="3" t="s">
        <v>82</v>
      </c>
      <c r="C266" s="3"/>
      <c r="D266" s="3"/>
      <c r="E266" s="3" t="s">
        <v>114</v>
      </c>
      <c r="F266" s="3" t="s">
        <v>14</v>
      </c>
      <c r="G266" s="3">
        <v>265</v>
      </c>
    </row>
    <row r="267" spans="1:7" hidden="1" outlineLevel="6">
      <c r="A267" s="3" t="s">
        <v>14</v>
      </c>
      <c r="B267" s="3" t="s">
        <v>82</v>
      </c>
      <c r="C267" s="3"/>
      <c r="D267" s="3" t="s">
        <v>48</v>
      </c>
      <c r="E267" s="3" t="s">
        <v>220</v>
      </c>
      <c r="F267" s="3" t="s">
        <v>14</v>
      </c>
      <c r="G267" s="3">
        <f>10^6</f>
        <v>1000000</v>
      </c>
    </row>
    <row r="268" spans="1:7" hidden="1" outlineLevel="6" collapsed="1">
      <c r="A268" s="3" t="s">
        <v>14</v>
      </c>
      <c r="B268" s="9" t="s">
        <v>295</v>
      </c>
      <c r="C268" s="3"/>
      <c r="D268" s="3"/>
      <c r="E268" s="3" t="s">
        <v>296</v>
      </c>
      <c r="F268" s="3" t="s">
        <v>14</v>
      </c>
      <c r="G268" s="3"/>
    </row>
    <row r="269" spans="1:7" ht="30" hidden="1" outlineLevel="6">
      <c r="A269" s="3" t="s">
        <v>14</v>
      </c>
      <c r="B269" s="3" t="s">
        <v>82</v>
      </c>
      <c r="C269" s="3"/>
      <c r="D269" s="3" t="s">
        <v>48</v>
      </c>
      <c r="E269" s="3" t="s">
        <v>297</v>
      </c>
      <c r="F269" s="3" t="s">
        <v>14</v>
      </c>
      <c r="G269" s="11">
        <f>IF(G44="Approach 3",G225+G246+G255,0)</f>
        <v>0</v>
      </c>
    </row>
    <row r="270" spans="1:7" hidden="1" outlineLevel="4">
      <c r="A270" s="3" t="s">
        <v>11</v>
      </c>
      <c r="B270" s="9" t="s">
        <v>298</v>
      </c>
      <c r="C270" s="3"/>
      <c r="D270" s="3"/>
      <c r="E270" s="3" t="s">
        <v>299</v>
      </c>
      <c r="F270" s="3" t="s">
        <v>14</v>
      </c>
      <c r="G270" s="3"/>
    </row>
    <row r="271" spans="1:7" hidden="1" outlineLevel="6" collapsed="1">
      <c r="A271" s="3" t="s">
        <v>14</v>
      </c>
      <c r="B271" s="9" t="s">
        <v>300</v>
      </c>
      <c r="C271" s="3"/>
      <c r="D271" s="3"/>
      <c r="E271" s="3" t="s">
        <v>301</v>
      </c>
      <c r="F271" s="3" t="s">
        <v>14</v>
      </c>
      <c r="G271" s="3"/>
    </row>
    <row r="272" spans="1:7" hidden="1" outlineLevel="6">
      <c r="A272" s="3" t="s">
        <v>11</v>
      </c>
      <c r="B272" s="10" t="s">
        <v>302</v>
      </c>
      <c r="C272" s="3"/>
      <c r="D272" s="3"/>
      <c r="E272" s="3" t="s">
        <v>303</v>
      </c>
      <c r="F272" s="3" t="s">
        <v>11</v>
      </c>
      <c r="G272" s="3"/>
    </row>
    <row r="273" spans="1:7" hidden="1" outlineLevel="6">
      <c r="A273" s="4" t="s">
        <v>11</v>
      </c>
      <c r="B273" s="4" t="s">
        <v>46</v>
      </c>
      <c r="C273" s="5" t="s">
        <v>47</v>
      </c>
      <c r="D273" s="8"/>
      <c r="E273" s="4" t="s">
        <v>177</v>
      </c>
      <c r="F273" s="4" t="s">
        <v>14</v>
      </c>
      <c r="G273" s="4" t="s">
        <v>178</v>
      </c>
    </row>
    <row r="274" spans="1:7" ht="45" hidden="1" outlineLevel="6">
      <c r="A274" s="4" t="s">
        <v>14</v>
      </c>
      <c r="B274" s="4" t="s">
        <v>82</v>
      </c>
      <c r="C274" s="5" t="s">
        <v>47</v>
      </c>
      <c r="D274" s="8" t="s">
        <v>48</v>
      </c>
      <c r="E274" s="4" t="s">
        <v>304</v>
      </c>
      <c r="F274" s="4" t="s">
        <v>14</v>
      </c>
      <c r="G274" s="4">
        <f>G275*G276</f>
        <v>86.58</v>
      </c>
    </row>
    <row r="275" spans="1:7" hidden="1" outlineLevel="6">
      <c r="A275" s="4" t="s">
        <v>11</v>
      </c>
      <c r="B275" s="4" t="s">
        <v>82</v>
      </c>
      <c r="C275" s="5" t="s">
        <v>47</v>
      </c>
      <c r="D275" s="8"/>
      <c r="E275" s="4" t="s">
        <v>180</v>
      </c>
      <c r="F275" s="4" t="s">
        <v>14</v>
      </c>
      <c r="G275" s="4">
        <v>30000</v>
      </c>
    </row>
    <row r="276" spans="1:7" hidden="1" outlineLevel="6">
      <c r="A276" s="4" t="s">
        <v>11</v>
      </c>
      <c r="B276" s="4" t="s">
        <v>82</v>
      </c>
      <c r="C276" s="5" t="s">
        <v>47</v>
      </c>
      <c r="D276" s="8"/>
      <c r="E276" s="4" t="s">
        <v>181</v>
      </c>
      <c r="F276" s="4" t="s">
        <v>14</v>
      </c>
      <c r="G276" s="4">
        <v>2.8860000000000001E-3</v>
      </c>
    </row>
    <row r="277" spans="1:7" ht="30" hidden="1" outlineLevel="6" collapsed="1">
      <c r="A277" s="3" t="s">
        <v>14</v>
      </c>
      <c r="B277" s="3" t="s">
        <v>82</v>
      </c>
      <c r="C277" s="3" t="s">
        <v>47</v>
      </c>
      <c r="D277" s="3" t="s">
        <v>48</v>
      </c>
      <c r="E277" s="3" t="s">
        <v>305</v>
      </c>
      <c r="F277" s="3" t="s">
        <v>14</v>
      </c>
      <c r="G277" s="3">
        <f>IF(G22="Included",G278/G147,0)</f>
        <v>7.5370674487851674E-2</v>
      </c>
    </row>
    <row r="278" spans="1:7" ht="45" hidden="1" outlineLevel="6">
      <c r="A278" s="3" t="s">
        <v>14</v>
      </c>
      <c r="B278" s="3" t="s">
        <v>82</v>
      </c>
      <c r="C278" s="3"/>
      <c r="D278" s="3" t="s">
        <v>48</v>
      </c>
      <c r="E278" s="3" t="s">
        <v>306</v>
      </c>
      <c r="F278" s="3" t="s">
        <v>14</v>
      </c>
      <c r="G278" s="3">
        <f>SUM(G274)</f>
        <v>86.58</v>
      </c>
    </row>
    <row r="279" spans="1:7" hidden="1" outlineLevel="6" collapsed="1">
      <c r="A279" s="3" t="s">
        <v>14</v>
      </c>
      <c r="B279" s="9" t="s">
        <v>307</v>
      </c>
      <c r="C279" s="3"/>
      <c r="D279" s="3"/>
      <c r="E279" s="3" t="s">
        <v>308</v>
      </c>
      <c r="F279" s="3" t="s">
        <v>14</v>
      </c>
      <c r="G279" s="3"/>
    </row>
    <row r="280" spans="1:7" ht="30" hidden="1" outlineLevel="6">
      <c r="A280" s="4" t="s">
        <v>11</v>
      </c>
      <c r="B280" s="4" t="s">
        <v>82</v>
      </c>
      <c r="C280" s="5" t="s">
        <v>47</v>
      </c>
      <c r="D280" s="8"/>
      <c r="E280" s="4" t="s">
        <v>186</v>
      </c>
      <c r="F280" s="4" t="s">
        <v>14</v>
      </c>
      <c r="G280" s="4">
        <v>8</v>
      </c>
    </row>
    <row r="281" spans="1:7" hidden="1" outlineLevel="6">
      <c r="A281" s="4" t="s">
        <v>14</v>
      </c>
      <c r="B281" s="4" t="s">
        <v>82</v>
      </c>
      <c r="C281" s="5"/>
      <c r="D281" s="8" t="s">
        <v>48</v>
      </c>
      <c r="E281" s="4" t="s">
        <v>187</v>
      </c>
      <c r="F281" s="4" t="s">
        <v>14</v>
      </c>
      <c r="G281" s="4">
        <f>0.12</f>
        <v>0.12</v>
      </c>
    </row>
    <row r="282" spans="1:7" ht="30" hidden="1" outlineLevel="6">
      <c r="A282" s="4" t="s">
        <v>11</v>
      </c>
      <c r="B282" s="4" t="s">
        <v>82</v>
      </c>
      <c r="C282" s="5"/>
      <c r="D282" s="8"/>
      <c r="E282" s="4" t="s">
        <v>188</v>
      </c>
      <c r="F282" s="4" t="s">
        <v>14</v>
      </c>
      <c r="G282" s="4">
        <v>3</v>
      </c>
    </row>
    <row r="283" spans="1:7" hidden="1" outlineLevel="6">
      <c r="A283" s="4" t="s">
        <v>14</v>
      </c>
      <c r="B283" s="4" t="s">
        <v>82</v>
      </c>
      <c r="C283" s="5"/>
      <c r="D283" s="8" t="s">
        <v>48</v>
      </c>
      <c r="E283" s="4" t="s">
        <v>189</v>
      </c>
      <c r="F283" s="4" t="s">
        <v>14</v>
      </c>
      <c r="G283" s="4">
        <f>0.13</f>
        <v>0.13</v>
      </c>
    </row>
    <row r="284" spans="1:7" ht="30" hidden="1" outlineLevel="6">
      <c r="A284" s="4" t="s">
        <v>14</v>
      </c>
      <c r="B284" s="4" t="s">
        <v>82</v>
      </c>
      <c r="C284" s="5"/>
      <c r="D284" s="8" t="s">
        <v>48</v>
      </c>
      <c r="E284" s="4" t="s">
        <v>309</v>
      </c>
      <c r="F284" s="4" t="s">
        <v>14</v>
      </c>
      <c r="G284" s="4">
        <f>((G280*G281)+(G282*G283))*G286</f>
        <v>4.95</v>
      </c>
    </row>
    <row r="285" spans="1:7" ht="30" hidden="1" outlineLevel="6">
      <c r="A285" s="4" t="s">
        <v>14</v>
      </c>
      <c r="B285" s="4" t="s">
        <v>82</v>
      </c>
      <c r="C285" s="5"/>
      <c r="D285" s="8" t="s">
        <v>48</v>
      </c>
      <c r="E285" s="4" t="s">
        <v>310</v>
      </c>
      <c r="F285" s="4" t="s">
        <v>14</v>
      </c>
      <c r="G285" s="4">
        <f>IF(AND(G31="Included",G45="Approach 3"),G284/G147,0)</f>
        <v>4.3091341962908959E-3</v>
      </c>
    </row>
    <row r="286" spans="1:7" ht="30" hidden="1" outlineLevel="6">
      <c r="A286" s="4" t="s">
        <v>14</v>
      </c>
      <c r="B286" s="4" t="s">
        <v>82</v>
      </c>
      <c r="C286" s="5"/>
      <c r="D286" s="8" t="s">
        <v>48</v>
      </c>
      <c r="E286" s="4" t="s">
        <v>192</v>
      </c>
      <c r="F286" s="4" t="s">
        <v>14</v>
      </c>
      <c r="G286" s="4">
        <f>44/12</f>
        <v>3.6666666666666665</v>
      </c>
    </row>
    <row r="287" spans="1:7" hidden="1" outlineLevel="6" collapsed="1">
      <c r="A287" s="3" t="s">
        <v>14</v>
      </c>
      <c r="B287" s="9" t="s">
        <v>311</v>
      </c>
      <c r="C287" s="3"/>
      <c r="D287" s="3"/>
      <c r="E287" s="3" t="s">
        <v>312</v>
      </c>
      <c r="F287" s="3" t="s">
        <v>14</v>
      </c>
      <c r="G287" s="3"/>
    </row>
    <row r="288" spans="1:7" hidden="1" outlineLevel="6">
      <c r="A288" s="3" t="s">
        <v>11</v>
      </c>
      <c r="B288" s="10" t="s">
        <v>313</v>
      </c>
      <c r="C288" s="3"/>
      <c r="D288" s="3"/>
      <c r="E288" s="3" t="s">
        <v>314</v>
      </c>
      <c r="F288" s="3" t="s">
        <v>11</v>
      </c>
      <c r="G288" s="3"/>
    </row>
    <row r="289" spans="1:7" hidden="1" outlineLevel="6">
      <c r="A289" s="4" t="s">
        <v>11</v>
      </c>
      <c r="B289" s="4" t="s">
        <v>46</v>
      </c>
      <c r="C289" s="5" t="s">
        <v>47</v>
      </c>
      <c r="D289" s="8"/>
      <c r="E289" s="4" t="s">
        <v>197</v>
      </c>
      <c r="F289" s="4" t="s">
        <v>14</v>
      </c>
      <c r="G289" s="4" t="s">
        <v>198</v>
      </c>
    </row>
    <row r="290" spans="1:7" hidden="1" outlineLevel="6">
      <c r="A290" s="4" t="s">
        <v>11</v>
      </c>
      <c r="B290" s="4" t="s">
        <v>46</v>
      </c>
      <c r="C290" s="5"/>
      <c r="D290" s="8"/>
      <c r="E290" s="4" t="s">
        <v>199</v>
      </c>
      <c r="F290" s="4" t="s">
        <v>14</v>
      </c>
      <c r="G290" s="4" t="s">
        <v>200</v>
      </c>
    </row>
    <row r="291" spans="1:7" ht="30" hidden="1" outlineLevel="6">
      <c r="A291" s="4" t="s">
        <v>11</v>
      </c>
      <c r="B291" s="4" t="s">
        <v>82</v>
      </c>
      <c r="C291" s="5"/>
      <c r="D291" s="8"/>
      <c r="E291" s="4" t="s">
        <v>315</v>
      </c>
      <c r="F291" s="4" t="s">
        <v>14</v>
      </c>
      <c r="G291" s="4">
        <v>160</v>
      </c>
    </row>
    <row r="292" spans="1:7" ht="30" hidden="1" outlineLevel="6">
      <c r="A292" s="4" t="s">
        <v>11</v>
      </c>
      <c r="B292" s="4" t="s">
        <v>82</v>
      </c>
      <c r="C292" s="5"/>
      <c r="D292" s="8"/>
      <c r="E292" s="4" t="s">
        <v>202</v>
      </c>
      <c r="F292" s="4" t="s">
        <v>14</v>
      </c>
      <c r="G292" s="4">
        <v>5.9951801952627202</v>
      </c>
    </row>
    <row r="293" spans="1:7" ht="30" hidden="1" outlineLevel="6">
      <c r="A293" s="4" t="s">
        <v>14</v>
      </c>
      <c r="B293" s="4" t="s">
        <v>82</v>
      </c>
      <c r="C293" s="5"/>
      <c r="D293" s="8" t="s">
        <v>48</v>
      </c>
      <c r="E293" s="4" t="s">
        <v>309</v>
      </c>
      <c r="F293" s="4" t="s">
        <v>14</v>
      </c>
      <c r="G293" s="4">
        <f>G291*G292</f>
        <v>959.2288312420352</v>
      </c>
    </row>
    <row r="294" spans="1:7" ht="30" hidden="1" outlineLevel="6">
      <c r="A294" s="3" t="s">
        <v>14</v>
      </c>
      <c r="B294" s="3" t="s">
        <v>82</v>
      </c>
      <c r="C294" s="3"/>
      <c r="D294" s="3" t="s">
        <v>48</v>
      </c>
      <c r="E294" s="3" t="s">
        <v>310</v>
      </c>
      <c r="F294" s="3" t="s">
        <v>14</v>
      </c>
      <c r="G294" s="3">
        <f>SUM(G293)</f>
        <v>959.2288312420352</v>
      </c>
    </row>
    <row r="295" spans="1:7" ht="30" hidden="1" outlineLevel="6">
      <c r="A295" s="3" t="s">
        <v>14</v>
      </c>
      <c r="B295" s="3" t="s">
        <v>82</v>
      </c>
      <c r="C295" s="3"/>
      <c r="D295" s="3" t="s">
        <v>48</v>
      </c>
      <c r="E295" s="3" t="s">
        <v>316</v>
      </c>
      <c r="F295" s="3" t="s">
        <v>14</v>
      </c>
      <c r="G295" s="3">
        <f>IF(G29="Included",(((G297*G294)/G296)/G147),0)</f>
        <v>2.3381107322353472E-2</v>
      </c>
    </row>
    <row r="296" spans="1:7" hidden="1" outlineLevel="6">
      <c r="A296" s="3" t="s">
        <v>14</v>
      </c>
      <c r="B296" s="3" t="s">
        <v>82</v>
      </c>
      <c r="C296" s="3"/>
      <c r="D296" s="3" t="s">
        <v>48</v>
      </c>
      <c r="E296" s="3" t="s">
        <v>204</v>
      </c>
      <c r="F296" s="3" t="s">
        <v>14</v>
      </c>
      <c r="G296" s="3">
        <f>1000</f>
        <v>1000</v>
      </c>
    </row>
    <row r="297" spans="1:7" hidden="1" outlineLevel="6">
      <c r="A297" s="3" t="s">
        <v>11</v>
      </c>
      <c r="B297" s="3" t="s">
        <v>82</v>
      </c>
      <c r="C297" s="3"/>
      <c r="D297" s="3"/>
      <c r="E297" s="3" t="s">
        <v>96</v>
      </c>
      <c r="F297" s="3" t="s">
        <v>14</v>
      </c>
      <c r="G297" s="3">
        <v>28</v>
      </c>
    </row>
    <row r="298" spans="1:7" hidden="1" outlineLevel="6" collapsed="1">
      <c r="A298" s="3" t="s">
        <v>14</v>
      </c>
      <c r="B298" s="9" t="s">
        <v>317</v>
      </c>
      <c r="C298" s="3"/>
      <c r="D298" s="3"/>
      <c r="E298" s="3" t="s">
        <v>318</v>
      </c>
      <c r="F298" s="3" t="s">
        <v>14</v>
      </c>
      <c r="G298" s="3"/>
    </row>
    <row r="299" spans="1:7" hidden="1" outlineLevel="6">
      <c r="A299" s="3" t="s">
        <v>11</v>
      </c>
      <c r="B299" s="10" t="s">
        <v>319</v>
      </c>
      <c r="C299" s="3"/>
      <c r="D299" s="3"/>
      <c r="E299" s="3" t="s">
        <v>320</v>
      </c>
      <c r="F299" s="3" t="s">
        <v>11</v>
      </c>
      <c r="G299" s="3"/>
    </row>
    <row r="300" spans="1:7" hidden="1" outlineLevel="6">
      <c r="A300" s="4" t="s">
        <v>11</v>
      </c>
      <c r="B300" s="4" t="s">
        <v>46</v>
      </c>
      <c r="C300" s="5" t="s">
        <v>47</v>
      </c>
      <c r="D300" s="8"/>
      <c r="E300" s="4" t="s">
        <v>197</v>
      </c>
      <c r="F300" s="4" t="s">
        <v>14</v>
      </c>
      <c r="G300" s="4" t="s">
        <v>198</v>
      </c>
    </row>
    <row r="301" spans="1:7" hidden="1" outlineLevel="6">
      <c r="A301" s="4" t="s">
        <v>11</v>
      </c>
      <c r="B301" s="4" t="s">
        <v>46</v>
      </c>
      <c r="C301" s="5"/>
      <c r="D301" s="8"/>
      <c r="E301" s="4" t="s">
        <v>199</v>
      </c>
      <c r="F301" s="4" t="s">
        <v>14</v>
      </c>
      <c r="G301" s="4" t="s">
        <v>200</v>
      </c>
    </row>
    <row r="302" spans="1:7" ht="30" hidden="1" outlineLevel="6">
      <c r="A302" s="4" t="s">
        <v>11</v>
      </c>
      <c r="B302" s="4" t="s">
        <v>82</v>
      </c>
      <c r="C302" s="5"/>
      <c r="D302" s="8"/>
      <c r="E302" s="4" t="s">
        <v>315</v>
      </c>
      <c r="F302" s="4" t="s">
        <v>14</v>
      </c>
      <c r="G302" s="4">
        <v>160</v>
      </c>
    </row>
    <row r="303" spans="1:7" hidden="1" outlineLevel="6">
      <c r="A303" s="4" t="s">
        <v>11</v>
      </c>
      <c r="B303" s="4" t="s">
        <v>46</v>
      </c>
      <c r="C303" s="5"/>
      <c r="D303" s="8"/>
      <c r="E303" s="4" t="s">
        <v>209</v>
      </c>
      <c r="F303" s="4" t="s">
        <v>14</v>
      </c>
      <c r="G303" s="4" t="s">
        <v>210</v>
      </c>
    </row>
    <row r="304" spans="1:7" ht="45" hidden="1" outlineLevel="6">
      <c r="A304" s="4" t="s">
        <v>14</v>
      </c>
      <c r="B304" s="4" t="s">
        <v>82</v>
      </c>
      <c r="C304" s="5"/>
      <c r="D304" s="8"/>
      <c r="E304" s="4" t="s">
        <v>211</v>
      </c>
      <c r="F304" s="4" t="s">
        <v>14</v>
      </c>
      <c r="G304" s="4">
        <v>1</v>
      </c>
    </row>
    <row r="305" spans="1:7" ht="30" hidden="1" outlineLevel="6">
      <c r="A305" s="4" t="s">
        <v>11</v>
      </c>
      <c r="B305" s="4" t="s">
        <v>82</v>
      </c>
      <c r="C305" s="5"/>
      <c r="D305" s="8"/>
      <c r="E305" s="4" t="s">
        <v>321</v>
      </c>
      <c r="F305" s="4" t="s">
        <v>14</v>
      </c>
      <c r="G305" s="4">
        <v>30</v>
      </c>
    </row>
    <row r="306" spans="1:7" ht="30" hidden="1" outlineLevel="6">
      <c r="A306" s="4" t="s">
        <v>11</v>
      </c>
      <c r="B306" s="4" t="s">
        <v>82</v>
      </c>
      <c r="C306" s="5"/>
      <c r="D306" s="8"/>
      <c r="E306" s="4" t="s">
        <v>213</v>
      </c>
      <c r="F306" s="4" t="s">
        <v>14</v>
      </c>
      <c r="G306" s="4">
        <v>8.3000000000000007</v>
      </c>
    </row>
    <row r="307" spans="1:7" ht="45" hidden="1" outlineLevel="6">
      <c r="A307" s="4" t="s">
        <v>14</v>
      </c>
      <c r="B307" s="4" t="s">
        <v>82</v>
      </c>
      <c r="C307" s="5"/>
      <c r="D307" s="8"/>
      <c r="E307" s="4" t="s">
        <v>214</v>
      </c>
      <c r="F307" s="4" t="s">
        <v>14</v>
      </c>
      <c r="G307" s="4">
        <v>0.6</v>
      </c>
    </row>
    <row r="308" spans="1:7" ht="45" hidden="1" outlineLevel="6">
      <c r="A308" s="4" t="s">
        <v>14</v>
      </c>
      <c r="B308" s="4" t="s">
        <v>82</v>
      </c>
      <c r="C308" s="5"/>
      <c r="D308" s="8" t="s">
        <v>48</v>
      </c>
      <c r="E308" s="4" t="s">
        <v>215</v>
      </c>
      <c r="F308" s="4" t="s">
        <v>14</v>
      </c>
      <c r="G308" s="4">
        <f>(G306*(G305/G309))*G310</f>
        <v>90.885000000000005</v>
      </c>
    </row>
    <row r="309" spans="1:7" hidden="1" outlineLevel="6">
      <c r="A309" s="4" t="s">
        <v>14</v>
      </c>
      <c r="B309" s="4" t="s">
        <v>82</v>
      </c>
      <c r="C309" s="5"/>
      <c r="D309" s="8" t="s">
        <v>48</v>
      </c>
      <c r="E309" s="4" t="s">
        <v>216</v>
      </c>
      <c r="F309" s="4" t="s">
        <v>14</v>
      </c>
      <c r="G309" s="4">
        <v>1000</v>
      </c>
    </row>
    <row r="310" spans="1:7" hidden="1" outlineLevel="6">
      <c r="A310" s="4" t="s">
        <v>14</v>
      </c>
      <c r="B310" s="4" t="s">
        <v>82</v>
      </c>
      <c r="C310" s="5"/>
      <c r="D310" s="8" t="s">
        <v>48</v>
      </c>
      <c r="E310" s="4" t="s">
        <v>217</v>
      </c>
      <c r="F310" s="4" t="s">
        <v>14</v>
      </c>
      <c r="G310" s="4">
        <f>365</f>
        <v>365</v>
      </c>
    </row>
    <row r="311" spans="1:7" ht="18" hidden="1" outlineLevel="6">
      <c r="A311" s="3" t="s">
        <v>14</v>
      </c>
      <c r="B311" s="3" t="s">
        <v>82</v>
      </c>
      <c r="C311" s="3"/>
      <c r="D311" s="3" t="s">
        <v>48</v>
      </c>
      <c r="E311" s="3" t="s">
        <v>322</v>
      </c>
      <c r="F311" s="3" t="s">
        <v>14</v>
      </c>
      <c r="G311" s="3">
        <f>SUM(G302*G308*G304*G307)</f>
        <v>8724.9599999999991</v>
      </c>
    </row>
    <row r="312" spans="1:7" ht="30" hidden="1" outlineLevel="6">
      <c r="A312" s="3" t="s">
        <v>14</v>
      </c>
      <c r="B312" s="3" t="s">
        <v>82</v>
      </c>
      <c r="C312" s="3"/>
      <c r="D312" s="3" t="s">
        <v>48</v>
      </c>
      <c r="E312" s="3" t="s">
        <v>323</v>
      </c>
      <c r="F312" s="3" t="s">
        <v>14</v>
      </c>
      <c r="G312" s="3">
        <f>IF(G10="Included",(G313*G311/(G314*G147)),0)</f>
        <v>2.126700319037507E-4</v>
      </c>
    </row>
    <row r="313" spans="1:7" hidden="1" outlineLevel="6">
      <c r="A313" s="3" t="s">
        <v>11</v>
      </c>
      <c r="B313" s="3" t="s">
        <v>82</v>
      </c>
      <c r="C313" s="3"/>
      <c r="D313" s="3"/>
      <c r="E313" s="3" t="s">
        <v>96</v>
      </c>
      <c r="F313" s="3" t="s">
        <v>14</v>
      </c>
      <c r="G313" s="3">
        <v>28</v>
      </c>
    </row>
    <row r="314" spans="1:7" hidden="1" outlineLevel="6">
      <c r="A314" s="3" t="s">
        <v>14</v>
      </c>
      <c r="B314" s="3" t="s">
        <v>82</v>
      </c>
      <c r="C314" s="3"/>
      <c r="D314" s="3" t="s">
        <v>48</v>
      </c>
      <c r="E314" s="3" t="s">
        <v>220</v>
      </c>
      <c r="F314" s="3" t="s">
        <v>14</v>
      </c>
      <c r="G314" s="3">
        <f>10^6</f>
        <v>1000000</v>
      </c>
    </row>
    <row r="315" spans="1:7" hidden="1" outlineLevel="6" collapsed="1">
      <c r="A315" s="3" t="s">
        <v>14</v>
      </c>
      <c r="B315" s="9" t="s">
        <v>324</v>
      </c>
      <c r="C315" s="3"/>
      <c r="D315" s="3"/>
      <c r="E315" s="3" t="s">
        <v>325</v>
      </c>
      <c r="F315" s="3" t="s">
        <v>14</v>
      </c>
      <c r="G315" s="3"/>
    </row>
    <row r="316" spans="1:7" hidden="1" outlineLevel="6">
      <c r="A316" s="3" t="s">
        <v>11</v>
      </c>
      <c r="B316" s="10" t="s">
        <v>326</v>
      </c>
      <c r="C316" s="3"/>
      <c r="D316" s="3"/>
      <c r="E316" s="3" t="s">
        <v>327</v>
      </c>
      <c r="F316" s="3" t="s">
        <v>11</v>
      </c>
      <c r="G316" s="3"/>
    </row>
    <row r="317" spans="1:7" hidden="1" outlineLevel="6">
      <c r="A317" s="4" t="s">
        <v>11</v>
      </c>
      <c r="B317" s="4" t="s">
        <v>46</v>
      </c>
      <c r="C317" s="5" t="s">
        <v>47</v>
      </c>
      <c r="D317" s="8"/>
      <c r="E317" s="4" t="s">
        <v>225</v>
      </c>
      <c r="F317" s="4" t="s">
        <v>14</v>
      </c>
      <c r="G317" s="4" t="s">
        <v>226</v>
      </c>
    </row>
    <row r="318" spans="1:7" ht="30" hidden="1" outlineLevel="6">
      <c r="A318" s="4" t="s">
        <v>11</v>
      </c>
      <c r="B318" s="4" t="s">
        <v>82</v>
      </c>
      <c r="C318" s="5"/>
      <c r="D318" s="8"/>
      <c r="E318" s="4" t="s">
        <v>227</v>
      </c>
      <c r="F318" s="4" t="s">
        <v>14</v>
      </c>
      <c r="G318" s="4">
        <v>0.92</v>
      </c>
    </row>
    <row r="319" spans="1:7" ht="30" hidden="1" outlineLevel="6">
      <c r="A319" s="4" t="s">
        <v>11</v>
      </c>
      <c r="B319" s="4" t="s">
        <v>82</v>
      </c>
      <c r="C319" s="5"/>
      <c r="D319" s="8"/>
      <c r="E319" s="4" t="s">
        <v>228</v>
      </c>
      <c r="F319" s="4" t="s">
        <v>14</v>
      </c>
      <c r="G319" s="4">
        <v>2.2999999999999998</v>
      </c>
    </row>
    <row r="320" spans="1:7" ht="30" hidden="1" outlineLevel="6">
      <c r="A320" s="4" t="s">
        <v>11</v>
      </c>
      <c r="B320" s="4" t="s">
        <v>82</v>
      </c>
      <c r="C320" s="5"/>
      <c r="D320" s="8"/>
      <c r="E320" s="4" t="s">
        <v>328</v>
      </c>
      <c r="F320" s="4" t="s">
        <v>14</v>
      </c>
      <c r="G320" s="4">
        <v>1281290.3410132199</v>
      </c>
    </row>
    <row r="321" spans="1:7" ht="18" hidden="1" outlineLevel="6">
      <c r="A321" s="4" t="s">
        <v>14</v>
      </c>
      <c r="B321" s="4" t="s">
        <v>82</v>
      </c>
      <c r="C321" s="5"/>
      <c r="D321" s="8" t="s">
        <v>48</v>
      </c>
      <c r="E321" s="4" t="s">
        <v>329</v>
      </c>
      <c r="F321" s="4" t="s">
        <v>14</v>
      </c>
      <c r="G321" s="4">
        <f>G320*G318*G319</f>
        <v>2711210.3615839733</v>
      </c>
    </row>
    <row r="322" spans="1:7" ht="18" hidden="1" outlineLevel="6">
      <c r="A322" s="3" t="s">
        <v>14</v>
      </c>
      <c r="B322" s="3" t="s">
        <v>82</v>
      </c>
      <c r="C322" s="3"/>
      <c r="D322" s="3" t="s">
        <v>48</v>
      </c>
      <c r="E322" s="3" t="s">
        <v>330</v>
      </c>
      <c r="F322" s="3" t="s">
        <v>14</v>
      </c>
      <c r="G322" s="3">
        <f>SUM(G321)</f>
        <v>2711210.3615839733</v>
      </c>
    </row>
    <row r="323" spans="1:7" ht="30" hidden="1" outlineLevel="6">
      <c r="A323" s="3" t="s">
        <v>14</v>
      </c>
      <c r="B323" s="3" t="s">
        <v>82</v>
      </c>
      <c r="C323" s="3"/>
      <c r="D323" s="3" t="s">
        <v>48</v>
      </c>
      <c r="E323" s="3" t="s">
        <v>331</v>
      </c>
      <c r="F323" s="3" t="s">
        <v>14</v>
      </c>
      <c r="G323" s="3">
        <f>IF(G20="Included",(((G324*G322)/G325)/G147),0)</f>
        <v>6.6085482809759954E-2</v>
      </c>
    </row>
    <row r="324" spans="1:7" hidden="1" outlineLevel="6">
      <c r="A324" s="3" t="s">
        <v>11</v>
      </c>
      <c r="B324" s="3" t="s">
        <v>82</v>
      </c>
      <c r="C324" s="3"/>
      <c r="D324" s="3"/>
      <c r="E324" s="3" t="s">
        <v>96</v>
      </c>
      <c r="F324" s="3" t="s">
        <v>14</v>
      </c>
      <c r="G324" s="3">
        <v>28</v>
      </c>
    </row>
    <row r="325" spans="1:7" hidden="1" outlineLevel="6">
      <c r="A325" s="3" t="s">
        <v>14</v>
      </c>
      <c r="B325" s="3" t="s">
        <v>82</v>
      </c>
      <c r="C325" s="3"/>
      <c r="D325" s="3" t="s">
        <v>48</v>
      </c>
      <c r="E325" s="3" t="s">
        <v>220</v>
      </c>
      <c r="F325" s="3" t="s">
        <v>14</v>
      </c>
      <c r="G325" s="3">
        <f>10^6</f>
        <v>1000000</v>
      </c>
    </row>
    <row r="326" spans="1:7" hidden="1" outlineLevel="6" collapsed="1">
      <c r="A326" s="3" t="s">
        <v>14</v>
      </c>
      <c r="B326" s="9" t="s">
        <v>332</v>
      </c>
      <c r="C326" s="3"/>
      <c r="D326" s="3"/>
      <c r="E326" s="3" t="s">
        <v>333</v>
      </c>
      <c r="F326" s="3" t="s">
        <v>14</v>
      </c>
      <c r="G326" s="3"/>
    </row>
    <row r="327" spans="1:7" hidden="1" outlineLevel="6">
      <c r="A327" s="3" t="s">
        <v>11</v>
      </c>
      <c r="B327" s="10" t="s">
        <v>334</v>
      </c>
      <c r="C327" s="3"/>
      <c r="D327" s="3"/>
      <c r="E327" s="3" t="s">
        <v>335</v>
      </c>
      <c r="F327" s="3" t="s">
        <v>11</v>
      </c>
      <c r="G327" s="3"/>
    </row>
    <row r="328" spans="1:7" hidden="1" outlineLevel="6">
      <c r="A328" s="4" t="s">
        <v>11</v>
      </c>
      <c r="B328" s="4" t="s">
        <v>46</v>
      </c>
      <c r="C328" s="5"/>
      <c r="D328" s="8"/>
      <c r="E328" s="4" t="s">
        <v>237</v>
      </c>
      <c r="F328" s="4" t="s">
        <v>14</v>
      </c>
      <c r="G328" s="4" t="s">
        <v>238</v>
      </c>
    </row>
    <row r="329" spans="1:7" ht="30" hidden="1" outlineLevel="6">
      <c r="A329" s="4" t="s">
        <v>11</v>
      </c>
      <c r="B329" s="4" t="s">
        <v>46</v>
      </c>
      <c r="C329" s="5" t="s">
        <v>47</v>
      </c>
      <c r="D329" s="8"/>
      <c r="E329" s="4" t="s">
        <v>336</v>
      </c>
      <c r="F329" s="4" t="s">
        <v>14</v>
      </c>
      <c r="G329" s="4">
        <v>314.03539242142602</v>
      </c>
    </row>
    <row r="330" spans="1:7" hidden="1" outlineLevel="6">
      <c r="A330" s="4" t="s">
        <v>11</v>
      </c>
      <c r="B330" s="4" t="s">
        <v>82</v>
      </c>
      <c r="C330" s="5"/>
      <c r="D330" s="8"/>
      <c r="E330" s="4" t="s">
        <v>240</v>
      </c>
      <c r="F330" s="4" t="s">
        <v>14</v>
      </c>
      <c r="G330" s="4">
        <v>0.82</v>
      </c>
    </row>
    <row r="331" spans="1:7" ht="30" hidden="1" outlineLevel="6">
      <c r="A331" s="3" t="s">
        <v>14</v>
      </c>
      <c r="B331" s="3" t="s">
        <v>82</v>
      </c>
      <c r="C331" s="3"/>
      <c r="D331" s="3" t="s">
        <v>48</v>
      </c>
      <c r="E331" s="3" t="s">
        <v>337</v>
      </c>
      <c r="F331" s="3" t="s">
        <v>14</v>
      </c>
      <c r="G331" s="3">
        <f>SUM(G329*G330)</f>
        <v>257.5090217855693</v>
      </c>
    </row>
    <row r="332" spans="1:7" hidden="1" outlineLevel="6">
      <c r="A332" s="3" t="s">
        <v>11</v>
      </c>
      <c r="B332" s="10" t="s">
        <v>338</v>
      </c>
      <c r="C332" s="3"/>
      <c r="D332" s="3"/>
      <c r="E332" s="3" t="s">
        <v>339</v>
      </c>
      <c r="F332" s="3" t="s">
        <v>11</v>
      </c>
      <c r="G332" s="3"/>
    </row>
    <row r="333" spans="1:7" hidden="1" outlineLevel="6">
      <c r="A333" s="4" t="s">
        <v>11</v>
      </c>
      <c r="B333" s="4" t="s">
        <v>46</v>
      </c>
      <c r="C333" s="5"/>
      <c r="D333" s="8"/>
      <c r="E333" s="4" t="s">
        <v>244</v>
      </c>
      <c r="F333" s="4" t="s">
        <v>14</v>
      </c>
      <c r="G333" s="4" t="s">
        <v>245</v>
      </c>
    </row>
    <row r="334" spans="1:7" ht="30" hidden="1" outlineLevel="6">
      <c r="A334" s="4" t="s">
        <v>11</v>
      </c>
      <c r="B334" s="4" t="s">
        <v>82</v>
      </c>
      <c r="C334" s="5"/>
      <c r="D334" s="8"/>
      <c r="E334" s="4" t="s">
        <v>340</v>
      </c>
      <c r="F334" s="4" t="s">
        <v>14</v>
      </c>
      <c r="G334" s="4">
        <v>483.31272857651902</v>
      </c>
    </row>
    <row r="335" spans="1:7" hidden="1" outlineLevel="6">
      <c r="A335" s="4" t="s">
        <v>11</v>
      </c>
      <c r="B335" s="4" t="s">
        <v>82</v>
      </c>
      <c r="C335" s="5"/>
      <c r="D335" s="8"/>
      <c r="E335" s="4" t="s">
        <v>247</v>
      </c>
      <c r="F335" s="4" t="s">
        <v>14</v>
      </c>
      <c r="G335" s="4">
        <v>6.6600000000000006E-2</v>
      </c>
    </row>
    <row r="336" spans="1:7" ht="30" hidden="1" outlineLevel="6">
      <c r="A336" s="3" t="s">
        <v>14</v>
      </c>
      <c r="B336" s="3" t="s">
        <v>82</v>
      </c>
      <c r="C336" s="3"/>
      <c r="D336" s="3" t="s">
        <v>48</v>
      </c>
      <c r="E336" s="3" t="s">
        <v>341</v>
      </c>
      <c r="F336" s="3" t="s">
        <v>14</v>
      </c>
      <c r="G336" s="3">
        <f>SUM(G334*G335)</f>
        <v>32.18862772319617</v>
      </c>
    </row>
    <row r="337" spans="1:7" ht="30" hidden="1" outlineLevel="6">
      <c r="A337" s="3" t="s">
        <v>11</v>
      </c>
      <c r="B337" s="3" t="s">
        <v>82</v>
      </c>
      <c r="C337" s="3"/>
      <c r="D337" s="3"/>
      <c r="E337" s="3" t="s">
        <v>249</v>
      </c>
      <c r="F337" s="3" t="s">
        <v>14</v>
      </c>
      <c r="G337" s="3">
        <v>0.01</v>
      </c>
    </row>
    <row r="338" spans="1:7" ht="30" hidden="1" outlineLevel="6">
      <c r="A338" s="3" t="s">
        <v>14</v>
      </c>
      <c r="B338" s="3" t="s">
        <v>82</v>
      </c>
      <c r="C338" s="3"/>
      <c r="D338" s="3" t="s">
        <v>48</v>
      </c>
      <c r="E338" s="3" t="s">
        <v>342</v>
      </c>
      <c r="F338" s="3" t="s">
        <v>14</v>
      </c>
      <c r="G338" s="3">
        <f>((G331+G336)*G337*44/28*G348)/G147</f>
        <v>1.0501958817208847</v>
      </c>
    </row>
    <row r="339" spans="1:7" ht="30" hidden="1" outlineLevel="6">
      <c r="A339" s="3" t="s">
        <v>11</v>
      </c>
      <c r="B339" s="3" t="s">
        <v>82</v>
      </c>
      <c r="C339" s="3"/>
      <c r="D339" s="3"/>
      <c r="E339" s="3" t="s">
        <v>251</v>
      </c>
      <c r="F339" s="3" t="s">
        <v>14</v>
      </c>
      <c r="G339" s="3">
        <v>0.11</v>
      </c>
    </row>
    <row r="340" spans="1:7" ht="30" hidden="1" outlineLevel="6">
      <c r="A340" s="3" t="s">
        <v>11</v>
      </c>
      <c r="B340" s="3" t="s">
        <v>82</v>
      </c>
      <c r="C340" s="3"/>
      <c r="D340" s="3"/>
      <c r="E340" s="3" t="s">
        <v>252</v>
      </c>
      <c r="F340" s="3" t="s">
        <v>14</v>
      </c>
      <c r="G340" s="3">
        <v>0.21</v>
      </c>
    </row>
    <row r="341" spans="1:7" ht="30" hidden="1" outlineLevel="6">
      <c r="A341" s="3" t="s">
        <v>11</v>
      </c>
      <c r="B341" s="3" t="s">
        <v>82</v>
      </c>
      <c r="C341" s="3"/>
      <c r="D341" s="3"/>
      <c r="E341" s="3" t="s">
        <v>253</v>
      </c>
      <c r="F341" s="3" t="s">
        <v>14</v>
      </c>
      <c r="G341" s="3">
        <v>0.01</v>
      </c>
    </row>
    <row r="342" spans="1:7" ht="45" hidden="1" outlineLevel="6">
      <c r="A342" s="3" t="s">
        <v>14</v>
      </c>
      <c r="B342" s="3" t="s">
        <v>82</v>
      </c>
      <c r="C342" s="3"/>
      <c r="D342" s="3" t="s">
        <v>48</v>
      </c>
      <c r="E342" s="3" t="s">
        <v>343</v>
      </c>
      <c r="F342" s="3" t="s">
        <v>14</v>
      </c>
      <c r="G342" s="3">
        <f>((G331*G339)+(G336*G340))*G341*(44/28)*G348</f>
        <v>146.10648042328191</v>
      </c>
    </row>
    <row r="343" spans="1:7" ht="45" hidden="1" outlineLevel="6">
      <c r="A343" s="3" t="s">
        <v>11</v>
      </c>
      <c r="B343" s="3" t="s">
        <v>82</v>
      </c>
      <c r="C343" s="3"/>
      <c r="D343" s="3"/>
      <c r="E343" s="3" t="s">
        <v>255</v>
      </c>
      <c r="F343" s="3" t="s">
        <v>14</v>
      </c>
      <c r="G343" s="3">
        <v>0.24</v>
      </c>
    </row>
    <row r="344" spans="1:7" ht="30" hidden="1" outlineLevel="6">
      <c r="A344" s="3" t="s">
        <v>11</v>
      </c>
      <c r="B344" s="3" t="s">
        <v>82</v>
      </c>
      <c r="C344" s="3"/>
      <c r="D344" s="3"/>
      <c r="E344" s="3" t="s">
        <v>256</v>
      </c>
      <c r="F344" s="3" t="s">
        <v>14</v>
      </c>
      <c r="G344" s="3">
        <v>1.0999999999999999E-2</v>
      </c>
    </row>
    <row r="345" spans="1:7" ht="45" hidden="1" outlineLevel="6">
      <c r="A345" s="3" t="s">
        <v>14</v>
      </c>
      <c r="B345" s="3" t="s">
        <v>82</v>
      </c>
      <c r="C345" s="3"/>
      <c r="D345" s="3" t="s">
        <v>48</v>
      </c>
      <c r="E345" s="3" t="s">
        <v>344</v>
      </c>
      <c r="F345" s="3" t="s">
        <v>14</v>
      </c>
      <c r="G345" s="3">
        <f>(G331+G336)*G343*G344*(44/28)*G348</f>
        <v>318.48531879423649</v>
      </c>
    </row>
    <row r="346" spans="1:7" ht="30" hidden="1" outlineLevel="6">
      <c r="A346" s="3" t="s">
        <v>14</v>
      </c>
      <c r="B346" s="3" t="s">
        <v>82</v>
      </c>
      <c r="C346" s="3"/>
      <c r="D346" s="3" t="s">
        <v>48</v>
      </c>
      <c r="E346" s="3" t="s">
        <v>345</v>
      </c>
      <c r="F346" s="3" t="s">
        <v>14</v>
      </c>
      <c r="G346" s="3">
        <f>(G342+G345)/G147</f>
        <v>0.40444210289384297</v>
      </c>
    </row>
    <row r="347" spans="1:7" ht="30" hidden="1" outlineLevel="6">
      <c r="A347" s="3" t="s">
        <v>14</v>
      </c>
      <c r="B347" s="3" t="s">
        <v>82</v>
      </c>
      <c r="C347" s="3"/>
      <c r="D347" s="3" t="s">
        <v>48</v>
      </c>
      <c r="E347" s="3" t="s">
        <v>346</v>
      </c>
      <c r="F347" s="3" t="s">
        <v>14</v>
      </c>
      <c r="G347" s="3">
        <f>IF(AND(G30="Included",G44="Approach 3"),G338+G346,0)</f>
        <v>0</v>
      </c>
    </row>
    <row r="348" spans="1:7" hidden="1" outlineLevel="6">
      <c r="A348" s="3" t="s">
        <v>11</v>
      </c>
      <c r="B348" s="3" t="s">
        <v>82</v>
      </c>
      <c r="C348" s="3"/>
      <c r="D348" s="3"/>
      <c r="E348" s="3" t="s">
        <v>114</v>
      </c>
      <c r="F348" s="3" t="s">
        <v>14</v>
      </c>
      <c r="G348" s="3">
        <v>265</v>
      </c>
    </row>
    <row r="349" spans="1:7" hidden="1" outlineLevel="6" collapsed="1">
      <c r="A349" s="3" t="s">
        <v>14</v>
      </c>
      <c r="B349" s="9" t="s">
        <v>347</v>
      </c>
      <c r="C349" s="3"/>
      <c r="D349" s="3"/>
      <c r="E349" s="3" t="s">
        <v>348</v>
      </c>
      <c r="F349" s="3" t="s">
        <v>14</v>
      </c>
      <c r="G349" s="3"/>
    </row>
    <row r="350" spans="1:7" hidden="1" outlineLevel="6">
      <c r="A350" s="3" t="s">
        <v>11</v>
      </c>
      <c r="B350" s="10" t="s">
        <v>349</v>
      </c>
      <c r="C350" s="3"/>
      <c r="D350" s="3"/>
      <c r="E350" s="3" t="s">
        <v>350</v>
      </c>
      <c r="F350" s="3" t="s">
        <v>11</v>
      </c>
      <c r="G350" s="3"/>
    </row>
    <row r="351" spans="1:7" hidden="1" outlineLevel="6">
      <c r="A351" s="4" t="s">
        <v>11</v>
      </c>
      <c r="B351" s="4" t="s">
        <v>46</v>
      </c>
      <c r="C351" s="5"/>
      <c r="D351" s="8"/>
      <c r="E351" s="4" t="s">
        <v>264</v>
      </c>
      <c r="F351" s="4" t="s">
        <v>14</v>
      </c>
      <c r="G351" s="4" t="s">
        <v>198</v>
      </c>
    </row>
    <row r="352" spans="1:7" ht="30" hidden="1" outlineLevel="6">
      <c r="A352" s="4" t="s">
        <v>11</v>
      </c>
      <c r="B352" s="4" t="s">
        <v>82</v>
      </c>
      <c r="C352" s="5"/>
      <c r="D352" s="8"/>
      <c r="E352" s="4" t="s">
        <v>315</v>
      </c>
      <c r="F352" s="4" t="s">
        <v>14</v>
      </c>
      <c r="G352" s="4">
        <v>160</v>
      </c>
    </row>
    <row r="353" spans="1:7" hidden="1" outlineLevel="6">
      <c r="A353" s="4" t="s">
        <v>11</v>
      </c>
      <c r="B353" s="4" t="s">
        <v>46</v>
      </c>
      <c r="C353" s="5" t="s">
        <v>47</v>
      </c>
      <c r="D353" s="8"/>
      <c r="E353" s="4" t="s">
        <v>199</v>
      </c>
      <c r="F353" s="4" t="s">
        <v>14</v>
      </c>
      <c r="G353" s="4" t="s">
        <v>200</v>
      </c>
    </row>
    <row r="354" spans="1:7" hidden="1" outlineLevel="6">
      <c r="A354" s="4" t="s">
        <v>11</v>
      </c>
      <c r="B354" s="4" t="s">
        <v>46</v>
      </c>
      <c r="C354" s="5"/>
      <c r="D354" s="8"/>
      <c r="E354" s="4" t="s">
        <v>265</v>
      </c>
      <c r="F354" s="4" t="s">
        <v>14</v>
      </c>
      <c r="G354" s="4" t="s">
        <v>266</v>
      </c>
    </row>
    <row r="355" spans="1:7" ht="45" hidden="1" outlineLevel="6">
      <c r="A355" s="4" t="s">
        <v>14</v>
      </c>
      <c r="B355" s="4" t="s">
        <v>82</v>
      </c>
      <c r="C355" s="5"/>
      <c r="D355" s="8"/>
      <c r="E355" s="4" t="s">
        <v>267</v>
      </c>
      <c r="F355" s="4" t="s">
        <v>14</v>
      </c>
      <c r="G355" s="4">
        <v>1</v>
      </c>
    </row>
    <row r="356" spans="1:7" ht="30" hidden="1" outlineLevel="6">
      <c r="A356" s="4" t="s">
        <v>11</v>
      </c>
      <c r="B356" s="4"/>
      <c r="C356" s="5"/>
      <c r="D356" s="8"/>
      <c r="E356" s="4" t="s">
        <v>268</v>
      </c>
      <c r="F356" s="4" t="s">
        <v>14</v>
      </c>
      <c r="G356" s="4">
        <v>3.504</v>
      </c>
    </row>
    <row r="357" spans="1:7" ht="30" hidden="1" outlineLevel="6">
      <c r="A357" s="4" t="s">
        <v>11</v>
      </c>
      <c r="B357" s="4" t="s">
        <v>82</v>
      </c>
      <c r="C357" s="5"/>
      <c r="D357" s="8"/>
      <c r="E357" s="4" t="s">
        <v>269</v>
      </c>
      <c r="F357" s="4" t="s">
        <v>14</v>
      </c>
      <c r="G357" s="4">
        <v>3.0000000000000001E-3</v>
      </c>
    </row>
    <row r="358" spans="1:7" ht="30" hidden="1" outlineLevel="6">
      <c r="A358" s="4" t="s">
        <v>11</v>
      </c>
      <c r="B358" s="4" t="s">
        <v>82</v>
      </c>
      <c r="C358" s="5"/>
      <c r="D358" s="8"/>
      <c r="E358" s="4" t="s">
        <v>351</v>
      </c>
      <c r="F358" s="4" t="s">
        <v>14</v>
      </c>
      <c r="G358" s="4">
        <v>1</v>
      </c>
    </row>
    <row r="359" spans="1:7" ht="30" hidden="1" outlineLevel="6">
      <c r="A359" s="4" t="s">
        <v>14</v>
      </c>
      <c r="B359" s="4" t="s">
        <v>82</v>
      </c>
      <c r="C359" s="5"/>
      <c r="D359" s="8" t="s">
        <v>48</v>
      </c>
      <c r="E359" s="4" t="s">
        <v>271</v>
      </c>
      <c r="F359" s="4" t="s">
        <v>14</v>
      </c>
      <c r="G359" s="4">
        <f>(G352*G356)*G355*G358/1000</f>
        <v>0.56064000000000003</v>
      </c>
    </row>
    <row r="360" spans="1:7" ht="45" hidden="1" outlineLevel="6">
      <c r="A360" s="4"/>
      <c r="B360" s="4" t="s">
        <v>82</v>
      </c>
      <c r="C360" s="5"/>
      <c r="D360" s="8"/>
      <c r="E360" s="4" t="s">
        <v>255</v>
      </c>
      <c r="F360" s="4" t="s">
        <v>14</v>
      </c>
      <c r="G360" s="4">
        <v>0.24</v>
      </c>
    </row>
    <row r="361" spans="1:7" ht="30" hidden="1" outlineLevel="6">
      <c r="A361" s="4" t="s">
        <v>11</v>
      </c>
      <c r="B361" s="4" t="s">
        <v>82</v>
      </c>
      <c r="C361" s="5"/>
      <c r="D361" s="8"/>
      <c r="E361" s="4" t="s">
        <v>252</v>
      </c>
      <c r="F361" s="4" t="s">
        <v>14</v>
      </c>
      <c r="G361" s="4">
        <v>0.21</v>
      </c>
    </row>
    <row r="362" spans="1:7" ht="30" hidden="1" outlineLevel="6">
      <c r="A362" s="4" t="s">
        <v>11</v>
      </c>
      <c r="B362" s="4" t="s">
        <v>82</v>
      </c>
      <c r="C362" s="5"/>
      <c r="D362" s="8"/>
      <c r="E362" s="4" t="s">
        <v>256</v>
      </c>
      <c r="F362" s="4" t="s">
        <v>14</v>
      </c>
      <c r="G362" s="4">
        <v>1.0999999999999999E-2</v>
      </c>
    </row>
    <row r="363" spans="1:7" ht="30" hidden="1" outlineLevel="6">
      <c r="A363" s="4" t="s">
        <v>11</v>
      </c>
      <c r="B363" s="4" t="s">
        <v>82</v>
      </c>
      <c r="C363" s="5"/>
      <c r="D363" s="8"/>
      <c r="E363" s="4" t="s">
        <v>253</v>
      </c>
      <c r="F363" s="4" t="s">
        <v>14</v>
      </c>
      <c r="G363" s="4">
        <v>0.01</v>
      </c>
    </row>
    <row r="364" spans="1:7" ht="75" hidden="1" outlineLevel="6">
      <c r="A364" s="4" t="s">
        <v>14</v>
      </c>
      <c r="B364" s="4" t="s">
        <v>82</v>
      </c>
      <c r="C364" s="5"/>
      <c r="D364" s="8" t="s">
        <v>48</v>
      </c>
      <c r="E364" s="4" t="s">
        <v>272</v>
      </c>
      <c r="F364" s="4" t="s">
        <v>14</v>
      </c>
      <c r="G364" s="4">
        <f>G359*G360*G362*(44/28)*G369</f>
        <v>0.6163515977142856</v>
      </c>
    </row>
    <row r="365" spans="1:7" ht="45" hidden="1" outlineLevel="6">
      <c r="A365" s="4" t="s">
        <v>14</v>
      </c>
      <c r="B365" s="4" t="s">
        <v>82</v>
      </c>
      <c r="C365" s="5"/>
      <c r="D365" s="8" t="s">
        <v>48</v>
      </c>
      <c r="E365" s="4" t="s">
        <v>273</v>
      </c>
      <c r="F365" s="4" t="s">
        <v>14</v>
      </c>
      <c r="G365" s="4">
        <f>G359*G361*G363*(44/28)*G369</f>
        <v>0.49027968000000005</v>
      </c>
    </row>
    <row r="366" spans="1:7" ht="45" hidden="1" outlineLevel="6">
      <c r="A366" s="3" t="s">
        <v>14</v>
      </c>
      <c r="B366" s="3" t="s">
        <v>82</v>
      </c>
      <c r="C366" s="3"/>
      <c r="D366" s="3" t="s">
        <v>48</v>
      </c>
      <c r="E366" s="3" t="s">
        <v>352</v>
      </c>
      <c r="F366" s="3" t="s">
        <v>14</v>
      </c>
      <c r="G366" s="3">
        <f>SUM(G359*G357*(44/28)*G369)/G147</f>
        <v>6.0972032751358094E-4</v>
      </c>
    </row>
    <row r="367" spans="1:7" ht="30" hidden="1" outlineLevel="6">
      <c r="A367" s="3" t="s">
        <v>14</v>
      </c>
      <c r="B367" s="3" t="s">
        <v>82</v>
      </c>
      <c r="C367" s="3"/>
      <c r="D367" s="3" t="s">
        <v>48</v>
      </c>
      <c r="E367" s="3" t="s">
        <v>353</v>
      </c>
      <c r="F367" s="3" t="s">
        <v>14</v>
      </c>
      <c r="G367" s="3">
        <f>(G365+G364)/G147</f>
        <v>9.6335811747145779E-4</v>
      </c>
    </row>
    <row r="368" spans="1:7" ht="30" hidden="1" outlineLevel="6">
      <c r="A368" s="3" t="s">
        <v>14</v>
      </c>
      <c r="B368" s="3" t="s">
        <v>82</v>
      </c>
      <c r="C368" s="3"/>
      <c r="D368" s="3" t="s">
        <v>48</v>
      </c>
      <c r="E368" s="3" t="s">
        <v>354</v>
      </c>
      <c r="F368" s="3" t="s">
        <v>14</v>
      </c>
      <c r="G368" s="3">
        <f>IF(AND(G24="Included",G37="Approach 3"),G366+G367,0)</f>
        <v>0</v>
      </c>
    </row>
    <row r="369" spans="1:7" hidden="1" outlineLevel="6">
      <c r="A369" s="3" t="s">
        <v>11</v>
      </c>
      <c r="B369" s="3" t="s">
        <v>82</v>
      </c>
      <c r="C369" s="3"/>
      <c r="D369" s="3"/>
      <c r="E369" s="3" t="s">
        <v>114</v>
      </c>
      <c r="F369" s="3" t="s">
        <v>14</v>
      </c>
      <c r="G369" s="3">
        <v>265</v>
      </c>
    </row>
    <row r="370" spans="1:7" hidden="1" outlineLevel="6" collapsed="1">
      <c r="A370" s="3" t="s">
        <v>14</v>
      </c>
      <c r="B370" s="9" t="s">
        <v>355</v>
      </c>
      <c r="C370" s="3"/>
      <c r="D370" s="3"/>
      <c r="E370" s="3" t="s">
        <v>356</v>
      </c>
      <c r="F370" s="3" t="s">
        <v>14</v>
      </c>
      <c r="G370" s="3"/>
    </row>
    <row r="371" spans="1:7" hidden="1" outlineLevel="6">
      <c r="A371" s="3" t="s">
        <v>11</v>
      </c>
      <c r="B371" s="10" t="s">
        <v>357</v>
      </c>
      <c r="C371" s="3"/>
      <c r="D371" s="3"/>
      <c r="E371" s="3" t="s">
        <v>358</v>
      </c>
      <c r="F371" s="3" t="s">
        <v>11</v>
      </c>
      <c r="G371" s="3"/>
    </row>
    <row r="372" spans="1:7" hidden="1" outlineLevel="6">
      <c r="A372" s="4" t="s">
        <v>11</v>
      </c>
      <c r="B372" s="4" t="s">
        <v>46</v>
      </c>
      <c r="C372" s="5"/>
      <c r="D372" s="8"/>
      <c r="E372" s="4" t="s">
        <v>281</v>
      </c>
      <c r="F372" s="4" t="s">
        <v>14</v>
      </c>
      <c r="G372" s="4" t="s">
        <v>282</v>
      </c>
    </row>
    <row r="373" spans="1:7" ht="30" hidden="1" outlineLevel="6">
      <c r="A373" s="4" t="s">
        <v>11</v>
      </c>
      <c r="B373" s="4" t="s">
        <v>82</v>
      </c>
      <c r="C373" s="5"/>
      <c r="D373" s="8"/>
      <c r="E373" s="4" t="s">
        <v>283</v>
      </c>
      <c r="F373" s="4" t="s">
        <v>14</v>
      </c>
      <c r="G373" s="4">
        <v>10000</v>
      </c>
    </row>
    <row r="374" spans="1:7" hidden="1" outlineLevel="6">
      <c r="A374" s="4" t="s">
        <v>11</v>
      </c>
      <c r="B374" s="4" t="s">
        <v>82</v>
      </c>
      <c r="C374" s="5" t="s">
        <v>47</v>
      </c>
      <c r="D374" s="8"/>
      <c r="E374" s="4" t="s">
        <v>284</v>
      </c>
      <c r="F374" s="4" t="s">
        <v>14</v>
      </c>
      <c r="G374" s="4">
        <v>8.0000000000000002E-3</v>
      </c>
    </row>
    <row r="375" spans="1:7" hidden="1" outlineLevel="6">
      <c r="A375" s="3" t="s">
        <v>11</v>
      </c>
      <c r="B375" s="3" t="s">
        <v>82</v>
      </c>
      <c r="C375" s="3"/>
      <c r="D375" s="3"/>
      <c r="E375" s="3" t="s">
        <v>240</v>
      </c>
      <c r="F375" s="3" t="s">
        <v>14</v>
      </c>
      <c r="G375" s="3">
        <v>0.01</v>
      </c>
    </row>
    <row r="376" spans="1:7" ht="30" hidden="1" outlineLevel="6">
      <c r="A376" s="3" t="s">
        <v>14</v>
      </c>
      <c r="B376" s="3" t="s">
        <v>82</v>
      </c>
      <c r="C376" s="3"/>
      <c r="D376" s="3" t="s">
        <v>48</v>
      </c>
      <c r="E376" s="3" t="s">
        <v>359</v>
      </c>
      <c r="F376" s="3" t="s">
        <v>14</v>
      </c>
      <c r="G376" s="3">
        <f>SUM(G373*G374)</f>
        <v>80</v>
      </c>
    </row>
    <row r="377" spans="1:7" ht="45" hidden="1" outlineLevel="6">
      <c r="A377" s="3" t="s">
        <v>11</v>
      </c>
      <c r="B377" s="3" t="s">
        <v>82</v>
      </c>
      <c r="C377" s="3"/>
      <c r="D377" s="3" t="s">
        <v>48</v>
      </c>
      <c r="E377" s="3" t="s">
        <v>360</v>
      </c>
      <c r="F377" s="3" t="s">
        <v>14</v>
      </c>
      <c r="G377" s="3">
        <f>(G376*G375*(44/28)*G378)/G147</f>
        <v>0.29001157130592697</v>
      </c>
    </row>
    <row r="378" spans="1:7" hidden="1" outlineLevel="6">
      <c r="A378" s="3" t="s">
        <v>11</v>
      </c>
      <c r="B378" s="3" t="s">
        <v>82</v>
      </c>
      <c r="C378" s="3"/>
      <c r="D378" s="3"/>
      <c r="E378" s="3" t="s">
        <v>114</v>
      </c>
      <c r="F378" s="3" t="s">
        <v>14</v>
      </c>
      <c r="G378" s="3">
        <v>265</v>
      </c>
    </row>
    <row r="379" spans="1:7" hidden="1" outlineLevel="6" collapsed="1">
      <c r="A379" s="3" t="s">
        <v>14</v>
      </c>
      <c r="B379" s="9" t="s">
        <v>361</v>
      </c>
      <c r="C379" s="3"/>
      <c r="D379" s="3"/>
      <c r="E379" s="3" t="s">
        <v>362</v>
      </c>
      <c r="F379" s="3" t="s">
        <v>14</v>
      </c>
      <c r="G379" s="3"/>
    </row>
    <row r="380" spans="1:7" hidden="1" outlineLevel="6">
      <c r="A380" s="3" t="s">
        <v>11</v>
      </c>
      <c r="B380" s="10" t="s">
        <v>363</v>
      </c>
      <c r="C380" s="3"/>
      <c r="D380" s="3"/>
      <c r="E380" s="3" t="s">
        <v>364</v>
      </c>
      <c r="F380" s="3" t="s">
        <v>11</v>
      </c>
      <c r="G380" s="3"/>
    </row>
    <row r="381" spans="1:7" hidden="1" outlineLevel="6">
      <c r="A381" s="4" t="s">
        <v>11</v>
      </c>
      <c r="B381" s="4" t="s">
        <v>46</v>
      </c>
      <c r="C381" s="5" t="s">
        <v>47</v>
      </c>
      <c r="D381" s="8"/>
      <c r="E381" s="4" t="s">
        <v>225</v>
      </c>
      <c r="F381" s="4" t="s">
        <v>14</v>
      </c>
      <c r="G381" s="4" t="s">
        <v>226</v>
      </c>
    </row>
    <row r="382" spans="1:7" ht="30" hidden="1" outlineLevel="6">
      <c r="A382" s="4" t="s">
        <v>11</v>
      </c>
      <c r="B382" s="4" t="s">
        <v>82</v>
      </c>
      <c r="C382" s="5"/>
      <c r="D382" s="8"/>
      <c r="E382" s="4" t="s">
        <v>227</v>
      </c>
      <c r="F382" s="4" t="s">
        <v>14</v>
      </c>
      <c r="G382" s="4">
        <v>0.92</v>
      </c>
    </row>
    <row r="383" spans="1:7" ht="30" hidden="1" outlineLevel="6">
      <c r="A383" s="4" t="s">
        <v>11</v>
      </c>
      <c r="B383" s="4" t="s">
        <v>82</v>
      </c>
      <c r="C383" s="5"/>
      <c r="D383" s="8"/>
      <c r="E383" s="4" t="s">
        <v>291</v>
      </c>
      <c r="F383" s="4" t="s">
        <v>14</v>
      </c>
      <c r="G383" s="4">
        <v>0.21</v>
      </c>
    </row>
    <row r="384" spans="1:7" ht="30" hidden="1" outlineLevel="6">
      <c r="A384" s="4" t="s">
        <v>11</v>
      </c>
      <c r="B384" s="4" t="s">
        <v>82</v>
      </c>
      <c r="C384" s="5"/>
      <c r="D384" s="8"/>
      <c r="E384" s="4" t="s">
        <v>328</v>
      </c>
      <c r="F384" s="4" t="s">
        <v>14</v>
      </c>
      <c r="G384" s="4">
        <v>1281290.3410132199</v>
      </c>
    </row>
    <row r="385" spans="1:7" ht="18" hidden="1" outlineLevel="6">
      <c r="A385" s="4" t="s">
        <v>14</v>
      </c>
      <c r="B385" s="4" t="s">
        <v>82</v>
      </c>
      <c r="C385" s="5"/>
      <c r="D385" s="8" t="s">
        <v>48</v>
      </c>
      <c r="E385" s="4" t="s">
        <v>365</v>
      </c>
      <c r="F385" s="4" t="s">
        <v>14</v>
      </c>
      <c r="G385" s="4">
        <f>G384*G382*G383</f>
        <v>247545.29388375409</v>
      </c>
    </row>
    <row r="386" spans="1:7" ht="18" hidden="1" outlineLevel="6">
      <c r="A386" s="3" t="s">
        <v>11</v>
      </c>
      <c r="B386" s="3" t="s">
        <v>82</v>
      </c>
      <c r="C386" s="3"/>
      <c r="D386" s="3"/>
      <c r="E386" s="3" t="s">
        <v>366</v>
      </c>
      <c r="F386" s="3" t="s">
        <v>14</v>
      </c>
      <c r="G386" s="3">
        <f>SUM(G385)</f>
        <v>247545.29388375409</v>
      </c>
    </row>
    <row r="387" spans="1:7" ht="30" hidden="1" outlineLevel="6">
      <c r="A387" s="3" t="s">
        <v>14</v>
      </c>
      <c r="B387" s="3" t="s">
        <v>82</v>
      </c>
      <c r="C387" s="3"/>
      <c r="D387" s="3" t="s">
        <v>48</v>
      </c>
      <c r="E387" s="3" t="s">
        <v>367</v>
      </c>
      <c r="F387" s="3" t="s">
        <v>14</v>
      </c>
      <c r="G387" s="3">
        <f>IF(G21="Included",(((G388*G386)/G389)/G147),0)</f>
        <v>0</v>
      </c>
    </row>
    <row r="388" spans="1:7" hidden="1" outlineLevel="6">
      <c r="A388" s="3" t="s">
        <v>11</v>
      </c>
      <c r="B388" s="3" t="s">
        <v>82</v>
      </c>
      <c r="C388" s="3"/>
      <c r="D388" s="3"/>
      <c r="E388" s="3" t="s">
        <v>114</v>
      </c>
      <c r="F388" s="3" t="s">
        <v>14</v>
      </c>
      <c r="G388" s="3">
        <v>265</v>
      </c>
    </row>
    <row r="389" spans="1:7" hidden="1" outlineLevel="6">
      <c r="A389" s="3" t="s">
        <v>14</v>
      </c>
      <c r="B389" s="3" t="s">
        <v>82</v>
      </c>
      <c r="C389" s="3"/>
      <c r="D389" s="3" t="s">
        <v>48</v>
      </c>
      <c r="E389" s="3" t="s">
        <v>220</v>
      </c>
      <c r="F389" s="3" t="s">
        <v>14</v>
      </c>
      <c r="G389" s="3">
        <f>10^6</f>
        <v>1000000</v>
      </c>
    </row>
    <row r="390" spans="1:7" hidden="1" outlineLevel="6" collapsed="1">
      <c r="A390" s="3" t="s">
        <v>14</v>
      </c>
      <c r="B390" s="9" t="s">
        <v>368</v>
      </c>
      <c r="C390" s="3"/>
      <c r="D390" s="3"/>
      <c r="E390" s="3" t="s">
        <v>369</v>
      </c>
      <c r="F390" s="3" t="s">
        <v>14</v>
      </c>
      <c r="G390" s="3"/>
    </row>
    <row r="391" spans="1:7" ht="30" hidden="1" outlineLevel="6">
      <c r="A391" s="3" t="s">
        <v>14</v>
      </c>
      <c r="B391" s="3" t="s">
        <v>82</v>
      </c>
      <c r="C391" s="3"/>
      <c r="D391" s="3" t="s">
        <v>48</v>
      </c>
      <c r="E391" s="3" t="s">
        <v>370</v>
      </c>
      <c r="F391" s="3" t="s">
        <v>14</v>
      </c>
      <c r="G391" s="11">
        <f>G347+G368+G377</f>
        <v>0.29001157130592697</v>
      </c>
    </row>
    <row r="392" spans="1:7" hidden="1" outlineLevel="3">
      <c r="A392" s="3" t="s">
        <v>14</v>
      </c>
      <c r="B392" s="3" t="s">
        <v>82</v>
      </c>
      <c r="C392" s="3"/>
      <c r="D392" s="3" t="s">
        <v>48</v>
      </c>
      <c r="E392" s="3" t="s">
        <v>371</v>
      </c>
      <c r="F392" s="3" t="s">
        <v>14</v>
      </c>
      <c r="G392" s="3">
        <f>SUM(G155-G277)*G147</f>
        <v>0</v>
      </c>
    </row>
    <row r="393" spans="1:7" hidden="1" outlineLevel="3">
      <c r="A393" s="3" t="s">
        <v>14</v>
      </c>
      <c r="B393" s="3" t="s">
        <v>82</v>
      </c>
      <c r="C393" s="3"/>
      <c r="D393" s="3" t="s">
        <v>48</v>
      </c>
      <c r="E393" s="3" t="s">
        <v>372</v>
      </c>
      <c r="F393" s="3" t="s">
        <v>14</v>
      </c>
      <c r="G393" s="3">
        <f>SUM(G163-G285)*G147</f>
        <v>1.8333333333333337</v>
      </c>
    </row>
    <row r="394" spans="1:7" hidden="1" outlineLevel="3">
      <c r="A394" s="3" t="s">
        <v>14</v>
      </c>
      <c r="B394" s="3" t="s">
        <v>82</v>
      </c>
      <c r="C394" s="3"/>
      <c r="D394" s="3" t="s">
        <v>48</v>
      </c>
      <c r="E394" s="3" t="s">
        <v>373</v>
      </c>
      <c r="F394" s="3" t="s">
        <v>14</v>
      </c>
      <c r="G394" s="3">
        <f>SUM(G173-G295)*G147</f>
        <v>32.679421607048745</v>
      </c>
    </row>
    <row r="395" spans="1:7" hidden="1" outlineLevel="3">
      <c r="A395" s="3" t="s">
        <v>14</v>
      </c>
      <c r="B395" s="3" t="s">
        <v>82</v>
      </c>
      <c r="C395" s="3"/>
      <c r="D395" s="3" t="s">
        <v>48</v>
      </c>
      <c r="E395" s="3" t="s">
        <v>374</v>
      </c>
      <c r="F395" s="3" t="s">
        <v>14</v>
      </c>
      <c r="G395" s="3">
        <f>SUM(G190-G312)*G147</f>
        <v>0</v>
      </c>
    </row>
    <row r="396" spans="1:7" hidden="1" outlineLevel="3">
      <c r="A396" s="3" t="s">
        <v>14</v>
      </c>
      <c r="B396" s="3" t="s">
        <v>82</v>
      </c>
      <c r="C396" s="3"/>
      <c r="D396" s="3" t="s">
        <v>48</v>
      </c>
      <c r="E396" s="3" t="s">
        <v>375</v>
      </c>
      <c r="F396" s="3" t="s">
        <v>14</v>
      </c>
      <c r="G396" s="3">
        <f>SUM(G201-G323)*G147</f>
        <v>8.4048435832102246</v>
      </c>
    </row>
    <row r="397" spans="1:7" hidden="1" outlineLevel="3">
      <c r="A397" s="3" t="s">
        <v>14</v>
      </c>
      <c r="B397" s="3" t="s">
        <v>82</v>
      </c>
      <c r="C397" s="3"/>
      <c r="D397" s="3" t="s">
        <v>48</v>
      </c>
      <c r="E397" s="3" t="s">
        <v>376</v>
      </c>
      <c r="F397" s="3" t="s">
        <v>14</v>
      </c>
      <c r="G397" s="3">
        <f>SUM(G265-G387)*G147</f>
        <v>0</v>
      </c>
    </row>
    <row r="398" spans="1:7" outlineLevel="1" collapsed="1">
      <c r="A398" s="12" t="s">
        <v>14</v>
      </c>
      <c r="B398" s="14" t="s">
        <v>377</v>
      </c>
      <c r="C398" s="12"/>
      <c r="D398" s="12"/>
      <c r="E398" s="12" t="s">
        <v>378</v>
      </c>
      <c r="F398" s="12" t="s">
        <v>14</v>
      </c>
      <c r="G398" s="12"/>
    </row>
    <row r="399" spans="1:7" hidden="1" outlineLevel="5">
      <c r="A399" s="3" t="s">
        <v>11</v>
      </c>
      <c r="B399" s="9" t="s">
        <v>379</v>
      </c>
      <c r="C399" s="3"/>
      <c r="D399" s="3"/>
      <c r="E399" s="3" t="s">
        <v>380</v>
      </c>
      <c r="F399" s="3" t="s">
        <v>11</v>
      </c>
      <c r="G399" s="3"/>
    </row>
    <row r="400" spans="1:7" ht="14.25" hidden="1" customHeight="1" outlineLevel="2">
      <c r="A400" s="3" t="s">
        <v>11</v>
      </c>
      <c r="B400" s="3" t="s">
        <v>46</v>
      </c>
      <c r="C400" s="3"/>
      <c r="D400" s="3"/>
      <c r="E400" s="3" t="s">
        <v>88</v>
      </c>
      <c r="F400" s="3" t="s">
        <v>14</v>
      </c>
      <c r="G400" s="3" t="s">
        <v>89</v>
      </c>
    </row>
    <row r="401" spans="1:8" hidden="1" outlineLevel="2">
      <c r="A401" s="3" t="s">
        <v>11</v>
      </c>
      <c r="B401" s="3" t="s">
        <v>82</v>
      </c>
      <c r="C401" s="3"/>
      <c r="D401" s="3"/>
      <c r="E401" s="3" t="s">
        <v>90</v>
      </c>
      <c r="F401" s="3" t="s">
        <v>14</v>
      </c>
      <c r="G401" s="3">
        <v>1148.7226376613501</v>
      </c>
    </row>
    <row r="402" spans="1:8" ht="14.25" hidden="1" customHeight="1" outlineLevel="2">
      <c r="A402" s="3"/>
      <c r="B402" s="10" t="s">
        <v>381</v>
      </c>
      <c r="C402" s="3"/>
      <c r="D402" s="3"/>
      <c r="E402" s="3" t="s">
        <v>381</v>
      </c>
      <c r="F402" s="3" t="s">
        <v>14</v>
      </c>
      <c r="G402" s="3"/>
    </row>
    <row r="403" spans="1:8" ht="29.25" hidden="1" customHeight="1" outlineLevel="3">
      <c r="A403" s="18" t="s">
        <v>11</v>
      </c>
      <c r="B403" s="10" t="s">
        <v>382</v>
      </c>
      <c r="C403" s="19"/>
      <c r="D403" s="18"/>
      <c r="E403" s="18" t="s">
        <v>383</v>
      </c>
      <c r="F403" s="18" t="s">
        <v>14</v>
      </c>
      <c r="G403" s="18"/>
    </row>
    <row r="404" spans="1:8" ht="29.25" hidden="1" customHeight="1" outlineLevel="4">
      <c r="A404" s="18" t="s">
        <v>11</v>
      </c>
      <c r="B404" s="18" t="s">
        <v>17</v>
      </c>
      <c r="C404" s="10" t="s">
        <v>384</v>
      </c>
      <c r="D404" s="18"/>
      <c r="E404" s="18" t="s">
        <v>385</v>
      </c>
      <c r="F404" s="3" t="s">
        <v>14</v>
      </c>
      <c r="G404" s="18" t="s">
        <v>386</v>
      </c>
    </row>
    <row r="405" spans="1:8" ht="29.25" hidden="1" customHeight="1" outlineLevel="4">
      <c r="A405" s="3" t="s">
        <v>14</v>
      </c>
      <c r="B405" s="10" t="s">
        <v>387</v>
      </c>
      <c r="C405" s="10"/>
      <c r="D405" s="18" t="b">
        <f>EXACT(G404,"Estimating change in carbon stock in trees between two points in time")</f>
        <v>0</v>
      </c>
      <c r="E405" s="18" t="s">
        <v>388</v>
      </c>
      <c r="F405" s="3" t="s">
        <v>14</v>
      </c>
      <c r="G405" s="18"/>
    </row>
    <row r="406" spans="1:8" ht="29.25" hidden="1" customHeight="1" outlineLevel="5">
      <c r="A406" s="18" t="s">
        <v>11</v>
      </c>
      <c r="B406" s="18" t="s">
        <v>17</v>
      </c>
      <c r="C406" s="19" t="s">
        <v>389</v>
      </c>
      <c r="D406" s="18"/>
      <c r="E406" s="18" t="s">
        <v>390</v>
      </c>
      <c r="F406" s="18" t="s">
        <v>14</v>
      </c>
      <c r="G406" s="18" t="s">
        <v>391</v>
      </c>
    </row>
    <row r="407" spans="1:8" hidden="1" outlineLevel="5">
      <c r="A407" s="18" t="s">
        <v>14</v>
      </c>
      <c r="B407" s="10" t="s">
        <v>392</v>
      </c>
      <c r="C407" s="19"/>
      <c r="D407" s="18" t="b">
        <f>EXACT(G406,"no-decrease")</f>
        <v>1</v>
      </c>
      <c r="E407" s="18" t="s">
        <v>393</v>
      </c>
      <c r="F407" s="3" t="s">
        <v>14</v>
      </c>
      <c r="G407" s="18"/>
    </row>
    <row r="408" spans="1:8" ht="165" hidden="1" outlineLevel="6" collapsed="1">
      <c r="A408" s="20" t="s">
        <v>14</v>
      </c>
      <c r="B408" s="20" t="s">
        <v>44</v>
      </c>
      <c r="C408" s="20"/>
      <c r="D408" s="20"/>
      <c r="E408" s="20" t="s">
        <v>394</v>
      </c>
      <c r="F408" s="4" t="s">
        <v>14</v>
      </c>
      <c r="G408" s="20"/>
    </row>
    <row r="409" spans="1:8" ht="60" hidden="1" outlineLevel="6" collapsed="1">
      <c r="A409" s="20" t="s">
        <v>11</v>
      </c>
      <c r="B409" s="20" t="s">
        <v>17</v>
      </c>
      <c r="C409" s="21" t="s">
        <v>395</v>
      </c>
      <c r="D409" s="20"/>
      <c r="E409" s="20" t="s">
        <v>396</v>
      </c>
      <c r="F409" s="4" t="s">
        <v>14</v>
      </c>
      <c r="G409" s="20"/>
    </row>
    <row r="410" spans="1:8" hidden="1" outlineLevel="5">
      <c r="A410" s="18" t="s">
        <v>14</v>
      </c>
      <c r="B410" s="10" t="s">
        <v>397</v>
      </c>
      <c r="C410" s="18" t="s">
        <v>47</v>
      </c>
      <c r="D410" s="18" t="b">
        <f>EXACT(G406,"Estimation by proportionate crown cover")</f>
        <v>0</v>
      </c>
      <c r="E410" s="18" t="s">
        <v>398</v>
      </c>
      <c r="F410" s="18" t="s">
        <v>14</v>
      </c>
      <c r="G410" s="18" t="s">
        <v>47</v>
      </c>
    </row>
    <row r="411" spans="1:8" ht="30" hidden="1" outlineLevel="6" collapsed="1">
      <c r="A411" s="20" t="s">
        <v>14</v>
      </c>
      <c r="B411" s="20" t="s">
        <v>82</v>
      </c>
      <c r="C411" s="20" t="s">
        <v>47</v>
      </c>
      <c r="D411" s="20" t="s">
        <v>399</v>
      </c>
      <c r="E411" s="20" t="s">
        <v>400</v>
      </c>
      <c r="F411" s="20" t="s">
        <v>14</v>
      </c>
      <c r="G411" s="20">
        <f>SUM(G413)</f>
        <v>7.333333333333333</v>
      </c>
      <c r="H411" t="s">
        <v>401</v>
      </c>
    </row>
    <row r="412" spans="1:8" hidden="1" outlineLevel="6">
      <c r="A412" s="22" t="s">
        <v>11</v>
      </c>
      <c r="B412" s="23" t="s">
        <v>402</v>
      </c>
      <c r="C412" s="22" t="s">
        <v>47</v>
      </c>
      <c r="D412" s="22"/>
      <c r="E412" s="22" t="s">
        <v>403</v>
      </c>
      <c r="F412" s="22" t="s">
        <v>11</v>
      </c>
      <c r="G412" s="22" t="s">
        <v>47</v>
      </c>
      <c r="H412" t="s">
        <v>401</v>
      </c>
    </row>
    <row r="413" spans="1:8" ht="30" hidden="1" outlineLevel="6" collapsed="1">
      <c r="A413" s="20" t="s">
        <v>14</v>
      </c>
      <c r="B413" s="20" t="s">
        <v>82</v>
      </c>
      <c r="C413" s="20" t="s">
        <v>47</v>
      </c>
      <c r="D413" s="20" t="s">
        <v>399</v>
      </c>
      <c r="E413" s="20" t="s">
        <v>404</v>
      </c>
      <c r="F413" s="20" t="s">
        <v>14</v>
      </c>
      <c r="G413" s="20">
        <f>44/12*G414*G415*(1+G416)*G417*G418</f>
        <v>7.333333333333333</v>
      </c>
    </row>
    <row r="414" spans="1:8" hidden="1" outlineLevel="6" collapsed="1">
      <c r="A414" s="20" t="s">
        <v>11</v>
      </c>
      <c r="B414" s="20" t="s">
        <v>82</v>
      </c>
      <c r="C414" s="20" t="s">
        <v>47</v>
      </c>
      <c r="D414" s="20"/>
      <c r="E414" s="20" t="s">
        <v>405</v>
      </c>
      <c r="F414" s="20" t="s">
        <v>14</v>
      </c>
      <c r="G414" s="20">
        <v>1</v>
      </c>
    </row>
    <row r="415" spans="1:8" ht="30" hidden="1" outlineLevel="6" collapsed="1">
      <c r="A415" s="20" t="s">
        <v>11</v>
      </c>
      <c r="B415" s="20" t="s">
        <v>82</v>
      </c>
      <c r="C415" s="20" t="s">
        <v>47</v>
      </c>
      <c r="D415" s="20"/>
      <c r="E415" s="20" t="s">
        <v>406</v>
      </c>
      <c r="F415" s="20" t="s">
        <v>14</v>
      </c>
      <c r="G415" s="20">
        <v>1</v>
      </c>
    </row>
    <row r="416" spans="1:8" hidden="1" outlineLevel="6" collapsed="1">
      <c r="A416" s="20" t="s">
        <v>11</v>
      </c>
      <c r="B416" s="20" t="s">
        <v>82</v>
      </c>
      <c r="C416" s="20" t="s">
        <v>47</v>
      </c>
      <c r="D416" s="20"/>
      <c r="E416" s="20" t="s">
        <v>407</v>
      </c>
      <c r="F416" s="20" t="s">
        <v>14</v>
      </c>
      <c r="G416" s="20">
        <v>1</v>
      </c>
    </row>
    <row r="417" spans="1:7" ht="30" hidden="1" outlineLevel="6" collapsed="1">
      <c r="A417" s="20" t="s">
        <v>11</v>
      </c>
      <c r="B417" s="20" t="s">
        <v>82</v>
      </c>
      <c r="C417" s="20" t="s">
        <v>47</v>
      </c>
      <c r="D417" s="20"/>
      <c r="E417" s="20" t="s">
        <v>408</v>
      </c>
      <c r="F417" s="20" t="s">
        <v>14</v>
      </c>
      <c r="G417" s="20">
        <v>1</v>
      </c>
    </row>
    <row r="418" spans="1:7" ht="30" hidden="1" outlineLevel="6" collapsed="1">
      <c r="A418" s="20" t="s">
        <v>11</v>
      </c>
      <c r="B418" s="20" t="s">
        <v>82</v>
      </c>
      <c r="C418" s="20" t="s">
        <v>47</v>
      </c>
      <c r="D418" s="20"/>
      <c r="E418" s="20" t="s">
        <v>409</v>
      </c>
      <c r="F418" s="20" t="s">
        <v>14</v>
      </c>
      <c r="G418" s="20">
        <v>1</v>
      </c>
    </row>
    <row r="419" spans="1:7" hidden="1" outlineLevel="5">
      <c r="A419" s="18" t="s">
        <v>14</v>
      </c>
      <c r="B419" s="10" t="s">
        <v>410</v>
      </c>
      <c r="C419" s="18" t="s">
        <v>47</v>
      </c>
      <c r="D419" s="18" t="b">
        <f>EXACT(G406,"Direct estimation of change by re-measurement of sample plots")</f>
        <v>0</v>
      </c>
      <c r="E419" s="18" t="s">
        <v>411</v>
      </c>
      <c r="F419" s="18" t="s">
        <v>14</v>
      </c>
      <c r="G419" s="18" t="s">
        <v>47</v>
      </c>
    </row>
    <row r="420" spans="1:7" hidden="1" outlineLevel="6" collapsed="1">
      <c r="A420" s="20" t="s">
        <v>14</v>
      </c>
      <c r="B420" s="20" t="s">
        <v>82</v>
      </c>
      <c r="C420" s="20" t="s">
        <v>47</v>
      </c>
      <c r="D420" s="20" t="s">
        <v>399</v>
      </c>
      <c r="E420" s="20" t="s">
        <v>412</v>
      </c>
      <c r="F420" s="20" t="s">
        <v>14</v>
      </c>
      <c r="G420" s="20">
        <f>44/12*G421*G422</f>
        <v>3.6666666666666665</v>
      </c>
    </row>
    <row r="421" spans="1:7" hidden="1" outlineLevel="6" collapsed="1">
      <c r="A421" s="20" t="s">
        <v>11</v>
      </c>
      <c r="B421" s="20" t="s">
        <v>82</v>
      </c>
      <c r="C421" s="20" t="s">
        <v>47</v>
      </c>
      <c r="D421" s="20"/>
      <c r="E421" s="20" t="s">
        <v>405</v>
      </c>
      <c r="F421" s="20" t="s">
        <v>14</v>
      </c>
      <c r="G421" s="20">
        <v>1</v>
      </c>
    </row>
    <row r="422" spans="1:7" ht="30" hidden="1" outlineLevel="6" collapsed="1">
      <c r="A422" s="20" t="s">
        <v>14</v>
      </c>
      <c r="B422" s="20" t="s">
        <v>82</v>
      </c>
      <c r="C422" s="20" t="s">
        <v>47</v>
      </c>
      <c r="D422" s="20" t="s">
        <v>399</v>
      </c>
      <c r="E422" s="20" t="s">
        <v>413</v>
      </c>
      <c r="F422" s="20" t="s">
        <v>14</v>
      </c>
      <c r="G422" s="20">
        <f>G424*G423</f>
        <v>1</v>
      </c>
    </row>
    <row r="423" spans="1:7" ht="30" hidden="1" outlineLevel="6" collapsed="1">
      <c r="A423" s="20" t="s">
        <v>14</v>
      </c>
      <c r="B423" s="20" t="s">
        <v>82</v>
      </c>
      <c r="C423" s="20" t="s">
        <v>47</v>
      </c>
      <c r="D423" s="20" t="s">
        <v>399</v>
      </c>
      <c r="E423" s="20" t="s">
        <v>414</v>
      </c>
      <c r="F423" s="20" t="s">
        <v>14</v>
      </c>
      <c r="G423" s="20">
        <f>SUM((G429*G428))</f>
        <v>1</v>
      </c>
    </row>
    <row r="424" spans="1:7" hidden="1" outlineLevel="6" collapsed="1">
      <c r="A424" s="20" t="s">
        <v>11</v>
      </c>
      <c r="B424" s="20" t="s">
        <v>82</v>
      </c>
      <c r="C424" s="20" t="s">
        <v>47</v>
      </c>
      <c r="D424" s="20"/>
      <c r="E424" s="20" t="s">
        <v>415</v>
      </c>
      <c r="F424" s="20" t="s">
        <v>14</v>
      </c>
      <c r="G424" s="20">
        <v>1</v>
      </c>
    </row>
    <row r="425" spans="1:7" hidden="1" outlineLevel="6" collapsed="1">
      <c r="A425" s="20" t="s">
        <v>11</v>
      </c>
      <c r="B425" s="20" t="s">
        <v>82</v>
      </c>
      <c r="C425" s="20" t="s">
        <v>47</v>
      </c>
      <c r="D425" s="20"/>
      <c r="E425" s="20" t="s">
        <v>416</v>
      </c>
      <c r="F425" s="20" t="s">
        <v>14</v>
      </c>
      <c r="G425" s="20">
        <v>1</v>
      </c>
    </row>
    <row r="426" spans="1:7" hidden="1" outlineLevel="6" collapsed="1">
      <c r="A426" s="20" t="s">
        <v>11</v>
      </c>
      <c r="B426" s="20" t="s">
        <v>82</v>
      </c>
      <c r="C426" s="20" t="s">
        <v>47</v>
      </c>
      <c r="D426" s="20"/>
      <c r="E426" s="20" t="s">
        <v>417</v>
      </c>
      <c r="F426" s="20" t="s">
        <v>14</v>
      </c>
      <c r="G426" s="20">
        <v>1</v>
      </c>
    </row>
    <row r="427" spans="1:7" ht="30" hidden="1" outlineLevel="6">
      <c r="A427" s="22" t="s">
        <v>11</v>
      </c>
      <c r="B427" s="23" t="s">
        <v>418</v>
      </c>
      <c r="C427" s="22" t="s">
        <v>47</v>
      </c>
      <c r="D427" s="22"/>
      <c r="E427" s="22" t="s">
        <v>419</v>
      </c>
      <c r="F427" s="22" t="s">
        <v>11</v>
      </c>
      <c r="G427" s="22" t="s">
        <v>47</v>
      </c>
    </row>
    <row r="428" spans="1:7" ht="30" hidden="1" outlineLevel="6" collapsed="1">
      <c r="A428" s="20" t="s">
        <v>14</v>
      </c>
      <c r="B428" s="20" t="s">
        <v>82</v>
      </c>
      <c r="C428" s="20" t="s">
        <v>47</v>
      </c>
      <c r="D428" s="4" t="s">
        <v>399</v>
      </c>
      <c r="E428" s="20" t="s">
        <v>420</v>
      </c>
      <c r="F428" s="20" t="s">
        <v>14</v>
      </c>
      <c r="G428" s="20">
        <f>(SUM(G433))/G431</f>
        <v>1</v>
      </c>
    </row>
    <row r="429" spans="1:7" ht="30" hidden="1" outlineLevel="6" collapsed="1">
      <c r="A429" s="20" t="s">
        <v>11</v>
      </c>
      <c r="B429" s="20" t="s">
        <v>82</v>
      </c>
      <c r="C429" s="20" t="s">
        <v>47</v>
      </c>
      <c r="D429" s="20"/>
      <c r="E429" s="20" t="s">
        <v>421</v>
      </c>
      <c r="F429" s="20" t="s">
        <v>14</v>
      </c>
      <c r="G429" s="20">
        <v>1</v>
      </c>
    </row>
    <row r="430" spans="1:7" ht="30" hidden="1" outlineLevel="6" collapsed="1">
      <c r="A430" s="20" t="s">
        <v>11</v>
      </c>
      <c r="B430" s="20" t="s">
        <v>82</v>
      </c>
      <c r="C430" s="20" t="s">
        <v>47</v>
      </c>
      <c r="D430" s="20"/>
      <c r="E430" s="20" t="s">
        <v>422</v>
      </c>
      <c r="F430" s="20" t="s">
        <v>14</v>
      </c>
      <c r="G430" s="20">
        <v>1</v>
      </c>
    </row>
    <row r="431" spans="1:7" ht="30" hidden="1" outlineLevel="6" collapsed="1">
      <c r="A431" s="20" t="s">
        <v>11</v>
      </c>
      <c r="B431" s="20" t="s">
        <v>82</v>
      </c>
      <c r="C431" s="20" t="s">
        <v>47</v>
      </c>
      <c r="D431" s="20"/>
      <c r="E431" s="20" t="s">
        <v>423</v>
      </c>
      <c r="F431" s="20" t="s">
        <v>14</v>
      </c>
      <c r="G431" s="20">
        <v>1</v>
      </c>
    </row>
    <row r="432" spans="1:7" hidden="1" outlineLevel="6">
      <c r="A432" s="22" t="s">
        <v>11</v>
      </c>
      <c r="B432" s="23" t="s">
        <v>424</v>
      </c>
      <c r="C432" s="22"/>
      <c r="D432" s="22"/>
      <c r="E432" s="22" t="s">
        <v>425</v>
      </c>
      <c r="F432" s="22" t="s">
        <v>11</v>
      </c>
      <c r="G432" s="22"/>
    </row>
    <row r="433" spans="1:12" s="25" customFormat="1" ht="30" hidden="1" outlineLevel="6" collapsed="1">
      <c r="A433" s="24" t="s">
        <v>11</v>
      </c>
      <c r="B433" s="24" t="s">
        <v>82</v>
      </c>
      <c r="C433" s="24" t="s">
        <v>47</v>
      </c>
      <c r="D433" s="24"/>
      <c r="E433" s="24" t="s">
        <v>426</v>
      </c>
      <c r="F433" s="24" t="s">
        <v>14</v>
      </c>
      <c r="G433" s="24">
        <v>1</v>
      </c>
      <c r="H433"/>
      <c r="I433"/>
      <c r="J433"/>
      <c r="K433"/>
      <c r="L433"/>
    </row>
    <row r="434" spans="1:12" hidden="1" outlineLevel="5">
      <c r="A434" s="18" t="s">
        <v>14</v>
      </c>
      <c r="B434" s="10" t="s">
        <v>427</v>
      </c>
      <c r="C434" s="18" t="s">
        <v>47</v>
      </c>
      <c r="D434" s="18" t="b">
        <f>EXACT(G406,"Difference of two independent stock estimations")</f>
        <v>0</v>
      </c>
      <c r="E434" s="18" t="s">
        <v>428</v>
      </c>
      <c r="F434" s="18" t="s">
        <v>14</v>
      </c>
      <c r="G434" s="18" t="s">
        <v>47</v>
      </c>
    </row>
    <row r="435" spans="1:12" hidden="1" outlineLevel="6" collapsed="1">
      <c r="A435" s="20" t="s">
        <v>11</v>
      </c>
      <c r="B435" s="20" t="s">
        <v>82</v>
      </c>
      <c r="C435" s="20" t="s">
        <v>47</v>
      </c>
      <c r="D435" s="20"/>
      <c r="E435" s="20" t="s">
        <v>429</v>
      </c>
      <c r="F435" s="20" t="s">
        <v>14</v>
      </c>
      <c r="G435" s="20">
        <v>1</v>
      </c>
    </row>
    <row r="436" spans="1:12" hidden="1" outlineLevel="6" collapsed="1">
      <c r="A436" s="20" t="s">
        <v>11</v>
      </c>
      <c r="B436" s="20" t="s">
        <v>82</v>
      </c>
      <c r="C436" s="20" t="s">
        <v>47</v>
      </c>
      <c r="D436" s="20"/>
      <c r="E436" s="20" t="s">
        <v>430</v>
      </c>
      <c r="F436" s="20" t="s">
        <v>14</v>
      </c>
      <c r="G436" s="20">
        <v>1</v>
      </c>
    </row>
    <row r="437" spans="1:12" hidden="1" outlineLevel="6" collapsed="1">
      <c r="A437" s="20" t="s">
        <v>11</v>
      </c>
      <c r="B437" s="20" t="s">
        <v>82</v>
      </c>
      <c r="C437" s="20" t="s">
        <v>47</v>
      </c>
      <c r="D437" s="20"/>
      <c r="E437" s="20" t="s">
        <v>431</v>
      </c>
      <c r="F437" s="20" t="s">
        <v>14</v>
      </c>
      <c r="G437" s="20">
        <v>1</v>
      </c>
    </row>
    <row r="438" spans="1:12" hidden="1" outlineLevel="6" collapsed="1">
      <c r="A438" s="20" t="s">
        <v>11</v>
      </c>
      <c r="B438" s="20" t="s">
        <v>82</v>
      </c>
      <c r="C438" s="20" t="s">
        <v>47</v>
      </c>
      <c r="D438" s="20"/>
      <c r="E438" s="20" t="s">
        <v>432</v>
      </c>
      <c r="F438" s="20" t="s">
        <v>14</v>
      </c>
      <c r="G438" s="20">
        <v>1</v>
      </c>
    </row>
    <row r="439" spans="1:12" hidden="1" outlineLevel="6" collapsed="1">
      <c r="A439" s="20" t="s">
        <v>14</v>
      </c>
      <c r="B439" s="20" t="s">
        <v>82</v>
      </c>
      <c r="C439" s="20" t="s">
        <v>47</v>
      </c>
      <c r="D439" s="20" t="s">
        <v>399</v>
      </c>
      <c r="E439" s="24" t="s">
        <v>433</v>
      </c>
      <c r="F439" s="20" t="s">
        <v>14</v>
      </c>
      <c r="G439" s="20" t="e">
        <f>(SQRT((G437*G435)^2+(G438*G436)^2))/G440</f>
        <v>#DIV/0!</v>
      </c>
    </row>
    <row r="440" spans="1:12" hidden="1" outlineLevel="6" collapsed="1">
      <c r="A440" s="20" t="s">
        <v>14</v>
      </c>
      <c r="B440" s="20" t="s">
        <v>82</v>
      </c>
      <c r="C440" s="20" t="s">
        <v>47</v>
      </c>
      <c r="D440" s="20" t="s">
        <v>399</v>
      </c>
      <c r="E440" s="24" t="s">
        <v>434</v>
      </c>
      <c r="F440" s="20" t="s">
        <v>14</v>
      </c>
      <c r="G440" s="20">
        <f>G436-G435</f>
        <v>0</v>
      </c>
    </row>
    <row r="441" spans="1:12" hidden="1" outlineLevel="6" collapsed="1">
      <c r="A441" s="20" t="s">
        <v>11</v>
      </c>
      <c r="B441" s="20" t="s">
        <v>82</v>
      </c>
      <c r="C441" s="20" t="s">
        <v>47</v>
      </c>
      <c r="D441" s="20"/>
      <c r="E441" s="20" t="s">
        <v>435</v>
      </c>
      <c r="F441" s="20" t="s">
        <v>14</v>
      </c>
      <c r="G441" s="26">
        <v>7.0000000000000007E-2</v>
      </c>
    </row>
    <row r="442" spans="1:12" hidden="1" outlineLevel="4">
      <c r="A442" s="3" t="s">
        <v>14</v>
      </c>
      <c r="B442" s="10" t="s">
        <v>436</v>
      </c>
      <c r="C442" s="18" t="s">
        <v>47</v>
      </c>
      <c r="D442" s="18" t="b">
        <f>EXACT(G404,"Estimating change in carbon stock in trees in a year")</f>
        <v>1</v>
      </c>
      <c r="E442" s="18" t="s">
        <v>386</v>
      </c>
      <c r="F442" s="18" t="s">
        <v>14</v>
      </c>
      <c r="G442" s="18" t="s">
        <v>47</v>
      </c>
    </row>
    <row r="443" spans="1:12" ht="30" hidden="1" outlineLevel="5" collapsed="1">
      <c r="A443" s="20" t="s">
        <v>14</v>
      </c>
      <c r="B443" s="20" t="s">
        <v>82</v>
      </c>
      <c r="C443" s="20" t="s">
        <v>47</v>
      </c>
      <c r="D443" s="20" t="s">
        <v>399</v>
      </c>
      <c r="E443" s="20" t="s">
        <v>437</v>
      </c>
      <c r="F443" s="20" t="s">
        <v>14</v>
      </c>
      <c r="G443" s="20">
        <f>(G444-G445/G446)*1</f>
        <v>1</v>
      </c>
    </row>
    <row r="444" spans="1:12" ht="30" hidden="1" outlineLevel="5" collapsed="1">
      <c r="A444" s="20" t="s">
        <v>11</v>
      </c>
      <c r="B444" s="20" t="s">
        <v>82</v>
      </c>
      <c r="C444" s="20" t="s">
        <v>47</v>
      </c>
      <c r="D444" s="20"/>
      <c r="E444" s="20" t="s">
        <v>438</v>
      </c>
      <c r="F444" s="20" t="s">
        <v>14</v>
      </c>
      <c r="G444" s="20">
        <v>1</v>
      </c>
    </row>
    <row r="445" spans="1:12" ht="30" hidden="1" outlineLevel="5" collapsed="1">
      <c r="A445" s="20" t="s">
        <v>11</v>
      </c>
      <c r="B445" s="20" t="s">
        <v>82</v>
      </c>
      <c r="C445" s="20" t="s">
        <v>47</v>
      </c>
      <c r="D445" s="20"/>
      <c r="E445" s="20" t="s">
        <v>439</v>
      </c>
      <c r="F445" s="20" t="s">
        <v>14</v>
      </c>
      <c r="G445" s="20"/>
    </row>
    <row r="446" spans="1:12" hidden="1" outlineLevel="5" collapsed="1">
      <c r="A446" s="20" t="s">
        <v>11</v>
      </c>
      <c r="B446" s="20" t="s">
        <v>82</v>
      </c>
      <c r="C446" s="20" t="s">
        <v>47</v>
      </c>
      <c r="D446" s="20"/>
      <c r="E446" s="20" t="s">
        <v>440</v>
      </c>
      <c r="F446" s="20" t="s">
        <v>14</v>
      </c>
      <c r="G446" s="20">
        <v>1</v>
      </c>
    </row>
    <row r="447" spans="1:12" hidden="1" outlineLevel="4">
      <c r="A447" s="3" t="s">
        <v>11</v>
      </c>
      <c r="B447" s="10" t="s">
        <v>441</v>
      </c>
      <c r="C447" s="18" t="s">
        <v>47</v>
      </c>
      <c r="D447" s="18"/>
      <c r="E447" s="18" t="s">
        <v>442</v>
      </c>
      <c r="F447" s="18" t="s">
        <v>14</v>
      </c>
      <c r="G447" s="18" t="s">
        <v>47</v>
      </c>
    </row>
    <row r="448" spans="1:12" ht="30" hidden="1" outlineLevel="4" collapsed="1">
      <c r="A448" s="20" t="s">
        <v>11</v>
      </c>
      <c r="B448" s="20" t="s">
        <v>17</v>
      </c>
      <c r="C448" s="21" t="s">
        <v>443</v>
      </c>
      <c r="D448" s="20"/>
      <c r="E448" s="20" t="s">
        <v>444</v>
      </c>
      <c r="F448" s="20" t="s">
        <v>14</v>
      </c>
      <c r="G448" s="20" t="s">
        <v>445</v>
      </c>
    </row>
    <row r="449" spans="1:7" hidden="1" outlineLevel="4">
      <c r="A449" s="22" t="s">
        <v>14</v>
      </c>
      <c r="B449" s="23" t="s">
        <v>446</v>
      </c>
      <c r="C449" s="22" t="s">
        <v>47</v>
      </c>
      <c r="D449" s="22" t="b">
        <f>EXACT(G448,"Updating the previous stock by independent measurement of change")</f>
        <v>0</v>
      </c>
      <c r="E449" s="22" t="s">
        <v>447</v>
      </c>
      <c r="F449" s="22" t="s">
        <v>14</v>
      </c>
      <c r="G449" s="22" t="s">
        <v>47</v>
      </c>
    </row>
    <row r="450" spans="1:7" hidden="1" outlineLevel="5" collapsed="1">
      <c r="A450" s="20" t="s">
        <v>14</v>
      </c>
      <c r="B450" s="20" t="s">
        <v>82</v>
      </c>
      <c r="C450" s="20" t="s">
        <v>47</v>
      </c>
      <c r="D450" s="20" t="s">
        <v>399</v>
      </c>
      <c r="E450" s="20" t="s">
        <v>448</v>
      </c>
      <c r="F450" s="20" t="s">
        <v>14</v>
      </c>
      <c r="G450" s="20" t="e">
        <f>E451+E452</f>
        <v>#VALUE!</v>
      </c>
    </row>
    <row r="451" spans="1:7" ht="30" hidden="1" outlineLevel="5" collapsed="1">
      <c r="A451" s="20" t="s">
        <v>11</v>
      </c>
      <c r="B451" s="20" t="s">
        <v>82</v>
      </c>
      <c r="C451" s="20" t="s">
        <v>47</v>
      </c>
      <c r="D451" s="20"/>
      <c r="E451" s="20" t="s">
        <v>449</v>
      </c>
      <c r="F451" s="20" t="s">
        <v>14</v>
      </c>
      <c r="G451" s="20">
        <v>1</v>
      </c>
    </row>
    <row r="452" spans="1:7" ht="30" hidden="1" outlineLevel="5" collapsed="1">
      <c r="A452" s="20" t="s">
        <v>11</v>
      </c>
      <c r="B452" s="20" t="s">
        <v>82</v>
      </c>
      <c r="C452" s="20" t="s">
        <v>47</v>
      </c>
      <c r="D452" s="20"/>
      <c r="E452" s="20" t="s">
        <v>450</v>
      </c>
      <c r="F452" s="20" t="s">
        <v>14</v>
      </c>
      <c r="G452" s="20">
        <v>1</v>
      </c>
    </row>
    <row r="453" spans="1:7" hidden="1" outlineLevel="5" collapsed="1">
      <c r="A453" s="20" t="s">
        <v>11</v>
      </c>
      <c r="B453" s="20" t="s">
        <v>82</v>
      </c>
      <c r="C453" s="20" t="s">
        <v>47</v>
      </c>
      <c r="D453" s="20"/>
      <c r="E453" s="20" t="s">
        <v>451</v>
      </c>
      <c r="F453" s="20" t="s">
        <v>14</v>
      </c>
      <c r="G453" s="20"/>
    </row>
    <row r="454" spans="1:7" ht="30" hidden="1" outlineLevel="5" collapsed="1">
      <c r="A454" s="20" t="s">
        <v>14</v>
      </c>
      <c r="B454" s="20" t="s">
        <v>82</v>
      </c>
      <c r="C454" s="20" t="s">
        <v>47</v>
      </c>
      <c r="D454" s="20" t="s">
        <v>399</v>
      </c>
      <c r="E454" s="20" t="s">
        <v>452</v>
      </c>
      <c r="F454" s="20" t="s">
        <v>14</v>
      </c>
      <c r="G454" s="20" t="e">
        <f>(SQRT((G455*G451)^2+(G453*G452)^2))/G450</f>
        <v>#VALUE!</v>
      </c>
    </row>
    <row r="455" spans="1:7" ht="30" hidden="1" outlineLevel="5" collapsed="1">
      <c r="A455" s="20" t="s">
        <v>11</v>
      </c>
      <c r="B455" s="20" t="s">
        <v>82</v>
      </c>
      <c r="C455" s="20" t="s">
        <v>47</v>
      </c>
      <c r="D455" s="20"/>
      <c r="E455" s="20" t="s">
        <v>453</v>
      </c>
      <c r="F455" s="20" t="s">
        <v>14</v>
      </c>
      <c r="G455" s="20">
        <v>1</v>
      </c>
    </row>
    <row r="456" spans="1:7" hidden="1" outlineLevel="4">
      <c r="A456" s="22" t="s">
        <v>14</v>
      </c>
      <c r="B456" s="23" t="s">
        <v>454</v>
      </c>
      <c r="C456" s="22"/>
      <c r="D456" s="22" t="b">
        <f>EXACT(G448,"Estimation by modelling of tree growth and stand development")</f>
        <v>1</v>
      </c>
      <c r="E456" s="22" t="s">
        <v>445</v>
      </c>
      <c r="F456" s="22" t="s">
        <v>14</v>
      </c>
      <c r="G456" s="22"/>
    </row>
    <row r="457" spans="1:7" ht="60" hidden="1" outlineLevel="5">
      <c r="A457" s="20" t="s">
        <v>14</v>
      </c>
      <c r="B457" s="20" t="s">
        <v>44</v>
      </c>
      <c r="C457" s="20"/>
      <c r="D457" s="20"/>
      <c r="E457" s="20" t="s">
        <v>455</v>
      </c>
      <c r="F457" s="20" t="s">
        <v>14</v>
      </c>
      <c r="G457" s="20"/>
    </row>
    <row r="458" spans="1:7" ht="75" hidden="1" outlineLevel="5">
      <c r="A458" s="20" t="s">
        <v>14</v>
      </c>
      <c r="B458" s="20" t="s">
        <v>44</v>
      </c>
      <c r="C458" s="20"/>
      <c r="D458" s="20"/>
      <c r="E458" s="20" t="s">
        <v>456</v>
      </c>
      <c r="F458" s="20" t="s">
        <v>14</v>
      </c>
      <c r="G458" s="20"/>
    </row>
    <row r="459" spans="1:7" ht="60" hidden="1" outlineLevel="5">
      <c r="A459" s="20" t="s">
        <v>14</v>
      </c>
      <c r="B459" s="20" t="s">
        <v>44</v>
      </c>
      <c r="C459" s="20"/>
      <c r="D459" s="20"/>
      <c r="E459" s="20" t="s">
        <v>457</v>
      </c>
      <c r="F459" s="20" t="s">
        <v>14</v>
      </c>
      <c r="G459" s="20"/>
    </row>
    <row r="460" spans="1:7" ht="60" hidden="1" outlineLevel="5">
      <c r="A460" s="20" t="s">
        <v>14</v>
      </c>
      <c r="B460" s="20" t="s">
        <v>44</v>
      </c>
      <c r="C460" s="20"/>
      <c r="D460" s="20"/>
      <c r="E460" s="20" t="s">
        <v>458</v>
      </c>
      <c r="F460" s="20" t="s">
        <v>14</v>
      </c>
      <c r="G460" s="20"/>
    </row>
    <row r="461" spans="1:7" ht="135" hidden="1" outlineLevel="5">
      <c r="A461" s="20" t="s">
        <v>11</v>
      </c>
      <c r="B461" s="20" t="s">
        <v>17</v>
      </c>
      <c r="C461" s="21" t="s">
        <v>459</v>
      </c>
      <c r="D461" s="20"/>
      <c r="E461" s="20" t="s">
        <v>460</v>
      </c>
      <c r="F461" s="20" t="s">
        <v>14</v>
      </c>
      <c r="G461" s="20" t="s">
        <v>11</v>
      </c>
    </row>
    <row r="462" spans="1:7" ht="30" hidden="1" outlineLevel="5">
      <c r="A462" s="20" t="s">
        <v>14</v>
      </c>
      <c r="B462" s="20" t="s">
        <v>44</v>
      </c>
      <c r="C462" s="20"/>
      <c r="D462" s="20" t="b">
        <f>EXACT(G461,"No")</f>
        <v>0</v>
      </c>
      <c r="E462" s="20" t="s">
        <v>461</v>
      </c>
      <c r="F462" s="20" t="s">
        <v>14</v>
      </c>
      <c r="G462" s="20"/>
    </row>
    <row r="463" spans="1:7" hidden="1" outlineLevel="5">
      <c r="A463" s="22" t="s">
        <v>14</v>
      </c>
      <c r="B463" s="23" t="s">
        <v>462</v>
      </c>
      <c r="C463" s="22"/>
      <c r="D463" s="22" t="b">
        <f>EXACT(G461,"Yes")</f>
        <v>1</v>
      </c>
      <c r="E463" s="22" t="s">
        <v>463</v>
      </c>
      <c r="F463" s="22" t="s">
        <v>14</v>
      </c>
      <c r="G463" s="22"/>
    </row>
    <row r="464" spans="1:7" ht="30" hidden="1" outlineLevel="6">
      <c r="A464" s="20" t="s">
        <v>11</v>
      </c>
      <c r="B464" s="20" t="s">
        <v>82</v>
      </c>
      <c r="C464" s="20"/>
      <c r="D464" s="20"/>
      <c r="E464" s="20" t="s">
        <v>464</v>
      </c>
      <c r="F464" s="20" t="s">
        <v>14</v>
      </c>
      <c r="G464" s="20"/>
    </row>
    <row r="465" spans="1:7" hidden="1" outlineLevel="6">
      <c r="A465" s="20" t="s">
        <v>11</v>
      </c>
      <c r="B465" s="20" t="s">
        <v>82</v>
      </c>
      <c r="C465" s="20"/>
      <c r="D465" s="20"/>
      <c r="E465" s="20" t="s">
        <v>465</v>
      </c>
      <c r="F465" s="20" t="s">
        <v>14</v>
      </c>
      <c r="G465" s="20"/>
    </row>
    <row r="466" spans="1:7" hidden="1" outlineLevel="6">
      <c r="A466" s="20" t="s">
        <v>11</v>
      </c>
      <c r="B466" s="20" t="s">
        <v>82</v>
      </c>
      <c r="C466" s="20"/>
      <c r="D466" s="20"/>
      <c r="E466" s="20" t="s">
        <v>466</v>
      </c>
      <c r="F466" s="20" t="s">
        <v>14</v>
      </c>
      <c r="G466" s="20"/>
    </row>
    <row r="467" spans="1:7" hidden="1" outlineLevel="4">
      <c r="A467" s="22" t="s">
        <v>14</v>
      </c>
      <c r="B467" s="23" t="s">
        <v>467</v>
      </c>
      <c r="C467" s="22" t="s">
        <v>47</v>
      </c>
      <c r="D467" s="22" t="b">
        <f>EXACT(G448,"Proportionate crown cover")</f>
        <v>0</v>
      </c>
      <c r="E467" s="22" t="s">
        <v>468</v>
      </c>
      <c r="F467" s="22" t="s">
        <v>14</v>
      </c>
      <c r="G467" s="22" t="s">
        <v>47</v>
      </c>
    </row>
    <row r="468" spans="1:7" ht="30" hidden="1" outlineLevel="5" collapsed="1">
      <c r="A468" s="20" t="s">
        <v>14</v>
      </c>
      <c r="B468" s="20" t="s">
        <v>82</v>
      </c>
      <c r="C468" s="20" t="s">
        <v>47</v>
      </c>
      <c r="D468" s="20" t="s">
        <v>399</v>
      </c>
      <c r="E468" s="20" t="s">
        <v>469</v>
      </c>
      <c r="F468" s="20" t="s">
        <v>14</v>
      </c>
      <c r="G468" s="20">
        <f>SUM(G470)</f>
        <v>7.333333333333333</v>
      </c>
    </row>
    <row r="469" spans="1:7" hidden="1" outlineLevel="5">
      <c r="A469" s="22" t="s">
        <v>11</v>
      </c>
      <c r="B469" s="23" t="s">
        <v>470</v>
      </c>
      <c r="C469" s="22" t="s">
        <v>47</v>
      </c>
      <c r="D469" s="22"/>
      <c r="E469" s="22" t="s">
        <v>403</v>
      </c>
      <c r="F469" s="22" t="s">
        <v>11</v>
      </c>
      <c r="G469" s="22" t="s">
        <v>47</v>
      </c>
    </row>
    <row r="470" spans="1:7" ht="30" hidden="1" outlineLevel="6" collapsed="1">
      <c r="A470" s="20" t="s">
        <v>14</v>
      </c>
      <c r="B470" s="20" t="s">
        <v>82</v>
      </c>
      <c r="C470" s="20" t="s">
        <v>47</v>
      </c>
      <c r="D470" s="20" t="s">
        <v>399</v>
      </c>
      <c r="E470" s="20" t="s">
        <v>471</v>
      </c>
      <c r="F470" s="20" t="s">
        <v>14</v>
      </c>
      <c r="G470" s="20">
        <f>44/12*G471*G472*(1+G473)*G474*G475</f>
        <v>7.333333333333333</v>
      </c>
    </row>
    <row r="471" spans="1:7" hidden="1" outlineLevel="6" collapsed="1">
      <c r="A471" s="20" t="s">
        <v>11</v>
      </c>
      <c r="B471" s="20" t="s">
        <v>82</v>
      </c>
      <c r="C471" s="20" t="s">
        <v>47</v>
      </c>
      <c r="D471" s="20"/>
      <c r="E471" s="20" t="s">
        <v>405</v>
      </c>
      <c r="F471" s="20" t="s">
        <v>14</v>
      </c>
      <c r="G471" s="20">
        <v>1</v>
      </c>
    </row>
    <row r="472" spans="1:7" ht="30" hidden="1" outlineLevel="6" collapsed="1">
      <c r="A472" s="20" t="s">
        <v>11</v>
      </c>
      <c r="B472" s="20" t="s">
        <v>82</v>
      </c>
      <c r="C472" s="20" t="s">
        <v>47</v>
      </c>
      <c r="D472" s="20"/>
      <c r="E472" s="20" t="s">
        <v>472</v>
      </c>
      <c r="F472" s="20" t="s">
        <v>14</v>
      </c>
      <c r="G472" s="20">
        <v>1</v>
      </c>
    </row>
    <row r="473" spans="1:7" hidden="1" outlineLevel="6" collapsed="1">
      <c r="A473" s="20" t="s">
        <v>11</v>
      </c>
      <c r="B473" s="20" t="s">
        <v>82</v>
      </c>
      <c r="C473" s="20" t="s">
        <v>47</v>
      </c>
      <c r="D473" s="20"/>
      <c r="E473" s="20" t="s">
        <v>407</v>
      </c>
      <c r="F473" s="20" t="s">
        <v>14</v>
      </c>
      <c r="G473" s="20">
        <v>1</v>
      </c>
    </row>
    <row r="474" spans="1:7" ht="30" hidden="1" outlineLevel="6" collapsed="1">
      <c r="A474" s="20" t="s">
        <v>11</v>
      </c>
      <c r="B474" s="20" t="s">
        <v>82</v>
      </c>
      <c r="C474" s="20" t="s">
        <v>47</v>
      </c>
      <c r="D474" s="20"/>
      <c r="E474" s="20" t="s">
        <v>473</v>
      </c>
      <c r="F474" s="20" t="s">
        <v>14</v>
      </c>
      <c r="G474" s="20">
        <v>1</v>
      </c>
    </row>
    <row r="475" spans="1:7" ht="30" hidden="1" outlineLevel="6" collapsed="1">
      <c r="A475" s="20" t="s">
        <v>11</v>
      </c>
      <c r="B475" s="20" t="s">
        <v>82</v>
      </c>
      <c r="C475" s="20" t="s">
        <v>47</v>
      </c>
      <c r="D475" s="20"/>
      <c r="E475" s="20" t="s">
        <v>474</v>
      </c>
      <c r="F475" s="20" t="s">
        <v>14</v>
      </c>
      <c r="G475" s="20">
        <v>1</v>
      </c>
    </row>
    <row r="476" spans="1:7" hidden="1" outlineLevel="4">
      <c r="A476" s="22" t="s">
        <v>14</v>
      </c>
      <c r="B476" s="23" t="s">
        <v>475</v>
      </c>
      <c r="C476" s="22" t="s">
        <v>47</v>
      </c>
      <c r="D476" s="22" t="b">
        <f>EXACT(G448,"Measurement of sample plots")</f>
        <v>0</v>
      </c>
      <c r="E476" s="22" t="s">
        <v>475</v>
      </c>
      <c r="F476" s="22" t="s">
        <v>14</v>
      </c>
      <c r="G476" s="22" t="s">
        <v>47</v>
      </c>
    </row>
    <row r="477" spans="1:7" ht="30" hidden="1" outlineLevel="5" collapsed="1">
      <c r="A477" s="20" t="s">
        <v>11</v>
      </c>
      <c r="B477" s="20" t="s">
        <v>17</v>
      </c>
      <c r="C477" s="21" t="s">
        <v>476</v>
      </c>
      <c r="D477" s="20"/>
      <c r="E477" s="20" t="s">
        <v>477</v>
      </c>
      <c r="F477" s="20" t="s">
        <v>14</v>
      </c>
      <c r="G477" s="20" t="s">
        <v>478</v>
      </c>
    </row>
    <row r="478" spans="1:7" hidden="1" outlineLevel="5">
      <c r="A478" s="22" t="s">
        <v>14</v>
      </c>
      <c r="B478" s="23" t="s">
        <v>478</v>
      </c>
      <c r="C478" s="22" t="s">
        <v>47</v>
      </c>
      <c r="D478" s="22" t="b">
        <f>EXACT(G477,"Stratified random sampling")</f>
        <v>1</v>
      </c>
      <c r="E478" s="22" t="s">
        <v>478</v>
      </c>
      <c r="F478" s="22" t="s">
        <v>14</v>
      </c>
      <c r="G478" s="22" t="s">
        <v>47</v>
      </c>
    </row>
    <row r="479" spans="1:7" ht="30" hidden="1" outlineLevel="6" collapsed="1">
      <c r="A479" s="20" t="s">
        <v>14</v>
      </c>
      <c r="B479" s="20" t="s">
        <v>82</v>
      </c>
      <c r="C479" s="20" t="s">
        <v>47</v>
      </c>
      <c r="D479" s="20" t="s">
        <v>399</v>
      </c>
      <c r="E479" s="20" t="s">
        <v>479</v>
      </c>
      <c r="F479" s="20" t="s">
        <v>14</v>
      </c>
      <c r="G479" s="20">
        <f>44/12*G480*G481</f>
        <v>3.6666666666666665</v>
      </c>
    </row>
    <row r="480" spans="1:7" hidden="1" outlineLevel="6" collapsed="1">
      <c r="A480" s="20" t="s">
        <v>11</v>
      </c>
      <c r="B480" s="20" t="s">
        <v>82</v>
      </c>
      <c r="C480" s="20" t="s">
        <v>47</v>
      </c>
      <c r="D480" s="20"/>
      <c r="E480" s="20" t="s">
        <v>405</v>
      </c>
      <c r="F480" s="20" t="s">
        <v>14</v>
      </c>
      <c r="G480" s="20">
        <v>1</v>
      </c>
    </row>
    <row r="481" spans="1:12" ht="30" hidden="1" outlineLevel="6" collapsed="1">
      <c r="A481" s="20" t="s">
        <v>14</v>
      </c>
      <c r="B481" s="20" t="s">
        <v>82</v>
      </c>
      <c r="C481" s="20" t="s">
        <v>47</v>
      </c>
      <c r="D481" s="20" t="s">
        <v>399</v>
      </c>
      <c r="E481" s="20" t="s">
        <v>480</v>
      </c>
      <c r="F481" s="20" t="s">
        <v>14</v>
      </c>
      <c r="G481" s="20">
        <f>G482*G483</f>
        <v>1</v>
      </c>
    </row>
    <row r="482" spans="1:12" ht="30" hidden="1" outlineLevel="6" collapsed="1">
      <c r="A482" s="20" t="s">
        <v>11</v>
      </c>
      <c r="B482" s="20" t="s">
        <v>82</v>
      </c>
      <c r="C482" s="20" t="s">
        <v>47</v>
      </c>
      <c r="D482" s="20"/>
      <c r="E482" s="20" t="s">
        <v>481</v>
      </c>
      <c r="F482" s="20" t="s">
        <v>14</v>
      </c>
      <c r="G482" s="20">
        <v>1</v>
      </c>
    </row>
    <row r="483" spans="1:12" ht="30" hidden="1" outlineLevel="6" collapsed="1">
      <c r="A483" s="20" t="s">
        <v>14</v>
      </c>
      <c r="B483" s="20" t="s">
        <v>82</v>
      </c>
      <c r="C483" s="20" t="s">
        <v>47</v>
      </c>
      <c r="D483" s="20" t="s">
        <v>399</v>
      </c>
      <c r="E483" s="20" t="s">
        <v>482</v>
      </c>
      <c r="F483" s="20" t="s">
        <v>14</v>
      </c>
      <c r="G483" s="20">
        <f>SUM((G488*G487))</f>
        <v>1</v>
      </c>
    </row>
    <row r="484" spans="1:12" hidden="1" outlineLevel="6" collapsed="1">
      <c r="A484" s="20" t="s">
        <v>11</v>
      </c>
      <c r="B484" s="20" t="s">
        <v>82</v>
      </c>
      <c r="C484" s="20" t="s">
        <v>47</v>
      </c>
      <c r="D484" s="20"/>
      <c r="E484" s="20" t="s">
        <v>483</v>
      </c>
      <c r="F484" s="20" t="s">
        <v>14</v>
      </c>
      <c r="G484" s="20">
        <v>1</v>
      </c>
    </row>
    <row r="485" spans="1:12" ht="30" hidden="1" outlineLevel="6" collapsed="1">
      <c r="A485" s="20" t="s">
        <v>11</v>
      </c>
      <c r="B485" s="20" t="s">
        <v>82</v>
      </c>
      <c r="C485" s="20" t="s">
        <v>47</v>
      </c>
      <c r="D485" s="20"/>
      <c r="E485" s="20" t="s">
        <v>484</v>
      </c>
      <c r="F485" s="20" t="s">
        <v>14</v>
      </c>
      <c r="G485" s="20">
        <v>1</v>
      </c>
    </row>
    <row r="486" spans="1:12" hidden="1" outlineLevel="6">
      <c r="A486" s="22" t="s">
        <v>11</v>
      </c>
      <c r="B486" s="23" t="s">
        <v>485</v>
      </c>
      <c r="C486" s="22" t="s">
        <v>47</v>
      </c>
      <c r="D486" s="22"/>
      <c r="E486" s="22" t="s">
        <v>486</v>
      </c>
      <c r="F486" s="22" t="s">
        <v>11</v>
      </c>
      <c r="G486" s="22" t="s">
        <v>47</v>
      </c>
    </row>
    <row r="487" spans="1:12" s="25" customFormat="1" ht="30" hidden="1" outlineLevel="6" collapsed="1">
      <c r="A487" s="24" t="s">
        <v>14</v>
      </c>
      <c r="B487" s="24" t="s">
        <v>82</v>
      </c>
      <c r="C487" s="24" t="s">
        <v>47</v>
      </c>
      <c r="D487" s="24" t="s">
        <v>399</v>
      </c>
      <c r="E487" s="24" t="s">
        <v>487</v>
      </c>
      <c r="F487" s="24" t="s">
        <v>14</v>
      </c>
      <c r="G487" s="24">
        <f>(SUM(G492))/G490</f>
        <v>1</v>
      </c>
      <c r="H487"/>
      <c r="I487"/>
      <c r="J487"/>
      <c r="K487"/>
      <c r="L487"/>
    </row>
    <row r="488" spans="1:12" ht="30" hidden="1" outlineLevel="6" collapsed="1">
      <c r="A488" s="20" t="s">
        <v>11</v>
      </c>
      <c r="B488" s="20" t="s">
        <v>82</v>
      </c>
      <c r="C488" s="20" t="s">
        <v>47</v>
      </c>
      <c r="D488" s="20"/>
      <c r="E488" s="20" t="s">
        <v>488</v>
      </c>
      <c r="F488" s="20" t="s">
        <v>14</v>
      </c>
      <c r="G488" s="20">
        <v>1</v>
      </c>
    </row>
    <row r="489" spans="1:12" ht="30" hidden="1" outlineLevel="6" collapsed="1">
      <c r="A489" s="20" t="s">
        <v>11</v>
      </c>
      <c r="B489" s="20" t="s">
        <v>82</v>
      </c>
      <c r="C489" s="20" t="s">
        <v>47</v>
      </c>
      <c r="D489" s="20"/>
      <c r="E489" s="20" t="s">
        <v>489</v>
      </c>
      <c r="F489" s="20" t="s">
        <v>14</v>
      </c>
      <c r="G489" s="20">
        <v>1</v>
      </c>
    </row>
    <row r="490" spans="1:12" hidden="1" outlineLevel="6" collapsed="1">
      <c r="A490" s="20" t="s">
        <v>11</v>
      </c>
      <c r="B490" s="20" t="s">
        <v>82</v>
      </c>
      <c r="C490" s="20" t="s">
        <v>47</v>
      </c>
      <c r="D490" s="20"/>
      <c r="E490" s="20" t="s">
        <v>490</v>
      </c>
      <c r="F490" s="20" t="s">
        <v>14</v>
      </c>
      <c r="G490" s="20">
        <v>1</v>
      </c>
    </row>
    <row r="491" spans="1:12" hidden="1" outlineLevel="6">
      <c r="A491" s="22" t="s">
        <v>11</v>
      </c>
      <c r="B491" s="23" t="s">
        <v>491</v>
      </c>
      <c r="C491" s="22"/>
      <c r="D491" s="22"/>
      <c r="E491" s="22" t="s">
        <v>492</v>
      </c>
      <c r="F491" s="22" t="s">
        <v>11</v>
      </c>
      <c r="G491" s="22"/>
    </row>
    <row r="492" spans="1:12" s="25" customFormat="1" ht="30" hidden="1" outlineLevel="6" collapsed="1">
      <c r="A492" s="24" t="s">
        <v>11</v>
      </c>
      <c r="B492" s="24" t="s">
        <v>82</v>
      </c>
      <c r="C492" s="24" t="s">
        <v>47</v>
      </c>
      <c r="D492" s="24"/>
      <c r="E492" s="24" t="s">
        <v>493</v>
      </c>
      <c r="F492" s="24" t="s">
        <v>14</v>
      </c>
      <c r="G492" s="24">
        <v>1</v>
      </c>
      <c r="H492"/>
      <c r="I492"/>
      <c r="J492"/>
      <c r="K492"/>
      <c r="L492"/>
    </row>
    <row r="493" spans="1:12" hidden="1" outlineLevel="5">
      <c r="A493" s="22" t="s">
        <v>14</v>
      </c>
      <c r="B493" s="23" t="s">
        <v>494</v>
      </c>
      <c r="C493" s="22" t="s">
        <v>47</v>
      </c>
      <c r="D493" s="22" t="b">
        <f>NOT(EXACT(G477,"Stratified random sampling"))</f>
        <v>0</v>
      </c>
      <c r="E493" s="22" t="s">
        <v>494</v>
      </c>
      <c r="F493" s="22" t="s">
        <v>14</v>
      </c>
      <c r="G493" s="22" t="s">
        <v>47</v>
      </c>
    </row>
    <row r="494" spans="1:12" ht="30" hidden="1" outlineLevel="6" collapsed="1">
      <c r="A494" s="20" t="s">
        <v>11</v>
      </c>
      <c r="B494" s="20" t="s">
        <v>82</v>
      </c>
      <c r="C494" s="20" t="s">
        <v>47</v>
      </c>
      <c r="D494" s="20"/>
      <c r="E494" s="20" t="s">
        <v>479</v>
      </c>
      <c r="F494" s="20" t="s">
        <v>14</v>
      </c>
      <c r="G494" s="20">
        <v>1</v>
      </c>
    </row>
    <row r="495" spans="1:12" hidden="1" outlineLevel="6" collapsed="1">
      <c r="A495" s="20" t="s">
        <v>11</v>
      </c>
      <c r="B495" s="20" t="s">
        <v>82</v>
      </c>
      <c r="C495" s="20" t="s">
        <v>47</v>
      </c>
      <c r="D495" s="20"/>
      <c r="E495" s="20" t="s">
        <v>405</v>
      </c>
      <c r="F495" s="20" t="s">
        <v>14</v>
      </c>
      <c r="G495" s="20">
        <v>1</v>
      </c>
    </row>
    <row r="496" spans="1:12" ht="30" hidden="1" outlineLevel="6" collapsed="1">
      <c r="A496" s="20" t="s">
        <v>11</v>
      </c>
      <c r="B496" s="20" t="s">
        <v>82</v>
      </c>
      <c r="C496" s="20" t="s">
        <v>47</v>
      </c>
      <c r="D496" s="20"/>
      <c r="E496" s="20" t="s">
        <v>480</v>
      </c>
      <c r="F496" s="20" t="s">
        <v>14</v>
      </c>
      <c r="G496" s="20">
        <v>1</v>
      </c>
    </row>
    <row r="497" spans="1:12" ht="30" hidden="1" outlineLevel="6" collapsed="1">
      <c r="A497" s="20" t="s">
        <v>11</v>
      </c>
      <c r="B497" s="20" t="s">
        <v>82</v>
      </c>
      <c r="C497" s="20" t="s">
        <v>47</v>
      </c>
      <c r="D497" s="20"/>
      <c r="E497" s="20" t="s">
        <v>481</v>
      </c>
      <c r="F497" s="20" t="s">
        <v>14</v>
      </c>
      <c r="G497" s="20">
        <v>1</v>
      </c>
    </row>
    <row r="498" spans="1:12" ht="30" hidden="1" outlineLevel="6" collapsed="1">
      <c r="A498" s="20" t="s">
        <v>11</v>
      </c>
      <c r="B498" s="20" t="s">
        <v>82</v>
      </c>
      <c r="C498" s="20" t="s">
        <v>47</v>
      </c>
      <c r="D498" s="20"/>
      <c r="E498" s="20" t="s">
        <v>482</v>
      </c>
      <c r="F498" s="20" t="s">
        <v>14</v>
      </c>
      <c r="G498" s="20">
        <v>1</v>
      </c>
    </row>
    <row r="499" spans="1:12" hidden="1" outlineLevel="6" collapsed="1">
      <c r="A499" s="20" t="s">
        <v>11</v>
      </c>
      <c r="B499" s="20" t="s">
        <v>82</v>
      </c>
      <c r="C499" s="20" t="s">
        <v>47</v>
      </c>
      <c r="D499" s="20"/>
      <c r="E499" s="20" t="s">
        <v>483</v>
      </c>
      <c r="F499" s="20" t="s">
        <v>14</v>
      </c>
      <c r="G499" s="20">
        <v>1</v>
      </c>
    </row>
    <row r="500" spans="1:12" ht="30" hidden="1" outlineLevel="6" collapsed="1">
      <c r="A500" s="20" t="s">
        <v>11</v>
      </c>
      <c r="B500" s="20" t="s">
        <v>82</v>
      </c>
      <c r="C500" s="20" t="s">
        <v>47</v>
      </c>
      <c r="D500" s="20"/>
      <c r="E500" s="20" t="s">
        <v>484</v>
      </c>
      <c r="F500" s="20" t="s">
        <v>14</v>
      </c>
      <c r="G500" s="20">
        <v>1</v>
      </c>
    </row>
    <row r="501" spans="1:12" hidden="1" outlineLevel="6">
      <c r="A501" s="22" t="s">
        <v>11</v>
      </c>
      <c r="B501" s="23" t="s">
        <v>495</v>
      </c>
      <c r="C501" s="22" t="s">
        <v>47</v>
      </c>
      <c r="D501" s="22"/>
      <c r="E501" s="22" t="s">
        <v>486</v>
      </c>
      <c r="F501" s="22" t="s">
        <v>11</v>
      </c>
      <c r="G501" s="22" t="s">
        <v>47</v>
      </c>
    </row>
    <row r="502" spans="1:12" ht="30" hidden="1" outlineLevel="6" collapsed="1">
      <c r="A502" s="20" t="s">
        <v>14</v>
      </c>
      <c r="B502" s="20" t="s">
        <v>82</v>
      </c>
      <c r="C502" s="20" t="s">
        <v>47</v>
      </c>
      <c r="D502" s="20" t="s">
        <v>399</v>
      </c>
      <c r="E502" s="20" t="s">
        <v>487</v>
      </c>
      <c r="F502" s="20" t="s">
        <v>14</v>
      </c>
      <c r="G502" s="20">
        <f>(SUM(G511)/G503)+G504*(G505-G506)</f>
        <v>1</v>
      </c>
    </row>
    <row r="503" spans="1:12" hidden="1" outlineLevel="6" collapsed="1">
      <c r="A503" s="20" t="s">
        <v>11</v>
      </c>
      <c r="B503" s="20" t="s">
        <v>82</v>
      </c>
      <c r="C503" s="20" t="s">
        <v>47</v>
      </c>
      <c r="D503" s="20"/>
      <c r="E503" s="20" t="s">
        <v>496</v>
      </c>
      <c r="F503" s="20" t="s">
        <v>14</v>
      </c>
      <c r="G503" s="20">
        <v>1</v>
      </c>
    </row>
    <row r="504" spans="1:12" ht="30" hidden="1" outlineLevel="6" collapsed="1">
      <c r="A504" s="20" t="s">
        <v>11</v>
      </c>
      <c r="B504" s="20" t="s">
        <v>82</v>
      </c>
      <c r="C504" s="20" t="s">
        <v>47</v>
      </c>
      <c r="D504" s="20"/>
      <c r="E504" s="20" t="s">
        <v>497</v>
      </c>
      <c r="F504" s="20" t="s">
        <v>14</v>
      </c>
      <c r="G504" s="20">
        <v>1</v>
      </c>
    </row>
    <row r="505" spans="1:12" ht="30" hidden="1" outlineLevel="6" collapsed="1">
      <c r="A505" s="20" t="s">
        <v>11</v>
      </c>
      <c r="B505" s="20" t="s">
        <v>82</v>
      </c>
      <c r="C505" s="20" t="s">
        <v>47</v>
      </c>
      <c r="D505" s="20"/>
      <c r="E505" s="20" t="s">
        <v>498</v>
      </c>
      <c r="F505" s="20" t="s">
        <v>14</v>
      </c>
      <c r="G505" s="20">
        <v>1</v>
      </c>
    </row>
    <row r="506" spans="1:12" ht="30" hidden="1" outlineLevel="6" collapsed="1">
      <c r="A506" s="20" t="s">
        <v>11</v>
      </c>
      <c r="B506" s="20" t="s">
        <v>82</v>
      </c>
      <c r="C506" s="20" t="s">
        <v>47</v>
      </c>
      <c r="D506" s="20"/>
      <c r="E506" s="20" t="s">
        <v>499</v>
      </c>
      <c r="F506" s="20" t="s">
        <v>14</v>
      </c>
      <c r="G506" s="20">
        <v>1</v>
      </c>
    </row>
    <row r="507" spans="1:12" ht="30" hidden="1" outlineLevel="6" collapsed="1">
      <c r="A507" s="20" t="s">
        <v>11</v>
      </c>
      <c r="B507" s="20" t="s">
        <v>82</v>
      </c>
      <c r="C507" s="20" t="s">
        <v>47</v>
      </c>
      <c r="D507" s="20"/>
      <c r="E507" s="20" t="s">
        <v>500</v>
      </c>
      <c r="F507" s="20" t="s">
        <v>14</v>
      </c>
      <c r="G507" s="20">
        <v>1</v>
      </c>
    </row>
    <row r="508" spans="1:12" ht="30" hidden="1" outlineLevel="6" collapsed="1">
      <c r="A508" s="20" t="s">
        <v>11</v>
      </c>
      <c r="B508" s="20" t="s">
        <v>82</v>
      </c>
      <c r="C508" s="20" t="s">
        <v>47</v>
      </c>
      <c r="D508" s="20"/>
      <c r="E508" s="20" t="s">
        <v>501</v>
      </c>
      <c r="F508" s="20" t="s">
        <v>14</v>
      </c>
      <c r="G508" s="20">
        <v>1</v>
      </c>
    </row>
    <row r="509" spans="1:12" ht="45" hidden="1" outlineLevel="6" collapsed="1">
      <c r="A509" s="20" t="s">
        <v>11</v>
      </c>
      <c r="B509" s="20" t="s">
        <v>82</v>
      </c>
      <c r="C509" s="20" t="s">
        <v>47</v>
      </c>
      <c r="D509" s="20"/>
      <c r="E509" s="20" t="s">
        <v>502</v>
      </c>
      <c r="F509" s="20" t="s">
        <v>14</v>
      </c>
      <c r="G509" s="20">
        <v>1</v>
      </c>
    </row>
    <row r="510" spans="1:12" hidden="1" outlineLevel="6">
      <c r="A510" s="22" t="s">
        <v>11</v>
      </c>
      <c r="B510" s="23" t="s">
        <v>491</v>
      </c>
      <c r="C510" s="22"/>
      <c r="D510" s="22"/>
      <c r="E510" s="22" t="s">
        <v>492</v>
      </c>
      <c r="F510" s="22" t="s">
        <v>11</v>
      </c>
      <c r="G510" s="22"/>
    </row>
    <row r="511" spans="1:12" s="25" customFormat="1" ht="30" hidden="1" outlineLevel="6" collapsed="1">
      <c r="A511" s="24" t="s">
        <v>11</v>
      </c>
      <c r="B511" s="24" t="s">
        <v>82</v>
      </c>
      <c r="C511" s="24" t="s">
        <v>47</v>
      </c>
      <c r="D511" s="24"/>
      <c r="E511" s="24" t="s">
        <v>493</v>
      </c>
      <c r="F511" s="24" t="s">
        <v>14</v>
      </c>
      <c r="G511" s="24">
        <v>1</v>
      </c>
      <c r="H511"/>
      <c r="I511"/>
      <c r="J511"/>
      <c r="K511"/>
      <c r="L511"/>
    </row>
    <row r="512" spans="1:12" hidden="1" outlineLevel="5" collapsed="1">
      <c r="A512" s="20" t="s">
        <v>11</v>
      </c>
      <c r="B512" s="20" t="s">
        <v>503</v>
      </c>
      <c r="C512" s="20" t="s">
        <v>47</v>
      </c>
      <c r="D512" s="20"/>
      <c r="E512" s="4" t="s">
        <v>504</v>
      </c>
      <c r="F512" s="20" t="s">
        <v>14</v>
      </c>
      <c r="G512" s="20" t="s">
        <v>505</v>
      </c>
    </row>
    <row r="513" spans="1:7" ht="29.25" hidden="1" customHeight="1" outlineLevel="4">
      <c r="A513" s="18" t="s">
        <v>14</v>
      </c>
      <c r="B513" s="18" t="s">
        <v>82</v>
      </c>
      <c r="C513" s="10"/>
      <c r="D513" s="18" t="s">
        <v>399</v>
      </c>
      <c r="E513" s="18" t="s">
        <v>506</v>
      </c>
      <c r="F513" s="18" t="s">
        <v>14</v>
      </c>
      <c r="G513" s="18">
        <f>IF(G448="Updating the previous stock by independent measurement of change",G450,IF(G448="Estimation by modelling of tree growth and stand development",G464,IF(G448="Estimation by proportionate crown cover",G468,IF(AND(G448="Measurement of sample plots",G477="Stratified random sampling"),G479,IF(AND(G448="Measurement of sample plots",G477="Double sampling"),G494)))))</f>
        <v>0</v>
      </c>
    </row>
    <row r="514" spans="1:7" ht="29.25" hidden="1" customHeight="1" outlineLevel="4">
      <c r="A514" s="18" t="s">
        <v>14</v>
      </c>
      <c r="B514" s="18" t="s">
        <v>82</v>
      </c>
      <c r="C514" s="10"/>
      <c r="D514" s="18" t="s">
        <v>399</v>
      </c>
      <c r="E514" s="18" t="s">
        <v>507</v>
      </c>
      <c r="F514" s="18" t="s">
        <v>14</v>
      </c>
      <c r="G514" s="18">
        <f>IF(AND(G404="Estimating change in carbon stock in trees between two points in time",G406="no-decrease"),0,IF(AND(G404="Estimating change in carbon stock in trees between two points in time",G406="Estimation by proportionate crown cover"),G411,IF(AND(G404="Estimating change in carbon stock in trees between two points in time",G406="Direct estimation of change by re-measurement of sample plots"),G420,IF(AND(G404="Estimating change in carbon stock in trees between two points in time",G406="Difference of two independent stock estimations"),G440,IF(AND(G404="Estimating change in carbon stock in trees in a year"),G443)))))</f>
        <v>1</v>
      </c>
    </row>
    <row r="515" spans="1:7" ht="29.25" hidden="1" customHeight="1" outlineLevel="4">
      <c r="A515" s="18" t="s">
        <v>11</v>
      </c>
      <c r="B515" s="18" t="s">
        <v>17</v>
      </c>
      <c r="C515" s="10" t="s">
        <v>508</v>
      </c>
      <c r="D515" s="18"/>
      <c r="E515" s="3" t="s">
        <v>509</v>
      </c>
      <c r="F515" s="3" t="s">
        <v>14</v>
      </c>
      <c r="G515" s="18" t="s">
        <v>510</v>
      </c>
    </row>
    <row r="516" spans="1:7" hidden="1" outlineLevel="4">
      <c r="A516" s="18" t="s">
        <v>14</v>
      </c>
      <c r="B516" s="10" t="s">
        <v>511</v>
      </c>
      <c r="C516" s="18" t="s">
        <v>47</v>
      </c>
      <c r="D516" s="18" t="b">
        <f>EXACT(G515,"Estimating change in carbon stock in shrubs between two points in time")</f>
        <v>1</v>
      </c>
      <c r="E516" s="18" t="s">
        <v>512</v>
      </c>
      <c r="F516" s="18" t="s">
        <v>14</v>
      </c>
      <c r="G516" s="18" t="s">
        <v>47</v>
      </c>
    </row>
    <row r="517" spans="1:7" ht="29.25" hidden="1" customHeight="1" outlineLevel="5">
      <c r="A517" s="18" t="s">
        <v>11</v>
      </c>
      <c r="B517" s="18" t="s">
        <v>17</v>
      </c>
      <c r="C517" s="10" t="s">
        <v>513</v>
      </c>
      <c r="D517" s="18"/>
      <c r="E517" s="18" t="s">
        <v>514</v>
      </c>
      <c r="F517" s="18" t="s">
        <v>14</v>
      </c>
      <c r="G517" s="18" t="s">
        <v>14</v>
      </c>
    </row>
    <row r="518" spans="1:7" hidden="1" outlineLevel="5">
      <c r="A518" s="18" t="s">
        <v>14</v>
      </c>
      <c r="B518" s="10" t="s">
        <v>515</v>
      </c>
      <c r="C518" s="19"/>
      <c r="D518" s="18" t="b">
        <f>EXACT(G517,"Yes")</f>
        <v>0</v>
      </c>
      <c r="E518" s="18" t="s">
        <v>393</v>
      </c>
      <c r="F518" s="3" t="s">
        <v>14</v>
      </c>
      <c r="G518" s="18"/>
    </row>
    <row r="519" spans="1:7" ht="165" hidden="1" outlineLevel="6" collapsed="1">
      <c r="A519" s="20" t="s">
        <v>14</v>
      </c>
      <c r="B519" s="20" t="s">
        <v>44</v>
      </c>
      <c r="C519" s="20"/>
      <c r="D519" s="20"/>
      <c r="E519" s="20" t="s">
        <v>516</v>
      </c>
      <c r="F519" s="4" t="s">
        <v>14</v>
      </c>
      <c r="G519" s="20"/>
    </row>
    <row r="520" spans="1:7" ht="60" hidden="1" outlineLevel="6" collapsed="1">
      <c r="A520" s="20" t="s">
        <v>11</v>
      </c>
      <c r="B520" s="20" t="s">
        <v>17</v>
      </c>
      <c r="C520" s="27" t="s">
        <v>517</v>
      </c>
      <c r="D520" s="20"/>
      <c r="E520" s="20" t="s">
        <v>518</v>
      </c>
      <c r="F520" s="4" t="s">
        <v>14</v>
      </c>
      <c r="G520" s="20" t="s">
        <v>11</v>
      </c>
    </row>
    <row r="521" spans="1:7" ht="30" hidden="1" outlineLevel="6" collapsed="1">
      <c r="A521" s="20" t="s">
        <v>14</v>
      </c>
      <c r="B521" s="20" t="s">
        <v>82</v>
      </c>
      <c r="C521" s="20" t="s">
        <v>47</v>
      </c>
      <c r="D521" s="20" t="s">
        <v>399</v>
      </c>
      <c r="E521" s="20" t="s">
        <v>519</v>
      </c>
      <c r="F521" s="20" t="s">
        <v>14</v>
      </c>
      <c r="G521" s="20">
        <f>IF(AND(G520="No"),E522-E523,0)</f>
        <v>0</v>
      </c>
    </row>
    <row r="522" spans="1:7" ht="30" hidden="1" outlineLevel="6" collapsed="1">
      <c r="A522" s="20" t="s">
        <v>11</v>
      </c>
      <c r="B522" s="20" t="s">
        <v>82</v>
      </c>
      <c r="C522" s="20" t="s">
        <v>47</v>
      </c>
      <c r="D522" s="20"/>
      <c r="E522" s="20" t="s">
        <v>520</v>
      </c>
      <c r="F522" s="20" t="s">
        <v>14</v>
      </c>
      <c r="G522" s="20">
        <v>1</v>
      </c>
    </row>
    <row r="523" spans="1:7" ht="30" hidden="1" outlineLevel="6" collapsed="1">
      <c r="A523" s="20" t="s">
        <v>11</v>
      </c>
      <c r="B523" s="20" t="s">
        <v>82</v>
      </c>
      <c r="C523" s="20" t="s">
        <v>47</v>
      </c>
      <c r="D523" s="20"/>
      <c r="E523" s="20" t="s">
        <v>521</v>
      </c>
      <c r="F523" s="20" t="s">
        <v>14</v>
      </c>
      <c r="G523" s="20">
        <v>1</v>
      </c>
    </row>
    <row r="524" spans="1:7" hidden="1" outlineLevel="4">
      <c r="A524" s="18" t="s">
        <v>14</v>
      </c>
      <c r="B524" s="10" t="s">
        <v>522</v>
      </c>
      <c r="C524" s="18" t="s">
        <v>47</v>
      </c>
      <c r="D524" s="18" t="b">
        <f>EXACT(G515,"Estimating change in carbon stock in shrubs in a year")</f>
        <v>0</v>
      </c>
      <c r="E524" s="18" t="s">
        <v>523</v>
      </c>
      <c r="F524" s="18" t="s">
        <v>14</v>
      </c>
      <c r="G524" s="18" t="s">
        <v>47</v>
      </c>
    </row>
    <row r="525" spans="1:7" ht="30" hidden="1" outlineLevel="5" collapsed="1">
      <c r="A525" s="20" t="s">
        <v>14</v>
      </c>
      <c r="B525" s="20" t="s">
        <v>82</v>
      </c>
      <c r="C525" s="20" t="s">
        <v>47</v>
      </c>
      <c r="D525" s="20" t="s">
        <v>399</v>
      </c>
      <c r="E525" s="20" t="s">
        <v>524</v>
      </c>
      <c r="F525" s="20" t="s">
        <v>14</v>
      </c>
      <c r="G525" s="20">
        <f>(G526-G527/G528)*1</f>
        <v>0</v>
      </c>
    </row>
    <row r="526" spans="1:7" hidden="1" outlineLevel="5" collapsed="1">
      <c r="A526" s="20" t="s">
        <v>11</v>
      </c>
      <c r="B526" s="20" t="s">
        <v>82</v>
      </c>
      <c r="C526" s="20" t="s">
        <v>47</v>
      </c>
      <c r="D526" s="20"/>
      <c r="E526" s="20" t="s">
        <v>525</v>
      </c>
      <c r="F526" s="20" t="s">
        <v>14</v>
      </c>
      <c r="G526" s="20">
        <v>1</v>
      </c>
    </row>
    <row r="527" spans="1:7" hidden="1" outlineLevel="5" collapsed="1">
      <c r="A527" s="20" t="s">
        <v>11</v>
      </c>
      <c r="B527" s="20" t="s">
        <v>82</v>
      </c>
      <c r="C527" s="20" t="s">
        <v>47</v>
      </c>
      <c r="D527" s="20"/>
      <c r="E527" s="20" t="s">
        <v>526</v>
      </c>
      <c r="F527" s="20" t="s">
        <v>14</v>
      </c>
      <c r="G527" s="20">
        <v>1</v>
      </c>
    </row>
    <row r="528" spans="1:7" ht="30" hidden="1" outlineLevel="5" collapsed="1">
      <c r="A528" s="20" t="s">
        <v>11</v>
      </c>
      <c r="B528" s="20" t="s">
        <v>82</v>
      </c>
      <c r="C528" s="20" t="s">
        <v>47</v>
      </c>
      <c r="D528" s="20"/>
      <c r="E528" s="20" t="s">
        <v>527</v>
      </c>
      <c r="F528" s="20" t="s">
        <v>14</v>
      </c>
      <c r="G528" s="20">
        <v>1</v>
      </c>
    </row>
    <row r="529" spans="1:7" hidden="1" outlineLevel="4">
      <c r="A529" s="18" t="s">
        <v>11</v>
      </c>
      <c r="B529" s="10" t="s">
        <v>528</v>
      </c>
      <c r="C529" s="18" t="s">
        <v>47</v>
      </c>
      <c r="D529" s="18"/>
      <c r="E529" s="18" t="s">
        <v>529</v>
      </c>
      <c r="F529" s="18" t="s">
        <v>11</v>
      </c>
      <c r="G529" s="18" t="s">
        <v>47</v>
      </c>
    </row>
    <row r="530" spans="1:7" ht="13.5" hidden="1" customHeight="1" outlineLevel="5" collapsed="1">
      <c r="A530" s="20" t="s">
        <v>14</v>
      </c>
      <c r="B530" s="20" t="s">
        <v>82</v>
      </c>
      <c r="C530" s="20" t="s">
        <v>47</v>
      </c>
      <c r="D530" s="20" t="s">
        <v>399</v>
      </c>
      <c r="E530" s="20" t="s">
        <v>530</v>
      </c>
      <c r="F530" s="20" t="s">
        <v>14</v>
      </c>
      <c r="G530" s="20">
        <f>44/12*G531*(1+G532)*SUM((G537*G538))</f>
        <v>7.333333333333333</v>
      </c>
    </row>
    <row r="531" spans="1:7" ht="13.5" hidden="1" customHeight="1" outlineLevel="5" collapsed="1">
      <c r="A531" s="20" t="s">
        <v>11</v>
      </c>
      <c r="B531" s="20" t="s">
        <v>82</v>
      </c>
      <c r="C531" s="20" t="s">
        <v>47</v>
      </c>
      <c r="D531" s="20"/>
      <c r="E531" s="20" t="s">
        <v>531</v>
      </c>
      <c r="F531" s="20" t="s">
        <v>14</v>
      </c>
      <c r="G531" s="20">
        <v>1</v>
      </c>
    </row>
    <row r="532" spans="1:7" hidden="1" outlineLevel="5" collapsed="1">
      <c r="A532" s="20" t="s">
        <v>11</v>
      </c>
      <c r="B532" s="20" t="s">
        <v>82</v>
      </c>
      <c r="C532" s="20" t="s">
        <v>47</v>
      </c>
      <c r="D532" s="20"/>
      <c r="E532" s="20" t="s">
        <v>532</v>
      </c>
      <c r="F532" s="20" t="s">
        <v>14</v>
      </c>
      <c r="G532" s="20">
        <v>1</v>
      </c>
    </row>
    <row r="533" spans="1:7" hidden="1" outlineLevel="5">
      <c r="A533" s="22" t="s">
        <v>11</v>
      </c>
      <c r="B533" s="23" t="s">
        <v>533</v>
      </c>
      <c r="C533" s="22" t="s">
        <v>47</v>
      </c>
      <c r="D533" s="22"/>
      <c r="E533" s="22" t="s">
        <v>534</v>
      </c>
      <c r="F533" s="22" t="s">
        <v>11</v>
      </c>
      <c r="G533" s="22" t="s">
        <v>47</v>
      </c>
    </row>
    <row r="534" spans="1:7" ht="30" hidden="1" outlineLevel="6" collapsed="1">
      <c r="A534" s="20" t="s">
        <v>11</v>
      </c>
      <c r="B534" s="20" t="s">
        <v>82</v>
      </c>
      <c r="C534" s="20" t="s">
        <v>47</v>
      </c>
      <c r="D534" s="20"/>
      <c r="E534" s="20" t="s">
        <v>535</v>
      </c>
      <c r="F534" s="20" t="s">
        <v>14</v>
      </c>
      <c r="G534" s="20">
        <v>1</v>
      </c>
    </row>
    <row r="535" spans="1:7" ht="30" hidden="1" outlineLevel="6" collapsed="1">
      <c r="A535" s="20" t="s">
        <v>11</v>
      </c>
      <c r="B535" s="20" t="s">
        <v>82</v>
      </c>
      <c r="C535" s="20" t="s">
        <v>47</v>
      </c>
      <c r="D535" s="20"/>
      <c r="E535" s="20" t="s">
        <v>536</v>
      </c>
      <c r="F535" s="20" t="s">
        <v>14</v>
      </c>
      <c r="G535" s="20">
        <v>1</v>
      </c>
    </row>
    <row r="536" spans="1:7" ht="30" hidden="1" outlineLevel="6" collapsed="1">
      <c r="A536" s="20" t="s">
        <v>11</v>
      </c>
      <c r="B536" s="20" t="s">
        <v>82</v>
      </c>
      <c r="C536" s="20" t="s">
        <v>47</v>
      </c>
      <c r="D536" s="20"/>
      <c r="E536" s="20" t="s">
        <v>537</v>
      </c>
      <c r="F536" s="20" t="s">
        <v>14</v>
      </c>
      <c r="G536" s="20">
        <v>1</v>
      </c>
    </row>
    <row r="537" spans="1:7" ht="30" hidden="1" outlineLevel="6" collapsed="1">
      <c r="A537" s="20" t="s">
        <v>11</v>
      </c>
      <c r="B537" s="20" t="s">
        <v>82</v>
      </c>
      <c r="C537" s="20" t="s">
        <v>47</v>
      </c>
      <c r="D537" s="20"/>
      <c r="E537" s="20" t="s">
        <v>538</v>
      </c>
      <c r="F537" s="20" t="s">
        <v>14</v>
      </c>
      <c r="G537" s="20">
        <v>1</v>
      </c>
    </row>
    <row r="538" spans="1:7" ht="30" hidden="1" outlineLevel="6" collapsed="1">
      <c r="A538" s="20" t="s">
        <v>14</v>
      </c>
      <c r="B538" s="20" t="s">
        <v>82</v>
      </c>
      <c r="C538" s="20" t="s">
        <v>47</v>
      </c>
      <c r="D538" s="20" t="s">
        <v>399</v>
      </c>
      <c r="E538" s="20" t="s">
        <v>539</v>
      </c>
      <c r="F538" s="20" t="s">
        <v>14</v>
      </c>
      <c r="G538" s="20">
        <f>G534*G535*G536</f>
        <v>1</v>
      </c>
    </row>
    <row r="539" spans="1:7" ht="29.25" hidden="1" customHeight="1" outlineLevel="4">
      <c r="A539" s="18" t="s">
        <v>14</v>
      </c>
      <c r="B539" s="18" t="s">
        <v>82</v>
      </c>
      <c r="C539" s="10"/>
      <c r="D539" s="18" t="s">
        <v>399</v>
      </c>
      <c r="E539" s="18" t="s">
        <v>540</v>
      </c>
      <c r="F539" s="18" t="s">
        <v>14</v>
      </c>
      <c r="G539" s="18">
        <f>G530</f>
        <v>7.333333333333333</v>
      </c>
    </row>
    <row r="540" spans="1:7" ht="29.25" hidden="1" customHeight="1" outlineLevel="4">
      <c r="A540" s="18" t="s">
        <v>14</v>
      </c>
      <c r="B540" s="18" t="s">
        <v>82</v>
      </c>
      <c r="C540" s="10"/>
      <c r="D540" s="18" t="s">
        <v>399</v>
      </c>
      <c r="E540" s="18" t="s">
        <v>541</v>
      </c>
      <c r="F540" s="18" t="s">
        <v>14</v>
      </c>
      <c r="G540" s="18">
        <f>IF(AND(G515="Estimating change in carbon stock in shrubs between two points in time",G517="Yes"),0,IF(AND(G515="Estimating change in carbon stock in shrubs between two points in time"),G521,IF(AND(G515="Estimating change in carbon stock in shrubs in a year"),G525)))</f>
        <v>0</v>
      </c>
    </row>
    <row r="541" spans="1:7" ht="29.25" hidden="1" customHeight="1" outlineLevel="3">
      <c r="A541" s="18" t="s">
        <v>11</v>
      </c>
      <c r="B541" s="10" t="s">
        <v>542</v>
      </c>
      <c r="C541" s="19"/>
      <c r="D541" s="18"/>
      <c r="E541" s="18" t="s">
        <v>543</v>
      </c>
      <c r="F541" s="18" t="s">
        <v>14</v>
      </c>
      <c r="G541" s="18"/>
    </row>
    <row r="542" spans="1:7" ht="29.25" hidden="1" customHeight="1" outlineLevel="5">
      <c r="A542" s="18" t="s">
        <v>11</v>
      </c>
      <c r="B542" s="18" t="s">
        <v>17</v>
      </c>
      <c r="C542" s="10" t="s">
        <v>544</v>
      </c>
      <c r="D542" s="18"/>
      <c r="E542" s="18" t="s">
        <v>385</v>
      </c>
      <c r="F542" s="3" t="s">
        <v>14</v>
      </c>
      <c r="G542" s="18" t="s">
        <v>386</v>
      </c>
    </row>
    <row r="543" spans="1:7" ht="29.25" hidden="1" customHeight="1" outlineLevel="5">
      <c r="A543" s="3" t="s">
        <v>14</v>
      </c>
      <c r="B543" s="10" t="s">
        <v>545</v>
      </c>
      <c r="C543" s="10"/>
      <c r="D543" s="18" t="b">
        <f>EXACT(G542,"Estimating change in carbon stock in trees between two points in time")</f>
        <v>0</v>
      </c>
      <c r="E543" s="18" t="s">
        <v>388</v>
      </c>
      <c r="F543" s="3" t="s">
        <v>14</v>
      </c>
      <c r="G543" s="18"/>
    </row>
    <row r="544" spans="1:7" ht="29.25" hidden="1" customHeight="1" outlineLevel="6">
      <c r="A544" s="18" t="s">
        <v>11</v>
      </c>
      <c r="B544" s="18" t="s">
        <v>17</v>
      </c>
      <c r="C544" s="10" t="s">
        <v>546</v>
      </c>
      <c r="D544" s="18"/>
      <c r="E544" s="18" t="s">
        <v>390</v>
      </c>
      <c r="F544" s="18" t="s">
        <v>14</v>
      </c>
      <c r="G544" s="18" t="s">
        <v>391</v>
      </c>
    </row>
    <row r="545" spans="1:7" hidden="1" outlineLevel="6" collapsed="1">
      <c r="A545" s="18" t="s">
        <v>14</v>
      </c>
      <c r="B545" s="10" t="s">
        <v>392</v>
      </c>
      <c r="C545" s="19"/>
      <c r="D545" s="18" t="b">
        <f>EXACT(G544,"no-decrease")</f>
        <v>1</v>
      </c>
      <c r="E545" s="18" t="s">
        <v>393</v>
      </c>
      <c r="F545" s="3" t="s">
        <v>14</v>
      </c>
      <c r="G545" s="18"/>
    </row>
    <row r="546" spans="1:7" ht="165" hidden="1" outlineLevel="6" collapsed="1">
      <c r="A546" s="20" t="s">
        <v>14</v>
      </c>
      <c r="B546" s="20" t="s">
        <v>44</v>
      </c>
      <c r="C546" s="20"/>
      <c r="D546" s="20"/>
      <c r="E546" s="20" t="s">
        <v>394</v>
      </c>
      <c r="F546" s="4" t="s">
        <v>14</v>
      </c>
      <c r="G546" s="20"/>
    </row>
    <row r="547" spans="1:7" ht="60" hidden="1" outlineLevel="6" collapsed="1">
      <c r="A547" s="20" t="s">
        <v>11</v>
      </c>
      <c r="B547" s="20" t="s">
        <v>17</v>
      </c>
      <c r="C547" s="27" t="s">
        <v>395</v>
      </c>
      <c r="D547" s="20"/>
      <c r="E547" s="20" t="s">
        <v>396</v>
      </c>
      <c r="F547" s="4" t="s">
        <v>14</v>
      </c>
      <c r="G547" s="20"/>
    </row>
    <row r="548" spans="1:7" hidden="1" outlineLevel="6" collapsed="1">
      <c r="A548" s="18" t="s">
        <v>14</v>
      </c>
      <c r="B548" s="10" t="s">
        <v>410</v>
      </c>
      <c r="C548" s="18" t="s">
        <v>47</v>
      </c>
      <c r="D548" s="18" t="b">
        <f>EXACT(G544,"Direct estimation of change by re-measurement of sample plots")</f>
        <v>0</v>
      </c>
      <c r="E548" s="18" t="s">
        <v>547</v>
      </c>
      <c r="F548" s="18" t="s">
        <v>14</v>
      </c>
      <c r="G548" s="18" t="s">
        <v>47</v>
      </c>
    </row>
    <row r="549" spans="1:7" hidden="1" outlineLevel="6" collapsed="1">
      <c r="A549" s="20" t="s">
        <v>14</v>
      </c>
      <c r="B549" s="20" t="s">
        <v>82</v>
      </c>
      <c r="C549" s="20" t="s">
        <v>47</v>
      </c>
      <c r="D549" s="20" t="s">
        <v>399</v>
      </c>
      <c r="E549" s="20" t="s">
        <v>412</v>
      </c>
      <c r="F549" s="20" t="s">
        <v>14</v>
      </c>
      <c r="G549" s="20">
        <f>44/12*G550*G551</f>
        <v>3.6666666666666665</v>
      </c>
    </row>
    <row r="550" spans="1:7" hidden="1" outlineLevel="6" collapsed="1">
      <c r="A550" s="20" t="s">
        <v>11</v>
      </c>
      <c r="B550" s="20" t="s">
        <v>82</v>
      </c>
      <c r="C550" s="20" t="s">
        <v>47</v>
      </c>
      <c r="D550" s="20"/>
      <c r="E550" s="20" t="s">
        <v>405</v>
      </c>
      <c r="F550" s="20" t="s">
        <v>14</v>
      </c>
      <c r="G550" s="20">
        <v>1</v>
      </c>
    </row>
    <row r="551" spans="1:7" ht="30" hidden="1" outlineLevel="6" collapsed="1">
      <c r="A551" s="20" t="s">
        <v>14</v>
      </c>
      <c r="B551" s="20" t="s">
        <v>82</v>
      </c>
      <c r="C551" s="20" t="s">
        <v>47</v>
      </c>
      <c r="D551" s="20" t="s">
        <v>399</v>
      </c>
      <c r="E551" s="20" t="s">
        <v>413</v>
      </c>
      <c r="F551" s="20" t="s">
        <v>14</v>
      </c>
      <c r="G551" s="20">
        <f>G553*G552</f>
        <v>1</v>
      </c>
    </row>
    <row r="552" spans="1:7" ht="30" hidden="1" outlineLevel="6" collapsed="1">
      <c r="A552" s="20" t="s">
        <v>14</v>
      </c>
      <c r="B552" s="20" t="s">
        <v>82</v>
      </c>
      <c r="C552" s="20" t="s">
        <v>47</v>
      </c>
      <c r="D552" s="20" t="s">
        <v>399</v>
      </c>
      <c r="E552" s="20" t="s">
        <v>414</v>
      </c>
      <c r="F552" s="20" t="s">
        <v>14</v>
      </c>
      <c r="G552" s="20">
        <f>SUM((G558*G557))</f>
        <v>1</v>
      </c>
    </row>
    <row r="553" spans="1:7" hidden="1" outlineLevel="6" collapsed="1">
      <c r="A553" s="20" t="s">
        <v>11</v>
      </c>
      <c r="B553" s="20" t="s">
        <v>82</v>
      </c>
      <c r="C553" s="20" t="s">
        <v>47</v>
      </c>
      <c r="D553" s="20"/>
      <c r="E553" s="20" t="s">
        <v>415</v>
      </c>
      <c r="F553" s="20" t="s">
        <v>14</v>
      </c>
      <c r="G553" s="20">
        <v>1</v>
      </c>
    </row>
    <row r="554" spans="1:7" hidden="1" outlineLevel="6" collapsed="1">
      <c r="A554" s="20" t="s">
        <v>11</v>
      </c>
      <c r="B554" s="20" t="s">
        <v>82</v>
      </c>
      <c r="C554" s="20" t="s">
        <v>47</v>
      </c>
      <c r="D554" s="20"/>
      <c r="E554" s="20" t="s">
        <v>548</v>
      </c>
      <c r="F554" s="20" t="s">
        <v>14</v>
      </c>
      <c r="G554" s="20">
        <v>1</v>
      </c>
    </row>
    <row r="555" spans="1:7" hidden="1" outlineLevel="6" collapsed="1">
      <c r="A555" s="20" t="s">
        <v>11</v>
      </c>
      <c r="B555" s="20" t="s">
        <v>82</v>
      </c>
      <c r="C555" s="20" t="s">
        <v>47</v>
      </c>
      <c r="D555" s="20"/>
      <c r="E555" s="20" t="s">
        <v>417</v>
      </c>
      <c r="F555" s="20" t="s">
        <v>14</v>
      </c>
      <c r="G555" s="20">
        <v>1</v>
      </c>
    </row>
    <row r="556" spans="1:7" ht="30" hidden="1" outlineLevel="6">
      <c r="A556" s="22" t="s">
        <v>11</v>
      </c>
      <c r="B556" s="23" t="s">
        <v>418</v>
      </c>
      <c r="C556" s="22" t="s">
        <v>47</v>
      </c>
      <c r="D556" s="22"/>
      <c r="E556" s="22" t="s">
        <v>419</v>
      </c>
      <c r="F556" s="22" t="s">
        <v>11</v>
      </c>
      <c r="G556" s="22" t="s">
        <v>47</v>
      </c>
    </row>
    <row r="557" spans="1:7" ht="30" hidden="1" outlineLevel="6" collapsed="1">
      <c r="A557" s="20" t="s">
        <v>14</v>
      </c>
      <c r="B557" s="20" t="s">
        <v>82</v>
      </c>
      <c r="C557" s="20" t="s">
        <v>47</v>
      </c>
      <c r="D557" s="20" t="s">
        <v>399</v>
      </c>
      <c r="E557" s="20" t="s">
        <v>420</v>
      </c>
      <c r="F557" s="20" t="s">
        <v>14</v>
      </c>
      <c r="G557" s="20">
        <f>(SUM(G562))/G560</f>
        <v>1</v>
      </c>
    </row>
    <row r="558" spans="1:7" ht="30" hidden="1" outlineLevel="6" collapsed="1">
      <c r="A558" s="20" t="s">
        <v>11</v>
      </c>
      <c r="B558" s="20" t="s">
        <v>82</v>
      </c>
      <c r="C558" s="20" t="s">
        <v>47</v>
      </c>
      <c r="D558" s="20"/>
      <c r="E558" s="20" t="s">
        <v>421</v>
      </c>
      <c r="F558" s="20" t="s">
        <v>14</v>
      </c>
      <c r="G558" s="20">
        <v>1</v>
      </c>
    </row>
    <row r="559" spans="1:7" ht="30" hidden="1" outlineLevel="6" collapsed="1">
      <c r="A559" s="20" t="s">
        <v>11</v>
      </c>
      <c r="B559" s="20" t="s">
        <v>82</v>
      </c>
      <c r="C559" s="20" t="s">
        <v>47</v>
      </c>
      <c r="D559" s="20"/>
      <c r="E559" s="20" t="s">
        <v>422</v>
      </c>
      <c r="F559" s="20" t="s">
        <v>14</v>
      </c>
      <c r="G559" s="20">
        <v>1</v>
      </c>
    </row>
    <row r="560" spans="1:7" ht="30" hidden="1" outlineLevel="6" collapsed="1">
      <c r="A560" s="20" t="s">
        <v>11</v>
      </c>
      <c r="B560" s="20" t="s">
        <v>82</v>
      </c>
      <c r="C560" s="20" t="s">
        <v>47</v>
      </c>
      <c r="D560" s="20"/>
      <c r="E560" s="20" t="s">
        <v>423</v>
      </c>
      <c r="F560" s="20" t="s">
        <v>14</v>
      </c>
      <c r="G560" s="20">
        <v>1</v>
      </c>
    </row>
    <row r="561" spans="1:12" hidden="1" outlineLevel="6">
      <c r="A561" s="22" t="s">
        <v>11</v>
      </c>
      <c r="B561" s="23" t="s">
        <v>424</v>
      </c>
      <c r="C561" s="22"/>
      <c r="D561" s="22"/>
      <c r="E561" s="22" t="s">
        <v>425</v>
      </c>
      <c r="F561" s="22" t="s">
        <v>11</v>
      </c>
      <c r="G561" s="22"/>
    </row>
    <row r="562" spans="1:12" s="25" customFormat="1" ht="30" hidden="1" outlineLevel="6" collapsed="1">
      <c r="A562" s="24" t="s">
        <v>11</v>
      </c>
      <c r="B562" s="24" t="s">
        <v>82</v>
      </c>
      <c r="C562" s="24" t="s">
        <v>47</v>
      </c>
      <c r="D562" s="24"/>
      <c r="E562" s="24" t="s">
        <v>426</v>
      </c>
      <c r="F562" s="24" t="s">
        <v>14</v>
      </c>
      <c r="G562" s="24">
        <v>1</v>
      </c>
      <c r="H562"/>
      <c r="I562"/>
      <c r="J562"/>
      <c r="K562"/>
      <c r="L562"/>
    </row>
    <row r="563" spans="1:12" hidden="1" outlineLevel="6" collapsed="1">
      <c r="A563" s="18" t="s">
        <v>14</v>
      </c>
      <c r="B563" s="10" t="s">
        <v>427</v>
      </c>
      <c r="C563" s="18" t="s">
        <v>47</v>
      </c>
      <c r="D563" s="18" t="b">
        <f>EXACT(G544,"Difference of two independent stock estimations")</f>
        <v>0</v>
      </c>
      <c r="E563" s="18" t="s">
        <v>549</v>
      </c>
      <c r="F563" s="18" t="s">
        <v>14</v>
      </c>
      <c r="G563" s="18" t="s">
        <v>47</v>
      </c>
    </row>
    <row r="564" spans="1:12" hidden="1" outlineLevel="6" collapsed="1">
      <c r="A564" s="20" t="s">
        <v>11</v>
      </c>
      <c r="B564" s="20" t="s">
        <v>82</v>
      </c>
      <c r="C564" s="20" t="s">
        <v>47</v>
      </c>
      <c r="D564" s="20"/>
      <c r="E564" s="20" t="s">
        <v>429</v>
      </c>
      <c r="F564" s="20" t="s">
        <v>14</v>
      </c>
      <c r="G564" s="20">
        <v>1</v>
      </c>
    </row>
    <row r="565" spans="1:12" hidden="1" outlineLevel="6" collapsed="1">
      <c r="A565" s="20" t="s">
        <v>11</v>
      </c>
      <c r="B565" s="20" t="s">
        <v>82</v>
      </c>
      <c r="C565" s="20" t="s">
        <v>47</v>
      </c>
      <c r="D565" s="20"/>
      <c r="E565" s="20" t="s">
        <v>430</v>
      </c>
      <c r="F565" s="20" t="s">
        <v>14</v>
      </c>
      <c r="G565" s="20">
        <v>1</v>
      </c>
    </row>
    <row r="566" spans="1:12" hidden="1" outlineLevel="6" collapsed="1">
      <c r="A566" s="20" t="s">
        <v>11</v>
      </c>
      <c r="B566" s="20" t="s">
        <v>82</v>
      </c>
      <c r="C566" s="20" t="s">
        <v>47</v>
      </c>
      <c r="D566" s="20"/>
      <c r="E566" s="20" t="s">
        <v>431</v>
      </c>
      <c r="F566" s="20" t="s">
        <v>14</v>
      </c>
      <c r="G566" s="20">
        <v>1</v>
      </c>
    </row>
    <row r="567" spans="1:12" hidden="1" outlineLevel="6" collapsed="1">
      <c r="A567" s="20" t="s">
        <v>11</v>
      </c>
      <c r="B567" s="20" t="s">
        <v>82</v>
      </c>
      <c r="C567" s="20" t="s">
        <v>47</v>
      </c>
      <c r="D567" s="20"/>
      <c r="E567" s="20" t="s">
        <v>432</v>
      </c>
      <c r="F567" s="20" t="s">
        <v>14</v>
      </c>
      <c r="G567" s="20">
        <v>1</v>
      </c>
    </row>
    <row r="568" spans="1:12" ht="30" hidden="1" outlineLevel="6" collapsed="1">
      <c r="A568" s="20" t="s">
        <v>14</v>
      </c>
      <c r="B568" s="20" t="s">
        <v>82</v>
      </c>
      <c r="C568" s="20" t="s">
        <v>47</v>
      </c>
      <c r="D568" s="20" t="s">
        <v>399</v>
      </c>
      <c r="E568" s="24" t="s">
        <v>550</v>
      </c>
      <c r="F568" s="20" t="s">
        <v>14</v>
      </c>
      <c r="G568" s="20" t="e">
        <f>(SQRT((G566*G564)^2+(G567*G565)^2))/G569</f>
        <v>#DIV/0!</v>
      </c>
    </row>
    <row r="569" spans="1:12" hidden="1" outlineLevel="6" collapsed="1">
      <c r="A569" s="20" t="s">
        <v>14</v>
      </c>
      <c r="B569" s="20" t="s">
        <v>82</v>
      </c>
      <c r="C569" s="20" t="s">
        <v>47</v>
      </c>
      <c r="D569" s="20" t="s">
        <v>399</v>
      </c>
      <c r="E569" s="20" t="s">
        <v>551</v>
      </c>
      <c r="F569" s="20" t="s">
        <v>14</v>
      </c>
      <c r="G569" s="20">
        <f>G565-G564</f>
        <v>0</v>
      </c>
    </row>
    <row r="570" spans="1:12" hidden="1" outlineLevel="6" collapsed="1">
      <c r="A570" s="20" t="s">
        <v>11</v>
      </c>
      <c r="B570" s="20" t="s">
        <v>82</v>
      </c>
      <c r="C570" s="20" t="s">
        <v>47</v>
      </c>
      <c r="D570" s="20"/>
      <c r="E570" s="20" t="s">
        <v>552</v>
      </c>
      <c r="F570" s="20" t="s">
        <v>14</v>
      </c>
      <c r="G570" s="26">
        <v>7.0000000000000007E-2</v>
      </c>
    </row>
    <row r="571" spans="1:12" hidden="1" outlineLevel="5">
      <c r="A571" s="18" t="s">
        <v>11</v>
      </c>
      <c r="B571" s="10" t="s">
        <v>553</v>
      </c>
      <c r="C571" s="18" t="s">
        <v>47</v>
      </c>
      <c r="D571" s="18" t="b">
        <f>EXACT(G542,"Estimating change in carbon stock in trees in a year")</f>
        <v>1</v>
      </c>
      <c r="E571" s="18" t="s">
        <v>386</v>
      </c>
      <c r="F571" s="18" t="s">
        <v>14</v>
      </c>
      <c r="G571" s="18" t="s">
        <v>47</v>
      </c>
    </row>
    <row r="572" spans="1:12" ht="30" hidden="1" outlineLevel="6" collapsed="1">
      <c r="A572" s="20" t="s">
        <v>14</v>
      </c>
      <c r="B572" s="20" t="s">
        <v>82</v>
      </c>
      <c r="C572" s="20" t="s">
        <v>47</v>
      </c>
      <c r="D572" s="20" t="s">
        <v>399</v>
      </c>
      <c r="E572" s="20" t="s">
        <v>554</v>
      </c>
      <c r="F572" s="20" t="s">
        <v>14</v>
      </c>
      <c r="G572" s="20">
        <f>(G573-G574/G575)*1</f>
        <v>0</v>
      </c>
    </row>
    <row r="573" spans="1:12" ht="30" hidden="1" outlineLevel="6" collapsed="1">
      <c r="A573" s="20" t="s">
        <v>11</v>
      </c>
      <c r="B573" s="20" t="s">
        <v>82</v>
      </c>
      <c r="C573" s="20" t="s">
        <v>47</v>
      </c>
      <c r="D573" s="20"/>
      <c r="E573" s="20" t="s">
        <v>555</v>
      </c>
      <c r="F573" s="20" t="s">
        <v>14</v>
      </c>
      <c r="G573" s="20">
        <v>1</v>
      </c>
    </row>
    <row r="574" spans="1:12" ht="30" hidden="1" outlineLevel="6" collapsed="1">
      <c r="A574" s="20" t="s">
        <v>14</v>
      </c>
      <c r="B574" s="20" t="s">
        <v>82</v>
      </c>
      <c r="C574" s="20" t="s">
        <v>47</v>
      </c>
      <c r="D574" s="20" t="s">
        <v>399</v>
      </c>
      <c r="E574" s="20" t="s">
        <v>556</v>
      </c>
      <c r="F574" s="20" t="s">
        <v>14</v>
      </c>
      <c r="G574" s="20">
        <f>IF(AND(G577="Updating the previous stock by independent measurement of change"),G580,IF(AND(G577="Estimation by modelling of tree growth and stand development"),G594))</f>
        <v>1</v>
      </c>
    </row>
    <row r="575" spans="1:12" hidden="1" outlineLevel="6">
      <c r="A575" s="20" t="s">
        <v>11</v>
      </c>
      <c r="B575" s="20" t="s">
        <v>82</v>
      </c>
      <c r="C575" s="20" t="s">
        <v>47</v>
      </c>
      <c r="D575" s="20"/>
      <c r="E575" s="20" t="s">
        <v>440</v>
      </c>
      <c r="F575" s="20" t="s">
        <v>14</v>
      </c>
      <c r="G575" s="20">
        <v>1</v>
      </c>
    </row>
    <row r="576" spans="1:12" hidden="1" outlineLevel="4">
      <c r="A576" s="18" t="s">
        <v>11</v>
      </c>
      <c r="B576" s="10" t="s">
        <v>557</v>
      </c>
      <c r="C576" s="18" t="s">
        <v>47</v>
      </c>
      <c r="D576" s="18"/>
      <c r="E576" s="18" t="s">
        <v>442</v>
      </c>
      <c r="F576" s="18" t="s">
        <v>14</v>
      </c>
      <c r="G576" s="18" t="s">
        <v>47</v>
      </c>
    </row>
    <row r="577" spans="1:7" ht="30" hidden="1" outlineLevel="5" collapsed="1">
      <c r="A577" s="20" t="s">
        <v>11</v>
      </c>
      <c r="B577" s="20" t="s">
        <v>17</v>
      </c>
      <c r="C577" s="27" t="s">
        <v>558</v>
      </c>
      <c r="D577" s="20"/>
      <c r="E577" s="20" t="s">
        <v>444</v>
      </c>
      <c r="F577" s="20" t="s">
        <v>14</v>
      </c>
      <c r="G577" s="20" t="s">
        <v>447</v>
      </c>
    </row>
    <row r="578" spans="1:7" hidden="1" outlineLevel="5" collapsed="1">
      <c r="A578" s="22" t="s">
        <v>14</v>
      </c>
      <c r="B578" s="23" t="s">
        <v>559</v>
      </c>
      <c r="C578" s="22" t="s">
        <v>47</v>
      </c>
      <c r="D578" s="22" t="b">
        <f>EXACT(G577,"Updating the previous stock by independent measurement of change")</f>
        <v>1</v>
      </c>
      <c r="E578" s="22" t="s">
        <v>447</v>
      </c>
      <c r="F578" s="22" t="s">
        <v>14</v>
      </c>
      <c r="G578" s="22" t="s">
        <v>47</v>
      </c>
    </row>
    <row r="579" spans="1:7" hidden="1" outlineLevel="6" collapsed="1">
      <c r="A579" s="20" t="s">
        <v>14</v>
      </c>
      <c r="B579" s="20" t="s">
        <v>82</v>
      </c>
      <c r="C579" s="20" t="s">
        <v>47</v>
      </c>
      <c r="D579" s="20" t="s">
        <v>399</v>
      </c>
      <c r="E579" s="20" t="s">
        <v>560</v>
      </c>
      <c r="F579" s="20" t="s">
        <v>14</v>
      </c>
      <c r="G579" s="20" t="e">
        <f>E580+E581</f>
        <v>#VALUE!</v>
      </c>
    </row>
    <row r="580" spans="1:7" ht="30" hidden="1" outlineLevel="6" collapsed="1">
      <c r="A580" s="20" t="s">
        <v>11</v>
      </c>
      <c r="B580" s="20" t="s">
        <v>82</v>
      </c>
      <c r="C580" s="20" t="s">
        <v>47</v>
      </c>
      <c r="D580" s="20"/>
      <c r="E580" s="20" t="s">
        <v>561</v>
      </c>
      <c r="F580" s="20" t="s">
        <v>14</v>
      </c>
      <c r="G580" s="20">
        <v>1</v>
      </c>
    </row>
    <row r="581" spans="1:7" ht="30" hidden="1" outlineLevel="6" collapsed="1">
      <c r="A581" s="20" t="s">
        <v>11</v>
      </c>
      <c r="B581" s="20" t="s">
        <v>82</v>
      </c>
      <c r="C581" s="20" t="s">
        <v>47</v>
      </c>
      <c r="D581" s="20"/>
      <c r="E581" s="20" t="s">
        <v>562</v>
      </c>
      <c r="F581" s="20" t="s">
        <v>14</v>
      </c>
      <c r="G581" s="20">
        <v>1</v>
      </c>
    </row>
    <row r="582" spans="1:7" hidden="1" outlineLevel="6" collapsed="1">
      <c r="A582" s="20" t="s">
        <v>11</v>
      </c>
      <c r="B582" s="20" t="s">
        <v>82</v>
      </c>
      <c r="C582" s="20" t="s">
        <v>47</v>
      </c>
      <c r="D582" s="20"/>
      <c r="E582" s="20" t="s">
        <v>548</v>
      </c>
      <c r="F582" s="20" t="s">
        <v>14</v>
      </c>
      <c r="G582" s="20"/>
    </row>
    <row r="583" spans="1:7" ht="30" hidden="1" outlineLevel="6" collapsed="1">
      <c r="A583" s="20" t="s">
        <v>14</v>
      </c>
      <c r="B583" s="20" t="s">
        <v>82</v>
      </c>
      <c r="C583" s="20" t="s">
        <v>47</v>
      </c>
      <c r="D583" s="20" t="s">
        <v>399</v>
      </c>
      <c r="E583" s="20" t="s">
        <v>563</v>
      </c>
      <c r="F583" s="20" t="s">
        <v>14</v>
      </c>
      <c r="G583" s="20" t="e">
        <f>(SQRT((G584*G580)^2+(G582*G581)^2))/G579</f>
        <v>#VALUE!</v>
      </c>
    </row>
    <row r="584" spans="1:7" ht="30" hidden="1" outlineLevel="6" collapsed="1">
      <c r="A584" s="20" t="s">
        <v>11</v>
      </c>
      <c r="B584" s="20" t="s">
        <v>82</v>
      </c>
      <c r="C584" s="20" t="s">
        <v>47</v>
      </c>
      <c r="D584" s="20"/>
      <c r="E584" s="20" t="s">
        <v>564</v>
      </c>
      <c r="F584" s="20" t="s">
        <v>14</v>
      </c>
      <c r="G584" s="20">
        <v>1</v>
      </c>
    </row>
    <row r="585" spans="1:7" hidden="1" outlineLevel="5" collapsed="1">
      <c r="A585" s="22" t="s">
        <v>14</v>
      </c>
      <c r="B585" s="23" t="s">
        <v>565</v>
      </c>
      <c r="C585" s="22"/>
      <c r="D585" s="22" t="b">
        <f>EXACT(G577,"Estimation by modelling of tree growth and stand development")</f>
        <v>0</v>
      </c>
      <c r="E585" s="22" t="s">
        <v>445</v>
      </c>
      <c r="F585" s="22" t="s">
        <v>14</v>
      </c>
      <c r="G585" s="22"/>
    </row>
    <row r="586" spans="1:7" ht="60" hidden="1" outlineLevel="6">
      <c r="A586" s="20" t="s">
        <v>14</v>
      </c>
      <c r="B586" s="20" t="s">
        <v>44</v>
      </c>
      <c r="C586" s="20"/>
      <c r="D586" s="20"/>
      <c r="E586" s="20" t="s">
        <v>455</v>
      </c>
      <c r="F586" s="20" t="s">
        <v>14</v>
      </c>
      <c r="G586" s="20"/>
    </row>
    <row r="587" spans="1:7" ht="75" hidden="1" outlineLevel="6">
      <c r="A587" s="20" t="s">
        <v>14</v>
      </c>
      <c r="B587" s="20" t="s">
        <v>44</v>
      </c>
      <c r="C587" s="20"/>
      <c r="D587" s="20"/>
      <c r="E587" s="20" t="s">
        <v>456</v>
      </c>
      <c r="F587" s="20" t="s">
        <v>14</v>
      </c>
      <c r="G587" s="20"/>
    </row>
    <row r="588" spans="1:7" ht="60" hidden="1" outlineLevel="6">
      <c r="A588" s="20" t="s">
        <v>14</v>
      </c>
      <c r="B588" s="20" t="s">
        <v>44</v>
      </c>
      <c r="C588" s="20"/>
      <c r="D588" s="20"/>
      <c r="E588" s="20" t="s">
        <v>457</v>
      </c>
      <c r="F588" s="20" t="s">
        <v>14</v>
      </c>
      <c r="G588" s="20"/>
    </row>
    <row r="589" spans="1:7" ht="60" hidden="1" outlineLevel="6">
      <c r="A589" s="20" t="s">
        <v>14</v>
      </c>
      <c r="B589" s="20" t="s">
        <v>44</v>
      </c>
      <c r="C589" s="20"/>
      <c r="D589" s="20"/>
      <c r="E589" s="20" t="s">
        <v>458</v>
      </c>
      <c r="F589" s="20" t="s">
        <v>14</v>
      </c>
      <c r="G589" s="20"/>
    </row>
    <row r="590" spans="1:7" ht="135" hidden="1" outlineLevel="6">
      <c r="A590" s="20" t="s">
        <v>11</v>
      </c>
      <c r="B590" s="20" t="s">
        <v>17</v>
      </c>
      <c r="C590" s="27" t="s">
        <v>566</v>
      </c>
      <c r="D590" s="20"/>
      <c r="E590" s="20" t="s">
        <v>460</v>
      </c>
      <c r="F590" s="20" t="s">
        <v>14</v>
      </c>
      <c r="G590" s="20" t="s">
        <v>11</v>
      </c>
    </row>
    <row r="591" spans="1:7" ht="30" hidden="1" outlineLevel="6">
      <c r="A591" s="20" t="s">
        <v>14</v>
      </c>
      <c r="B591" s="20" t="s">
        <v>44</v>
      </c>
      <c r="C591" s="20"/>
      <c r="D591" s="20" t="b">
        <f>EXACT(G590,"No")</f>
        <v>0</v>
      </c>
      <c r="E591" s="20" t="s">
        <v>461</v>
      </c>
      <c r="F591" s="20" t="s">
        <v>14</v>
      </c>
      <c r="G591" s="20"/>
    </row>
    <row r="592" spans="1:7" hidden="1" outlineLevel="6">
      <c r="A592" s="22" t="s">
        <v>14</v>
      </c>
      <c r="B592" s="23" t="s">
        <v>567</v>
      </c>
      <c r="C592" s="22"/>
      <c r="D592" s="22" t="b">
        <f>EXACT(G590,"Yes")</f>
        <v>1</v>
      </c>
      <c r="E592" s="22" t="s">
        <v>568</v>
      </c>
      <c r="F592" s="22" t="s">
        <v>14</v>
      </c>
      <c r="G592" s="22"/>
    </row>
    <row r="593" spans="1:12" ht="30" hidden="1" outlineLevel="6">
      <c r="A593" s="20" t="s">
        <v>11</v>
      </c>
      <c r="B593" s="20" t="s">
        <v>82</v>
      </c>
      <c r="C593" s="20"/>
      <c r="D593" s="20"/>
      <c r="E593" s="20" t="s">
        <v>464</v>
      </c>
      <c r="F593" s="20" t="s">
        <v>14</v>
      </c>
      <c r="G593" s="20"/>
    </row>
    <row r="594" spans="1:12" hidden="1" outlineLevel="6">
      <c r="A594" s="20" t="s">
        <v>11</v>
      </c>
      <c r="B594" s="20" t="s">
        <v>82</v>
      </c>
      <c r="C594" s="20"/>
      <c r="D594" s="20"/>
      <c r="E594" s="20" t="s">
        <v>465</v>
      </c>
      <c r="F594" s="20" t="s">
        <v>14</v>
      </c>
      <c r="G594" s="20"/>
    </row>
    <row r="595" spans="1:12" hidden="1" outlineLevel="6">
      <c r="A595" s="20" t="s">
        <v>11</v>
      </c>
      <c r="B595" s="20" t="s">
        <v>82</v>
      </c>
      <c r="C595" s="20"/>
      <c r="D595" s="20"/>
      <c r="E595" s="20" t="s">
        <v>466</v>
      </c>
      <c r="F595" s="20" t="s">
        <v>14</v>
      </c>
      <c r="G595" s="20"/>
    </row>
    <row r="596" spans="1:12" hidden="1" outlineLevel="5" collapsed="1">
      <c r="A596" s="22" t="s">
        <v>14</v>
      </c>
      <c r="B596" s="23" t="s">
        <v>475</v>
      </c>
      <c r="C596" s="22" t="s">
        <v>47</v>
      </c>
      <c r="D596" s="22" t="b">
        <f>EXACT(G577,"Measurement of sample plots")</f>
        <v>0</v>
      </c>
      <c r="E596" s="22" t="s">
        <v>475</v>
      </c>
      <c r="F596" s="22" t="s">
        <v>14</v>
      </c>
      <c r="G596" s="22" t="s">
        <v>47</v>
      </c>
    </row>
    <row r="597" spans="1:12" ht="30" hidden="1" outlineLevel="6" collapsed="1">
      <c r="A597" s="20" t="s">
        <v>11</v>
      </c>
      <c r="B597" s="20" t="s">
        <v>17</v>
      </c>
      <c r="C597" s="21" t="s">
        <v>476</v>
      </c>
      <c r="D597" s="20"/>
      <c r="E597" s="20" t="s">
        <v>477</v>
      </c>
      <c r="F597" s="20" t="s">
        <v>14</v>
      </c>
      <c r="G597" s="20" t="s">
        <v>478</v>
      </c>
    </row>
    <row r="598" spans="1:12" hidden="1" outlineLevel="6" collapsed="1">
      <c r="A598" s="22" t="s">
        <v>14</v>
      </c>
      <c r="B598" s="23" t="s">
        <v>478</v>
      </c>
      <c r="C598" s="22" t="s">
        <v>47</v>
      </c>
      <c r="D598" s="22" t="b">
        <f>EXACT(G597,"Stratified random sampling")</f>
        <v>1</v>
      </c>
      <c r="E598" s="22" t="s">
        <v>478</v>
      </c>
      <c r="F598" s="22" t="s">
        <v>14</v>
      </c>
      <c r="G598" s="22" t="s">
        <v>47</v>
      </c>
    </row>
    <row r="599" spans="1:12" ht="30" hidden="1" outlineLevel="6" collapsed="1">
      <c r="A599" s="20" t="s">
        <v>14</v>
      </c>
      <c r="B599" s="20" t="s">
        <v>82</v>
      </c>
      <c r="C599" s="20" t="s">
        <v>47</v>
      </c>
      <c r="D599" s="20" t="s">
        <v>399</v>
      </c>
      <c r="E599" s="20" t="s">
        <v>479</v>
      </c>
      <c r="F599" s="20" t="s">
        <v>14</v>
      </c>
      <c r="G599" s="20">
        <f>44/12*G600*G601</f>
        <v>3.6666666666666665</v>
      </c>
    </row>
    <row r="600" spans="1:12" hidden="1" outlineLevel="6" collapsed="1">
      <c r="A600" s="20" t="s">
        <v>11</v>
      </c>
      <c r="B600" s="20" t="s">
        <v>82</v>
      </c>
      <c r="C600" s="20" t="s">
        <v>47</v>
      </c>
      <c r="D600" s="20"/>
      <c r="E600" s="20" t="s">
        <v>405</v>
      </c>
      <c r="F600" s="20" t="s">
        <v>14</v>
      </c>
      <c r="G600" s="20">
        <v>1</v>
      </c>
    </row>
    <row r="601" spans="1:12" ht="30" hidden="1" outlineLevel="6" collapsed="1">
      <c r="A601" s="20" t="s">
        <v>14</v>
      </c>
      <c r="B601" s="20" t="s">
        <v>82</v>
      </c>
      <c r="C601" s="20" t="s">
        <v>47</v>
      </c>
      <c r="D601" s="20" t="s">
        <v>399</v>
      </c>
      <c r="E601" s="20" t="s">
        <v>480</v>
      </c>
      <c r="F601" s="20" t="s">
        <v>14</v>
      </c>
      <c r="G601" s="20">
        <f>G602*G603</f>
        <v>1</v>
      </c>
    </row>
    <row r="602" spans="1:12" ht="30" hidden="1" outlineLevel="6" collapsed="1">
      <c r="A602" s="20" t="s">
        <v>11</v>
      </c>
      <c r="B602" s="20" t="s">
        <v>82</v>
      </c>
      <c r="C602" s="20" t="s">
        <v>47</v>
      </c>
      <c r="D602" s="20"/>
      <c r="E602" s="20" t="s">
        <v>481</v>
      </c>
      <c r="F602" s="20" t="s">
        <v>14</v>
      </c>
      <c r="G602" s="20">
        <v>1</v>
      </c>
    </row>
    <row r="603" spans="1:12" ht="30" hidden="1" outlineLevel="6" collapsed="1">
      <c r="A603" s="20" t="s">
        <v>14</v>
      </c>
      <c r="B603" s="20" t="s">
        <v>82</v>
      </c>
      <c r="C603" s="20" t="s">
        <v>47</v>
      </c>
      <c r="D603" s="20" t="s">
        <v>399</v>
      </c>
      <c r="E603" s="20" t="s">
        <v>482</v>
      </c>
      <c r="F603" s="20" t="s">
        <v>14</v>
      </c>
      <c r="G603" s="20">
        <f>SUM((G608*G607))</f>
        <v>1</v>
      </c>
    </row>
    <row r="604" spans="1:12" hidden="1" outlineLevel="6" collapsed="1">
      <c r="A604" s="20" t="s">
        <v>11</v>
      </c>
      <c r="B604" s="20" t="s">
        <v>82</v>
      </c>
      <c r="C604" s="20" t="s">
        <v>47</v>
      </c>
      <c r="D604" s="20"/>
      <c r="E604" s="20" t="s">
        <v>569</v>
      </c>
      <c r="F604" s="20" t="s">
        <v>14</v>
      </c>
      <c r="G604" s="20">
        <v>1</v>
      </c>
    </row>
    <row r="605" spans="1:12" ht="30" hidden="1" outlineLevel="6" collapsed="1">
      <c r="A605" s="20" t="s">
        <v>11</v>
      </c>
      <c r="B605" s="20" t="s">
        <v>82</v>
      </c>
      <c r="C605" s="20" t="s">
        <v>47</v>
      </c>
      <c r="D605" s="20"/>
      <c r="E605" s="20" t="s">
        <v>484</v>
      </c>
      <c r="F605" s="20" t="s">
        <v>14</v>
      </c>
      <c r="G605" s="20">
        <v>1</v>
      </c>
    </row>
    <row r="606" spans="1:12" hidden="1" outlineLevel="6">
      <c r="A606" s="22" t="s">
        <v>11</v>
      </c>
      <c r="B606" s="23" t="s">
        <v>485</v>
      </c>
      <c r="C606" s="22" t="s">
        <v>47</v>
      </c>
      <c r="D606" s="22"/>
      <c r="E606" s="22" t="s">
        <v>486</v>
      </c>
      <c r="F606" s="22" t="s">
        <v>11</v>
      </c>
      <c r="G606" s="22" t="s">
        <v>47</v>
      </c>
    </row>
    <row r="607" spans="1:12" s="25" customFormat="1" ht="30" hidden="1" outlineLevel="6" collapsed="1">
      <c r="A607" s="24" t="s">
        <v>14</v>
      </c>
      <c r="B607" s="24" t="s">
        <v>82</v>
      </c>
      <c r="C607" s="24" t="s">
        <v>47</v>
      </c>
      <c r="D607" s="24" t="s">
        <v>399</v>
      </c>
      <c r="E607" s="24" t="s">
        <v>487</v>
      </c>
      <c r="F607" s="24" t="s">
        <v>14</v>
      </c>
      <c r="G607" s="24">
        <f>(SUM(G612))/G610</f>
        <v>1</v>
      </c>
      <c r="H607"/>
      <c r="I607"/>
      <c r="J607"/>
      <c r="K607"/>
      <c r="L607"/>
    </row>
    <row r="608" spans="1:12" ht="30" hidden="1" outlineLevel="6" collapsed="1">
      <c r="A608" s="20" t="s">
        <v>11</v>
      </c>
      <c r="B608" s="20" t="s">
        <v>82</v>
      </c>
      <c r="C608" s="20" t="s">
        <v>47</v>
      </c>
      <c r="D608" s="20"/>
      <c r="E608" s="20" t="s">
        <v>488</v>
      </c>
      <c r="F608" s="20" t="s">
        <v>14</v>
      </c>
      <c r="G608" s="20">
        <v>1</v>
      </c>
    </row>
    <row r="609" spans="1:12" ht="30" hidden="1" outlineLevel="6" collapsed="1">
      <c r="A609" s="20" t="s">
        <v>11</v>
      </c>
      <c r="B609" s="20" t="s">
        <v>82</v>
      </c>
      <c r="C609" s="20" t="s">
        <v>47</v>
      </c>
      <c r="D609" s="20"/>
      <c r="E609" s="20" t="s">
        <v>489</v>
      </c>
      <c r="F609" s="20" t="s">
        <v>14</v>
      </c>
      <c r="G609" s="20">
        <v>1</v>
      </c>
    </row>
    <row r="610" spans="1:12" hidden="1" outlineLevel="6" collapsed="1">
      <c r="A610" s="20" t="s">
        <v>11</v>
      </c>
      <c r="B610" s="20" t="s">
        <v>82</v>
      </c>
      <c r="C610" s="20" t="s">
        <v>47</v>
      </c>
      <c r="D610" s="20"/>
      <c r="E610" s="20" t="s">
        <v>490</v>
      </c>
      <c r="F610" s="20" t="s">
        <v>14</v>
      </c>
      <c r="G610" s="20">
        <v>1</v>
      </c>
    </row>
    <row r="611" spans="1:12" hidden="1" outlineLevel="6">
      <c r="A611" s="22" t="s">
        <v>11</v>
      </c>
      <c r="B611" s="23" t="s">
        <v>491</v>
      </c>
      <c r="C611" s="22"/>
      <c r="D611" s="22"/>
      <c r="E611" s="22" t="s">
        <v>492</v>
      </c>
      <c r="F611" s="22" t="s">
        <v>11</v>
      </c>
      <c r="G611" s="22"/>
    </row>
    <row r="612" spans="1:12" s="25" customFormat="1" ht="30" hidden="1" outlineLevel="6" collapsed="1">
      <c r="A612" s="24" t="s">
        <v>11</v>
      </c>
      <c r="B612" s="24" t="s">
        <v>82</v>
      </c>
      <c r="C612" s="24" t="s">
        <v>47</v>
      </c>
      <c r="D612" s="24"/>
      <c r="E612" s="24" t="s">
        <v>493</v>
      </c>
      <c r="F612" s="24" t="s">
        <v>14</v>
      </c>
      <c r="G612" s="24">
        <v>1</v>
      </c>
      <c r="H612"/>
      <c r="I612"/>
      <c r="J612"/>
      <c r="K612"/>
      <c r="L612"/>
    </row>
    <row r="613" spans="1:12" hidden="1" outlineLevel="6">
      <c r="A613" s="22" t="s">
        <v>14</v>
      </c>
      <c r="B613" s="23" t="s">
        <v>494</v>
      </c>
      <c r="C613" s="22" t="s">
        <v>47</v>
      </c>
      <c r="D613" s="22" t="b">
        <f>NOT(EXACT(G597,"Stratified random sampling"))</f>
        <v>0</v>
      </c>
      <c r="E613" s="22" t="s">
        <v>494</v>
      </c>
      <c r="F613" s="22" t="s">
        <v>14</v>
      </c>
      <c r="G613" s="22" t="s">
        <v>47</v>
      </c>
    </row>
    <row r="614" spans="1:12" ht="30" hidden="1" outlineLevel="6" collapsed="1">
      <c r="A614" s="20" t="s">
        <v>11</v>
      </c>
      <c r="B614" s="20" t="s">
        <v>82</v>
      </c>
      <c r="C614" s="20" t="s">
        <v>47</v>
      </c>
      <c r="D614" s="20"/>
      <c r="E614" s="20" t="s">
        <v>479</v>
      </c>
      <c r="F614" s="20" t="s">
        <v>14</v>
      </c>
      <c r="G614" s="20">
        <v>1</v>
      </c>
    </row>
    <row r="615" spans="1:12" hidden="1" outlineLevel="6" collapsed="1">
      <c r="A615" s="20" t="s">
        <v>11</v>
      </c>
      <c r="B615" s="20" t="s">
        <v>82</v>
      </c>
      <c r="C615" s="20" t="s">
        <v>47</v>
      </c>
      <c r="D615" s="20"/>
      <c r="E615" s="20" t="s">
        <v>405</v>
      </c>
      <c r="F615" s="20" t="s">
        <v>14</v>
      </c>
      <c r="G615" s="20">
        <v>1</v>
      </c>
    </row>
    <row r="616" spans="1:12" ht="30" hidden="1" outlineLevel="6" collapsed="1">
      <c r="A616" s="20" t="s">
        <v>11</v>
      </c>
      <c r="B616" s="20" t="s">
        <v>82</v>
      </c>
      <c r="C616" s="20" t="s">
        <v>47</v>
      </c>
      <c r="D616" s="20"/>
      <c r="E616" s="20" t="s">
        <v>480</v>
      </c>
      <c r="F616" s="20" t="s">
        <v>14</v>
      </c>
      <c r="G616" s="20">
        <v>1</v>
      </c>
    </row>
    <row r="617" spans="1:12" ht="30" hidden="1" outlineLevel="6" collapsed="1">
      <c r="A617" s="20" t="s">
        <v>11</v>
      </c>
      <c r="B617" s="20" t="s">
        <v>82</v>
      </c>
      <c r="C617" s="20" t="s">
        <v>47</v>
      </c>
      <c r="D617" s="20"/>
      <c r="E617" s="20" t="s">
        <v>481</v>
      </c>
      <c r="F617" s="20" t="s">
        <v>14</v>
      </c>
      <c r="G617" s="20">
        <v>1</v>
      </c>
    </row>
    <row r="618" spans="1:12" ht="30" hidden="1" outlineLevel="6" collapsed="1">
      <c r="A618" s="20" t="s">
        <v>11</v>
      </c>
      <c r="B618" s="20" t="s">
        <v>82</v>
      </c>
      <c r="C618" s="20" t="s">
        <v>47</v>
      </c>
      <c r="D618" s="20"/>
      <c r="E618" s="20" t="s">
        <v>482</v>
      </c>
      <c r="F618" s="20" t="s">
        <v>14</v>
      </c>
      <c r="G618" s="20">
        <v>1</v>
      </c>
    </row>
    <row r="619" spans="1:12" hidden="1" outlineLevel="6" collapsed="1">
      <c r="A619" s="20" t="s">
        <v>11</v>
      </c>
      <c r="B619" s="20" t="s">
        <v>82</v>
      </c>
      <c r="C619" s="20" t="s">
        <v>47</v>
      </c>
      <c r="D619" s="20"/>
      <c r="E619" s="20" t="s">
        <v>569</v>
      </c>
      <c r="F619" s="20" t="s">
        <v>14</v>
      </c>
      <c r="G619" s="20">
        <v>1</v>
      </c>
    </row>
    <row r="620" spans="1:12" ht="30" hidden="1" outlineLevel="6" collapsed="1">
      <c r="A620" s="20" t="s">
        <v>11</v>
      </c>
      <c r="B620" s="20" t="s">
        <v>82</v>
      </c>
      <c r="C620" s="20" t="s">
        <v>47</v>
      </c>
      <c r="D620" s="20"/>
      <c r="E620" s="20" t="s">
        <v>570</v>
      </c>
      <c r="F620" s="20" t="s">
        <v>14</v>
      </c>
      <c r="G620" s="20">
        <v>1</v>
      </c>
    </row>
    <row r="621" spans="1:12" hidden="1" outlineLevel="6">
      <c r="A621" s="22" t="s">
        <v>11</v>
      </c>
      <c r="B621" s="23" t="s">
        <v>495</v>
      </c>
      <c r="C621" s="22" t="s">
        <v>47</v>
      </c>
      <c r="D621" s="22"/>
      <c r="E621" s="22" t="s">
        <v>486</v>
      </c>
      <c r="F621" s="22" t="s">
        <v>11</v>
      </c>
      <c r="G621" s="22" t="s">
        <v>47</v>
      </c>
    </row>
    <row r="622" spans="1:12" ht="30" hidden="1" outlineLevel="6" collapsed="1">
      <c r="A622" s="20" t="s">
        <v>14</v>
      </c>
      <c r="B622" s="20" t="s">
        <v>82</v>
      </c>
      <c r="C622" s="20" t="s">
        <v>47</v>
      </c>
      <c r="D622" s="20" t="s">
        <v>399</v>
      </c>
      <c r="E622" s="20" t="s">
        <v>487</v>
      </c>
      <c r="F622" s="20" t="s">
        <v>14</v>
      </c>
      <c r="G622" s="20">
        <f>(SUM(G631)/G623)+G624*(G625-G626)</f>
        <v>1</v>
      </c>
    </row>
    <row r="623" spans="1:12" hidden="1" outlineLevel="6" collapsed="1">
      <c r="A623" s="20" t="s">
        <v>11</v>
      </c>
      <c r="B623" s="20" t="s">
        <v>82</v>
      </c>
      <c r="C623" s="20" t="s">
        <v>47</v>
      </c>
      <c r="D623" s="20"/>
      <c r="E623" s="20" t="s">
        <v>496</v>
      </c>
      <c r="F623" s="20" t="s">
        <v>14</v>
      </c>
      <c r="G623" s="20">
        <v>1</v>
      </c>
    </row>
    <row r="624" spans="1:12" ht="30" hidden="1" outlineLevel="6" collapsed="1">
      <c r="A624" s="20" t="s">
        <v>11</v>
      </c>
      <c r="B624" s="20" t="s">
        <v>82</v>
      </c>
      <c r="C624" s="20" t="s">
        <v>47</v>
      </c>
      <c r="D624" s="20"/>
      <c r="E624" s="20" t="s">
        <v>497</v>
      </c>
      <c r="F624" s="20" t="s">
        <v>14</v>
      </c>
      <c r="G624" s="20">
        <v>1</v>
      </c>
    </row>
    <row r="625" spans="1:12" ht="30" hidden="1" outlineLevel="6" collapsed="1">
      <c r="A625" s="20" t="s">
        <v>11</v>
      </c>
      <c r="B625" s="20" t="s">
        <v>82</v>
      </c>
      <c r="C625" s="20" t="s">
        <v>47</v>
      </c>
      <c r="D625" s="20"/>
      <c r="E625" s="20" t="s">
        <v>498</v>
      </c>
      <c r="F625" s="20" t="s">
        <v>14</v>
      </c>
      <c r="G625" s="20">
        <v>1</v>
      </c>
    </row>
    <row r="626" spans="1:12" ht="30" hidden="1" outlineLevel="6" collapsed="1">
      <c r="A626" s="20" t="s">
        <v>11</v>
      </c>
      <c r="B626" s="20" t="s">
        <v>82</v>
      </c>
      <c r="C626" s="20" t="s">
        <v>47</v>
      </c>
      <c r="D626" s="20"/>
      <c r="E626" s="20" t="s">
        <v>499</v>
      </c>
      <c r="F626" s="20" t="s">
        <v>14</v>
      </c>
      <c r="G626" s="20">
        <v>1</v>
      </c>
    </row>
    <row r="627" spans="1:12" ht="30" hidden="1" outlineLevel="6" collapsed="1">
      <c r="A627" s="20" t="s">
        <v>11</v>
      </c>
      <c r="B627" s="20" t="s">
        <v>82</v>
      </c>
      <c r="C627" s="20" t="s">
        <v>47</v>
      </c>
      <c r="D627" s="20"/>
      <c r="E627" s="20" t="s">
        <v>500</v>
      </c>
      <c r="F627" s="20" t="s">
        <v>14</v>
      </c>
      <c r="G627" s="20">
        <v>1</v>
      </c>
    </row>
    <row r="628" spans="1:12" ht="30" hidden="1" outlineLevel="6" collapsed="1">
      <c r="A628" s="20" t="s">
        <v>11</v>
      </c>
      <c r="B628" s="20" t="s">
        <v>82</v>
      </c>
      <c r="C628" s="20" t="s">
        <v>47</v>
      </c>
      <c r="D628" s="20"/>
      <c r="E628" s="20" t="s">
        <v>501</v>
      </c>
      <c r="F628" s="20" t="s">
        <v>14</v>
      </c>
      <c r="G628" s="20">
        <v>1</v>
      </c>
    </row>
    <row r="629" spans="1:12" ht="45" hidden="1" outlineLevel="6" collapsed="1">
      <c r="A629" s="20" t="s">
        <v>11</v>
      </c>
      <c r="B629" s="20" t="s">
        <v>82</v>
      </c>
      <c r="C629" s="20" t="s">
        <v>47</v>
      </c>
      <c r="D629" s="20"/>
      <c r="E629" s="20" t="s">
        <v>502</v>
      </c>
      <c r="F629" s="20" t="s">
        <v>14</v>
      </c>
      <c r="G629" s="20">
        <v>1</v>
      </c>
    </row>
    <row r="630" spans="1:12" hidden="1" outlineLevel="6">
      <c r="A630" s="22" t="s">
        <v>11</v>
      </c>
      <c r="B630" s="23" t="s">
        <v>491</v>
      </c>
      <c r="C630" s="22"/>
      <c r="D630" s="22"/>
      <c r="E630" s="22" t="s">
        <v>492</v>
      </c>
      <c r="F630" s="22" t="s">
        <v>11</v>
      </c>
      <c r="G630" s="22"/>
    </row>
    <row r="631" spans="1:12" s="25" customFormat="1" ht="30" hidden="1" outlineLevel="6" collapsed="1">
      <c r="A631" s="24" t="s">
        <v>11</v>
      </c>
      <c r="B631" s="24" t="s">
        <v>82</v>
      </c>
      <c r="C631" s="24" t="s">
        <v>47</v>
      </c>
      <c r="D631" s="24"/>
      <c r="E631" s="24" t="s">
        <v>493</v>
      </c>
      <c r="F631" s="24" t="s">
        <v>14</v>
      </c>
      <c r="G631" s="24">
        <v>1</v>
      </c>
      <c r="H631"/>
      <c r="I631"/>
      <c r="J631"/>
      <c r="K631"/>
      <c r="L631"/>
    </row>
    <row r="632" spans="1:12" hidden="1" outlineLevel="6" collapsed="1">
      <c r="A632" s="20" t="s">
        <v>11</v>
      </c>
      <c r="B632" s="20" t="s">
        <v>503</v>
      </c>
      <c r="C632" s="20" t="s">
        <v>47</v>
      </c>
      <c r="D632" s="20"/>
      <c r="E632" s="4" t="s">
        <v>504</v>
      </c>
      <c r="F632" s="20" t="s">
        <v>14</v>
      </c>
      <c r="G632" s="20" t="s">
        <v>505</v>
      </c>
    </row>
    <row r="633" spans="1:12" ht="29.25" hidden="1" customHeight="1" outlineLevel="4">
      <c r="A633" s="18" t="s">
        <v>14</v>
      </c>
      <c r="B633" s="18" t="s">
        <v>82</v>
      </c>
      <c r="C633" s="10"/>
      <c r="D633" s="18" t="s">
        <v>399</v>
      </c>
      <c r="E633" s="18" t="s">
        <v>571</v>
      </c>
      <c r="F633" s="18" t="s">
        <v>14</v>
      </c>
      <c r="G633" s="18" t="e">
        <f>IF(G577="Updating the previous stock by independent measurement of change",G579,IF(G577="Estimation by modelling of tree growth and stand development",G593,IF(AND(G577="Measurement of sample plots",G597="Stratified random sampling"),G599,IF(AND(G577="Measurement of sample plots",G597="Double sampling"),G614))))</f>
        <v>#VALUE!</v>
      </c>
    </row>
    <row r="634" spans="1:12" ht="29.25" hidden="1" customHeight="1" outlineLevel="4">
      <c r="A634" s="18" t="s">
        <v>14</v>
      </c>
      <c r="B634" s="18" t="s">
        <v>82</v>
      </c>
      <c r="C634" s="10"/>
      <c r="D634" s="18" t="s">
        <v>399</v>
      </c>
      <c r="E634" s="18" t="s">
        <v>572</v>
      </c>
      <c r="F634" s="18" t="s">
        <v>14</v>
      </c>
      <c r="G634" s="18">
        <f>IF(AND(G542="Estimating change in carbon stock in trees between two points in time",G544="no-decrease"),0,IF(AND(G542="Estimating change in carbon stock in trees between two points in time",G544="Direct estimation of change by re-measurement of sample plots"),G549,IF(AND(G542="Estimating change in carbon stock in trees between two points in time",G544="Difference of two independent stock estimations"),G569,IF(AND(G542="Estimating change in carbon stock in trees in a year"),G572))))</f>
        <v>0</v>
      </c>
    </row>
    <row r="635" spans="1:12" ht="29.25" hidden="1" customHeight="1" outlineLevel="4">
      <c r="A635" s="18" t="s">
        <v>11</v>
      </c>
      <c r="B635" s="18" t="s">
        <v>17</v>
      </c>
      <c r="C635" s="10" t="s">
        <v>573</v>
      </c>
      <c r="D635" s="18"/>
      <c r="E635" s="3" t="s">
        <v>509</v>
      </c>
      <c r="F635" s="3" t="s">
        <v>14</v>
      </c>
      <c r="G635" s="18" t="s">
        <v>523</v>
      </c>
    </row>
    <row r="636" spans="1:12" hidden="1" outlineLevel="4">
      <c r="A636" s="18" t="s">
        <v>11</v>
      </c>
      <c r="B636" s="10" t="s">
        <v>574</v>
      </c>
      <c r="C636" s="18" t="s">
        <v>47</v>
      </c>
      <c r="D636" s="18" t="b">
        <f>EXACT(G635,"Estimating change in carbon stock in shrubs between two points in time")</f>
        <v>0</v>
      </c>
      <c r="E636" s="18" t="s">
        <v>512</v>
      </c>
      <c r="F636" s="18" t="s">
        <v>14</v>
      </c>
      <c r="G636" s="18" t="s">
        <v>47</v>
      </c>
    </row>
    <row r="637" spans="1:12" ht="29.25" hidden="1" customHeight="1" outlineLevel="5">
      <c r="A637" s="18" t="s">
        <v>11</v>
      </c>
      <c r="B637" s="18" t="s">
        <v>17</v>
      </c>
      <c r="C637" s="10" t="s">
        <v>575</v>
      </c>
      <c r="D637" s="18"/>
      <c r="E637" s="18" t="s">
        <v>514</v>
      </c>
      <c r="F637" s="18" t="s">
        <v>14</v>
      </c>
      <c r="G637" s="18" t="s">
        <v>14</v>
      </c>
    </row>
    <row r="638" spans="1:12" hidden="1" outlineLevel="5">
      <c r="A638" s="18" t="s">
        <v>14</v>
      </c>
      <c r="B638" s="10" t="s">
        <v>515</v>
      </c>
      <c r="C638" s="19"/>
      <c r="D638" s="18" t="b">
        <f>EXACT(G637,"Yes")</f>
        <v>0</v>
      </c>
      <c r="E638" s="18" t="s">
        <v>393</v>
      </c>
      <c r="F638" s="18" t="s">
        <v>14</v>
      </c>
      <c r="G638" s="18"/>
    </row>
    <row r="639" spans="1:12" ht="165" hidden="1" outlineLevel="6" collapsed="1">
      <c r="A639" s="20" t="s">
        <v>14</v>
      </c>
      <c r="B639" s="20" t="s">
        <v>44</v>
      </c>
      <c r="C639" s="20"/>
      <c r="D639" s="20"/>
      <c r="E639" s="20" t="s">
        <v>516</v>
      </c>
      <c r="F639" s="4" t="s">
        <v>14</v>
      </c>
      <c r="G639" s="20"/>
    </row>
    <row r="640" spans="1:12" ht="60" hidden="1" outlineLevel="6" collapsed="1">
      <c r="A640" s="20" t="s">
        <v>11</v>
      </c>
      <c r="B640" s="20" t="s">
        <v>17</v>
      </c>
      <c r="C640" s="21" t="s">
        <v>517</v>
      </c>
      <c r="D640" s="20"/>
      <c r="E640" s="4" t="s">
        <v>518</v>
      </c>
      <c r="F640" s="4" t="s">
        <v>14</v>
      </c>
      <c r="G640" s="20" t="s">
        <v>11</v>
      </c>
    </row>
    <row r="641" spans="1:7" ht="30" hidden="1" outlineLevel="6" collapsed="1">
      <c r="A641" s="20" t="s">
        <v>14</v>
      </c>
      <c r="B641" s="20" t="s">
        <v>82</v>
      </c>
      <c r="C641" s="20" t="s">
        <v>47</v>
      </c>
      <c r="D641" s="20" t="s">
        <v>399</v>
      </c>
      <c r="E641" s="20" t="s">
        <v>576</v>
      </c>
      <c r="F641" s="20" t="s">
        <v>14</v>
      </c>
      <c r="G641" s="20">
        <f>IF(AND(G640="No"),E642-E643,0)</f>
        <v>0</v>
      </c>
    </row>
    <row r="642" spans="1:7" ht="30" hidden="1" outlineLevel="6" collapsed="1">
      <c r="A642" s="20" t="s">
        <v>11</v>
      </c>
      <c r="B642" s="20" t="s">
        <v>82</v>
      </c>
      <c r="C642" s="20" t="s">
        <v>47</v>
      </c>
      <c r="D642" s="20"/>
      <c r="E642" s="20" t="s">
        <v>577</v>
      </c>
      <c r="F642" s="20" t="s">
        <v>14</v>
      </c>
      <c r="G642" s="20">
        <v>1</v>
      </c>
    </row>
    <row r="643" spans="1:7" ht="30" hidden="1" outlineLevel="6" collapsed="1">
      <c r="A643" s="20" t="s">
        <v>11</v>
      </c>
      <c r="B643" s="20" t="s">
        <v>82</v>
      </c>
      <c r="C643" s="20" t="s">
        <v>47</v>
      </c>
      <c r="D643" s="20"/>
      <c r="E643" s="20" t="s">
        <v>578</v>
      </c>
      <c r="F643" s="20" t="s">
        <v>14</v>
      </c>
      <c r="G643" s="20">
        <v>1</v>
      </c>
    </row>
    <row r="644" spans="1:7" hidden="1" outlineLevel="4">
      <c r="A644" s="18" t="s">
        <v>11</v>
      </c>
      <c r="B644" s="10" t="s">
        <v>579</v>
      </c>
      <c r="C644" s="18" t="s">
        <v>47</v>
      </c>
      <c r="D644" s="18" t="b">
        <f>EXACT(G635,"Estimating change in carbon stock in shrubs in a year")</f>
        <v>1</v>
      </c>
      <c r="E644" s="18" t="s">
        <v>523</v>
      </c>
      <c r="F644" s="18" t="s">
        <v>14</v>
      </c>
      <c r="G644" s="18" t="s">
        <v>47</v>
      </c>
    </row>
    <row r="645" spans="1:7" ht="30" hidden="1" outlineLevel="5" collapsed="1">
      <c r="A645" s="20" t="s">
        <v>14</v>
      </c>
      <c r="B645" s="20" t="s">
        <v>82</v>
      </c>
      <c r="C645" s="20" t="s">
        <v>47</v>
      </c>
      <c r="D645" s="20" t="s">
        <v>399</v>
      </c>
      <c r="E645" s="20" t="s">
        <v>580</v>
      </c>
      <c r="F645" s="20" t="s">
        <v>14</v>
      </c>
      <c r="G645" s="20">
        <f>(G646-G647/G648)*1</f>
        <v>0</v>
      </c>
    </row>
    <row r="646" spans="1:7" hidden="1" outlineLevel="5" collapsed="1">
      <c r="A646" s="20" t="s">
        <v>11</v>
      </c>
      <c r="B646" s="20" t="s">
        <v>82</v>
      </c>
      <c r="C646" s="20" t="s">
        <v>47</v>
      </c>
      <c r="D646" s="20"/>
      <c r="E646" s="20" t="s">
        <v>581</v>
      </c>
      <c r="F646" s="20" t="s">
        <v>14</v>
      </c>
      <c r="G646" s="20">
        <v>1</v>
      </c>
    </row>
    <row r="647" spans="1:7" hidden="1" outlineLevel="5" collapsed="1">
      <c r="A647" s="20" t="s">
        <v>11</v>
      </c>
      <c r="B647" s="20" t="s">
        <v>82</v>
      </c>
      <c r="C647" s="20" t="s">
        <v>47</v>
      </c>
      <c r="D647" s="20"/>
      <c r="E647" s="20" t="s">
        <v>582</v>
      </c>
      <c r="F647" s="20" t="s">
        <v>14</v>
      </c>
      <c r="G647" s="20">
        <v>1</v>
      </c>
    </row>
    <row r="648" spans="1:7" ht="30" hidden="1" outlineLevel="5" collapsed="1">
      <c r="A648" s="20" t="s">
        <v>11</v>
      </c>
      <c r="B648" s="20" t="s">
        <v>82</v>
      </c>
      <c r="C648" s="20" t="s">
        <v>47</v>
      </c>
      <c r="D648" s="20"/>
      <c r="E648" s="20" t="s">
        <v>527</v>
      </c>
      <c r="F648" s="20" t="s">
        <v>14</v>
      </c>
      <c r="G648" s="20">
        <v>1</v>
      </c>
    </row>
    <row r="649" spans="1:7" hidden="1" outlineLevel="4">
      <c r="A649" s="18" t="s">
        <v>11</v>
      </c>
      <c r="B649" s="10" t="s">
        <v>583</v>
      </c>
      <c r="C649" s="18" t="s">
        <v>47</v>
      </c>
      <c r="D649" s="18"/>
      <c r="E649" s="18" t="s">
        <v>584</v>
      </c>
      <c r="F649" s="18" t="s">
        <v>11</v>
      </c>
      <c r="G649" s="18" t="s">
        <v>47</v>
      </c>
    </row>
    <row r="650" spans="1:7" ht="30" hidden="1" outlineLevel="5" collapsed="1">
      <c r="A650" s="20" t="s">
        <v>14</v>
      </c>
      <c r="B650" s="20" t="s">
        <v>82</v>
      </c>
      <c r="C650" s="20" t="s">
        <v>47</v>
      </c>
      <c r="D650" s="20" t="s">
        <v>399</v>
      </c>
      <c r="E650" s="20" t="s">
        <v>585</v>
      </c>
      <c r="F650" s="20" t="s">
        <v>14</v>
      </c>
      <c r="G650" s="20">
        <f>44/12*G651*(1+G652)*SUM((G657*G658))</f>
        <v>7.333333333333333</v>
      </c>
    </row>
    <row r="651" spans="1:7" hidden="1" outlineLevel="5" collapsed="1">
      <c r="A651" s="20" t="s">
        <v>11</v>
      </c>
      <c r="B651" s="20" t="s">
        <v>82</v>
      </c>
      <c r="C651" s="20" t="s">
        <v>47</v>
      </c>
      <c r="D651" s="20"/>
      <c r="E651" s="20" t="s">
        <v>531</v>
      </c>
      <c r="F651" s="20" t="s">
        <v>14</v>
      </c>
      <c r="G651" s="20">
        <v>1</v>
      </c>
    </row>
    <row r="652" spans="1:7" hidden="1" outlineLevel="5" collapsed="1">
      <c r="A652" s="20" t="s">
        <v>11</v>
      </c>
      <c r="B652" s="20" t="s">
        <v>82</v>
      </c>
      <c r="C652" s="20" t="s">
        <v>47</v>
      </c>
      <c r="D652" s="20"/>
      <c r="E652" s="20" t="s">
        <v>532</v>
      </c>
      <c r="F652" s="20" t="s">
        <v>14</v>
      </c>
      <c r="G652" s="20">
        <v>1</v>
      </c>
    </row>
    <row r="653" spans="1:7" hidden="1" outlineLevel="5">
      <c r="A653" s="22" t="s">
        <v>11</v>
      </c>
      <c r="B653" s="23" t="s">
        <v>533</v>
      </c>
      <c r="C653" s="22" t="s">
        <v>47</v>
      </c>
      <c r="D653" s="22"/>
      <c r="E653" s="22" t="s">
        <v>534</v>
      </c>
      <c r="F653" s="22" t="s">
        <v>11</v>
      </c>
      <c r="G653" s="22" t="s">
        <v>47</v>
      </c>
    </row>
    <row r="654" spans="1:7" ht="30" hidden="1" outlineLevel="6" collapsed="1">
      <c r="A654" s="20" t="s">
        <v>11</v>
      </c>
      <c r="B654" s="20" t="s">
        <v>82</v>
      </c>
      <c r="C654" s="20" t="s">
        <v>47</v>
      </c>
      <c r="D654" s="20"/>
      <c r="E654" s="20" t="s">
        <v>535</v>
      </c>
      <c r="F654" s="20" t="s">
        <v>14</v>
      </c>
      <c r="G654" s="20">
        <v>1</v>
      </c>
    </row>
    <row r="655" spans="1:7" ht="30" hidden="1" outlineLevel="6" collapsed="1">
      <c r="A655" s="20" t="s">
        <v>11</v>
      </c>
      <c r="B655" s="20" t="s">
        <v>82</v>
      </c>
      <c r="C655" s="20" t="s">
        <v>47</v>
      </c>
      <c r="D655" s="20"/>
      <c r="E655" s="20" t="s">
        <v>536</v>
      </c>
      <c r="F655" s="20" t="s">
        <v>14</v>
      </c>
      <c r="G655" s="20">
        <v>1</v>
      </c>
    </row>
    <row r="656" spans="1:7" ht="30" hidden="1" outlineLevel="6" collapsed="1">
      <c r="A656" s="20" t="s">
        <v>11</v>
      </c>
      <c r="B656" s="20" t="s">
        <v>82</v>
      </c>
      <c r="C656" s="20" t="s">
        <v>47</v>
      </c>
      <c r="D656" s="20"/>
      <c r="E656" s="20" t="s">
        <v>537</v>
      </c>
      <c r="F656" s="20" t="s">
        <v>14</v>
      </c>
      <c r="G656" s="20">
        <v>1</v>
      </c>
    </row>
    <row r="657" spans="1:7" ht="30" hidden="1" outlineLevel="6" collapsed="1">
      <c r="A657" s="20" t="s">
        <v>11</v>
      </c>
      <c r="B657" s="20" t="s">
        <v>82</v>
      </c>
      <c r="C657" s="20" t="s">
        <v>47</v>
      </c>
      <c r="D657" s="20"/>
      <c r="E657" s="20" t="s">
        <v>538</v>
      </c>
      <c r="F657" s="20" t="s">
        <v>14</v>
      </c>
      <c r="G657" s="20">
        <v>1</v>
      </c>
    </row>
    <row r="658" spans="1:7" ht="30" hidden="1" outlineLevel="6" collapsed="1">
      <c r="A658" s="20" t="s">
        <v>14</v>
      </c>
      <c r="B658" s="20" t="s">
        <v>82</v>
      </c>
      <c r="C658" s="20" t="s">
        <v>47</v>
      </c>
      <c r="D658" s="20" t="s">
        <v>399</v>
      </c>
      <c r="E658" s="20" t="s">
        <v>539</v>
      </c>
      <c r="F658" s="20" t="s">
        <v>14</v>
      </c>
      <c r="G658" s="20">
        <f>G654*G655*G656</f>
        <v>1</v>
      </c>
    </row>
    <row r="659" spans="1:7" ht="29.25" hidden="1" customHeight="1" outlineLevel="4">
      <c r="A659" s="18" t="s">
        <v>14</v>
      </c>
      <c r="B659" s="18" t="s">
        <v>82</v>
      </c>
      <c r="C659" s="10"/>
      <c r="D659" s="18" t="s">
        <v>399</v>
      </c>
      <c r="E659" s="18" t="s">
        <v>586</v>
      </c>
      <c r="F659" s="18" t="s">
        <v>14</v>
      </c>
      <c r="G659" s="18">
        <f>G650</f>
        <v>7.333333333333333</v>
      </c>
    </row>
    <row r="660" spans="1:7" ht="29.25" hidden="1" customHeight="1" outlineLevel="4">
      <c r="A660" s="18" t="s">
        <v>14</v>
      </c>
      <c r="B660" s="18" t="s">
        <v>82</v>
      </c>
      <c r="C660" s="10"/>
      <c r="D660" s="18" t="s">
        <v>399</v>
      </c>
      <c r="E660" s="18" t="s">
        <v>587</v>
      </c>
      <c r="F660" s="18" t="s">
        <v>14</v>
      </c>
      <c r="G660" s="18">
        <f>IF(AND(G635="Estimating change in carbon stock in shrubs between two points in time",G637="Yes"),0,IF(AND(G635="Estimating change in carbon stock in shrubs between two points in time"),G641,IF(AND(G635="Estimating change in carbon stock in shrubs in a year"),G645)))</f>
        <v>0</v>
      </c>
    </row>
    <row r="661" spans="1:7" ht="29.25" customHeight="1" outlineLevel="1">
      <c r="A661" s="18" t="s">
        <v>11</v>
      </c>
      <c r="B661" s="9" t="s">
        <v>588</v>
      </c>
      <c r="C661" s="10"/>
      <c r="D661" s="18"/>
      <c r="E661" s="18" t="s">
        <v>588</v>
      </c>
      <c r="F661" s="18" t="s">
        <v>14</v>
      </c>
      <c r="G661" s="18"/>
    </row>
    <row r="662" spans="1:7" ht="195" outlineLevel="2">
      <c r="A662" s="3" t="s">
        <v>11</v>
      </c>
      <c r="B662" s="3" t="s">
        <v>17</v>
      </c>
      <c r="C662" s="10" t="s">
        <v>589</v>
      </c>
      <c r="D662" s="3"/>
      <c r="E662" s="3" t="s">
        <v>590</v>
      </c>
      <c r="F662" s="3" t="s">
        <v>14</v>
      </c>
      <c r="G662" s="3" t="s">
        <v>591</v>
      </c>
    </row>
    <row r="663" spans="1:7" outlineLevel="2" collapsed="1">
      <c r="A663" s="3" t="s">
        <v>14</v>
      </c>
      <c r="B663" s="9" t="s">
        <v>592</v>
      </c>
      <c r="C663" s="3"/>
      <c r="D663" s="3" t="b">
        <f>EXACT(G662,"d")</f>
        <v>1</v>
      </c>
      <c r="E663" s="3" t="s">
        <v>593</v>
      </c>
      <c r="F663" s="3" t="s">
        <v>14</v>
      </c>
      <c r="G663" s="3"/>
    </row>
    <row r="664" spans="1:7" ht="29.25" hidden="1" customHeight="1" outlineLevel="3">
      <c r="A664" s="3" t="s">
        <v>11</v>
      </c>
      <c r="B664" s="3" t="s">
        <v>82</v>
      </c>
      <c r="C664" s="3"/>
      <c r="D664" s="3"/>
      <c r="E664" s="3" t="s">
        <v>594</v>
      </c>
      <c r="F664" s="3" t="s">
        <v>14</v>
      </c>
      <c r="G664" s="3">
        <v>0</v>
      </c>
    </row>
    <row r="665" spans="1:7" hidden="1" outlineLevel="3">
      <c r="A665" s="3" t="s">
        <v>11</v>
      </c>
      <c r="B665" s="9" t="s">
        <v>595</v>
      </c>
      <c r="C665" s="3"/>
      <c r="D665" s="3"/>
      <c r="E665" s="3" t="s">
        <v>596</v>
      </c>
      <c r="F665" s="3" t="s">
        <v>11</v>
      </c>
      <c r="G665" s="3"/>
    </row>
    <row r="666" spans="1:7" hidden="1" outlineLevel="6">
      <c r="A666" s="4" t="s">
        <v>11</v>
      </c>
      <c r="B666" s="4" t="s">
        <v>82</v>
      </c>
      <c r="C666" s="5"/>
      <c r="D666" s="8"/>
      <c r="E666" s="4" t="s">
        <v>597</v>
      </c>
      <c r="F666" s="4" t="s">
        <v>14</v>
      </c>
      <c r="G666" s="4" t="s">
        <v>598</v>
      </c>
    </row>
    <row r="667" spans="1:7" ht="30" hidden="1" outlineLevel="6">
      <c r="A667" s="4" t="s">
        <v>11</v>
      </c>
      <c r="B667" s="4" t="s">
        <v>82</v>
      </c>
      <c r="C667" s="5"/>
      <c r="D667" s="8"/>
      <c r="E667" s="4" t="s">
        <v>599</v>
      </c>
      <c r="F667" s="4" t="s">
        <v>14</v>
      </c>
      <c r="G667" s="4">
        <v>10</v>
      </c>
    </row>
    <row r="668" spans="1:7" ht="45" hidden="1" outlineLevel="6">
      <c r="A668" s="4" t="s">
        <v>14</v>
      </c>
      <c r="B668" s="4" t="s">
        <v>82</v>
      </c>
      <c r="C668" s="5"/>
      <c r="D668" s="8"/>
      <c r="E668" s="4" t="s">
        <v>600</v>
      </c>
      <c r="F668" s="4" t="s">
        <v>14</v>
      </c>
      <c r="G668" s="4">
        <v>0.5</v>
      </c>
    </row>
    <row r="669" spans="1:7" hidden="1" outlineLevel="3">
      <c r="A669" s="3" t="s">
        <v>14</v>
      </c>
      <c r="B669" s="3" t="s">
        <v>82</v>
      </c>
      <c r="C669" s="3"/>
      <c r="D669" s="3" t="s">
        <v>48</v>
      </c>
      <c r="E669" s="3" t="s">
        <v>601</v>
      </c>
      <c r="F669" s="3" t="s">
        <v>14</v>
      </c>
      <c r="G669" s="3">
        <f>IF(G662="d",SUM((G667*G668*0.12*44/12)),0)</f>
        <v>2.1999999999999997</v>
      </c>
    </row>
    <row r="670" spans="1:7" ht="90" outlineLevel="2">
      <c r="A670" s="3" t="s">
        <v>11</v>
      </c>
      <c r="B670" s="3" t="s">
        <v>17</v>
      </c>
      <c r="C670" s="3"/>
      <c r="D670" s="3"/>
      <c r="E670" s="3" t="s">
        <v>602</v>
      </c>
      <c r="F670" s="3" t="s">
        <v>14</v>
      </c>
      <c r="G670" s="3" t="s">
        <v>11</v>
      </c>
    </row>
    <row r="671" spans="1:7" outlineLevel="2" collapsed="1">
      <c r="A671" s="3" t="s">
        <v>14</v>
      </c>
      <c r="B671" s="9" t="s">
        <v>603</v>
      </c>
      <c r="C671" s="3"/>
      <c r="D671" s="3" t="b">
        <f>EXACT(G670,"Yes")</f>
        <v>1</v>
      </c>
      <c r="E671" s="3" t="s">
        <v>604</v>
      </c>
      <c r="F671" s="3" t="s">
        <v>14</v>
      </c>
      <c r="G671" s="3"/>
    </row>
    <row r="672" spans="1:7" ht="30" hidden="1" outlineLevel="3">
      <c r="A672" s="3" t="s">
        <v>11</v>
      </c>
      <c r="B672" s="3" t="s">
        <v>82</v>
      </c>
      <c r="C672" s="3"/>
      <c r="D672" s="3"/>
      <c r="E672" s="3" t="s">
        <v>605</v>
      </c>
      <c r="F672" s="3" t="s">
        <v>14</v>
      </c>
      <c r="G672" s="3">
        <v>0.15</v>
      </c>
    </row>
    <row r="673" spans="1:7" ht="14.25" customHeight="1" outlineLevel="1" collapsed="1">
      <c r="A673" s="3" t="s">
        <v>11</v>
      </c>
      <c r="B673" s="9" t="s">
        <v>606</v>
      </c>
      <c r="C673" s="3"/>
      <c r="D673" s="3"/>
      <c r="E673" s="3" t="s">
        <v>606</v>
      </c>
      <c r="F673" s="3" t="s">
        <v>14</v>
      </c>
      <c r="G673" s="3"/>
    </row>
    <row r="674" spans="1:7" ht="29.25" hidden="1" customHeight="1" outlineLevel="2">
      <c r="A674" s="3" t="s">
        <v>11</v>
      </c>
      <c r="B674" s="3" t="s">
        <v>82</v>
      </c>
      <c r="C674" s="3"/>
      <c r="D674" s="3"/>
      <c r="E674" s="3" t="s">
        <v>607</v>
      </c>
      <c r="F674" s="3" t="s">
        <v>14</v>
      </c>
      <c r="G674" s="3">
        <v>0.1</v>
      </c>
    </row>
    <row r="675" spans="1:7" ht="30" hidden="1" outlineLevel="2">
      <c r="A675" s="3" t="s">
        <v>11</v>
      </c>
      <c r="B675" s="3" t="s">
        <v>82</v>
      </c>
      <c r="C675" s="3"/>
      <c r="D675" s="3"/>
      <c r="E675" s="3" t="s">
        <v>608</v>
      </c>
      <c r="F675" s="3" t="s">
        <v>14</v>
      </c>
      <c r="G675" s="3">
        <v>0.08</v>
      </c>
    </row>
    <row r="676" spans="1:7" ht="30" hidden="1" outlineLevel="2">
      <c r="A676" s="3" t="s">
        <v>11</v>
      </c>
      <c r="B676" s="3" t="s">
        <v>82</v>
      </c>
      <c r="C676" s="3"/>
      <c r="D676" s="3"/>
      <c r="E676" s="3" t="s">
        <v>609</v>
      </c>
      <c r="F676" s="3" t="s">
        <v>14</v>
      </c>
      <c r="G676" s="3">
        <v>0.15</v>
      </c>
    </row>
    <row r="677" spans="1:7" outlineLevel="1">
      <c r="A677" s="3" t="s">
        <v>14</v>
      </c>
      <c r="B677" s="3" t="s">
        <v>82</v>
      </c>
      <c r="C677" s="3"/>
      <c r="D677" s="3" t="s">
        <v>48</v>
      </c>
      <c r="E677" s="3" t="s">
        <v>610</v>
      </c>
      <c r="F677" s="3" t="s">
        <v>14</v>
      </c>
      <c r="G677" s="3" t="e">
        <f>IF(AND(G40="Approach 1"),(G110*(1-G674*G112)+G514+G540),IF(AND(G40="Approach 2"),(G141*(1-G674*G143)+G514+G540)))</f>
        <v>#REF!</v>
      </c>
    </row>
    <row r="678" spans="1:7" outlineLevel="1">
      <c r="A678" s="3" t="s">
        <v>14</v>
      </c>
      <c r="B678" s="3" t="s">
        <v>82</v>
      </c>
      <c r="C678" s="3"/>
      <c r="D678" s="3" t="s">
        <v>48</v>
      </c>
      <c r="E678" s="3" t="s">
        <v>611</v>
      </c>
      <c r="F678" s="3" t="s">
        <v>14</v>
      </c>
      <c r="G678" s="3" t="e">
        <f>IF(AND(G40="Approach 1"),(G111*(1-G674*G112)+G634+G660),IF(AND(G40="Approach 2"),(G142*(1-G674*G143)+G634+G660)))</f>
        <v>#REF!</v>
      </c>
    </row>
    <row r="679" spans="1:7">
      <c r="A679" s="3" t="s">
        <v>14</v>
      </c>
      <c r="B679" s="3" t="s">
        <v>82</v>
      </c>
      <c r="C679" s="3"/>
      <c r="D679" s="3" t="s">
        <v>48</v>
      </c>
      <c r="E679" s="3" t="s">
        <v>612</v>
      </c>
      <c r="F679" s="3" t="s">
        <v>14</v>
      </c>
      <c r="G679" s="3" t="e">
        <f>SUM(G678)</f>
        <v>#REF!</v>
      </c>
    </row>
    <row r="680" spans="1:7" ht="45">
      <c r="A680" s="3" t="s">
        <v>14</v>
      </c>
      <c r="B680" s="3" t="s">
        <v>82</v>
      </c>
      <c r="C680" s="3"/>
      <c r="D680" s="3" t="s">
        <v>48</v>
      </c>
      <c r="E680" s="3" t="s">
        <v>613</v>
      </c>
      <c r="F680" s="3" t="s">
        <v>14</v>
      </c>
      <c r="G680" s="3" t="e">
        <f>IF(G679&gt;0, 1, 0)</f>
        <v>#REF!</v>
      </c>
    </row>
    <row r="681" spans="1:7" ht="29.25" customHeight="1">
      <c r="A681" s="3" t="s">
        <v>14</v>
      </c>
      <c r="B681" s="10" t="s">
        <v>614</v>
      </c>
      <c r="C681" s="3"/>
      <c r="D681" s="3"/>
      <c r="E681" s="3" t="s">
        <v>615</v>
      </c>
      <c r="F681" s="3" t="s">
        <v>11</v>
      </c>
      <c r="G681" s="3"/>
    </row>
    <row r="682" spans="1:7" ht="29.25" customHeight="1" outlineLevel="1">
      <c r="A682" s="3" t="s">
        <v>14</v>
      </c>
      <c r="B682" s="3" t="s">
        <v>82</v>
      </c>
      <c r="C682" s="3"/>
      <c r="D682" s="3" t="s">
        <v>48</v>
      </c>
      <c r="E682" s="3" t="s">
        <v>616</v>
      </c>
      <c r="F682" s="3" t="s">
        <v>14</v>
      </c>
      <c r="G682" s="3">
        <f>G47</f>
        <v>1</v>
      </c>
    </row>
    <row r="683" spans="1:7" outlineLevel="1">
      <c r="A683" s="3" t="s">
        <v>14</v>
      </c>
      <c r="B683" s="3" t="s">
        <v>82</v>
      </c>
      <c r="C683" s="3"/>
      <c r="D683" s="3" t="s">
        <v>48</v>
      </c>
      <c r="E683" s="3" t="s">
        <v>617</v>
      </c>
      <c r="F683" s="3" t="s">
        <v>14</v>
      </c>
      <c r="G683" s="3" t="e">
        <f>G680*(G392+G393+G394+G395+G396+(G62*(1-G675))+(G77*(1-G676))+G397+MIN(0,G678)-MIN(0,G677))+(1-G680)*(G392+G393+G394+G395+G396+(G62*(1-G675))+(G77*(1-G676))+G397+MIN(0,G678)-MIN(0,G677)+MAX(0,G678)-MAX(0,G677))</f>
        <v>#REF!</v>
      </c>
    </row>
    <row r="684" spans="1:7" outlineLevel="1">
      <c r="A684" s="3" t="s">
        <v>14</v>
      </c>
      <c r="B684" s="3" t="s">
        <v>82</v>
      </c>
      <c r="C684" s="3"/>
      <c r="D684" s="3" t="s">
        <v>48</v>
      </c>
      <c r="E684" s="3" t="s">
        <v>618</v>
      </c>
      <c r="F684" s="3" t="s">
        <v>14</v>
      </c>
      <c r="G684" s="3" t="e">
        <f>G680*(MAX(0,G678)-MAX(0,G677))</f>
        <v>#REF!</v>
      </c>
    </row>
    <row r="685" spans="1:7" outlineLevel="1">
      <c r="A685" s="3" t="s">
        <v>14</v>
      </c>
      <c r="B685" s="3" t="s">
        <v>82</v>
      </c>
      <c r="C685" s="3"/>
      <c r="D685" s="3" t="s">
        <v>48</v>
      </c>
      <c r="E685" s="3" t="s">
        <v>619</v>
      </c>
      <c r="F685" s="3" t="s">
        <v>14</v>
      </c>
      <c r="G685" s="3" t="e">
        <f>(G669+G672)*G683/(G683+G684)</f>
        <v>#REF!</v>
      </c>
    </row>
    <row r="686" spans="1:7" outlineLevel="1">
      <c r="A686" s="3" t="s">
        <v>14</v>
      </c>
      <c r="B686" s="3" t="s">
        <v>82</v>
      </c>
      <c r="C686" s="3"/>
      <c r="D686" s="3" t="s">
        <v>48</v>
      </c>
      <c r="E686" s="3" t="s">
        <v>620</v>
      </c>
      <c r="F686" s="3" t="s">
        <v>14</v>
      </c>
      <c r="G686" s="3" t="e">
        <f>G683-G685</f>
        <v>#REF!</v>
      </c>
    </row>
    <row r="687" spans="1:7" outlineLevel="1">
      <c r="A687" s="3" t="s">
        <v>14</v>
      </c>
      <c r="B687" s="3" t="s">
        <v>82</v>
      </c>
      <c r="C687" s="3"/>
      <c r="D687" s="3" t="s">
        <v>48</v>
      </c>
      <c r="E687" s="3" t="s">
        <v>621</v>
      </c>
      <c r="F687" s="3" t="s">
        <v>14</v>
      </c>
      <c r="G687" s="3" t="e">
        <f>(G669+G672)*G684/(G683+G684)</f>
        <v>#REF!</v>
      </c>
    </row>
    <row r="688" spans="1:7" outlineLevel="1">
      <c r="A688" s="3" t="s">
        <v>14</v>
      </c>
      <c r="B688" s="3" t="s">
        <v>82</v>
      </c>
      <c r="C688" s="3"/>
      <c r="D688" s="3" t="s">
        <v>48</v>
      </c>
      <c r="E688" s="3" t="s">
        <v>622</v>
      </c>
      <c r="F688" s="3" t="s">
        <v>14</v>
      </c>
      <c r="G688" s="3" t="e">
        <f>G684-G687</f>
        <v>#REF!</v>
      </c>
    </row>
    <row r="689" spans="1:7" outlineLevel="1">
      <c r="A689" s="3" t="s">
        <v>14</v>
      </c>
      <c r="B689" s="3" t="s">
        <v>82</v>
      </c>
      <c r="C689" s="3"/>
      <c r="D689" s="3" t="s">
        <v>48</v>
      </c>
      <c r="E689" s="3" t="s">
        <v>623</v>
      </c>
      <c r="F689" s="3" t="s">
        <v>14</v>
      </c>
      <c r="G689" s="3" t="e">
        <f>G686+G688</f>
        <v>#REF!</v>
      </c>
    </row>
    <row r="690" spans="1:7">
      <c r="A690" s="3" t="s">
        <v>11</v>
      </c>
      <c r="B690" s="3" t="s">
        <v>82</v>
      </c>
      <c r="C690" s="3"/>
      <c r="D690" s="3"/>
      <c r="E690" s="3" t="s">
        <v>624</v>
      </c>
      <c r="F690" s="3" t="s">
        <v>14</v>
      </c>
      <c r="G690" s="3">
        <v>0.1</v>
      </c>
    </row>
    <row r="691" spans="1:7" collapsed="1">
      <c r="A691" s="3" t="s">
        <v>14</v>
      </c>
      <c r="B691" s="9" t="s">
        <v>625</v>
      </c>
      <c r="C691" s="3"/>
      <c r="D691" s="3"/>
      <c r="E691" s="3" t="s">
        <v>626</v>
      </c>
      <c r="F691" s="3" t="s">
        <v>11</v>
      </c>
      <c r="G691" s="3"/>
    </row>
    <row r="692" spans="1:7" hidden="1" outlineLevel="1">
      <c r="A692" s="3" t="s">
        <v>14</v>
      </c>
      <c r="B692" s="3" t="s">
        <v>82</v>
      </c>
      <c r="C692" s="3"/>
      <c r="D692" s="3" t="s">
        <v>48</v>
      </c>
      <c r="E692" s="3" t="s">
        <v>627</v>
      </c>
      <c r="F692" s="3" t="s">
        <v>14</v>
      </c>
      <c r="G692" s="3" t="e">
        <f>G680*(MIN(0,G678)-MIN(0,G677))*G690+(1-G680)*(MIN(0,G678)-MIN(0,G677)+MAX(0,G678)-MAX(0,G677))*G690</f>
        <v>#REF!</v>
      </c>
    </row>
    <row r="693" spans="1:7" hidden="1" outlineLevel="1">
      <c r="A693" s="3" t="s">
        <v>14</v>
      </c>
      <c r="B693" s="3" t="s">
        <v>82</v>
      </c>
      <c r="C693" s="3"/>
      <c r="D693" s="3" t="s">
        <v>48</v>
      </c>
      <c r="E693" s="3" t="s">
        <v>628</v>
      </c>
      <c r="F693" s="3" t="s">
        <v>14</v>
      </c>
      <c r="G693" s="3" t="e">
        <f>G680*(MAX(0,G678)-MAX(0,G677))*G690</f>
        <v>#REF!</v>
      </c>
    </row>
    <row r="694" spans="1:7" ht="30" hidden="1" outlineLevel="1">
      <c r="A694" s="3" t="s">
        <v>14</v>
      </c>
      <c r="B694" s="3" t="s">
        <v>82</v>
      </c>
      <c r="C694" s="3"/>
      <c r="D694" s="3" t="s">
        <v>48</v>
      </c>
      <c r="E694" s="3" t="s">
        <v>629</v>
      </c>
      <c r="F694" s="3" t="s">
        <v>14</v>
      </c>
      <c r="G694" s="3" t="e">
        <f>G686-G692</f>
        <v>#REF!</v>
      </c>
    </row>
    <row r="695" spans="1:7" ht="30" hidden="1" outlineLevel="1">
      <c r="A695" s="3" t="s">
        <v>14</v>
      </c>
      <c r="B695" s="3" t="s">
        <v>82</v>
      </c>
      <c r="C695" s="3"/>
      <c r="D695" s="3" t="s">
        <v>48</v>
      </c>
      <c r="E695" s="3" t="s">
        <v>630</v>
      </c>
      <c r="F695" s="3" t="s">
        <v>14</v>
      </c>
      <c r="G695" s="3" t="e">
        <f>G688-G693</f>
        <v>#REF!</v>
      </c>
    </row>
    <row r="696" spans="1:7" hidden="1" outlineLevel="1">
      <c r="A696" s="3" t="s">
        <v>14</v>
      </c>
      <c r="B696" s="3" t="s">
        <v>82</v>
      </c>
      <c r="C696" s="3"/>
      <c r="D696" s="3" t="s">
        <v>48</v>
      </c>
      <c r="E696" s="3" t="s">
        <v>631</v>
      </c>
      <c r="F696" s="3" t="s">
        <v>14</v>
      </c>
      <c r="G696" s="3" t="e">
        <f>G694+G695</f>
        <v>#REF!</v>
      </c>
    </row>
  </sheetData>
  <mergeCells count="3">
    <mergeCell ref="A1:G1"/>
    <mergeCell ref="B2:G2"/>
    <mergeCell ref="B3:G3"/>
  </mergeCells>
  <dataValidations count="4">
    <dataValidation type="list" allowBlank="1" showInputMessage="1" showErrorMessage="1" sqref="B3:G3" xr:uid="{D0D53C3A-657F-4566-8D64-1DFF1CEFCE50}">
      <formula1>"Verifiable Credentials,Encrypted Verifiable Credential,Sub-Schema"</formula1>
    </dataValidation>
    <dataValidation allowBlank="1" showInputMessage="1" showErrorMessage="1" sqref="G80:G81 G120:G129 G115:G116 G132:G140 G85:G96 G99:G109" xr:uid="{C1CC0DF8-7BB7-4EEA-B28B-ACBB040C8A96}"/>
    <dataValidation type="list" allowBlank="1" showInputMessage="1" showErrorMessage="1" sqref="A63 F144 A144 A132:A140 F132:F140 A206:A225 F120:F129 A120:A129 A249:A254 A280:A286 A158:A164 A288:A297 A299:A314 A327:A347 A316:A325 A371:A376 F381:F390 A272:A278 A380:A390 A228:A233 A350:A355 A80:A81 F80:F81 A74:A76 A59:A61 A54:A56 F54:F56 F59:F61 F63 A69:A71 F69:F71 F74:F76 F99:F109 A115:A116 F115:F116 A150:A156 F85:F96 A85:A96 A99:A109 A6:A48 F6:F48 A166:A175 A177:A192 A194:A203 A258:A268 G461:G466 G590:G595" xr:uid="{4FB94A3C-E331-46D7-B5F5-DDE14B36A510}">
      <formula1>"Yes,No"</formula1>
    </dataValidation>
    <dataValidation type="list" allowBlank="1" sqref="G409 G517 G547 G640 G637" xr:uid="{DB313447-FE04-43FF-8B89-E8238440A7B2}">
      <formula1>"Yes,No"</formula1>
    </dataValidation>
  </dataValidations>
  <hyperlinks>
    <hyperlink ref="B150" location="CO2_FF_Baseline_Data_ByType!A1" display="CO2_FF_Baseline_Data_ByType" xr:uid="{36B68EFC-E376-4F36-A096-04251FE5E4C6}"/>
    <hyperlink ref="B166" location="Livestock_Data_ByType_Base!A1" display="Livestock_Data_ByType_Base" xr:uid="{F56D4C84-D5E7-4BA8-8453-3DEFDB523458}"/>
    <hyperlink ref="B177" location="CH4_Manure_Data_ByType_Baseline!A1" display="CH4_Manure_Data_ByType_Baseline" xr:uid="{52C762A5-DF56-49C5-9B10-4E5EDF32EE1B}"/>
    <hyperlink ref="B194" location="CH4_BiomassData_ByType_Baseline!A1" display="CH4_BiomassData_ByType_Baseline" xr:uid="{120B0C27-1026-4ADB-8417-2EA1CC626014}"/>
    <hyperlink ref="B205" location="SyntheticFertilizer_Data_Baseli!A1" display="SyntheticFertilizer_Data_Baseli" xr:uid="{65F35946-60BB-47B6-AEA4-C64F95C3DAB7}"/>
    <hyperlink ref="B210" location="OrganicFertilizer_Data_Baseline!A1" display="OrganicFertilizer_Data_Baseline" xr:uid="{6FFE0285-8E85-4FAD-98C7-3AA40F41073C}"/>
    <hyperlink ref="B249" location="NFixingSpecies_Data_Baseline!A1" display="NFixingSpecies_Data_Baseline" xr:uid="{6D507F9D-5C36-4A5F-944F-F7C12FB537A0}"/>
    <hyperlink ref="B258" location="N2O_BiomassData_ByType_Baseline!A1" display="N2O_BiomassData_ByType_Baseline" xr:uid="{63D90E46-0123-4FC4-BA8C-375562928FDC}"/>
    <hyperlink ref="B149" location="CO2_FossilFuel_Baseline!A1" display="CO2_FossilFuel_Baseline" xr:uid="{CF45504F-7019-45ED-80A4-D09670551BBB}"/>
    <hyperlink ref="B157" location="CO2_Liming_Baseline!A1" display="CO2_Liming_Baseline" xr:uid="{986C0834-D850-4A82-B7E3-735C7EA1CD52}"/>
    <hyperlink ref="B165" location="CH4_Enteric_Baseline!A1" display="CH4_Enteric_Baseline" xr:uid="{47D11D00-B35D-4C2F-80C2-C792DA3EE5D6}"/>
    <hyperlink ref="B176" location="CH4_Manure_Baseline!A1" display="CH4_Manure_Baseline" xr:uid="{F7597EBC-6997-45BC-BBAF-A20F00432827}"/>
    <hyperlink ref="B193" location="CH4_Biomass_Baseline!A1" display="CH4_Biomass_Baseline" xr:uid="{2E400F16-B1CF-4D88-9404-B39A20F6EF75}"/>
    <hyperlink ref="B204" location="N2O_NFert_Baseline!A1" display="N2O_NFert_Baseline" xr:uid="{551FC31D-1380-49B7-9BE6-5A44A020B9DA}"/>
    <hyperlink ref="B248" location="N2O_NFixing_Baseline!A1" display="N2O_NFixing_Baseline" xr:uid="{68EDC0B0-CA5A-453F-A3C8-64E3332C7547}"/>
    <hyperlink ref="B257" location="N2O_Biomass_Baseline!A1" display="N2O_Biomass_Baseline" xr:uid="{5F81C4B0-ED34-4709-92C3-41C9A0A46941}"/>
    <hyperlink ref="B148" location="QA3_DefaultFactors_Baseline!A1" display="QA3_DefaultFactors_Baseline" xr:uid="{5354D4CF-8B2D-4F7D-9171-3D95F4F59183}"/>
    <hyperlink ref="B272" location="CO2_FF_Project_Data_ByType!A1" display="CO2_FF_Project_Data_ByType" xr:uid="{288937E5-434B-4228-9ED0-62CBB57B94EF}"/>
    <hyperlink ref="B288" location="Livestock_Data_ByType_Project!A1" display="Livestock_Data_ByType_Project" xr:uid="{18C8853F-229E-45DC-ACDF-7CDC265B0E63}"/>
    <hyperlink ref="B299" location="CH4_Manure_Data_ByType_Project!A1" display="CH4_Manure_Data_ByType_Project" xr:uid="{8F9C8C0C-6AFA-4A81-8CEE-151BEA94078B}"/>
    <hyperlink ref="B316" location="CH4_BiomassData_ByType_Project!A1" display="CH4_BiomassData_ByType_Project" xr:uid="{0E4E161E-DF92-473C-8603-39BC0821F60E}"/>
    <hyperlink ref="B371" location="NFixingSpecies_Data_Project!A1" display="NFixingSpecies_Data_Project" xr:uid="{B69912B1-081C-4F78-95E5-0F0CBD1E722F}"/>
    <hyperlink ref="B380" location="N2O_BiomassData_ByType_Project!A1" display="N2O_BiomassData_ByType_Project" xr:uid="{2D972630-C6B9-4468-A339-0E02337F4B89}"/>
    <hyperlink ref="B271" location="CO2_FossilFuel_Project!A1" display="CO2_FossilFuel_Project" xr:uid="{8384334B-AEE5-4DAE-81D2-0CDA57CE8ADA}"/>
    <hyperlink ref="B279" location="CO2_Liming_Project!A1" display="CO2_Liming_Project" xr:uid="{8CB50136-9CA7-4886-9095-F542D462DF87}"/>
    <hyperlink ref="B287" location="CH4_Enteric_Project!A1" display="CH4_Enteric_Project" xr:uid="{426A64AE-DC97-46E9-8CAB-16081A37BB99}"/>
    <hyperlink ref="B298" location="CH4_Manure_Project!A1" display="CH4_Manure_Project" xr:uid="{3652C973-D18F-4FDB-8931-678875A8A123}"/>
    <hyperlink ref="B315" location="CH4_Biomass_Project!A1" display="CH4_Biomass_Project" xr:uid="{2E0A2DA0-84BD-4AA4-ABB4-C3C8FABBF16B}"/>
    <hyperlink ref="B326" location="N2O_NFert_Project!A1" display="N2O_NFert_Project" xr:uid="{B72516F1-5EFD-4C75-9C38-6E0CB7204E81}"/>
    <hyperlink ref="B349" location="N2O_Manure_Project!A1" display="N2O_Manure_Project" xr:uid="{397712C1-8E50-40BF-AB0B-A4A33033FEA5}"/>
    <hyperlink ref="B370" location="N2O_NFixing_Project!A1" display="N2O_NFixing_Project" xr:uid="{81186258-E0A7-4CD7-A651-F7DE7067243E}"/>
    <hyperlink ref="B379" location="N2O_Biomass_Project!A1" display="N2O_Biomass_Project" xr:uid="{B44D5CEF-4608-41E6-A513-8E402391D791}"/>
    <hyperlink ref="B327" location="SyntheticFertilizer_Data_Projec!A1" display="SyntheticFertilizer_Data_Projec" xr:uid="{DEDF3E8B-1A82-44F7-9F31-225BE6EDE40E}"/>
    <hyperlink ref="B332" location="OrganicFertilizer_Data_Project!A1" display="OrganicFertilizer_Data_Project" xr:uid="{F7FECE05-84D1-45BA-92F9-9F04F23369B6}"/>
    <hyperlink ref="B270" location="QA3_DefaultFactors_Project!A1" display="QA3_DefaultFactors_Project" xr:uid="{A8130777-47F7-4EF6-B28B-B7883C36EE6F}"/>
    <hyperlink ref="B268" location="NitrousOxide_SoilInputs_Baselin!A1" display="NitrousOxide_SoilInputs_Baselin" xr:uid="{037F29AF-9788-497F-8BF0-8B72367D5EC6}"/>
    <hyperlink ref="B390" location="NitrousOxide_SoilInputs_Project!A1" display="NitrousOxide_SoilInputs_Project" xr:uid="{5573822F-DF74-48AD-8DD4-A3B67E86AAD4}"/>
    <hyperlink ref="B228" location="N2O_ManureData_ByType_Baseline!A1" display="N2O_ManureData_ByType_Baseline" xr:uid="{37713AC5-257D-49ED-B986-7F8509613C8E}"/>
    <hyperlink ref="B227" location="N2O_Manure_Baseline!A1" display="N2O_Manure_Baseline" xr:uid="{1CDDD710-2E97-4209-8CA7-8ACB3D9D0BE0}"/>
    <hyperlink ref="B350" location="N2O_ManureData_ByType_Project!A1" display="N2O_ManureData_ByType_Project" xr:uid="{7BE002DC-6957-4500-B2AC-8CC898191AE6}"/>
    <hyperlink ref="B145" location="QA3_DefaultFactors_ERs_Unit_i!A1" display="QA3_DefaultFactors_ERs_Unit_i" xr:uid="{A1F38A81-0B12-4170-BC66-74D6C75B8827}"/>
    <hyperlink ref="B144" location="QA3_DefaultFactors_ERs!A1" display="QA3_DefaultFactors_ERs" xr:uid="{67D6FBF0-C191-4824-BC53-09E19D063CB5}"/>
    <hyperlink ref="B84" location="QA1_CO2_SOC_Input_Year_t!A1" display="QA1_CO2_SOC_Input_Year_t" xr:uid="{0324593D-8971-4D11-AD7A-569570900453}"/>
    <hyperlink ref="B87" location="QA1_CO2_SOC_Input_Stratum_ID!A1" display="QA1_CO2_SOC_Input_Stratum_ID" xr:uid="{963E6D7E-5B0E-45C6-ABB5-84C051CA011A}"/>
    <hyperlink ref="B98" location="QA1_CO2_SOC_Input_Year_t!A1" display="QA1_CO2_SOC_Input_Year_t" xr:uid="{2856C3A9-F834-4267-8E62-A54A4FA1423D}"/>
    <hyperlink ref="B101" location="QA1_CO2_SOC_Input_Stratum_ID!A1" display="QA1_CO2_SOC_Input_Stratum_ID" xr:uid="{7F5D3DCB-F8D0-4639-94A5-5F85EB5C3185}"/>
    <hyperlink ref="B96" location="QA1_CO2_SOC_Project!A1" display="QA1_CO2_SOC_Project" xr:uid="{B4BE541C-D6F7-47F9-9509-4A8F1DA2056E}"/>
    <hyperlink ref="B82" location="QA1_CO2_SOC_Baseline!A1" display="QA1_CO2_SOC_Baseline" xr:uid="{6E3BB7F1-1DD3-4A08-BA19-6A4D7417A0F6}"/>
    <hyperlink ref="B79" location="QA1_CO2_SOC_ERs_Unit_i!A1" display="QA1_CO2_SOC_ERs_Unit_i" xr:uid="{27BBCB17-1DF9-4AF2-A475-1079B021644B}"/>
    <hyperlink ref="B78" location="QA1_CO2_SOC_ERs!A1" display="QA1_CO2_SOC_ERs" xr:uid="{BD5B89F7-7C12-442F-9CC6-88854E73C8DD}"/>
    <hyperlink ref="B63" location="QA1_N2O_ERs!A1" display="QA1_N2O_ERs" xr:uid="{7820A3CD-CE43-45D4-9EFB-522A7C8B6464}"/>
    <hyperlink ref="B48" location="QA1_CH4_ERs!A1" display="QA1_CH4_ERs" xr:uid="{0235342F-7168-47B6-8F18-990649D33A1B}"/>
    <hyperlink ref="B68" location="QA1_N2O_Fertilizers_NFixing_Bas!A1" display="QA1_N2O_Fertilizers_NFixing_Bas" xr:uid="{F8B352BD-2FF6-4426-8E8B-D04E74BEDCFE}"/>
    <hyperlink ref="B73" location="QA1_N2O_Fertilizers_NFixing_Pro!A1" display="QA1_N2O_Fertilizers_NFixing_Pro" xr:uid="{21AAB256-D8C8-42BD-B329-1C0360FAEC25}"/>
    <hyperlink ref="B64" location="QA1_N2O_ERs_Unit_i!A1" display="QA1_N2O_ERs_Unit_i" xr:uid="{15E1A6D4-49CE-4005-945D-079BB7A34964}"/>
    <hyperlink ref="B67" location="QA1_N2O_Baseline!A1" display="QA1_N2O_Baseline" xr:uid="{61821779-99BF-4913-B00C-B20D919C3CDA}"/>
    <hyperlink ref="B72" location="QA1_N2O_Project!A1" display="QA1_N2O_Project" xr:uid="{8AA3DC06-A2D2-4429-ABE3-27F053F39F2F}"/>
    <hyperlink ref="B114" location="QA2_CO2_SOC_ERs_Unit_i!A1" display="QA2_CO2_SOC_ERs_Unit_i" xr:uid="{A557B6A8-C9C7-4596-BE35-B24F57251921}"/>
    <hyperlink ref="B117" location="QA2_CO2_SOC_Baseline!A1" display="QA2_CO2_SOC_Baseline" xr:uid="{B4F5792C-6962-4372-B46F-CE00FAAFCC73}"/>
    <hyperlink ref="B119" location="QA2_CO2_SOC_Input_Year_t!A1" display="QA2_CO2_SOC_Input_Year_t" xr:uid="{71852520-39A5-4C2D-948F-16E9A888C5A4}"/>
    <hyperlink ref="B122" location="QA2_CO2_SOC_Input_Stratum!A1" display="QA2_CO2_SOC_Input_Stratum" xr:uid="{BB98D52D-1E7D-4FCC-BF4E-31CC15440956}"/>
    <hyperlink ref="B129" location="QA2_CO2_SOC_Project!A1" display="QA2_CO2_SOC_Project" xr:uid="{69D0E397-09BE-49BD-8DB9-8FDCDEF19A88}"/>
    <hyperlink ref="B131" location="QA2_CO2_SOC_Input_Year_t!A1" display="QA2_CO2_SOC_Input_Year_t" xr:uid="{54B0801D-BB41-40A5-8137-B7ABEE5DCC28}"/>
    <hyperlink ref="B134" location="QA2_CO2_SOC_Input_Stratum!A1" display="QA2_CO2_SOC_Input_Stratum" xr:uid="{0FC20327-76CA-4E4A-B95C-3FD7E144CA08}"/>
    <hyperlink ref="B113" location="QA2_CO2_SOC_ERs!A1" display="QA2_CO2_SOC_ERs" xr:uid="{036A6EEA-BF6C-480F-AEDF-F9D1A3568A4C}"/>
    <hyperlink ref="B673" location="Uncertainty!A1" display="Uncertainty" xr:uid="{57BED192-AC15-4DFE-8EDC-7FEE3D9A807E}"/>
    <hyperlink ref="B691" location="VCUs!A1" display="VCUs" xr:uid="{CBF25D48-3A97-4029-8CD9-15F44DCD9F15}"/>
    <hyperlink ref="B681" location="ERRs!A1" display="ERRs" xr:uid="{288E6479-7345-4388-A39D-A36D6D7ADF93}"/>
    <hyperlink ref="C7" location="'Baseline CH4 Source - Bi (enum)'!A1" display="'Baseline CH4 Source - Bi (enum)" xr:uid="{4247F307-25D4-4C5E-A5BD-37771D308DAF}"/>
    <hyperlink ref="C8" location="'Baseline N2O Source - Bi (enum)'!A1" display="'Baseline N2O Source - Bi (enum)" xr:uid="{281FB08E-FE53-4AA3-B82D-EB5C2A870EAF}"/>
    <hyperlink ref="C9" location="'Baseline CO2 Source - Fo (enum)'!A1" display="'Baseline CO2 Source - Fo (enum)" xr:uid="{E1442CCE-2931-4A09-9C17-4034A266437F}"/>
    <hyperlink ref="C10" location="'Baseline CH4 Source - Ma (enum)'!A1" display="'Baseline CH4 Source - Ma (enum)" xr:uid="{4AE45E0A-F275-4C8C-89A8-40DC3A9C204C}"/>
    <hyperlink ref="C11" location="'Baseline N2O Source - Ma (enum)'!A1" display="'Baseline N2O Source - Ma (enum)" xr:uid="{375C091B-2A76-4C89-9B33-FCD3DFB9990A}"/>
    <hyperlink ref="C12" location="'Baseline N2O Source - Us (enum)'!A1" display="'Baseline N2O Source - Us (enum)" xr:uid="{3AF02051-28B0-4B14-AE14-DE547313F543}"/>
    <hyperlink ref="C13" location="'Baseline CO2 Source - SO (enum)'!A1" display="'Baseline CO2 Source - SO (enum)" xr:uid="{F89F9868-62D6-49AC-A0B3-24ACD4294930}"/>
    <hyperlink ref="C14" location="'Baseline CH4 Source - So (enum)'!A1" display="'Baseline CH4 Source - So (enum)" xr:uid="{A6612B6F-EC90-4D2C-AD94-6A9ECF1A889E}"/>
    <hyperlink ref="C15" location="'Baseline CO2 Source - Ab (enum)'!A1" display="'Baseline CO2 Source - Ab (enum)" xr:uid="{4E6864CC-DA4C-4E51-AB22-A0F277943007}"/>
    <hyperlink ref="C16" location="'Baseline CH4 Source - En (enum)'!A1" display="'Baseline CH4 Source - En (enum)" xr:uid="{28548FC6-6A12-41B1-BB1A-312E64136EF2}"/>
    <hyperlink ref="C17" location="'Baseline N2O Source - Fe (enum)'!A1" display="'Baseline N2O Source - Fe (enum)" xr:uid="{EE5A7D7B-817E-4DB3-97B3-83DF2BD7AC08}"/>
    <hyperlink ref="C18" location="'Baseline CO2 Source - Li (enum)'!A1" display="'Baseline CO2 Source - Li (enum)" xr:uid="{82330507-4721-4020-900B-1D20BBF6135E}"/>
    <hyperlink ref="C34" location="'SOC (enum)'!A1" display="'SOC (enum)" xr:uid="{60B3BFBD-CAD4-4FB4-9A96-9661C6FE1E58}"/>
    <hyperlink ref="C33" location="'N2O (Nitrogen fertilizer (enum)'!A1" display="'N2O (Nitrogen fertilizer (enum)" xr:uid="{6555FA05-8A2D-4254-A99F-ACCAB3E45BA7}"/>
    <hyperlink ref="B665" location="Leakage_Organic_Amendment_by_Tp!A1" display="Leakage_Organic_Amendment_by_Tp" xr:uid="{85257B9F-F730-4E41-9642-35513F9A2C51}"/>
    <hyperlink ref="B663" location="Leakage_Organic_Amendments!A1" display="Leakage_Organic_Amendments" xr:uid="{25BDC800-D725-4EBE-9B40-B6F1E14C323E}"/>
    <hyperlink ref="C662" location="'Leakage Org Amend (enum)'!A1" display="'Leakage Org Amend (enum)" xr:uid="{E71ABDF6-17AC-49EA-A036-0FE75ADEE299}"/>
    <hyperlink ref="B52" location="QA1_CH4_Baseline!A1" display="QA1_CH4_Baseline" xr:uid="{83914DAC-0774-491A-8F76-FD8163F3D6FE}"/>
    <hyperlink ref="B49" location="QA1_CH4_ERs_Unit_i!A1" display="QA1_CH4_ERs_Unit_i" xr:uid="{4E14FB12-1253-4466-99C9-1D128A4AD731}"/>
    <hyperlink ref="B53" location="QA1_CH4_Soil_Methan_Baselin!A1" display="QA1_CH4_Soil_Methan_Baselin" xr:uid="{A3797CAE-5465-4E71-B14C-2FD329D7C03B}"/>
    <hyperlink ref="B57" location="QA1_CH4_Project!A1" display="QA1_CH4_Project" xr:uid="{3C8D2C7D-DD21-4BFA-BF8A-729FDEB75411}"/>
    <hyperlink ref="B58" location="QA1_CH4_Soil_Methan_Project!A1" display="QA1_CH4_Soil_Methan_Project" xr:uid="{A71A2028-8AAA-46DE-AC78-9E73D44E10D7}"/>
    <hyperlink ref="B46" location="GHG_Emissions_C_Pool!A1" display="GHG_Emissions_C_Pool" xr:uid="{B366E0FC-2C35-4830-BE89-214EF219E5AB}"/>
    <hyperlink ref="B5" location="Project_Boundary!A1" display="Project_Boundary" xr:uid="{601E6B54-F827-4480-9D53-EB34BF41126B}"/>
    <hyperlink ref="B32" location="Quantification_Approach!A1" display="Quantification_Approach" xr:uid="{EFF0BF3C-C354-4F98-9343-A60FCD61F33B}"/>
    <hyperlink ref="B403" location="'AR Tool 14 Baseline'!A1" display="'AR Tool 14 Baseline" xr:uid="{899E0097-AEEB-4D07-9F72-01F8F3A14D24}"/>
    <hyperlink ref="B541" location="'AR Tool 14 Project'!A1" display="'AR Tool 14 Project" xr:uid="{4CB2F1A8-B829-470E-8E07-C63876F8A4C8}"/>
    <hyperlink ref="C406" location="#'Which method did you us (enum)'!A3" display="Which method did you us (enum)" xr:uid="{0B342263-2D8B-47BB-8008-26750E1BC1D1}"/>
    <hyperlink ref="C448" location="#'Which method did you 1 (enum)'!A3" display="Which method did you 1 (enum)" xr:uid="{0472F16F-BD3C-4444-8D58-E8BE0AEF43C6}"/>
    <hyperlink ref="C477" location="#'Which sampling design w (enum)'!A3" display="Which sampling design w (enum)" xr:uid="{C1FBF779-3958-4B41-8CA5-40AA9AA06920}"/>
    <hyperlink ref="B407" location="'Tree Demonstration of “no-d'!A1" display="'Tree Demonstration of “no-d" xr:uid="{B47B20C3-5156-4835-90B2-9D6229265D84}"/>
    <hyperlink ref="B410" location="'BSL-Estimation by proportionate'!A1" display="'BSL-Estimation by proportionate" xr:uid="{40FCDE0E-B6A7-4890-8ADF-C8F5A777CDB8}"/>
    <hyperlink ref="B412" location="'Mean annual change in carbon st'!A1" display="'Mean annual change in carbon st" xr:uid="{717655D2-D59E-4D5F-B36C-E49699787CFD}"/>
    <hyperlink ref="B419" location="'Direct Estimating Changes via S'!A1" display="'Direct Estimating Changes via S" xr:uid="{622F7C98-FA6E-4E46-8926-9050D83F9417}"/>
    <hyperlink ref="B427" location="'Mean Change In Tree Biomass Per'!A1" display="'Mean Change In Tree Biomass Per" xr:uid="{BB710135-2967-40F0-A177-873904EDABFE}"/>
    <hyperlink ref="B432" location="'Change in Tree Biomass per Hect'!A1" display="'Change in Tree Biomass per Hect" xr:uid="{EDAFD1DD-518B-40A2-861B-C441678C9A77}"/>
    <hyperlink ref="B434" location="'Difference of Two Independent S'!A1" display="'Difference of Two Independent S" xr:uid="{3324B6EF-4478-4037-B855-2B10F14E00A7}"/>
    <hyperlink ref="B442" location="'BSL-Estimating change in carbon'!A1" display="'BSL-Estimating change in carbon" xr:uid="{287370DA-EBB1-4376-B5C5-0466075F0631}"/>
    <hyperlink ref="B447" location="'BSL-Determination of Estimating'!A1" display="'BSL-Determination of Estimating" xr:uid="{018EB220-1B61-45D7-B914-9FA74B23A79A}"/>
    <hyperlink ref="B449" location="'BSL-Updating the previous stock'!A1" display="'BSL-Updating the previous stock" xr:uid="{B84F6EA0-C2CF-44CD-A6E1-249E4B6195A2}"/>
    <hyperlink ref="B456" location="'BSL-Estimation by modelling of '!A1" display="'BSL-Estimation by modelling of" xr:uid="{16F9A623-2111-4EB6-8216-5E9D8F104826}"/>
    <hyperlink ref="B463" location="'BSL-Carbon stock in trees at a '!A1" display="'BSL-Carbon stock in trees at a" xr:uid="{1FBFCC94-1008-44F4-834E-7938F24FB234}"/>
    <hyperlink ref="B467" location="'BSL-Estimation by proportiona'!A1" display="'BSL-Estimation by proportiona" xr:uid="{E9272083-A1D6-40A1-8BEA-0596795D6692}"/>
    <hyperlink ref="B469" location="'BSL-Mean annual change in carbo'!A1" display="'BSL-Mean annual change in carbo" xr:uid="{17EB0C85-3A83-4F6D-990C-97F940113FBD}"/>
    <hyperlink ref="B476" location="'Measurement of sample plots'!A1" display="'Measurement of sample plots" xr:uid="{97FCE4C3-895F-4739-AC7C-641767854555}"/>
    <hyperlink ref="B478" location="'Stratified random sampling'!A1" display="'Stratified random sampling" xr:uid="{26F7C879-9157-4CD3-8C4D-B2D9B3112C27}"/>
    <hyperlink ref="B486" location="'Mean tree biomass per hectare w'!A1" display="'Mean tree biomass per hectare w" xr:uid="{7375C953-6670-44C1-A343-C36AD4D1C070}"/>
    <hyperlink ref="B491" location="'Tree Biomass per Hectare in Plo'!A1" display="'Tree Biomass per Hectare in Plo" xr:uid="{CC98C1E6-05C9-47D2-A89E-854D6CD2DA22}"/>
    <hyperlink ref="B493" location="'Double sampling'!A1" display="'Double sampling" xr:uid="{AED89A81-6708-44C8-B7CF-5AB1F70DA673}"/>
    <hyperlink ref="B501" location="'Double Mean tree biomass per he'!A1" display="'Double Mean tree biomass per he" xr:uid="{944CD41A-B109-4A55-9764-4317B250EC70}"/>
    <hyperlink ref="B510" location="'Tree Biomass per Hectare in Plo'!A1" display="'Tree Biomass per Hectare in Plo" xr:uid="{28404044-0F85-4FF4-922D-A8B0C69477CC}"/>
    <hyperlink ref="B516" location="'BSL-Estimating Shrub Carbon Sto'!A1" display="'BSL-Estimating Shrub Carbon Sto" xr:uid="{49524906-19FB-452C-9B91-BFB325AA8811}"/>
    <hyperlink ref="B524" location="'BSL-Estimating change in carb'!A1" display="'BSL-Estimating change in carb" xr:uid="{A2F552FA-0D26-4F53-9644-F30432E9661D}"/>
    <hyperlink ref="B529" location="'BSL-Estimating carbon stock in '!A1" display="'BSL-Estimating carbon stock in" xr:uid="{D41F0931-E2F0-4359-8BA9-05256E6BB6CB}"/>
    <hyperlink ref="B533" location="'Shrub biomass per hectare in sh'!A1" display="'Shrub biomass per hectare in sh" xr:uid="{F7FFB667-06F8-43C8-A99A-EA2ECF51AE26}"/>
    <hyperlink ref="B405" location="'BSL-Estimating change in car'!A1" display="'BSL-Estimating change in car" xr:uid="{BF11512E-6F2F-48AE-9D9D-BB0D05524AD7}"/>
    <hyperlink ref="C404" location="'Which method did you u (enum)'!A1" display="'Which method did you u (enum)" xr:uid="{6F2562C2-75AB-4FF3-9EBB-6B38012A9B20}"/>
    <hyperlink ref="C515" location="'Which method did you (enum)'!A1" display="'Which method did you (enum)" xr:uid="{D22A9F1F-B177-4180-9CEE-D8D6986871EF}"/>
    <hyperlink ref="C517" location="'Will you be applying the (enum)'!A1" display="'Will you be applying the (enum)" xr:uid="{CEC434F5-C4AA-47C3-8B4B-55EF6A2B9065}"/>
    <hyperlink ref="B518" location="'Shrub Demonstration of “n'!A1" display="'Shrub Demonstration of “n" xr:uid="{2FA5075D-8CBB-463D-B647-253DCC28622F}"/>
    <hyperlink ref="C520" location="'If all three conditi (enum)'!A1" display="'If all three conditi (enum)" xr:uid="{5A320ADE-F6DA-4858-91FF-A358A91944EF}"/>
    <hyperlink ref="C597" location="#'Which sampling design w (enum)'!A3" display="Which sampling design w (enum)" xr:uid="{A7530528-AD47-47F6-9EEA-D1F467D1EA0E}"/>
    <hyperlink ref="C577" location="'Which method did you 2 (enum)'!A1" display="'Which method did you 2 (enum)" xr:uid="{C085BEAE-4201-45E6-B72E-7B09ED4B103F}"/>
    <hyperlink ref="B548" location="'Direct Estimating Changes via S'!A1" display="'Direct Estimating Changes via S" xr:uid="{28FBB0D1-3C3E-45E0-A25F-839E15F8782D}"/>
    <hyperlink ref="B556" location="'Mean Change In Tree Biomass Per'!A1" display="'Mean Change In Tree Biomass Per" xr:uid="{A3C48751-3898-4935-AB8A-EFF0BDC784FA}"/>
    <hyperlink ref="B561" location="'Change in Tree Biomass per Hect'!A1" display="'Change in Tree Biomass per Hect" xr:uid="{1A583E50-4A07-4EF2-8B86-4602C3D11A43}"/>
    <hyperlink ref="B563" location="'Difference of Two Independent S'!A1" display="'Difference of Two Independent S" xr:uid="{D594DAF4-059E-4285-8210-47F737F08CB5}"/>
    <hyperlink ref="B592" location="'Proj-Carbon stock in trees at a'!A1" display="'Proj-Carbon stock in trees at a" xr:uid="{DB47554D-5BD9-4BF5-8990-0E9926CFFD01}"/>
    <hyperlink ref="B585" location="'Proj-Estimation by modelling of'!A1" display="'Proj-Estimation by modelling of" xr:uid="{08FF1959-FA73-463E-80F7-AB3C2A91E8AF}"/>
    <hyperlink ref="B596" location="'Measurement of sample plots'!A1" display="'Measurement of sample plots" xr:uid="{A314BB82-78D1-497D-BDDA-F61E37EF56A7}"/>
    <hyperlink ref="B598" location="'Stratified random sampling'!A1" display="'Stratified random sampling" xr:uid="{9CDB7EA0-1761-4E69-AF2C-7C40699C74C9}"/>
    <hyperlink ref="B606" location="'Mean tree biomass per hectare w'!A1" display="'Mean tree biomass per hectare w" xr:uid="{2254430A-9CD3-43C7-816F-D78D38405D9C}"/>
    <hyperlink ref="B611" location="'Tree Biomass per Hectare in Plo'!A1" display="'Tree Biomass per Hectare in Plo" xr:uid="{1A7B1165-560F-417C-A15B-8DB64280D7B7}"/>
    <hyperlink ref="B613" location="'Double sampling'!A1" display="'Double sampling" xr:uid="{13ADFCA6-EE18-480E-8972-B3657CA88F79}"/>
    <hyperlink ref="B621" location="'Double Mean tree biomass per he'!A1" display="'Double Mean tree biomass per he" xr:uid="{1D966DF5-1021-4628-A186-5649DD529175}"/>
    <hyperlink ref="B630" location="'Tree Biomass per Hectare in Plo'!A1" display="'Tree Biomass per Hectare in Plo" xr:uid="{7E97D583-42C8-42AC-8769-E736789CBCF9}"/>
    <hyperlink ref="B578" location="'Proj-Updating the previous stoc'!A1" display="'Proj-Updating the previous stoc" xr:uid="{667CEC52-B303-4ABC-BEC5-A8AC3F64A832}"/>
    <hyperlink ref="B576" location="'Proj-Determination of Estimatin'!A1" display="'Proj-Determination of Estimatin" xr:uid="{A38E81CC-B9AF-4B2A-88C1-9EDE1C9D627F}"/>
    <hyperlink ref="B636" location="'Proj-Estimating Shrub Carbon St'!A1" display="'Proj-Estimating Shrub Carbon St" xr:uid="{56B4B946-AB99-4806-9854-2BB370D2F88E}"/>
    <hyperlink ref="B644" location="'Proj-Estimating change in carbo'!A1" display="'Proj-Estimating change in carbo" xr:uid="{CC99528C-432C-4711-811A-FD78274A3A89}"/>
    <hyperlink ref="B649" location="'Proj-Estimating carbon stock in'!A1" display="'Proj-Estimating carbon stock in" xr:uid="{D0CA133C-8F56-49B6-B742-BFEB7BCC00E3}"/>
    <hyperlink ref="B653" location="'Shrub biomass per hectare in sh'!A1" display="'Shrub biomass per hectare in sh" xr:uid="{4AFA4FAC-29A0-4EEF-9E33-831BC6AC12C6}"/>
    <hyperlink ref="B545" location="'Tree Demonstration of “no-d'!A1" display="'Tree Demonstration of “no-d" xr:uid="{03106407-A419-47E7-ADA6-020910AD1BC2}"/>
    <hyperlink ref="C544" location="'Which method did yous (enum)'!A1" display="'Which method did yous (enum)" xr:uid="{51D7F977-361A-4F74-8E92-00DF546A56CB}"/>
    <hyperlink ref="B543" location="'PROJ-Estimating change in car'!A1" display="'PROJ-Estimating change in car" xr:uid="{B3F4D69E-3451-4C4D-B5B4-CB51536B64AF}"/>
    <hyperlink ref="B638" location="'Shrub Demonstration of “n'!A1" display="'Shrub Demonstration of “n" xr:uid="{F4FCDA09-24C7-4C60-BE4B-880315EB82ED}"/>
    <hyperlink ref="C542" location="'Which method did you pro(enum)'!A1" display="'Which method did you pro(enum)" xr:uid="{B5470EAB-7CB7-45DC-81B6-08CE00E2BE64}"/>
    <hyperlink ref="B571" location="'Proj-Estimating Change in Carb'!A1" display="'Proj-Estimating Change in Carb" xr:uid="{C868FB38-3F6F-4C97-AEC2-BEB728DE2107}"/>
    <hyperlink ref="C635" location="'Which method did  pro (enum)'!A1" display="'Which method did  pro (enum)" xr:uid="{A9C6106A-D4A8-4F6C-8ABE-37208E8AC97B}"/>
    <hyperlink ref="C637" location="'Will you be applying  pr (enum)'!A1" display="'Will you be applying  pr (enum)" xr:uid="{EBA0CAF1-1C36-4281-8524-59566D87A1F9}"/>
    <hyperlink ref="C590" location="'Does your project apply  (enum)'!A1" display="'Does your project apply  (enum)" xr:uid="{6DA89DC0-5F36-49A5-BF85-0152257CC8D8}"/>
    <hyperlink ref="C409" location="'If all three conditi tree(enum)'!A1" display="'If all three conditi tree(enum)" xr:uid="{B3E95634-39EE-4F32-8355-D9B061F2EC45}"/>
    <hyperlink ref="C461" location="'Does your project apply b(enum)'!A1" display="'Does your project apply b(enum)" xr:uid="{481749BF-0643-4D9B-893F-E89D025A2603}"/>
    <hyperlink ref="C547" location="'If all three conditi tree(enum)'!A1" display="'If all three conditi tree(enum)" xr:uid="{7281EF9A-5AD0-4CAB-A3F0-111697B51BB5}"/>
    <hyperlink ref="C640" location="'If all three conditi (enum)'!A1" display="'If all three conditi (enum)" xr:uid="{FADA3899-B377-4263-BB58-14BA4C422828}"/>
    <hyperlink ref="B402" location="'AR Tool 14'!A1" display="'AR Tool 14" xr:uid="{1602F89F-94D5-48A9-95ED-B6AAA72771C8}"/>
    <hyperlink ref="B399" location="CO2_Woody_Biomass_Unit_i!A1" display="CO2_Woody_Biomass_Unit_i" xr:uid="{BDFDAD3F-BFDA-493F-96EB-043E16A276F5}"/>
    <hyperlink ref="B398" location="CO2_Woody_Biomass_CDM!A1" display="CO2_Woody_Biomass_CDM" xr:uid="{5EB57C69-F37E-4EC2-B541-DDE69A3F1ACA}"/>
    <hyperlink ref="B661" location="Leakage!A1" display="Leakage" xr:uid="{905985D4-D7DF-4763-A370-43A183293B16}"/>
    <hyperlink ref="B671" location="Leakage_for_Diversion_of_Manure!A1" display="Leakage_for_Diversion_of_Manure" xr:uid="{F5D4C20C-6A4C-4458-ACBE-C4AD1D6D98E0}"/>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5">
        <x14:dataValidation type="list" allowBlank="1" showInputMessage="1" showErrorMessage="1" xr:uid="{A84196E4-CCF3-419C-A131-AA97E67C17FA}">
          <x14:formula1>
            <xm:f>'Leakage Org Amend (enum)'!$A$3:$A$6</xm:f>
          </x14:formula1>
          <xm:sqref>G662</xm:sqref>
        </x14:dataValidation>
        <x14:dataValidation type="list" allowBlank="1" showInputMessage="1" showErrorMessage="1" xr:uid="{C0CB8B06-4549-4379-BE2D-A6A175FB54FD}">
          <x14:formula1>
            <xm:f>'Leakage Manure Diversion (enum)'!$A$3:$A$4</xm:f>
          </x14:formula1>
          <xm:sqref>G670</xm:sqref>
        </x14:dataValidation>
        <x14:dataValidation type="list" allowBlank="1" showInputMessage="1" showErrorMessage="1" xr:uid="{E3271CAD-7CC1-4868-ADB4-C973A2C194D4}">
          <x14:formula1>
            <xm:f>'N2O (Nitrogen fertilizer (enum)'!$A$3:$A$4</xm:f>
          </x14:formula1>
          <xm:sqref>G33</xm:sqref>
        </x14:dataValidation>
        <x14:dataValidation type="list" allowBlank="1" showInputMessage="1" showErrorMessage="1" xr:uid="{CBBFDC7B-6110-4714-A12C-DC09085B054F}">
          <x14:formula1>
            <xm:f>'SOC (enum)'!$A$3:$A$4</xm:f>
          </x14:formula1>
          <xm:sqref>G34</xm:sqref>
        </x14:dataValidation>
        <x14:dataValidation type="list" allowBlank="1" showInputMessage="1" showErrorMessage="1" xr:uid="{1F09D411-A388-41BB-BC92-10CB2469ACB0}">
          <x14:formula1>
            <xm:f>'Baseline CH4 Source - Bi (enum)'!$A$3:$A$4</xm:f>
          </x14:formula1>
          <xm:sqref>G7</xm:sqref>
        </x14:dataValidation>
        <x14:dataValidation type="list" allowBlank="1" showInputMessage="1" showErrorMessage="1" xr:uid="{94C49283-F64A-458D-957B-9206AE6C3E34}">
          <x14:formula1>
            <xm:f>'Baseline N2O Source - Bi (enum)'!$A$3:$A$4</xm:f>
          </x14:formula1>
          <xm:sqref>G8</xm:sqref>
        </x14:dataValidation>
        <x14:dataValidation type="list" allowBlank="1" showInputMessage="1" showErrorMessage="1" xr:uid="{80D26712-39E0-4BB3-A961-D1A6C5D0D85D}">
          <x14:formula1>
            <xm:f>'Baseline CO2 Source - Fo (enum)'!$A$3:$A$4</xm:f>
          </x14:formula1>
          <xm:sqref>G9</xm:sqref>
        </x14:dataValidation>
        <x14:dataValidation type="list" allowBlank="1" showInputMessage="1" showErrorMessage="1" xr:uid="{EC2F598B-17DF-4B38-B125-AB823A8FCA9E}">
          <x14:formula1>
            <xm:f>'Baseline CH4 Source - Ma (enum)'!$A$3:$A$4</xm:f>
          </x14:formula1>
          <xm:sqref>G10</xm:sqref>
        </x14:dataValidation>
        <x14:dataValidation type="list" allowBlank="1" showInputMessage="1" showErrorMessage="1" xr:uid="{0FC5D883-8A99-4221-B352-4CFAA7456480}">
          <x14:formula1>
            <xm:f>'Baseline N2O Source - Ma (enum)'!$A$3:$A$4</xm:f>
          </x14:formula1>
          <xm:sqref>G11</xm:sqref>
        </x14:dataValidation>
        <x14:dataValidation type="list" allowBlank="1" showInputMessage="1" showErrorMessage="1" xr:uid="{C0159F51-A82D-4BA9-B754-64A8C5EDE020}">
          <x14:formula1>
            <xm:f>'Baseline N2O Source - Us (enum)'!$A$3:$A$4</xm:f>
          </x14:formula1>
          <xm:sqref>G12</xm:sqref>
        </x14:dataValidation>
        <x14:dataValidation type="list" allowBlank="1" showInputMessage="1" showErrorMessage="1" xr:uid="{E2A8DBE3-A88E-40D2-A56D-5CB7CBAD9A4E}">
          <x14:formula1>
            <xm:f>'Baseline CO2 Source - SO (enum)'!$A$3</xm:f>
          </x14:formula1>
          <xm:sqref>G13</xm:sqref>
        </x14:dataValidation>
        <x14:dataValidation type="list" allowBlank="1" showInputMessage="1" showErrorMessage="1" xr:uid="{1E553D0C-4965-436D-BDD8-F9D56FB20452}">
          <x14:formula1>
            <xm:f>'Baseline CH4 Source - So (enum)'!$A$3:$A$4</xm:f>
          </x14:formula1>
          <xm:sqref>G14</xm:sqref>
        </x14:dataValidation>
        <x14:dataValidation type="list" allowBlank="1" showInputMessage="1" showErrorMessage="1" xr:uid="{FB1A5396-FF24-4029-83E5-AF14169F01AF}">
          <x14:formula1>
            <xm:f>'Baseline CO2 Source - Ab (enum)'!$A$3:$A$4</xm:f>
          </x14:formula1>
          <xm:sqref>G15</xm:sqref>
        </x14:dataValidation>
        <x14:dataValidation type="list" allowBlank="1" showInputMessage="1" showErrorMessage="1" xr:uid="{DFF1F0D5-3036-4820-BED5-FED8C83E632E}">
          <x14:formula1>
            <xm:f>'Baseline CH4 Source - En (enum)'!$A$3:$A$4</xm:f>
          </x14:formula1>
          <xm:sqref>G16</xm:sqref>
        </x14:dataValidation>
        <x14:dataValidation type="list" allowBlank="1" showInputMessage="1" showErrorMessage="1" xr:uid="{F2AC57C8-003D-4D17-8638-B3E59A71198F}">
          <x14:formula1>
            <xm:f>'Baseline N2O Source - Fe (enum)'!$A$3:$A$4</xm:f>
          </x14:formula1>
          <xm:sqref>G17</xm:sqref>
        </x14:dataValidation>
        <x14:dataValidation type="list" allowBlank="1" showInputMessage="1" showErrorMessage="1" xr:uid="{DC5A3C81-3586-4C39-958A-69A0837051AD}">
          <x14:formula1>
            <xm:f>'Baseline CO2 Source - Li (enum)'!$A$3:$A$4</xm:f>
          </x14:formula1>
          <xm:sqref>G18</xm:sqref>
        </x14:dataValidation>
        <x14:dataValidation type="list" allowBlank="1" xr:uid="{6653DF2D-144F-468F-843F-1679EF235734}">
          <x14:formula1>
            <xm:f>'If all three conditi (enum)'!$A$3:$A$4</xm:f>
          </x14:formula1>
          <xm:sqref>G520</xm:sqref>
        </x14:dataValidation>
        <x14:dataValidation type="list" allowBlank="1" showInputMessage="1" showErrorMessage="1" xr:uid="{E9F76306-EA64-4918-8F44-98EBC3353875}">
          <x14:formula1>
            <xm:f>'Which method did you (enum)'!$A$3:$A$4</xm:f>
          </x14:formula1>
          <xm:sqref>G515 G635</xm:sqref>
        </x14:dataValidation>
        <x14:dataValidation type="list" allowBlank="1" showInputMessage="1" showErrorMessage="1" xr:uid="{272A6F9D-85B4-4FA3-8D24-34FE1FCFD184}">
          <x14:formula1>
            <xm:f>'Which method did you u (enum)'!$A$3:$A$4</xm:f>
          </x14:formula1>
          <xm:sqref>G404:G405 G542:G543</xm:sqref>
        </x14:dataValidation>
        <x14:dataValidation type="list" allowBlank="1" xr:uid="{D723ADBE-A192-4BAD-A471-F9874ACBCC7F}">
          <x14:formula1>
            <xm:f>'Which method did you us (enum)'!$A$3:$A$6</xm:f>
          </x14:formula1>
          <xm:sqref>G406</xm:sqref>
        </x14:dataValidation>
        <x14:dataValidation type="list" allowBlank="1" xr:uid="{75B80090-BBC7-4B5F-B560-74381DE673E8}">
          <x14:formula1>
            <xm:f>'Which method did you 1 (enum)'!$A$3:$A$6</xm:f>
          </x14:formula1>
          <xm:sqref>G448</xm:sqref>
        </x14:dataValidation>
        <x14:dataValidation type="list" allowBlank="1" xr:uid="{C0BF8D1C-FA0C-4764-81EC-5509531305A7}">
          <x14:formula1>
            <xm:f>'Which method did yous (enum)'!$A$3:$A$5</xm:f>
          </x14:formula1>
          <xm:sqref>G544</xm:sqref>
        </x14:dataValidation>
        <x14:dataValidation type="list" allowBlank="1" xr:uid="{DC2B3364-CFF9-49D4-90D0-D13696BA0FE2}">
          <x14:formula1>
            <xm:f>'Which method did you 2 (enum)'!$A$3:$A$5</xm:f>
          </x14:formula1>
          <xm:sqref>G577</xm:sqref>
        </x14:dataValidation>
        <x14:dataValidation type="list" allowBlank="1" xr:uid="{73C411BB-E4CE-425A-B04B-79AEC001C26D}">
          <x14:formula1>
            <xm:f>'Which sampling design w (enum)'!B418:B419</xm:f>
          </x14:formula1>
          <xm:sqref>G477</xm:sqref>
        </x14:dataValidation>
        <x14:dataValidation type="list" allowBlank="1" xr:uid="{DAE302C1-02CD-41FB-8E98-E8741322D92A}">
          <x14:formula1>
            <xm:f>'Which sampling design w (enum)'!B556:B557</xm:f>
          </x14:formula1>
          <xm:sqref>G597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8B44-9018-4770-96F3-DB25B8AD36A5}">
  <sheetPr>
    <tabColor rgb="FFFFFF00"/>
    <outlinePr summaryBelow="0" summaryRight="0"/>
  </sheetPr>
  <dimension ref="A1:G5"/>
  <sheetViews>
    <sheetView workbookViewId="0">
      <selection activeCell="F16" sqref="F1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604</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 r="A5" s="3" t="s">
        <v>11</v>
      </c>
      <c r="B5" s="3" t="s">
        <v>82</v>
      </c>
      <c r="C5" s="3"/>
      <c r="D5" s="3"/>
      <c r="E5" s="3" t="s">
        <v>605</v>
      </c>
      <c r="F5" s="3" t="s">
        <v>14</v>
      </c>
      <c r="G5" s="3">
        <v>0.15</v>
      </c>
    </row>
  </sheetData>
  <mergeCells count="3">
    <mergeCell ref="A1:G1"/>
    <mergeCell ref="B2:G2"/>
    <mergeCell ref="B3:G3"/>
  </mergeCells>
  <dataValidations count="1">
    <dataValidation type="list" allowBlank="1" showInputMessage="1" showErrorMessage="1" sqref="B3:G3" xr:uid="{938786A3-16EF-4085-85DE-8260D6AA7283}">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55361-1EF8-48E0-B02A-17332903111F}">
  <sheetPr codeName="Sheet99">
    <tabColor rgb="FF7030A0"/>
    <outlinePr summaryBelow="0" summaryRight="0"/>
  </sheetPr>
  <dimension ref="A1:I262"/>
  <sheetViews>
    <sheetView topLeftCell="A227" workbookViewId="0">
      <selection activeCell="C241" sqref="C241"/>
    </sheetView>
  </sheetViews>
  <sheetFormatPr defaultRowHeight="15" outlineLevelRow="6"/>
  <cols>
    <col min="1" max="1" width="20" customWidth="1"/>
    <col min="2" max="2" width="40" customWidth="1"/>
    <col min="3" max="4" width="20" customWidth="1"/>
    <col min="5" max="5" width="70" customWidth="1"/>
    <col min="6" max="6" width="30" customWidth="1"/>
    <col min="7" max="9" width="50" customWidth="1"/>
  </cols>
  <sheetData>
    <row r="1" spans="1:9" ht="18.75">
      <c r="A1" s="35" t="s">
        <v>381</v>
      </c>
      <c r="B1" s="35"/>
      <c r="C1" s="35"/>
      <c r="D1" s="35"/>
      <c r="E1" s="35"/>
      <c r="F1" s="35"/>
      <c r="G1" s="35"/>
      <c r="H1" s="35"/>
      <c r="I1" s="35"/>
    </row>
    <row r="2" spans="1:9" ht="18.75">
      <c r="A2" s="16" t="s">
        <v>1</v>
      </c>
      <c r="B2" s="36" t="s">
        <v>753</v>
      </c>
      <c r="C2" s="36"/>
      <c r="D2" s="36"/>
      <c r="E2" s="36"/>
      <c r="F2" s="36"/>
      <c r="G2" s="36"/>
      <c r="H2" s="36"/>
      <c r="I2" s="36"/>
    </row>
    <row r="3" spans="1:9" ht="18.75">
      <c r="A3" s="16" t="s">
        <v>2</v>
      </c>
      <c r="B3" s="36" t="s">
        <v>3</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0" t="s">
        <v>382</v>
      </c>
      <c r="C5" s="19"/>
      <c r="D5" s="18"/>
      <c r="E5" s="18" t="s">
        <v>383</v>
      </c>
      <c r="F5" s="18" t="s">
        <v>14</v>
      </c>
      <c r="G5" s="18"/>
      <c r="H5" s="18"/>
      <c r="I5" s="18"/>
    </row>
    <row r="6" spans="1:9" ht="29.25" customHeight="1" outlineLevel="1">
      <c r="A6" s="18" t="s">
        <v>11</v>
      </c>
      <c r="B6" s="18" t="s">
        <v>17</v>
      </c>
      <c r="C6" s="10" t="s">
        <v>384</v>
      </c>
      <c r="D6" s="18"/>
      <c r="E6" s="18" t="s">
        <v>385</v>
      </c>
      <c r="F6" s="3" t="s">
        <v>14</v>
      </c>
      <c r="G6" s="18" t="s">
        <v>386</v>
      </c>
      <c r="H6" s="18"/>
      <c r="I6" s="18"/>
    </row>
    <row r="7" spans="1:9" ht="29.25" customHeight="1" outlineLevel="1">
      <c r="A7" s="3" t="s">
        <v>14</v>
      </c>
      <c r="B7" s="10" t="s">
        <v>387</v>
      </c>
      <c r="C7" s="10"/>
      <c r="D7" s="18" t="b">
        <f>EXACT(G6,"Estimating change in carbon stock in trees between two points in time")</f>
        <v>0</v>
      </c>
      <c r="E7" s="18" t="s">
        <v>388</v>
      </c>
      <c r="F7" s="3" t="s">
        <v>14</v>
      </c>
      <c r="G7" s="18"/>
      <c r="H7" s="18"/>
      <c r="I7" s="18"/>
    </row>
    <row r="8" spans="1:9" ht="29.25" customHeight="1" outlineLevel="2">
      <c r="A8" s="18" t="s">
        <v>11</v>
      </c>
      <c r="B8" s="18" t="s">
        <v>17</v>
      </c>
      <c r="C8" s="19" t="s">
        <v>389</v>
      </c>
      <c r="D8" s="18"/>
      <c r="E8" s="18" t="s">
        <v>390</v>
      </c>
      <c r="F8" s="18" t="s">
        <v>14</v>
      </c>
      <c r="G8" s="18" t="s">
        <v>391</v>
      </c>
      <c r="H8" s="18" t="s">
        <v>47</v>
      </c>
      <c r="I8" s="18" t="s">
        <v>47</v>
      </c>
    </row>
    <row r="9" spans="1:9" outlineLevel="2" collapsed="1">
      <c r="A9" s="18" t="s">
        <v>14</v>
      </c>
      <c r="B9" s="10" t="s">
        <v>392</v>
      </c>
      <c r="C9" s="19"/>
      <c r="D9" s="18" t="b">
        <f>EXACT(G8,"no-decrease")</f>
        <v>1</v>
      </c>
      <c r="E9" s="18" t="s">
        <v>393</v>
      </c>
      <c r="F9" s="3" t="s">
        <v>14</v>
      </c>
      <c r="G9" s="18"/>
      <c r="H9" s="18"/>
      <c r="I9" s="18"/>
    </row>
    <row r="10" spans="1:9" ht="165" hidden="1" outlineLevel="3" collapsed="1">
      <c r="A10" s="20" t="s">
        <v>14</v>
      </c>
      <c r="B10" s="20" t="s">
        <v>44</v>
      </c>
      <c r="C10" s="20"/>
      <c r="D10" s="20"/>
      <c r="E10" s="20" t="s">
        <v>394</v>
      </c>
      <c r="F10" s="4" t="s">
        <v>14</v>
      </c>
      <c r="G10" s="20"/>
      <c r="H10" s="20"/>
      <c r="I10" s="20"/>
    </row>
    <row r="11" spans="1:9" ht="60" hidden="1" outlineLevel="3" collapsed="1">
      <c r="A11" s="20" t="s">
        <v>11</v>
      </c>
      <c r="B11" s="20" t="s">
        <v>17</v>
      </c>
      <c r="C11" s="21" t="s">
        <v>395</v>
      </c>
      <c r="D11" s="20"/>
      <c r="E11" s="20" t="s">
        <v>396</v>
      </c>
      <c r="F11" s="4" t="s">
        <v>14</v>
      </c>
      <c r="G11" s="20"/>
      <c r="H11" s="20"/>
      <c r="I11" s="20"/>
    </row>
    <row r="12" spans="1:9" outlineLevel="2" collapsed="1">
      <c r="A12" s="18" t="s">
        <v>14</v>
      </c>
      <c r="B12" s="10" t="s">
        <v>397</v>
      </c>
      <c r="C12" s="18" t="s">
        <v>47</v>
      </c>
      <c r="D12" s="18" t="b">
        <f>EXACT(G8,"Estimation by proportionate crown cover")</f>
        <v>0</v>
      </c>
      <c r="E12" s="18" t="s">
        <v>398</v>
      </c>
      <c r="F12" s="18" t="s">
        <v>14</v>
      </c>
      <c r="G12" s="18" t="s">
        <v>47</v>
      </c>
      <c r="H12" s="18" t="s">
        <v>47</v>
      </c>
      <c r="I12" s="18" t="s">
        <v>47</v>
      </c>
    </row>
    <row r="13" spans="1:9" ht="30" hidden="1" outlineLevel="3" collapsed="1">
      <c r="A13" s="20" t="s">
        <v>14</v>
      </c>
      <c r="B13" s="20" t="s">
        <v>82</v>
      </c>
      <c r="C13" s="20" t="s">
        <v>47</v>
      </c>
      <c r="D13" s="20" t="s">
        <v>399</v>
      </c>
      <c r="E13" s="20" t="s">
        <v>400</v>
      </c>
      <c r="F13" s="20" t="s">
        <v>14</v>
      </c>
      <c r="G13" s="20">
        <f>SUM(G15)</f>
        <v>7.333333333333333</v>
      </c>
      <c r="H13" s="20" t="s">
        <v>47</v>
      </c>
      <c r="I13" s="20" t="s">
        <v>47</v>
      </c>
    </row>
    <row r="14" spans="1:9" hidden="1" outlineLevel="3">
      <c r="A14" s="22" t="s">
        <v>11</v>
      </c>
      <c r="B14" s="23" t="s">
        <v>402</v>
      </c>
      <c r="C14" s="22" t="s">
        <v>47</v>
      </c>
      <c r="D14" s="22"/>
      <c r="E14" s="22" t="s">
        <v>403</v>
      </c>
      <c r="F14" s="22" t="s">
        <v>11</v>
      </c>
      <c r="G14" s="22" t="s">
        <v>47</v>
      </c>
      <c r="H14" s="22" t="s">
        <v>47</v>
      </c>
      <c r="I14" s="22" t="s">
        <v>47</v>
      </c>
    </row>
    <row r="15" spans="1:9" ht="30" hidden="1" outlineLevel="4" collapsed="1">
      <c r="A15" s="20" t="s">
        <v>14</v>
      </c>
      <c r="B15" s="20" t="s">
        <v>82</v>
      </c>
      <c r="C15" s="20" t="s">
        <v>47</v>
      </c>
      <c r="D15" s="20" t="s">
        <v>399</v>
      </c>
      <c r="E15" s="20" t="s">
        <v>404</v>
      </c>
      <c r="F15" s="20" t="s">
        <v>14</v>
      </c>
      <c r="G15" s="20">
        <f>44/12*G16*G17*(1+G18)*G19*G20</f>
        <v>7.333333333333333</v>
      </c>
      <c r="H15" s="20" t="s">
        <v>47</v>
      </c>
      <c r="I15" s="20" t="s">
        <v>47</v>
      </c>
    </row>
    <row r="16" spans="1:9" hidden="1" outlineLevel="4" collapsed="1">
      <c r="A16" s="20" t="s">
        <v>11</v>
      </c>
      <c r="B16" s="20" t="s">
        <v>82</v>
      </c>
      <c r="C16" s="20" t="s">
        <v>47</v>
      </c>
      <c r="D16" s="20"/>
      <c r="E16" s="20" t="s">
        <v>405</v>
      </c>
      <c r="F16" s="20" t="s">
        <v>14</v>
      </c>
      <c r="G16" s="20">
        <v>1</v>
      </c>
      <c r="H16" s="20" t="s">
        <v>47</v>
      </c>
      <c r="I16" s="20" t="s">
        <v>47</v>
      </c>
    </row>
    <row r="17" spans="1:9" ht="30" hidden="1" outlineLevel="4" collapsed="1">
      <c r="A17" s="20" t="s">
        <v>11</v>
      </c>
      <c r="B17" s="20" t="s">
        <v>82</v>
      </c>
      <c r="C17" s="20" t="s">
        <v>47</v>
      </c>
      <c r="D17" s="20"/>
      <c r="E17" s="20" t="s">
        <v>406</v>
      </c>
      <c r="F17" s="20" t="s">
        <v>14</v>
      </c>
      <c r="G17" s="20">
        <v>1</v>
      </c>
      <c r="H17" s="20" t="s">
        <v>47</v>
      </c>
      <c r="I17" s="20" t="s">
        <v>47</v>
      </c>
    </row>
    <row r="18" spans="1:9" hidden="1" outlineLevel="4" collapsed="1">
      <c r="A18" s="20" t="s">
        <v>11</v>
      </c>
      <c r="B18" s="20" t="s">
        <v>82</v>
      </c>
      <c r="C18" s="20" t="s">
        <v>47</v>
      </c>
      <c r="D18" s="20"/>
      <c r="E18" s="20" t="s">
        <v>407</v>
      </c>
      <c r="F18" s="20" t="s">
        <v>14</v>
      </c>
      <c r="G18" s="20">
        <v>1</v>
      </c>
      <c r="H18" s="20" t="s">
        <v>47</v>
      </c>
      <c r="I18" s="20" t="s">
        <v>47</v>
      </c>
    </row>
    <row r="19" spans="1:9" ht="30" hidden="1" outlineLevel="4" collapsed="1">
      <c r="A19" s="20" t="s">
        <v>11</v>
      </c>
      <c r="B19" s="20" t="s">
        <v>82</v>
      </c>
      <c r="C19" s="20" t="s">
        <v>47</v>
      </c>
      <c r="D19" s="20"/>
      <c r="E19" s="20" t="s">
        <v>408</v>
      </c>
      <c r="F19" s="20" t="s">
        <v>14</v>
      </c>
      <c r="G19" s="20">
        <v>1</v>
      </c>
      <c r="H19" s="20" t="s">
        <v>47</v>
      </c>
      <c r="I19" s="20" t="s">
        <v>47</v>
      </c>
    </row>
    <row r="20" spans="1:9" ht="30" hidden="1" outlineLevel="4" collapsed="1">
      <c r="A20" s="20" t="s">
        <v>11</v>
      </c>
      <c r="B20" s="20" t="s">
        <v>82</v>
      </c>
      <c r="C20" s="20" t="s">
        <v>47</v>
      </c>
      <c r="D20" s="20"/>
      <c r="E20" s="20" t="s">
        <v>409</v>
      </c>
      <c r="F20" s="20" t="s">
        <v>14</v>
      </c>
      <c r="G20" s="20">
        <v>1</v>
      </c>
      <c r="H20" s="20" t="s">
        <v>47</v>
      </c>
      <c r="I20" s="20" t="s">
        <v>47</v>
      </c>
    </row>
    <row r="21" spans="1:9" outlineLevel="2" collapsed="1">
      <c r="A21" s="18" t="s">
        <v>14</v>
      </c>
      <c r="B21" s="10" t="s">
        <v>410</v>
      </c>
      <c r="C21" s="18" t="s">
        <v>47</v>
      </c>
      <c r="D21" s="18" t="b">
        <f>EXACT(G8,"Direct estimation of change by re-measurement of sample plots")</f>
        <v>0</v>
      </c>
      <c r="E21" s="18" t="s">
        <v>411</v>
      </c>
      <c r="F21" s="18" t="s">
        <v>14</v>
      </c>
      <c r="G21" s="18" t="s">
        <v>47</v>
      </c>
      <c r="H21" s="18" t="s">
        <v>47</v>
      </c>
      <c r="I21" s="18" t="s">
        <v>47</v>
      </c>
    </row>
    <row r="22" spans="1:9" hidden="1" outlineLevel="3" collapsed="1">
      <c r="A22" s="20" t="s">
        <v>14</v>
      </c>
      <c r="B22" s="20" t="s">
        <v>82</v>
      </c>
      <c r="C22" s="20" t="s">
        <v>47</v>
      </c>
      <c r="D22" s="20" t="s">
        <v>399</v>
      </c>
      <c r="E22" s="20" t="s">
        <v>412</v>
      </c>
      <c r="F22" s="20" t="s">
        <v>14</v>
      </c>
      <c r="G22" s="20">
        <f>44/12*G23*G24</f>
        <v>3.6666666666666665</v>
      </c>
      <c r="H22" s="20" t="s">
        <v>47</v>
      </c>
      <c r="I22" s="20" t="s">
        <v>47</v>
      </c>
    </row>
    <row r="23" spans="1:9" hidden="1" outlineLevel="3" collapsed="1">
      <c r="A23" s="20" t="s">
        <v>11</v>
      </c>
      <c r="B23" s="20" t="s">
        <v>82</v>
      </c>
      <c r="C23" s="20" t="s">
        <v>47</v>
      </c>
      <c r="D23" s="20"/>
      <c r="E23" s="20" t="s">
        <v>405</v>
      </c>
      <c r="F23" s="20" t="s">
        <v>14</v>
      </c>
      <c r="G23" s="20">
        <v>1</v>
      </c>
      <c r="H23" s="20" t="s">
        <v>47</v>
      </c>
      <c r="I23" s="20" t="s">
        <v>47</v>
      </c>
    </row>
    <row r="24" spans="1:9" ht="30" hidden="1" outlineLevel="3" collapsed="1">
      <c r="A24" s="20" t="s">
        <v>14</v>
      </c>
      <c r="B24" s="20" t="s">
        <v>82</v>
      </c>
      <c r="C24" s="20" t="s">
        <v>47</v>
      </c>
      <c r="D24" s="20" t="s">
        <v>399</v>
      </c>
      <c r="E24" s="20" t="s">
        <v>413</v>
      </c>
      <c r="F24" s="20" t="s">
        <v>14</v>
      </c>
      <c r="G24" s="20">
        <f>G26*G25</f>
        <v>1</v>
      </c>
      <c r="H24" s="20" t="s">
        <v>47</v>
      </c>
      <c r="I24" s="20" t="s">
        <v>47</v>
      </c>
    </row>
    <row r="25" spans="1:9" ht="30" hidden="1" outlineLevel="3" collapsed="1">
      <c r="A25" s="20" t="s">
        <v>14</v>
      </c>
      <c r="B25" s="20" t="s">
        <v>82</v>
      </c>
      <c r="C25" s="20" t="s">
        <v>47</v>
      </c>
      <c r="D25" s="20" t="s">
        <v>399</v>
      </c>
      <c r="E25" s="20" t="s">
        <v>414</v>
      </c>
      <c r="F25" s="20" t="s">
        <v>14</v>
      </c>
      <c r="G25" s="20">
        <f>SUM((G31*G30))</f>
        <v>1</v>
      </c>
      <c r="H25" s="20" t="s">
        <v>47</v>
      </c>
      <c r="I25" s="20" t="s">
        <v>47</v>
      </c>
    </row>
    <row r="26" spans="1:9" hidden="1" outlineLevel="3" collapsed="1">
      <c r="A26" s="20" t="s">
        <v>11</v>
      </c>
      <c r="B26" s="20" t="s">
        <v>82</v>
      </c>
      <c r="C26" s="20" t="s">
        <v>47</v>
      </c>
      <c r="D26" s="20"/>
      <c r="E26" s="20" t="s">
        <v>415</v>
      </c>
      <c r="F26" s="20" t="s">
        <v>14</v>
      </c>
      <c r="G26" s="20">
        <v>1</v>
      </c>
      <c r="H26" s="20" t="s">
        <v>47</v>
      </c>
      <c r="I26" s="20" t="s">
        <v>47</v>
      </c>
    </row>
    <row r="27" spans="1:9" hidden="1" outlineLevel="3" collapsed="1">
      <c r="A27" s="20" t="s">
        <v>11</v>
      </c>
      <c r="B27" s="20" t="s">
        <v>82</v>
      </c>
      <c r="C27" s="20" t="s">
        <v>47</v>
      </c>
      <c r="D27" s="20"/>
      <c r="E27" s="20" t="s">
        <v>416</v>
      </c>
      <c r="F27" s="20" t="s">
        <v>14</v>
      </c>
      <c r="G27" s="20">
        <v>1</v>
      </c>
      <c r="H27" s="20" t="s">
        <v>47</v>
      </c>
      <c r="I27" s="20" t="s">
        <v>47</v>
      </c>
    </row>
    <row r="28" spans="1:9" hidden="1" outlineLevel="3" collapsed="1">
      <c r="A28" s="20" t="s">
        <v>11</v>
      </c>
      <c r="B28" s="20" t="s">
        <v>82</v>
      </c>
      <c r="C28" s="20" t="s">
        <v>47</v>
      </c>
      <c r="D28" s="20"/>
      <c r="E28" s="20" t="s">
        <v>417</v>
      </c>
      <c r="F28" s="20" t="s">
        <v>14</v>
      </c>
      <c r="G28" s="20">
        <v>1</v>
      </c>
      <c r="H28" s="20" t="s">
        <v>47</v>
      </c>
      <c r="I28" s="20" t="s">
        <v>47</v>
      </c>
    </row>
    <row r="29" spans="1:9" ht="30" hidden="1" outlineLevel="3">
      <c r="A29" s="22" t="s">
        <v>11</v>
      </c>
      <c r="B29" s="23" t="s">
        <v>418</v>
      </c>
      <c r="C29" s="22" t="s">
        <v>47</v>
      </c>
      <c r="D29" s="22"/>
      <c r="E29" s="22" t="s">
        <v>419</v>
      </c>
      <c r="F29" s="22" t="s">
        <v>11</v>
      </c>
      <c r="G29" s="22" t="s">
        <v>47</v>
      </c>
      <c r="H29" s="22" t="s">
        <v>47</v>
      </c>
      <c r="I29" s="22" t="s">
        <v>47</v>
      </c>
    </row>
    <row r="30" spans="1:9" ht="30" hidden="1" outlineLevel="4" collapsed="1">
      <c r="A30" s="20" t="s">
        <v>14</v>
      </c>
      <c r="B30" s="20" t="s">
        <v>82</v>
      </c>
      <c r="C30" s="20" t="s">
        <v>47</v>
      </c>
      <c r="D30" s="4" t="s">
        <v>399</v>
      </c>
      <c r="E30" s="20" t="s">
        <v>420</v>
      </c>
      <c r="F30" s="20" t="s">
        <v>14</v>
      </c>
      <c r="G30" s="20">
        <f>(SUM(G35))/G33</f>
        <v>1</v>
      </c>
      <c r="H30" s="20" t="s">
        <v>47</v>
      </c>
      <c r="I30" s="20" t="s">
        <v>47</v>
      </c>
    </row>
    <row r="31" spans="1:9" ht="30" hidden="1" outlineLevel="4" collapsed="1">
      <c r="A31" s="20" t="s">
        <v>11</v>
      </c>
      <c r="B31" s="20" t="s">
        <v>82</v>
      </c>
      <c r="C31" s="20" t="s">
        <v>47</v>
      </c>
      <c r="D31" s="20"/>
      <c r="E31" s="20" t="s">
        <v>421</v>
      </c>
      <c r="F31" s="20" t="s">
        <v>14</v>
      </c>
      <c r="G31" s="20">
        <v>1</v>
      </c>
      <c r="H31" s="20" t="s">
        <v>47</v>
      </c>
      <c r="I31" s="20" t="s">
        <v>47</v>
      </c>
    </row>
    <row r="32" spans="1:9" ht="30" hidden="1" outlineLevel="4" collapsed="1">
      <c r="A32" s="20" t="s">
        <v>11</v>
      </c>
      <c r="B32" s="20" t="s">
        <v>82</v>
      </c>
      <c r="C32" s="20" t="s">
        <v>47</v>
      </c>
      <c r="D32" s="20"/>
      <c r="E32" s="20" t="s">
        <v>422</v>
      </c>
      <c r="F32" s="20" t="s">
        <v>14</v>
      </c>
      <c r="G32" s="20">
        <v>1</v>
      </c>
      <c r="H32" s="20" t="s">
        <v>47</v>
      </c>
      <c r="I32" s="20" t="s">
        <v>47</v>
      </c>
    </row>
    <row r="33" spans="1:9" ht="30" hidden="1" outlineLevel="4" collapsed="1">
      <c r="A33" s="20" t="s">
        <v>11</v>
      </c>
      <c r="B33" s="20" t="s">
        <v>82</v>
      </c>
      <c r="C33" s="20" t="s">
        <v>47</v>
      </c>
      <c r="D33" s="20"/>
      <c r="E33" s="20" t="s">
        <v>423</v>
      </c>
      <c r="F33" s="20" t="s">
        <v>14</v>
      </c>
      <c r="G33" s="20">
        <v>1</v>
      </c>
      <c r="H33" s="20" t="s">
        <v>47</v>
      </c>
      <c r="I33" s="20" t="s">
        <v>47</v>
      </c>
    </row>
    <row r="34" spans="1:9" hidden="1" outlineLevel="4" collapsed="1">
      <c r="A34" s="22" t="s">
        <v>11</v>
      </c>
      <c r="B34" s="23" t="s">
        <v>424</v>
      </c>
      <c r="C34" s="22"/>
      <c r="D34" s="22"/>
      <c r="E34" s="22" t="s">
        <v>425</v>
      </c>
      <c r="F34" s="22" t="s">
        <v>11</v>
      </c>
      <c r="G34" s="22"/>
      <c r="H34" s="22"/>
      <c r="I34" s="22"/>
    </row>
    <row r="35" spans="1:9" s="25" customFormat="1" ht="30" hidden="1" outlineLevel="5" collapsed="1">
      <c r="A35" s="24" t="s">
        <v>11</v>
      </c>
      <c r="B35" s="24" t="s">
        <v>82</v>
      </c>
      <c r="C35" s="24" t="s">
        <v>47</v>
      </c>
      <c r="D35" s="24"/>
      <c r="E35" s="24" t="s">
        <v>426</v>
      </c>
      <c r="F35" s="24" t="s">
        <v>14</v>
      </c>
      <c r="G35" s="24">
        <v>1</v>
      </c>
      <c r="H35" s="24" t="s">
        <v>47</v>
      </c>
      <c r="I35" s="24" t="s">
        <v>47</v>
      </c>
    </row>
    <row r="36" spans="1:9" outlineLevel="2" collapsed="1">
      <c r="A36" s="18" t="s">
        <v>14</v>
      </c>
      <c r="B36" s="10" t="s">
        <v>427</v>
      </c>
      <c r="C36" s="18" t="s">
        <v>47</v>
      </c>
      <c r="D36" s="18" t="b">
        <f>EXACT(G8,"Difference of two independent stock estimations")</f>
        <v>0</v>
      </c>
      <c r="E36" s="18" t="s">
        <v>428</v>
      </c>
      <c r="F36" s="18" t="s">
        <v>14</v>
      </c>
      <c r="G36" s="18" t="s">
        <v>47</v>
      </c>
      <c r="H36" s="18" t="s">
        <v>47</v>
      </c>
      <c r="I36" s="18" t="s">
        <v>47</v>
      </c>
    </row>
    <row r="37" spans="1:9" hidden="1" outlineLevel="4" collapsed="1">
      <c r="A37" s="20" t="s">
        <v>11</v>
      </c>
      <c r="B37" s="20" t="s">
        <v>82</v>
      </c>
      <c r="C37" s="20" t="s">
        <v>47</v>
      </c>
      <c r="D37" s="20"/>
      <c r="E37" s="20" t="s">
        <v>429</v>
      </c>
      <c r="F37" s="20" t="s">
        <v>14</v>
      </c>
      <c r="G37" s="20">
        <v>1</v>
      </c>
      <c r="H37" s="20" t="s">
        <v>47</v>
      </c>
      <c r="I37" s="20" t="s">
        <v>47</v>
      </c>
    </row>
    <row r="38" spans="1:9" hidden="1" outlineLevel="4" collapsed="1">
      <c r="A38" s="20" t="s">
        <v>11</v>
      </c>
      <c r="B38" s="20" t="s">
        <v>82</v>
      </c>
      <c r="C38" s="20" t="s">
        <v>47</v>
      </c>
      <c r="D38" s="20"/>
      <c r="E38" s="20" t="s">
        <v>430</v>
      </c>
      <c r="F38" s="20" t="s">
        <v>14</v>
      </c>
      <c r="G38" s="20">
        <v>1</v>
      </c>
      <c r="H38" s="20" t="s">
        <v>47</v>
      </c>
      <c r="I38" s="20" t="s">
        <v>47</v>
      </c>
    </row>
    <row r="39" spans="1:9" hidden="1" outlineLevel="4" collapsed="1">
      <c r="A39" s="20" t="s">
        <v>11</v>
      </c>
      <c r="B39" s="20" t="s">
        <v>82</v>
      </c>
      <c r="C39" s="20" t="s">
        <v>47</v>
      </c>
      <c r="D39" s="20"/>
      <c r="E39" s="20" t="s">
        <v>431</v>
      </c>
      <c r="F39" s="20" t="s">
        <v>14</v>
      </c>
      <c r="G39" s="20">
        <v>1</v>
      </c>
      <c r="H39" s="20" t="s">
        <v>47</v>
      </c>
      <c r="I39" s="20" t="s">
        <v>47</v>
      </c>
    </row>
    <row r="40" spans="1:9" hidden="1" outlineLevel="4" collapsed="1">
      <c r="A40" s="20" t="s">
        <v>11</v>
      </c>
      <c r="B40" s="20" t="s">
        <v>82</v>
      </c>
      <c r="C40" s="20" t="s">
        <v>47</v>
      </c>
      <c r="D40" s="20"/>
      <c r="E40" s="20" t="s">
        <v>432</v>
      </c>
      <c r="F40" s="20" t="s">
        <v>14</v>
      </c>
      <c r="G40" s="20">
        <v>1</v>
      </c>
      <c r="H40" s="20" t="s">
        <v>47</v>
      </c>
      <c r="I40" s="20" t="s">
        <v>47</v>
      </c>
    </row>
    <row r="41" spans="1:9" hidden="1" outlineLevel="4" collapsed="1">
      <c r="A41" s="20" t="s">
        <v>14</v>
      </c>
      <c r="B41" s="20" t="s">
        <v>82</v>
      </c>
      <c r="C41" s="20" t="s">
        <v>47</v>
      </c>
      <c r="D41" s="20" t="s">
        <v>399</v>
      </c>
      <c r="E41" s="24" t="s">
        <v>433</v>
      </c>
      <c r="F41" s="20" t="s">
        <v>14</v>
      </c>
      <c r="G41" s="20" t="e">
        <f>(SQRT((G39*G37)^2+(G40*G38)^2))/G42</f>
        <v>#DIV/0!</v>
      </c>
      <c r="H41" s="20" t="s">
        <v>47</v>
      </c>
      <c r="I41" s="20" t="s">
        <v>47</v>
      </c>
    </row>
    <row r="42" spans="1:9" hidden="1" outlineLevel="4" collapsed="1">
      <c r="A42" s="20" t="s">
        <v>14</v>
      </c>
      <c r="B42" s="20" t="s">
        <v>82</v>
      </c>
      <c r="C42" s="20" t="s">
        <v>47</v>
      </c>
      <c r="D42" s="20" t="s">
        <v>399</v>
      </c>
      <c r="E42" s="24" t="s">
        <v>434</v>
      </c>
      <c r="F42" s="20" t="s">
        <v>14</v>
      </c>
      <c r="G42" s="20">
        <f>G38-G37</f>
        <v>0</v>
      </c>
      <c r="H42" s="20" t="s">
        <v>47</v>
      </c>
      <c r="I42" s="20" t="s">
        <v>47</v>
      </c>
    </row>
    <row r="43" spans="1:9" hidden="1" outlineLevel="4" collapsed="1">
      <c r="A43" s="20" t="s">
        <v>11</v>
      </c>
      <c r="B43" s="20" t="s">
        <v>82</v>
      </c>
      <c r="C43" s="20" t="s">
        <v>47</v>
      </c>
      <c r="D43" s="20"/>
      <c r="E43" s="20" t="s">
        <v>435</v>
      </c>
      <c r="F43" s="20" t="s">
        <v>14</v>
      </c>
      <c r="G43" s="26">
        <v>7.0000000000000007E-2</v>
      </c>
      <c r="H43" s="20" t="s">
        <v>47</v>
      </c>
      <c r="I43" s="20" t="s">
        <v>47</v>
      </c>
    </row>
    <row r="44" spans="1:9" outlineLevel="1" collapsed="1">
      <c r="A44" s="3" t="s">
        <v>14</v>
      </c>
      <c r="B44" s="10" t="s">
        <v>436</v>
      </c>
      <c r="C44" s="18" t="s">
        <v>47</v>
      </c>
      <c r="D44" s="18" t="b">
        <f>EXACT(G6,"Estimating change in carbon stock in trees in a year")</f>
        <v>1</v>
      </c>
      <c r="E44" s="18" t="s">
        <v>386</v>
      </c>
      <c r="F44" s="18" t="s">
        <v>14</v>
      </c>
      <c r="G44" s="18" t="s">
        <v>47</v>
      </c>
      <c r="H44" s="18" t="s">
        <v>47</v>
      </c>
      <c r="I44" s="18" t="s">
        <v>47</v>
      </c>
    </row>
    <row r="45" spans="1:9" ht="30" hidden="1" outlineLevel="2" collapsed="1">
      <c r="A45" s="20" t="s">
        <v>14</v>
      </c>
      <c r="B45" s="20" t="s">
        <v>82</v>
      </c>
      <c r="C45" s="20" t="s">
        <v>47</v>
      </c>
      <c r="D45" s="20" t="s">
        <v>399</v>
      </c>
      <c r="E45" s="20" t="s">
        <v>437</v>
      </c>
      <c r="F45" s="20" t="s">
        <v>14</v>
      </c>
      <c r="G45" s="20">
        <f>(G46-G47/G48)*1</f>
        <v>1</v>
      </c>
      <c r="H45" s="20" t="s">
        <v>47</v>
      </c>
      <c r="I45" s="20" t="s">
        <v>47</v>
      </c>
    </row>
    <row r="46" spans="1:9" ht="30" hidden="1" outlineLevel="2" collapsed="1">
      <c r="A46" s="20" t="s">
        <v>11</v>
      </c>
      <c r="B46" s="20" t="s">
        <v>82</v>
      </c>
      <c r="C46" s="20" t="s">
        <v>47</v>
      </c>
      <c r="D46" s="20"/>
      <c r="E46" s="20" t="s">
        <v>438</v>
      </c>
      <c r="F46" s="20" t="s">
        <v>14</v>
      </c>
      <c r="G46" s="20">
        <v>1</v>
      </c>
      <c r="H46" s="20" t="s">
        <v>47</v>
      </c>
      <c r="I46" s="20" t="s">
        <v>47</v>
      </c>
    </row>
    <row r="47" spans="1:9" ht="30" hidden="1" outlineLevel="2" collapsed="1">
      <c r="A47" s="20" t="s">
        <v>11</v>
      </c>
      <c r="B47" s="20" t="s">
        <v>82</v>
      </c>
      <c r="C47" s="20" t="s">
        <v>47</v>
      </c>
      <c r="D47" s="20"/>
      <c r="E47" s="20" t="s">
        <v>439</v>
      </c>
      <c r="F47" s="20" t="s">
        <v>14</v>
      </c>
      <c r="G47" s="20"/>
      <c r="H47" s="20" t="s">
        <v>47</v>
      </c>
      <c r="I47" s="20" t="s">
        <v>47</v>
      </c>
    </row>
    <row r="48" spans="1:9" hidden="1" outlineLevel="2" collapsed="1">
      <c r="A48" s="20" t="s">
        <v>11</v>
      </c>
      <c r="B48" s="20" t="s">
        <v>82</v>
      </c>
      <c r="C48" s="20" t="s">
        <v>47</v>
      </c>
      <c r="D48" s="20"/>
      <c r="E48" s="20" t="s">
        <v>440</v>
      </c>
      <c r="F48" s="20" t="s">
        <v>14</v>
      </c>
      <c r="G48" s="20">
        <v>1</v>
      </c>
      <c r="H48" s="20" t="s">
        <v>47</v>
      </c>
      <c r="I48" s="20" t="s">
        <v>47</v>
      </c>
    </row>
    <row r="49" spans="1:9" outlineLevel="1" collapsed="1">
      <c r="A49" s="3" t="s">
        <v>11</v>
      </c>
      <c r="B49" s="10" t="s">
        <v>441</v>
      </c>
      <c r="C49" s="18" t="s">
        <v>47</v>
      </c>
      <c r="D49" s="18"/>
      <c r="E49" s="18" t="s">
        <v>442</v>
      </c>
      <c r="F49" s="18" t="s">
        <v>14</v>
      </c>
      <c r="G49" s="18" t="s">
        <v>47</v>
      </c>
      <c r="H49" s="18" t="s">
        <v>47</v>
      </c>
      <c r="I49" s="18" t="s">
        <v>47</v>
      </c>
    </row>
    <row r="50" spans="1:9" ht="30" hidden="1" outlineLevel="2" collapsed="1">
      <c r="A50" s="20" t="s">
        <v>11</v>
      </c>
      <c r="B50" s="20" t="s">
        <v>17</v>
      </c>
      <c r="C50" s="21" t="s">
        <v>443</v>
      </c>
      <c r="D50" s="20"/>
      <c r="E50" s="20" t="s">
        <v>444</v>
      </c>
      <c r="F50" s="20" t="s">
        <v>14</v>
      </c>
      <c r="G50" s="20" t="s">
        <v>445</v>
      </c>
      <c r="H50" s="20" t="s">
        <v>47</v>
      </c>
      <c r="I50" s="20" t="s">
        <v>47</v>
      </c>
    </row>
    <row r="51" spans="1:9" hidden="1" outlineLevel="2">
      <c r="A51" s="22" t="s">
        <v>14</v>
      </c>
      <c r="B51" s="23" t="s">
        <v>446</v>
      </c>
      <c r="C51" s="22" t="s">
        <v>47</v>
      </c>
      <c r="D51" s="22" t="b">
        <f>EXACT(G50,"Updating the previous stock by independent measurement of change")</f>
        <v>0</v>
      </c>
      <c r="E51" s="22" t="s">
        <v>447</v>
      </c>
      <c r="F51" s="22" t="s">
        <v>14</v>
      </c>
      <c r="G51" s="22" t="s">
        <v>47</v>
      </c>
      <c r="H51" s="22" t="s">
        <v>47</v>
      </c>
      <c r="I51" s="22" t="s">
        <v>47</v>
      </c>
    </row>
    <row r="52" spans="1:9" hidden="1" outlineLevel="3" collapsed="1">
      <c r="A52" s="20" t="s">
        <v>14</v>
      </c>
      <c r="B52" s="20" t="s">
        <v>82</v>
      </c>
      <c r="C52" s="20" t="s">
        <v>47</v>
      </c>
      <c r="D52" s="20" t="s">
        <v>399</v>
      </c>
      <c r="E52" s="20" t="s">
        <v>448</v>
      </c>
      <c r="F52" s="20" t="s">
        <v>14</v>
      </c>
      <c r="G52" s="20" t="e">
        <f>E53+E54</f>
        <v>#VALUE!</v>
      </c>
      <c r="H52" s="20" t="s">
        <v>47</v>
      </c>
      <c r="I52" s="20" t="s">
        <v>47</v>
      </c>
    </row>
    <row r="53" spans="1:9" ht="30" hidden="1" outlineLevel="3" collapsed="1">
      <c r="A53" s="20" t="s">
        <v>11</v>
      </c>
      <c r="B53" s="20" t="s">
        <v>82</v>
      </c>
      <c r="C53" s="20" t="s">
        <v>47</v>
      </c>
      <c r="D53" s="20"/>
      <c r="E53" s="20" t="s">
        <v>449</v>
      </c>
      <c r="F53" s="20" t="s">
        <v>14</v>
      </c>
      <c r="G53" s="20">
        <v>1</v>
      </c>
      <c r="H53" s="20" t="s">
        <v>47</v>
      </c>
      <c r="I53" s="20" t="s">
        <v>47</v>
      </c>
    </row>
    <row r="54" spans="1:9" ht="30" hidden="1" outlineLevel="3" collapsed="1">
      <c r="A54" s="20" t="s">
        <v>11</v>
      </c>
      <c r="B54" s="20" t="s">
        <v>82</v>
      </c>
      <c r="C54" s="20" t="s">
        <v>47</v>
      </c>
      <c r="D54" s="20"/>
      <c r="E54" s="20" t="s">
        <v>450</v>
      </c>
      <c r="F54" s="20" t="s">
        <v>14</v>
      </c>
      <c r="G54" s="20">
        <v>1</v>
      </c>
      <c r="H54" s="20" t="s">
        <v>47</v>
      </c>
      <c r="I54" s="20" t="s">
        <v>47</v>
      </c>
    </row>
    <row r="55" spans="1:9" hidden="1" outlineLevel="3" collapsed="1">
      <c r="A55" s="20" t="s">
        <v>11</v>
      </c>
      <c r="B55" s="20" t="s">
        <v>82</v>
      </c>
      <c r="C55" s="20" t="s">
        <v>47</v>
      </c>
      <c r="D55" s="20"/>
      <c r="E55" s="20" t="s">
        <v>451</v>
      </c>
      <c r="F55" s="20" t="s">
        <v>14</v>
      </c>
      <c r="G55" s="20"/>
      <c r="H55" s="20" t="s">
        <v>47</v>
      </c>
      <c r="I55" s="20" t="s">
        <v>47</v>
      </c>
    </row>
    <row r="56" spans="1:9" ht="30" hidden="1" outlineLevel="3" collapsed="1">
      <c r="A56" s="20" t="s">
        <v>14</v>
      </c>
      <c r="B56" s="20" t="s">
        <v>82</v>
      </c>
      <c r="C56" s="20" t="s">
        <v>47</v>
      </c>
      <c r="D56" s="20" t="s">
        <v>399</v>
      </c>
      <c r="E56" s="20" t="s">
        <v>452</v>
      </c>
      <c r="F56" s="20" t="s">
        <v>14</v>
      </c>
      <c r="G56" s="20" t="e">
        <f>(SQRT((G57*G53)^2+(G55*G54)^2))/G52</f>
        <v>#VALUE!</v>
      </c>
      <c r="H56" s="20" t="s">
        <v>47</v>
      </c>
      <c r="I56" s="20" t="s">
        <v>47</v>
      </c>
    </row>
    <row r="57" spans="1:9" ht="30" hidden="1" outlineLevel="3" collapsed="1">
      <c r="A57" s="20" t="s">
        <v>11</v>
      </c>
      <c r="B57" s="20" t="s">
        <v>82</v>
      </c>
      <c r="C57" s="20" t="s">
        <v>47</v>
      </c>
      <c r="D57" s="20"/>
      <c r="E57" s="20" t="s">
        <v>453</v>
      </c>
      <c r="F57" s="20" t="s">
        <v>14</v>
      </c>
      <c r="G57" s="20">
        <v>1</v>
      </c>
      <c r="H57" s="20" t="s">
        <v>47</v>
      </c>
      <c r="I57" s="20" t="s">
        <v>47</v>
      </c>
    </row>
    <row r="58" spans="1:9" hidden="1" outlineLevel="2">
      <c r="A58" s="22" t="s">
        <v>14</v>
      </c>
      <c r="B58" s="23" t="s">
        <v>454</v>
      </c>
      <c r="C58" s="22"/>
      <c r="D58" s="22" t="b">
        <f>EXACT(G50,"Estimation by modelling of tree growth and stand development")</f>
        <v>1</v>
      </c>
      <c r="E58" s="22" t="s">
        <v>445</v>
      </c>
      <c r="F58" s="22" t="s">
        <v>14</v>
      </c>
      <c r="G58" s="22"/>
      <c r="H58" s="22"/>
      <c r="I58" s="22"/>
    </row>
    <row r="59" spans="1:9" ht="60" hidden="1" outlineLevel="3">
      <c r="A59" s="20" t="s">
        <v>14</v>
      </c>
      <c r="B59" s="20" t="s">
        <v>44</v>
      </c>
      <c r="C59" s="20"/>
      <c r="D59" s="20"/>
      <c r="E59" s="20" t="s">
        <v>455</v>
      </c>
      <c r="F59" s="20" t="s">
        <v>14</v>
      </c>
      <c r="G59" s="20"/>
      <c r="H59" s="20"/>
      <c r="I59" s="20"/>
    </row>
    <row r="60" spans="1:9" ht="75" hidden="1" outlineLevel="3">
      <c r="A60" s="20" t="s">
        <v>14</v>
      </c>
      <c r="B60" s="20" t="s">
        <v>44</v>
      </c>
      <c r="C60" s="20"/>
      <c r="D60" s="20"/>
      <c r="E60" s="20" t="s">
        <v>456</v>
      </c>
      <c r="F60" s="20" t="s">
        <v>14</v>
      </c>
      <c r="G60" s="20"/>
      <c r="H60" s="20"/>
      <c r="I60" s="20"/>
    </row>
    <row r="61" spans="1:9" ht="60" hidden="1" outlineLevel="3">
      <c r="A61" s="20" t="s">
        <v>14</v>
      </c>
      <c r="B61" s="20" t="s">
        <v>44</v>
      </c>
      <c r="C61" s="20"/>
      <c r="D61" s="20"/>
      <c r="E61" s="20" t="s">
        <v>457</v>
      </c>
      <c r="F61" s="20" t="s">
        <v>14</v>
      </c>
      <c r="G61" s="20"/>
      <c r="H61" s="20"/>
      <c r="I61" s="20"/>
    </row>
    <row r="62" spans="1:9" ht="60" hidden="1" outlineLevel="3">
      <c r="A62" s="20" t="s">
        <v>14</v>
      </c>
      <c r="B62" s="20" t="s">
        <v>44</v>
      </c>
      <c r="C62" s="20"/>
      <c r="D62" s="20"/>
      <c r="E62" s="20" t="s">
        <v>458</v>
      </c>
      <c r="F62" s="20" t="s">
        <v>14</v>
      </c>
      <c r="G62" s="20"/>
      <c r="H62" s="20"/>
      <c r="I62" s="20"/>
    </row>
    <row r="63" spans="1:9" ht="135" hidden="1" outlineLevel="3">
      <c r="A63" s="20" t="s">
        <v>11</v>
      </c>
      <c r="B63" s="20" t="s">
        <v>17</v>
      </c>
      <c r="C63" s="21" t="s">
        <v>459</v>
      </c>
      <c r="D63" s="20"/>
      <c r="E63" s="20" t="s">
        <v>460</v>
      </c>
      <c r="F63" s="20" t="s">
        <v>14</v>
      </c>
      <c r="G63" s="20" t="s">
        <v>11</v>
      </c>
      <c r="H63" s="20"/>
      <c r="I63" s="20"/>
    </row>
    <row r="64" spans="1:9" ht="30" hidden="1" outlineLevel="3">
      <c r="A64" s="20" t="s">
        <v>14</v>
      </c>
      <c r="B64" s="20" t="s">
        <v>44</v>
      </c>
      <c r="C64" s="20"/>
      <c r="D64" s="20" t="b">
        <f>EXACT(G63,"No")</f>
        <v>0</v>
      </c>
      <c r="E64" s="20" t="s">
        <v>461</v>
      </c>
      <c r="F64" s="20" t="s">
        <v>14</v>
      </c>
      <c r="G64" s="20"/>
      <c r="H64" s="20"/>
      <c r="I64" s="20"/>
    </row>
    <row r="65" spans="1:9" hidden="1" outlineLevel="3">
      <c r="A65" s="22" t="s">
        <v>14</v>
      </c>
      <c r="B65" s="23" t="s">
        <v>462</v>
      </c>
      <c r="C65" s="22"/>
      <c r="D65" s="22" t="b">
        <f>EXACT(G63,"Yes")</f>
        <v>1</v>
      </c>
      <c r="E65" s="22" t="s">
        <v>463</v>
      </c>
      <c r="F65" s="22" t="s">
        <v>14</v>
      </c>
      <c r="G65" s="22"/>
      <c r="H65" s="22"/>
      <c r="I65" s="22"/>
    </row>
    <row r="66" spans="1:9" ht="30" hidden="1" outlineLevel="4">
      <c r="A66" s="20" t="s">
        <v>11</v>
      </c>
      <c r="B66" s="20" t="s">
        <v>82</v>
      </c>
      <c r="C66" s="20"/>
      <c r="D66" s="20"/>
      <c r="E66" s="20" t="s">
        <v>464</v>
      </c>
      <c r="F66" s="20" t="s">
        <v>14</v>
      </c>
      <c r="G66" s="20"/>
      <c r="H66" s="20"/>
      <c r="I66" s="20"/>
    </row>
    <row r="67" spans="1:9" hidden="1" outlineLevel="4">
      <c r="A67" s="20" t="s">
        <v>11</v>
      </c>
      <c r="B67" s="20" t="s">
        <v>82</v>
      </c>
      <c r="C67" s="20"/>
      <c r="D67" s="20"/>
      <c r="E67" s="20" t="s">
        <v>465</v>
      </c>
      <c r="F67" s="20" t="s">
        <v>14</v>
      </c>
      <c r="G67" s="20"/>
      <c r="H67" s="20"/>
      <c r="I67" s="20"/>
    </row>
    <row r="68" spans="1:9" hidden="1" outlineLevel="4">
      <c r="A68" s="20" t="s">
        <v>11</v>
      </c>
      <c r="B68" s="20" t="s">
        <v>82</v>
      </c>
      <c r="C68" s="20"/>
      <c r="D68" s="20"/>
      <c r="E68" s="20" t="s">
        <v>466</v>
      </c>
      <c r="F68" s="20" t="s">
        <v>14</v>
      </c>
      <c r="G68" s="20"/>
      <c r="H68" s="20"/>
      <c r="I68" s="20"/>
    </row>
    <row r="69" spans="1:9" hidden="1" outlineLevel="2">
      <c r="A69" s="22" t="s">
        <v>14</v>
      </c>
      <c r="B69" s="23" t="s">
        <v>467</v>
      </c>
      <c r="C69" s="22" t="s">
        <v>47</v>
      </c>
      <c r="D69" s="22" t="b">
        <f>EXACT(G50,"Proportionate crown cover")</f>
        <v>0</v>
      </c>
      <c r="E69" s="22" t="s">
        <v>468</v>
      </c>
      <c r="F69" s="22" t="s">
        <v>14</v>
      </c>
      <c r="G69" s="22" t="s">
        <v>47</v>
      </c>
      <c r="H69" s="22" t="s">
        <v>47</v>
      </c>
      <c r="I69" s="22" t="s">
        <v>47</v>
      </c>
    </row>
    <row r="70" spans="1:9" ht="30" hidden="1" outlineLevel="3" collapsed="1">
      <c r="A70" s="20" t="s">
        <v>14</v>
      </c>
      <c r="B70" s="20" t="s">
        <v>82</v>
      </c>
      <c r="C70" s="20" t="s">
        <v>47</v>
      </c>
      <c r="D70" s="20" t="s">
        <v>399</v>
      </c>
      <c r="E70" s="20" t="s">
        <v>469</v>
      </c>
      <c r="F70" s="20" t="s">
        <v>14</v>
      </c>
      <c r="G70" s="20">
        <f>SUM(G72)</f>
        <v>7.333333333333333</v>
      </c>
      <c r="H70" s="20" t="s">
        <v>47</v>
      </c>
      <c r="I70" s="20" t="s">
        <v>47</v>
      </c>
    </row>
    <row r="71" spans="1:9" hidden="1" outlineLevel="3">
      <c r="A71" s="22" t="s">
        <v>11</v>
      </c>
      <c r="B71" s="23" t="s">
        <v>470</v>
      </c>
      <c r="C71" s="22" t="s">
        <v>47</v>
      </c>
      <c r="D71" s="22"/>
      <c r="E71" s="22" t="s">
        <v>403</v>
      </c>
      <c r="F71" s="22" t="s">
        <v>11</v>
      </c>
      <c r="G71" s="22" t="s">
        <v>47</v>
      </c>
      <c r="H71" s="22" t="s">
        <v>47</v>
      </c>
      <c r="I71" s="22" t="s">
        <v>47</v>
      </c>
    </row>
    <row r="72" spans="1:9" ht="30" hidden="1" outlineLevel="4" collapsed="1">
      <c r="A72" s="20" t="s">
        <v>14</v>
      </c>
      <c r="B72" s="20" t="s">
        <v>82</v>
      </c>
      <c r="C72" s="20" t="s">
        <v>47</v>
      </c>
      <c r="D72" s="20" t="s">
        <v>399</v>
      </c>
      <c r="E72" s="20" t="s">
        <v>471</v>
      </c>
      <c r="F72" s="20" t="s">
        <v>14</v>
      </c>
      <c r="G72" s="20">
        <f>44/12*G73*G74*(1+G75)*G76*G77</f>
        <v>7.333333333333333</v>
      </c>
      <c r="H72" s="20" t="s">
        <v>47</v>
      </c>
      <c r="I72" s="20" t="s">
        <v>47</v>
      </c>
    </row>
    <row r="73" spans="1:9" hidden="1" outlineLevel="4" collapsed="1">
      <c r="A73" s="20" t="s">
        <v>11</v>
      </c>
      <c r="B73" s="20" t="s">
        <v>82</v>
      </c>
      <c r="C73" s="20" t="s">
        <v>47</v>
      </c>
      <c r="D73" s="20"/>
      <c r="E73" s="20" t="s">
        <v>405</v>
      </c>
      <c r="F73" s="20" t="s">
        <v>14</v>
      </c>
      <c r="G73" s="20">
        <v>1</v>
      </c>
      <c r="H73" s="20" t="s">
        <v>47</v>
      </c>
      <c r="I73" s="20" t="s">
        <v>47</v>
      </c>
    </row>
    <row r="74" spans="1:9" ht="30" hidden="1" outlineLevel="4" collapsed="1">
      <c r="A74" s="20" t="s">
        <v>11</v>
      </c>
      <c r="B74" s="20" t="s">
        <v>82</v>
      </c>
      <c r="C74" s="20" t="s">
        <v>47</v>
      </c>
      <c r="D74" s="20"/>
      <c r="E74" s="20" t="s">
        <v>472</v>
      </c>
      <c r="F74" s="20" t="s">
        <v>14</v>
      </c>
      <c r="G74" s="20">
        <v>1</v>
      </c>
      <c r="H74" s="20" t="s">
        <v>47</v>
      </c>
      <c r="I74" s="20" t="s">
        <v>47</v>
      </c>
    </row>
    <row r="75" spans="1:9" hidden="1" outlineLevel="4" collapsed="1">
      <c r="A75" s="20" t="s">
        <v>11</v>
      </c>
      <c r="B75" s="20" t="s">
        <v>82</v>
      </c>
      <c r="C75" s="20" t="s">
        <v>47</v>
      </c>
      <c r="D75" s="20"/>
      <c r="E75" s="20" t="s">
        <v>407</v>
      </c>
      <c r="F75" s="20" t="s">
        <v>14</v>
      </c>
      <c r="G75" s="20">
        <v>1</v>
      </c>
      <c r="H75" s="20" t="s">
        <v>47</v>
      </c>
      <c r="I75" s="20" t="s">
        <v>47</v>
      </c>
    </row>
    <row r="76" spans="1:9" ht="30" hidden="1" outlineLevel="4" collapsed="1">
      <c r="A76" s="20" t="s">
        <v>11</v>
      </c>
      <c r="B76" s="20" t="s">
        <v>82</v>
      </c>
      <c r="C76" s="20" t="s">
        <v>47</v>
      </c>
      <c r="D76" s="20"/>
      <c r="E76" s="20" t="s">
        <v>473</v>
      </c>
      <c r="F76" s="20" t="s">
        <v>14</v>
      </c>
      <c r="G76" s="20">
        <v>1</v>
      </c>
      <c r="H76" s="20" t="s">
        <v>47</v>
      </c>
      <c r="I76" s="20" t="s">
        <v>47</v>
      </c>
    </row>
    <row r="77" spans="1:9" ht="30" hidden="1" outlineLevel="4" collapsed="1">
      <c r="A77" s="20" t="s">
        <v>11</v>
      </c>
      <c r="B77" s="20" t="s">
        <v>82</v>
      </c>
      <c r="C77" s="20" t="s">
        <v>47</v>
      </c>
      <c r="D77" s="20"/>
      <c r="E77" s="20" t="s">
        <v>474</v>
      </c>
      <c r="F77" s="20" t="s">
        <v>14</v>
      </c>
      <c r="G77" s="20">
        <v>1</v>
      </c>
      <c r="H77" s="20" t="s">
        <v>47</v>
      </c>
      <c r="I77" s="20" t="s">
        <v>47</v>
      </c>
    </row>
    <row r="78" spans="1:9" hidden="1" outlineLevel="2">
      <c r="A78" s="22" t="s">
        <v>14</v>
      </c>
      <c r="B78" s="23" t="s">
        <v>475</v>
      </c>
      <c r="C78" s="22" t="s">
        <v>47</v>
      </c>
      <c r="D78" s="22" t="b">
        <f>EXACT(G50,"Measurement of sample plots")</f>
        <v>0</v>
      </c>
      <c r="E78" s="22" t="s">
        <v>475</v>
      </c>
      <c r="F78" s="22" t="s">
        <v>14</v>
      </c>
      <c r="G78" s="22" t="s">
        <v>47</v>
      </c>
      <c r="H78" s="22" t="s">
        <v>47</v>
      </c>
      <c r="I78" s="22" t="s">
        <v>47</v>
      </c>
    </row>
    <row r="79" spans="1:9" ht="30" hidden="1" outlineLevel="3" collapsed="1">
      <c r="A79" s="20" t="s">
        <v>11</v>
      </c>
      <c r="B79" s="20" t="s">
        <v>17</v>
      </c>
      <c r="C79" s="21" t="s">
        <v>476</v>
      </c>
      <c r="D79" s="20"/>
      <c r="E79" s="20" t="s">
        <v>477</v>
      </c>
      <c r="F79" s="20" t="s">
        <v>14</v>
      </c>
      <c r="G79" s="20" t="s">
        <v>478</v>
      </c>
      <c r="H79" s="20" t="s">
        <v>47</v>
      </c>
      <c r="I79" s="20" t="s">
        <v>47</v>
      </c>
    </row>
    <row r="80" spans="1:9" hidden="1" outlineLevel="3">
      <c r="A80" s="22" t="s">
        <v>14</v>
      </c>
      <c r="B80" s="23" t="s">
        <v>478</v>
      </c>
      <c r="C80" s="22" t="s">
        <v>47</v>
      </c>
      <c r="D80" s="22" t="b">
        <f>EXACT(G79,"Stratified random sampling")</f>
        <v>1</v>
      </c>
      <c r="E80" s="22" t="s">
        <v>478</v>
      </c>
      <c r="F80" s="22" t="s">
        <v>14</v>
      </c>
      <c r="G80" s="22" t="s">
        <v>47</v>
      </c>
      <c r="H80" s="22" t="s">
        <v>47</v>
      </c>
      <c r="I80" s="22" t="s">
        <v>47</v>
      </c>
    </row>
    <row r="81" spans="1:9" ht="30" hidden="1" outlineLevel="4" collapsed="1">
      <c r="A81" s="20" t="s">
        <v>14</v>
      </c>
      <c r="B81" s="20" t="s">
        <v>82</v>
      </c>
      <c r="C81" s="20" t="s">
        <v>47</v>
      </c>
      <c r="D81" s="20" t="s">
        <v>399</v>
      </c>
      <c r="E81" s="20" t="s">
        <v>479</v>
      </c>
      <c r="F81" s="20" t="s">
        <v>14</v>
      </c>
      <c r="G81" s="20">
        <f>44/12*G82*G83</f>
        <v>3.6666666666666665</v>
      </c>
      <c r="H81" s="20" t="s">
        <v>47</v>
      </c>
      <c r="I81" s="20" t="s">
        <v>47</v>
      </c>
    </row>
    <row r="82" spans="1:9" hidden="1" outlineLevel="4" collapsed="1">
      <c r="A82" s="20" t="s">
        <v>11</v>
      </c>
      <c r="B82" s="20" t="s">
        <v>82</v>
      </c>
      <c r="C82" s="20" t="s">
        <v>47</v>
      </c>
      <c r="D82" s="20"/>
      <c r="E82" s="20" t="s">
        <v>405</v>
      </c>
      <c r="F82" s="20" t="s">
        <v>14</v>
      </c>
      <c r="G82" s="20">
        <v>1</v>
      </c>
      <c r="H82" s="20" t="s">
        <v>47</v>
      </c>
      <c r="I82" s="20" t="s">
        <v>47</v>
      </c>
    </row>
    <row r="83" spans="1:9" ht="30" hidden="1" outlineLevel="4" collapsed="1">
      <c r="A83" s="20" t="s">
        <v>14</v>
      </c>
      <c r="B83" s="20" t="s">
        <v>82</v>
      </c>
      <c r="C83" s="20" t="s">
        <v>47</v>
      </c>
      <c r="D83" s="20" t="s">
        <v>399</v>
      </c>
      <c r="E83" s="20" t="s">
        <v>480</v>
      </c>
      <c r="F83" s="20" t="s">
        <v>14</v>
      </c>
      <c r="G83" s="20">
        <f>G84*G85</f>
        <v>1</v>
      </c>
      <c r="H83" s="20" t="s">
        <v>47</v>
      </c>
      <c r="I83" s="20" t="s">
        <v>47</v>
      </c>
    </row>
    <row r="84" spans="1:9" ht="30" hidden="1" outlineLevel="4" collapsed="1">
      <c r="A84" s="20" t="s">
        <v>11</v>
      </c>
      <c r="B84" s="20" t="s">
        <v>82</v>
      </c>
      <c r="C84" s="20" t="s">
        <v>47</v>
      </c>
      <c r="D84" s="20"/>
      <c r="E84" s="20" t="s">
        <v>481</v>
      </c>
      <c r="F84" s="20" t="s">
        <v>14</v>
      </c>
      <c r="G84" s="20">
        <v>1</v>
      </c>
      <c r="H84" s="20" t="s">
        <v>47</v>
      </c>
      <c r="I84" s="20" t="s">
        <v>47</v>
      </c>
    </row>
    <row r="85" spans="1:9" ht="30" hidden="1" outlineLevel="4" collapsed="1">
      <c r="A85" s="20" t="s">
        <v>14</v>
      </c>
      <c r="B85" s="20" t="s">
        <v>82</v>
      </c>
      <c r="C85" s="20" t="s">
        <v>47</v>
      </c>
      <c r="D85" s="20" t="s">
        <v>399</v>
      </c>
      <c r="E85" s="20" t="s">
        <v>482</v>
      </c>
      <c r="F85" s="20" t="s">
        <v>14</v>
      </c>
      <c r="G85" s="20">
        <f>SUM((G90*G89))</f>
        <v>1</v>
      </c>
      <c r="H85" s="20" t="s">
        <v>47</v>
      </c>
      <c r="I85" s="20" t="s">
        <v>47</v>
      </c>
    </row>
    <row r="86" spans="1:9" hidden="1" outlineLevel="4" collapsed="1">
      <c r="A86" s="20" t="s">
        <v>11</v>
      </c>
      <c r="B86" s="20" t="s">
        <v>82</v>
      </c>
      <c r="C86" s="20" t="s">
        <v>47</v>
      </c>
      <c r="D86" s="20"/>
      <c r="E86" s="20" t="s">
        <v>483</v>
      </c>
      <c r="F86" s="20" t="s">
        <v>14</v>
      </c>
      <c r="G86" s="20">
        <v>1</v>
      </c>
      <c r="H86" s="20" t="s">
        <v>47</v>
      </c>
      <c r="I86" s="20" t="s">
        <v>47</v>
      </c>
    </row>
    <row r="87" spans="1:9" ht="30" hidden="1" outlineLevel="4" collapsed="1">
      <c r="A87" s="20" t="s">
        <v>11</v>
      </c>
      <c r="B87" s="20" t="s">
        <v>82</v>
      </c>
      <c r="C87" s="20" t="s">
        <v>47</v>
      </c>
      <c r="D87" s="20"/>
      <c r="E87" s="20" t="s">
        <v>484</v>
      </c>
      <c r="F87" s="20" t="s">
        <v>14</v>
      </c>
      <c r="G87" s="20">
        <v>1</v>
      </c>
      <c r="H87" s="20" t="s">
        <v>47</v>
      </c>
      <c r="I87" s="20" t="s">
        <v>47</v>
      </c>
    </row>
    <row r="88" spans="1:9" hidden="1" outlineLevel="4">
      <c r="A88" s="22" t="s">
        <v>11</v>
      </c>
      <c r="B88" s="23" t="s">
        <v>485</v>
      </c>
      <c r="C88" s="22" t="s">
        <v>47</v>
      </c>
      <c r="D88" s="22"/>
      <c r="E88" s="22" t="s">
        <v>486</v>
      </c>
      <c r="F88" s="22" t="s">
        <v>11</v>
      </c>
      <c r="G88" s="22" t="s">
        <v>47</v>
      </c>
      <c r="H88" s="22" t="s">
        <v>47</v>
      </c>
      <c r="I88" s="22" t="s">
        <v>47</v>
      </c>
    </row>
    <row r="89" spans="1:9" s="25" customFormat="1" ht="30" hidden="1" outlineLevel="5" collapsed="1">
      <c r="A89" s="24" t="s">
        <v>14</v>
      </c>
      <c r="B89" s="24" t="s">
        <v>82</v>
      </c>
      <c r="C89" s="24" t="s">
        <v>47</v>
      </c>
      <c r="D89" s="24" t="s">
        <v>399</v>
      </c>
      <c r="E89" s="24" t="s">
        <v>487</v>
      </c>
      <c r="F89" s="24" t="s">
        <v>14</v>
      </c>
      <c r="G89" s="24">
        <f>(SUM(G94))/G92</f>
        <v>1</v>
      </c>
      <c r="H89" s="24" t="s">
        <v>47</v>
      </c>
      <c r="I89" s="24" t="s">
        <v>47</v>
      </c>
    </row>
    <row r="90" spans="1:9" ht="30" hidden="1" outlineLevel="5" collapsed="1">
      <c r="A90" s="20" t="s">
        <v>11</v>
      </c>
      <c r="B90" s="20" t="s">
        <v>82</v>
      </c>
      <c r="C90" s="20" t="s">
        <v>47</v>
      </c>
      <c r="D90" s="20"/>
      <c r="E90" s="20" t="s">
        <v>488</v>
      </c>
      <c r="F90" s="20" t="s">
        <v>14</v>
      </c>
      <c r="G90" s="20">
        <v>1</v>
      </c>
      <c r="H90" s="20" t="s">
        <v>47</v>
      </c>
      <c r="I90" s="20" t="s">
        <v>47</v>
      </c>
    </row>
    <row r="91" spans="1:9" ht="30" hidden="1" outlineLevel="5" collapsed="1">
      <c r="A91" s="20" t="s">
        <v>11</v>
      </c>
      <c r="B91" s="20" t="s">
        <v>82</v>
      </c>
      <c r="C91" s="20" t="s">
        <v>47</v>
      </c>
      <c r="D91" s="20"/>
      <c r="E91" s="20" t="s">
        <v>489</v>
      </c>
      <c r="F91" s="20" t="s">
        <v>14</v>
      </c>
      <c r="G91" s="20">
        <v>1</v>
      </c>
      <c r="H91" s="20" t="s">
        <v>47</v>
      </c>
      <c r="I91" s="20" t="s">
        <v>47</v>
      </c>
    </row>
    <row r="92" spans="1:9" hidden="1" outlineLevel="5" collapsed="1">
      <c r="A92" s="20" t="s">
        <v>11</v>
      </c>
      <c r="B92" s="20" t="s">
        <v>82</v>
      </c>
      <c r="C92" s="20" t="s">
        <v>47</v>
      </c>
      <c r="D92" s="20"/>
      <c r="E92" s="20" t="s">
        <v>490</v>
      </c>
      <c r="F92" s="20" t="s">
        <v>14</v>
      </c>
      <c r="G92" s="20">
        <v>1</v>
      </c>
      <c r="H92" s="20" t="s">
        <v>47</v>
      </c>
      <c r="I92" s="20" t="s">
        <v>47</v>
      </c>
    </row>
    <row r="93" spans="1:9" hidden="1" outlineLevel="5">
      <c r="A93" s="22" t="s">
        <v>11</v>
      </c>
      <c r="B93" s="23" t="s">
        <v>491</v>
      </c>
      <c r="C93" s="22"/>
      <c r="D93" s="22"/>
      <c r="E93" s="22" t="s">
        <v>492</v>
      </c>
      <c r="F93" s="22" t="s">
        <v>11</v>
      </c>
      <c r="G93" s="22"/>
      <c r="H93" s="22"/>
      <c r="I93" s="22"/>
    </row>
    <row r="94" spans="1:9" s="25" customFormat="1" ht="30" hidden="1" outlineLevel="6" collapsed="1">
      <c r="A94" s="24" t="s">
        <v>11</v>
      </c>
      <c r="B94" s="24" t="s">
        <v>82</v>
      </c>
      <c r="C94" s="24" t="s">
        <v>47</v>
      </c>
      <c r="D94" s="24"/>
      <c r="E94" s="24" t="s">
        <v>493</v>
      </c>
      <c r="F94" s="24" t="s">
        <v>14</v>
      </c>
      <c r="G94" s="24">
        <v>1</v>
      </c>
      <c r="H94" s="24" t="s">
        <v>47</v>
      </c>
      <c r="I94" s="24" t="s">
        <v>47</v>
      </c>
    </row>
    <row r="95" spans="1:9" hidden="1" outlineLevel="3">
      <c r="A95" s="22" t="s">
        <v>14</v>
      </c>
      <c r="B95" s="23" t="s">
        <v>494</v>
      </c>
      <c r="C95" s="22" t="s">
        <v>47</v>
      </c>
      <c r="D95" s="22" t="b">
        <f>NOT(EXACT(G79,"Stratified random sampling"))</f>
        <v>0</v>
      </c>
      <c r="E95" s="22" t="s">
        <v>494</v>
      </c>
      <c r="F95" s="22" t="s">
        <v>14</v>
      </c>
      <c r="G95" s="22" t="s">
        <v>47</v>
      </c>
      <c r="H95" s="22" t="s">
        <v>47</v>
      </c>
      <c r="I95" s="22" t="s">
        <v>47</v>
      </c>
    </row>
    <row r="96" spans="1:9" ht="30" hidden="1" outlineLevel="4" collapsed="1">
      <c r="A96" s="20" t="s">
        <v>11</v>
      </c>
      <c r="B96" s="20" t="s">
        <v>82</v>
      </c>
      <c r="C96" s="20" t="s">
        <v>47</v>
      </c>
      <c r="D96" s="20"/>
      <c r="E96" s="20" t="s">
        <v>479</v>
      </c>
      <c r="F96" s="20" t="s">
        <v>14</v>
      </c>
      <c r="G96" s="20">
        <v>1</v>
      </c>
      <c r="H96" s="20" t="s">
        <v>47</v>
      </c>
      <c r="I96" s="20" t="s">
        <v>47</v>
      </c>
    </row>
    <row r="97" spans="1:9" hidden="1" outlineLevel="4" collapsed="1">
      <c r="A97" s="20" t="s">
        <v>11</v>
      </c>
      <c r="B97" s="20" t="s">
        <v>82</v>
      </c>
      <c r="C97" s="20" t="s">
        <v>47</v>
      </c>
      <c r="D97" s="20"/>
      <c r="E97" s="20" t="s">
        <v>405</v>
      </c>
      <c r="F97" s="20" t="s">
        <v>14</v>
      </c>
      <c r="G97" s="20">
        <v>1</v>
      </c>
      <c r="H97" s="20" t="s">
        <v>47</v>
      </c>
      <c r="I97" s="20" t="s">
        <v>47</v>
      </c>
    </row>
    <row r="98" spans="1:9" ht="30" hidden="1" outlineLevel="4" collapsed="1">
      <c r="A98" s="20" t="s">
        <v>11</v>
      </c>
      <c r="B98" s="20" t="s">
        <v>82</v>
      </c>
      <c r="C98" s="20" t="s">
        <v>47</v>
      </c>
      <c r="D98" s="20"/>
      <c r="E98" s="20" t="s">
        <v>480</v>
      </c>
      <c r="F98" s="20" t="s">
        <v>14</v>
      </c>
      <c r="G98" s="20">
        <v>1</v>
      </c>
      <c r="H98" s="20" t="s">
        <v>47</v>
      </c>
      <c r="I98" s="20" t="s">
        <v>47</v>
      </c>
    </row>
    <row r="99" spans="1:9" ht="30" hidden="1" outlineLevel="4" collapsed="1">
      <c r="A99" s="20" t="s">
        <v>11</v>
      </c>
      <c r="B99" s="20" t="s">
        <v>82</v>
      </c>
      <c r="C99" s="20" t="s">
        <v>47</v>
      </c>
      <c r="D99" s="20"/>
      <c r="E99" s="20" t="s">
        <v>481</v>
      </c>
      <c r="F99" s="20" t="s">
        <v>14</v>
      </c>
      <c r="G99" s="20">
        <v>1</v>
      </c>
      <c r="H99" s="20" t="s">
        <v>47</v>
      </c>
      <c r="I99" s="20" t="s">
        <v>47</v>
      </c>
    </row>
    <row r="100" spans="1:9" ht="30" hidden="1" outlineLevel="4" collapsed="1">
      <c r="A100" s="20" t="s">
        <v>11</v>
      </c>
      <c r="B100" s="20" t="s">
        <v>82</v>
      </c>
      <c r="C100" s="20" t="s">
        <v>47</v>
      </c>
      <c r="D100" s="20"/>
      <c r="E100" s="20" t="s">
        <v>482</v>
      </c>
      <c r="F100" s="20" t="s">
        <v>14</v>
      </c>
      <c r="G100" s="20">
        <v>1</v>
      </c>
      <c r="H100" s="20" t="s">
        <v>47</v>
      </c>
      <c r="I100" s="20" t="s">
        <v>47</v>
      </c>
    </row>
    <row r="101" spans="1:9" hidden="1" outlineLevel="4" collapsed="1">
      <c r="A101" s="20" t="s">
        <v>11</v>
      </c>
      <c r="B101" s="20" t="s">
        <v>82</v>
      </c>
      <c r="C101" s="20" t="s">
        <v>47</v>
      </c>
      <c r="D101" s="20"/>
      <c r="E101" s="20" t="s">
        <v>483</v>
      </c>
      <c r="F101" s="20" t="s">
        <v>14</v>
      </c>
      <c r="G101" s="20">
        <v>1</v>
      </c>
      <c r="H101" s="20" t="s">
        <v>47</v>
      </c>
      <c r="I101" s="20" t="s">
        <v>47</v>
      </c>
    </row>
    <row r="102" spans="1:9" ht="30" hidden="1" outlineLevel="4" collapsed="1">
      <c r="A102" s="20" t="s">
        <v>11</v>
      </c>
      <c r="B102" s="20" t="s">
        <v>82</v>
      </c>
      <c r="C102" s="20" t="s">
        <v>47</v>
      </c>
      <c r="D102" s="20"/>
      <c r="E102" s="20" t="s">
        <v>484</v>
      </c>
      <c r="F102" s="20" t="s">
        <v>14</v>
      </c>
      <c r="G102" s="20">
        <v>1</v>
      </c>
      <c r="H102" s="20" t="s">
        <v>47</v>
      </c>
      <c r="I102" s="20" t="s">
        <v>47</v>
      </c>
    </row>
    <row r="103" spans="1:9" hidden="1" outlineLevel="4">
      <c r="A103" s="22" t="s">
        <v>11</v>
      </c>
      <c r="B103" s="23" t="s">
        <v>495</v>
      </c>
      <c r="C103" s="22" t="s">
        <v>47</v>
      </c>
      <c r="D103" s="22"/>
      <c r="E103" s="22" t="s">
        <v>486</v>
      </c>
      <c r="F103" s="22" t="s">
        <v>11</v>
      </c>
      <c r="G103" s="22" t="s">
        <v>47</v>
      </c>
      <c r="H103" s="22" t="s">
        <v>47</v>
      </c>
      <c r="I103" s="22" t="s">
        <v>47</v>
      </c>
    </row>
    <row r="104" spans="1:9" ht="30" hidden="1" outlineLevel="5" collapsed="1">
      <c r="A104" s="20" t="s">
        <v>14</v>
      </c>
      <c r="B104" s="20" t="s">
        <v>82</v>
      </c>
      <c r="C104" s="20" t="s">
        <v>47</v>
      </c>
      <c r="D104" s="20" t="s">
        <v>399</v>
      </c>
      <c r="E104" s="20" t="s">
        <v>487</v>
      </c>
      <c r="F104" s="20" t="s">
        <v>14</v>
      </c>
      <c r="G104" s="20">
        <f>(SUM(G113)/G105)+G106*(G107-G108)</f>
        <v>1</v>
      </c>
      <c r="H104" s="20" t="s">
        <v>47</v>
      </c>
      <c r="I104" s="20" t="s">
        <v>47</v>
      </c>
    </row>
    <row r="105" spans="1:9" hidden="1" outlineLevel="5" collapsed="1">
      <c r="A105" s="20" t="s">
        <v>11</v>
      </c>
      <c r="B105" s="20" t="s">
        <v>82</v>
      </c>
      <c r="C105" s="20" t="s">
        <v>47</v>
      </c>
      <c r="D105" s="20"/>
      <c r="E105" s="20" t="s">
        <v>496</v>
      </c>
      <c r="F105" s="20" t="s">
        <v>14</v>
      </c>
      <c r="G105" s="20">
        <v>1</v>
      </c>
      <c r="H105" s="20" t="s">
        <v>47</v>
      </c>
      <c r="I105" s="20" t="s">
        <v>47</v>
      </c>
    </row>
    <row r="106" spans="1:9" ht="30" hidden="1" outlineLevel="5" collapsed="1">
      <c r="A106" s="20" t="s">
        <v>11</v>
      </c>
      <c r="B106" s="20" t="s">
        <v>82</v>
      </c>
      <c r="C106" s="20" t="s">
        <v>47</v>
      </c>
      <c r="D106" s="20"/>
      <c r="E106" s="20" t="s">
        <v>497</v>
      </c>
      <c r="F106" s="20" t="s">
        <v>14</v>
      </c>
      <c r="G106" s="20">
        <v>1</v>
      </c>
      <c r="H106" s="20" t="s">
        <v>47</v>
      </c>
      <c r="I106" s="20" t="s">
        <v>47</v>
      </c>
    </row>
    <row r="107" spans="1:9" ht="30" hidden="1" outlineLevel="5" collapsed="1">
      <c r="A107" s="20" t="s">
        <v>11</v>
      </c>
      <c r="B107" s="20" t="s">
        <v>82</v>
      </c>
      <c r="C107" s="20" t="s">
        <v>47</v>
      </c>
      <c r="D107" s="20"/>
      <c r="E107" s="20" t="s">
        <v>498</v>
      </c>
      <c r="F107" s="20" t="s">
        <v>14</v>
      </c>
      <c r="G107" s="20">
        <v>1</v>
      </c>
      <c r="H107" s="20" t="s">
        <v>47</v>
      </c>
      <c r="I107" s="20" t="s">
        <v>47</v>
      </c>
    </row>
    <row r="108" spans="1:9" ht="30" hidden="1" outlineLevel="5" collapsed="1">
      <c r="A108" s="20" t="s">
        <v>11</v>
      </c>
      <c r="B108" s="20" t="s">
        <v>82</v>
      </c>
      <c r="C108" s="20" t="s">
        <v>47</v>
      </c>
      <c r="D108" s="20"/>
      <c r="E108" s="20" t="s">
        <v>499</v>
      </c>
      <c r="F108" s="20" t="s">
        <v>14</v>
      </c>
      <c r="G108" s="20">
        <v>1</v>
      </c>
      <c r="H108" s="20" t="s">
        <v>47</v>
      </c>
      <c r="I108" s="20" t="s">
        <v>47</v>
      </c>
    </row>
    <row r="109" spans="1:9" ht="30" hidden="1" outlineLevel="5" collapsed="1">
      <c r="A109" s="20" t="s">
        <v>11</v>
      </c>
      <c r="B109" s="20" t="s">
        <v>82</v>
      </c>
      <c r="C109" s="20" t="s">
        <v>47</v>
      </c>
      <c r="D109" s="20"/>
      <c r="E109" s="20" t="s">
        <v>500</v>
      </c>
      <c r="F109" s="20" t="s">
        <v>14</v>
      </c>
      <c r="G109" s="20">
        <v>1</v>
      </c>
      <c r="H109" s="20" t="s">
        <v>47</v>
      </c>
      <c r="I109" s="20" t="s">
        <v>47</v>
      </c>
    </row>
    <row r="110" spans="1:9" ht="30" hidden="1" outlineLevel="5" collapsed="1">
      <c r="A110" s="20" t="s">
        <v>11</v>
      </c>
      <c r="B110" s="20" t="s">
        <v>82</v>
      </c>
      <c r="C110" s="20" t="s">
        <v>47</v>
      </c>
      <c r="D110" s="20"/>
      <c r="E110" s="20" t="s">
        <v>501</v>
      </c>
      <c r="F110" s="20" t="s">
        <v>14</v>
      </c>
      <c r="G110" s="20">
        <v>1</v>
      </c>
      <c r="H110" s="20" t="s">
        <v>47</v>
      </c>
      <c r="I110" s="20" t="s">
        <v>47</v>
      </c>
    </row>
    <row r="111" spans="1:9" ht="45" hidden="1" outlineLevel="5" collapsed="1">
      <c r="A111" s="20" t="s">
        <v>11</v>
      </c>
      <c r="B111" s="20" t="s">
        <v>82</v>
      </c>
      <c r="C111" s="20" t="s">
        <v>47</v>
      </c>
      <c r="D111" s="20"/>
      <c r="E111" s="20" t="s">
        <v>502</v>
      </c>
      <c r="F111" s="20" t="s">
        <v>14</v>
      </c>
      <c r="G111" s="20">
        <v>1</v>
      </c>
      <c r="H111" s="20" t="s">
        <v>47</v>
      </c>
      <c r="I111" s="20" t="s">
        <v>47</v>
      </c>
    </row>
    <row r="112" spans="1:9" hidden="1" outlineLevel="5">
      <c r="A112" s="22" t="s">
        <v>11</v>
      </c>
      <c r="B112" s="23" t="s">
        <v>491</v>
      </c>
      <c r="C112" s="22"/>
      <c r="D112" s="22"/>
      <c r="E112" s="22" t="s">
        <v>492</v>
      </c>
      <c r="F112" s="22" t="s">
        <v>11</v>
      </c>
      <c r="G112" s="22"/>
      <c r="H112" s="22"/>
      <c r="I112" s="22"/>
    </row>
    <row r="113" spans="1:9" s="25" customFormat="1" ht="30" hidden="1" outlineLevel="6" collapsed="1">
      <c r="A113" s="24" t="s">
        <v>11</v>
      </c>
      <c r="B113" s="24" t="s">
        <v>82</v>
      </c>
      <c r="C113" s="24" t="s">
        <v>47</v>
      </c>
      <c r="D113" s="24"/>
      <c r="E113" s="24" t="s">
        <v>493</v>
      </c>
      <c r="F113" s="24" t="s">
        <v>14</v>
      </c>
      <c r="G113" s="24">
        <v>1</v>
      </c>
      <c r="H113" s="24" t="s">
        <v>47</v>
      </c>
      <c r="I113" s="24" t="s">
        <v>47</v>
      </c>
    </row>
    <row r="114" spans="1:9" hidden="1" outlineLevel="2" collapsed="1">
      <c r="A114" s="20" t="s">
        <v>11</v>
      </c>
      <c r="B114" s="20" t="s">
        <v>503</v>
      </c>
      <c r="C114" s="20" t="s">
        <v>47</v>
      </c>
      <c r="D114" s="20"/>
      <c r="E114" s="4" t="s">
        <v>504</v>
      </c>
      <c r="F114" s="20" t="s">
        <v>14</v>
      </c>
      <c r="G114" s="20" t="s">
        <v>505</v>
      </c>
      <c r="H114" s="20" t="s">
        <v>47</v>
      </c>
      <c r="I114" s="20" t="s">
        <v>47</v>
      </c>
    </row>
    <row r="115" spans="1:9" ht="29.25" customHeight="1" outlineLevel="1">
      <c r="A115" s="18" t="s">
        <v>14</v>
      </c>
      <c r="B115" s="18" t="s">
        <v>82</v>
      </c>
      <c r="C115" s="10"/>
      <c r="D115" s="18" t="s">
        <v>399</v>
      </c>
      <c r="E115" s="18" t="s">
        <v>506</v>
      </c>
      <c r="F115" s="18" t="s">
        <v>14</v>
      </c>
      <c r="G115" s="18">
        <f>IF(G50="Updating the previous stock by independent measurement of change",G52,IF(G50="Estimation by modelling of tree growth and stand development",G66,IF(G50="Estimation by proportionate crown cover",G70,IF(AND(G50="Measurement of sample plots",G79="Stratified random sampling"),G81,IF(AND(G50="Measurement of sample plots",G79="Double sampling"),G96)))))</f>
        <v>0</v>
      </c>
      <c r="H115" s="18"/>
      <c r="I115" s="18"/>
    </row>
    <row r="116" spans="1:9" ht="29.25" customHeight="1" outlineLevel="1">
      <c r="A116" s="18" t="s">
        <v>14</v>
      </c>
      <c r="B116" s="18" t="s">
        <v>82</v>
      </c>
      <c r="C116" s="10"/>
      <c r="D116" s="18" t="s">
        <v>399</v>
      </c>
      <c r="E116" s="18" t="s">
        <v>507</v>
      </c>
      <c r="F116" s="18" t="s">
        <v>14</v>
      </c>
      <c r="G116" s="18">
        <f>IF(AND(G6="Estimating change in carbon stock in trees between two points in time",G8="no-decrease"),0,IF(AND(G6="Estimating change in carbon stock in trees between two points in time",G8="Estimation by proportionate crown cover"),G13,IF(AND(G6="Estimating change in carbon stock in trees between two points in time",G8="Direct estimation of change by re-measurement of sample plots"),G22,IF(AND(G6="Estimating change in carbon stock in trees between two points in time",G8="Difference of two independent stock estimations"),G42,IF(AND(G6="Estimating change in carbon stock in trees in a year"),G45)))))</f>
        <v>1</v>
      </c>
      <c r="H116" s="18"/>
      <c r="I116" s="18"/>
    </row>
    <row r="117" spans="1:9" ht="29.25" customHeight="1" outlineLevel="1">
      <c r="A117" s="18" t="s">
        <v>11</v>
      </c>
      <c r="B117" s="18" t="s">
        <v>17</v>
      </c>
      <c r="C117" s="10" t="s">
        <v>508</v>
      </c>
      <c r="D117" s="18"/>
      <c r="E117" s="3" t="s">
        <v>509</v>
      </c>
      <c r="F117" s="3" t="s">
        <v>14</v>
      </c>
      <c r="G117" s="18" t="s">
        <v>510</v>
      </c>
      <c r="H117" s="18"/>
      <c r="I117" s="18"/>
    </row>
    <row r="118" spans="1:9" outlineLevel="1">
      <c r="A118" s="18" t="s">
        <v>14</v>
      </c>
      <c r="B118" s="10" t="s">
        <v>511</v>
      </c>
      <c r="C118" s="18" t="s">
        <v>47</v>
      </c>
      <c r="D118" s="18" t="b">
        <f>EXACT(G117,"Estimating change in carbon stock in shrubs between two points in time")</f>
        <v>1</v>
      </c>
      <c r="E118" s="18" t="s">
        <v>512</v>
      </c>
      <c r="F118" s="18" t="s">
        <v>14</v>
      </c>
      <c r="G118" s="18" t="s">
        <v>47</v>
      </c>
      <c r="H118" s="18" t="s">
        <v>47</v>
      </c>
      <c r="I118" s="18" t="s">
        <v>47</v>
      </c>
    </row>
    <row r="119" spans="1:9" ht="29.25" customHeight="1" outlineLevel="2">
      <c r="A119" s="18" t="s">
        <v>11</v>
      </c>
      <c r="B119" s="18" t="s">
        <v>17</v>
      </c>
      <c r="C119" s="10" t="s">
        <v>513</v>
      </c>
      <c r="D119" s="18"/>
      <c r="E119" s="18" t="s">
        <v>514</v>
      </c>
      <c r="F119" s="18" t="s">
        <v>14</v>
      </c>
      <c r="G119" s="18" t="s">
        <v>14</v>
      </c>
      <c r="H119" s="18" t="s">
        <v>47</v>
      </c>
      <c r="I119" s="18" t="s">
        <v>47</v>
      </c>
    </row>
    <row r="120" spans="1:9" outlineLevel="2">
      <c r="A120" s="18" t="s">
        <v>14</v>
      </c>
      <c r="B120" s="10" t="s">
        <v>515</v>
      </c>
      <c r="C120" s="19"/>
      <c r="D120" s="18" t="b">
        <f>EXACT(G119,"Yes")</f>
        <v>0</v>
      </c>
      <c r="E120" s="18" t="s">
        <v>393</v>
      </c>
      <c r="F120" s="3" t="s">
        <v>14</v>
      </c>
      <c r="G120" s="18"/>
      <c r="H120" s="18"/>
      <c r="I120" s="18"/>
    </row>
    <row r="121" spans="1:9" ht="165" outlineLevel="3" collapsed="1">
      <c r="A121" s="20" t="s">
        <v>14</v>
      </c>
      <c r="B121" s="20" t="s">
        <v>44</v>
      </c>
      <c r="C121" s="20"/>
      <c r="D121" s="20"/>
      <c r="E121" s="20" t="s">
        <v>516</v>
      </c>
      <c r="F121" s="4" t="s">
        <v>14</v>
      </c>
      <c r="G121" s="20"/>
      <c r="H121" s="20"/>
      <c r="I121" s="20"/>
    </row>
    <row r="122" spans="1:9" ht="60" outlineLevel="3" collapsed="1">
      <c r="A122" s="20" t="s">
        <v>11</v>
      </c>
      <c r="B122" s="20" t="s">
        <v>17</v>
      </c>
      <c r="C122" s="27" t="s">
        <v>517</v>
      </c>
      <c r="D122" s="20"/>
      <c r="E122" s="20" t="s">
        <v>518</v>
      </c>
      <c r="F122" s="4" t="s">
        <v>14</v>
      </c>
      <c r="G122" s="20" t="s">
        <v>14</v>
      </c>
      <c r="H122" s="20"/>
      <c r="I122" s="20"/>
    </row>
    <row r="123" spans="1:9" ht="30" outlineLevel="2" collapsed="1">
      <c r="A123" s="20" t="s">
        <v>14</v>
      </c>
      <c r="B123" s="20" t="s">
        <v>82</v>
      </c>
      <c r="C123" s="20" t="s">
        <v>47</v>
      </c>
      <c r="D123" s="20" t="s">
        <v>399</v>
      </c>
      <c r="E123" s="20" t="s">
        <v>519</v>
      </c>
      <c r="F123" s="20" t="s">
        <v>14</v>
      </c>
      <c r="G123" s="20" t="e">
        <f>IF(AND(#REF!="No"),E124-E125,0)</f>
        <v>#REF!</v>
      </c>
      <c r="H123" s="20" t="s">
        <v>47</v>
      </c>
      <c r="I123" s="20" t="s">
        <v>47</v>
      </c>
    </row>
    <row r="124" spans="1:9" ht="30" outlineLevel="2" collapsed="1">
      <c r="A124" s="20" t="s">
        <v>11</v>
      </c>
      <c r="B124" s="20" t="s">
        <v>82</v>
      </c>
      <c r="C124" s="20" t="s">
        <v>47</v>
      </c>
      <c r="D124" s="20"/>
      <c r="E124" s="20" t="s">
        <v>520</v>
      </c>
      <c r="F124" s="20" t="s">
        <v>14</v>
      </c>
      <c r="G124" s="20">
        <v>1</v>
      </c>
      <c r="H124" s="20" t="s">
        <v>47</v>
      </c>
      <c r="I124" s="20" t="s">
        <v>47</v>
      </c>
    </row>
    <row r="125" spans="1:9" ht="30" outlineLevel="2" collapsed="1">
      <c r="A125" s="20" t="s">
        <v>11</v>
      </c>
      <c r="B125" s="20" t="s">
        <v>82</v>
      </c>
      <c r="C125" s="20" t="s">
        <v>47</v>
      </c>
      <c r="D125" s="20"/>
      <c r="E125" s="20" t="s">
        <v>521</v>
      </c>
      <c r="F125" s="20" t="s">
        <v>14</v>
      </c>
      <c r="G125" s="20">
        <v>1</v>
      </c>
      <c r="H125" s="20" t="s">
        <v>47</v>
      </c>
      <c r="I125" s="20" t="s">
        <v>47</v>
      </c>
    </row>
    <row r="126" spans="1:9" outlineLevel="1">
      <c r="A126" s="18" t="s">
        <v>14</v>
      </c>
      <c r="B126" s="10" t="s">
        <v>522</v>
      </c>
      <c r="C126" s="18" t="s">
        <v>47</v>
      </c>
      <c r="D126" s="18" t="b">
        <f>EXACT(G117,"Estimating change in carbon stock in shrubs in a year")</f>
        <v>0</v>
      </c>
      <c r="E126" s="18" t="s">
        <v>523</v>
      </c>
      <c r="F126" s="18" t="s">
        <v>14</v>
      </c>
      <c r="G126" s="18" t="s">
        <v>47</v>
      </c>
      <c r="H126" s="18" t="s">
        <v>47</v>
      </c>
      <c r="I126" s="18" t="s">
        <v>47</v>
      </c>
    </row>
    <row r="127" spans="1:9" ht="30" outlineLevel="2" collapsed="1">
      <c r="A127" s="20" t="s">
        <v>14</v>
      </c>
      <c r="B127" s="20" t="s">
        <v>82</v>
      </c>
      <c r="C127" s="20" t="s">
        <v>47</v>
      </c>
      <c r="D127" s="20" t="s">
        <v>399</v>
      </c>
      <c r="E127" s="20" t="s">
        <v>524</v>
      </c>
      <c r="F127" s="20" t="s">
        <v>14</v>
      </c>
      <c r="G127" s="20">
        <f>(G128-G129/G130)*1</f>
        <v>0</v>
      </c>
      <c r="H127" s="20" t="s">
        <v>47</v>
      </c>
      <c r="I127" s="20" t="s">
        <v>47</v>
      </c>
    </row>
    <row r="128" spans="1:9" outlineLevel="2" collapsed="1">
      <c r="A128" s="20" t="s">
        <v>11</v>
      </c>
      <c r="B128" s="20" t="s">
        <v>82</v>
      </c>
      <c r="C128" s="20" t="s">
        <v>47</v>
      </c>
      <c r="D128" s="20"/>
      <c r="E128" s="20" t="s">
        <v>525</v>
      </c>
      <c r="F128" s="20" t="s">
        <v>14</v>
      </c>
      <c r="G128" s="20">
        <v>1</v>
      </c>
      <c r="H128" s="20" t="s">
        <v>47</v>
      </c>
      <c r="I128" s="20" t="s">
        <v>47</v>
      </c>
    </row>
    <row r="129" spans="1:9" outlineLevel="2" collapsed="1">
      <c r="A129" s="20" t="s">
        <v>11</v>
      </c>
      <c r="B129" s="20" t="s">
        <v>82</v>
      </c>
      <c r="C129" s="20" t="s">
        <v>47</v>
      </c>
      <c r="D129" s="20"/>
      <c r="E129" s="20" t="s">
        <v>526</v>
      </c>
      <c r="F129" s="20" t="s">
        <v>14</v>
      </c>
      <c r="G129" s="20">
        <v>1</v>
      </c>
      <c r="H129" s="20" t="s">
        <v>47</v>
      </c>
      <c r="I129" s="20" t="s">
        <v>47</v>
      </c>
    </row>
    <row r="130" spans="1:9" ht="30" outlineLevel="2" collapsed="1">
      <c r="A130" s="20" t="s">
        <v>11</v>
      </c>
      <c r="B130" s="20" t="s">
        <v>82</v>
      </c>
      <c r="C130" s="20" t="s">
        <v>47</v>
      </c>
      <c r="D130" s="20"/>
      <c r="E130" s="20" t="s">
        <v>527</v>
      </c>
      <c r="F130" s="20" t="s">
        <v>14</v>
      </c>
      <c r="G130" s="20">
        <v>1</v>
      </c>
      <c r="H130" s="20" t="s">
        <v>47</v>
      </c>
      <c r="I130" s="20" t="s">
        <v>47</v>
      </c>
    </row>
    <row r="131" spans="1:9" outlineLevel="1">
      <c r="A131" s="18" t="s">
        <v>11</v>
      </c>
      <c r="B131" s="10" t="s">
        <v>528</v>
      </c>
      <c r="C131" s="18" t="s">
        <v>47</v>
      </c>
      <c r="D131" s="18"/>
      <c r="E131" s="18" t="s">
        <v>529</v>
      </c>
      <c r="F131" s="18" t="s">
        <v>11</v>
      </c>
      <c r="G131" s="18" t="s">
        <v>47</v>
      </c>
      <c r="H131" s="18" t="s">
        <v>47</v>
      </c>
      <c r="I131" s="18" t="s">
        <v>47</v>
      </c>
    </row>
    <row r="132" spans="1:9" ht="13.5" customHeight="1" outlineLevel="2" collapsed="1">
      <c r="A132" s="20" t="s">
        <v>14</v>
      </c>
      <c r="B132" s="20" t="s">
        <v>82</v>
      </c>
      <c r="C132" s="20" t="s">
        <v>47</v>
      </c>
      <c r="D132" s="20" t="s">
        <v>399</v>
      </c>
      <c r="E132" s="20" t="s">
        <v>530</v>
      </c>
      <c r="F132" s="20" t="s">
        <v>14</v>
      </c>
      <c r="G132" s="20">
        <f>44/12*G133*(1+G134)*SUM((G139*G140))</f>
        <v>7.333333333333333</v>
      </c>
      <c r="H132" s="20" t="s">
        <v>47</v>
      </c>
      <c r="I132" s="20" t="s">
        <v>47</v>
      </c>
    </row>
    <row r="133" spans="1:9" ht="13.5" customHeight="1" outlineLevel="2" collapsed="1">
      <c r="A133" s="20" t="s">
        <v>11</v>
      </c>
      <c r="B133" s="20" t="s">
        <v>82</v>
      </c>
      <c r="C133" s="20" t="s">
        <v>47</v>
      </c>
      <c r="D133" s="20"/>
      <c r="E133" s="20" t="s">
        <v>531</v>
      </c>
      <c r="F133" s="20" t="s">
        <v>14</v>
      </c>
      <c r="G133" s="20">
        <v>1</v>
      </c>
      <c r="H133" s="20" t="s">
        <v>47</v>
      </c>
      <c r="I133" s="20" t="s">
        <v>47</v>
      </c>
    </row>
    <row r="134" spans="1:9" outlineLevel="2" collapsed="1">
      <c r="A134" s="20" t="s">
        <v>11</v>
      </c>
      <c r="B134" s="20" t="s">
        <v>82</v>
      </c>
      <c r="C134" s="20" t="s">
        <v>47</v>
      </c>
      <c r="D134" s="20"/>
      <c r="E134" s="20" t="s">
        <v>532</v>
      </c>
      <c r="F134" s="20" t="s">
        <v>14</v>
      </c>
      <c r="G134" s="20">
        <v>1</v>
      </c>
      <c r="H134" s="20" t="s">
        <v>47</v>
      </c>
      <c r="I134" s="20" t="s">
        <v>47</v>
      </c>
    </row>
    <row r="135" spans="1:9" outlineLevel="2">
      <c r="A135" s="22" t="s">
        <v>11</v>
      </c>
      <c r="B135" s="23" t="s">
        <v>533</v>
      </c>
      <c r="C135" s="22" t="s">
        <v>47</v>
      </c>
      <c r="D135" s="22"/>
      <c r="E135" s="22" t="s">
        <v>534</v>
      </c>
      <c r="F135" s="22" t="s">
        <v>11</v>
      </c>
      <c r="G135" s="22" t="s">
        <v>47</v>
      </c>
      <c r="H135" s="22" t="s">
        <v>47</v>
      </c>
      <c r="I135" s="22" t="s">
        <v>47</v>
      </c>
    </row>
    <row r="136" spans="1:9" ht="30" outlineLevel="3" collapsed="1">
      <c r="A136" s="20" t="s">
        <v>11</v>
      </c>
      <c r="B136" s="20" t="s">
        <v>82</v>
      </c>
      <c r="C136" s="20" t="s">
        <v>47</v>
      </c>
      <c r="D136" s="20"/>
      <c r="E136" s="20" t="s">
        <v>535</v>
      </c>
      <c r="F136" s="20" t="s">
        <v>14</v>
      </c>
      <c r="G136" s="20">
        <v>1</v>
      </c>
      <c r="H136" s="20" t="s">
        <v>47</v>
      </c>
      <c r="I136" s="20" t="s">
        <v>47</v>
      </c>
    </row>
    <row r="137" spans="1:9" ht="30" outlineLevel="3" collapsed="1">
      <c r="A137" s="20" t="s">
        <v>11</v>
      </c>
      <c r="B137" s="20" t="s">
        <v>82</v>
      </c>
      <c r="C137" s="20" t="s">
        <v>47</v>
      </c>
      <c r="D137" s="20"/>
      <c r="E137" s="20" t="s">
        <v>536</v>
      </c>
      <c r="F137" s="20" t="s">
        <v>14</v>
      </c>
      <c r="G137" s="20">
        <v>1</v>
      </c>
      <c r="H137" s="20" t="s">
        <v>47</v>
      </c>
      <c r="I137" s="20" t="s">
        <v>47</v>
      </c>
    </row>
    <row r="138" spans="1:9" ht="30" outlineLevel="3" collapsed="1">
      <c r="A138" s="20" t="s">
        <v>11</v>
      </c>
      <c r="B138" s="20" t="s">
        <v>82</v>
      </c>
      <c r="C138" s="20" t="s">
        <v>47</v>
      </c>
      <c r="D138" s="20"/>
      <c r="E138" s="20" t="s">
        <v>537</v>
      </c>
      <c r="F138" s="20" t="s">
        <v>14</v>
      </c>
      <c r="G138" s="20">
        <v>1</v>
      </c>
      <c r="H138" s="20" t="s">
        <v>47</v>
      </c>
      <c r="I138" s="20" t="s">
        <v>47</v>
      </c>
    </row>
    <row r="139" spans="1:9" ht="30" outlineLevel="3" collapsed="1">
      <c r="A139" s="20" t="s">
        <v>11</v>
      </c>
      <c r="B139" s="20" t="s">
        <v>82</v>
      </c>
      <c r="C139" s="20" t="s">
        <v>47</v>
      </c>
      <c r="D139" s="20"/>
      <c r="E139" s="20" t="s">
        <v>538</v>
      </c>
      <c r="F139" s="20" t="s">
        <v>14</v>
      </c>
      <c r="G139" s="20">
        <v>1</v>
      </c>
      <c r="H139" s="20" t="s">
        <v>47</v>
      </c>
      <c r="I139" s="20" t="s">
        <v>47</v>
      </c>
    </row>
    <row r="140" spans="1:9" ht="30" outlineLevel="3" collapsed="1">
      <c r="A140" s="20" t="s">
        <v>14</v>
      </c>
      <c r="B140" s="20" t="s">
        <v>82</v>
      </c>
      <c r="C140" s="20" t="s">
        <v>47</v>
      </c>
      <c r="D140" s="20" t="s">
        <v>399</v>
      </c>
      <c r="E140" s="20" t="s">
        <v>539</v>
      </c>
      <c r="F140" s="20" t="s">
        <v>14</v>
      </c>
      <c r="G140" s="20">
        <f>G136*G137*G138</f>
        <v>1</v>
      </c>
      <c r="H140" s="20" t="s">
        <v>47</v>
      </c>
      <c r="I140" s="20" t="s">
        <v>47</v>
      </c>
    </row>
    <row r="141" spans="1:9" ht="29.25" customHeight="1" outlineLevel="1">
      <c r="A141" s="18" t="s">
        <v>14</v>
      </c>
      <c r="B141" s="18" t="s">
        <v>82</v>
      </c>
      <c r="C141" s="10"/>
      <c r="D141" s="18" t="s">
        <v>399</v>
      </c>
      <c r="E141" s="18" t="s">
        <v>540</v>
      </c>
      <c r="F141" s="18" t="s">
        <v>14</v>
      </c>
      <c r="G141" s="18">
        <f>G132</f>
        <v>7.333333333333333</v>
      </c>
      <c r="H141" s="18"/>
      <c r="I141" s="18"/>
    </row>
    <row r="142" spans="1:9" ht="29.25" customHeight="1" outlineLevel="1">
      <c r="A142" s="18" t="s">
        <v>14</v>
      </c>
      <c r="B142" s="18" t="s">
        <v>82</v>
      </c>
      <c r="C142" s="10"/>
      <c r="D142" s="18" t="s">
        <v>399</v>
      </c>
      <c r="E142" s="18" t="s">
        <v>541</v>
      </c>
      <c r="F142" s="18" t="s">
        <v>14</v>
      </c>
      <c r="G142" s="18" t="e">
        <f>IF(AND(G117="Estimating change in carbon stock in shrubs between two points in time",G119="Yes"),0,IF(AND(G117="Estimating change in carbon stock in shrubs between two points in time"),G123,IF(AND(G117="Estimating change in carbon stock in shrubs in a year"),G127)))</f>
        <v>#REF!</v>
      </c>
      <c r="H142" s="18"/>
      <c r="I142" s="18"/>
    </row>
    <row r="143" spans="1:9" ht="29.25" customHeight="1">
      <c r="A143" s="18" t="s">
        <v>11</v>
      </c>
      <c r="B143" s="10" t="s">
        <v>542</v>
      </c>
      <c r="C143" s="19"/>
      <c r="D143" s="18"/>
      <c r="E143" s="18" t="s">
        <v>543</v>
      </c>
      <c r="F143" s="18" t="s">
        <v>14</v>
      </c>
      <c r="G143" s="18"/>
      <c r="H143" s="18"/>
      <c r="I143" s="18"/>
    </row>
    <row r="144" spans="1:9" ht="29.25" customHeight="1" outlineLevel="1">
      <c r="A144" s="18" t="s">
        <v>11</v>
      </c>
      <c r="B144" s="18" t="s">
        <v>17</v>
      </c>
      <c r="C144" s="10" t="s">
        <v>544</v>
      </c>
      <c r="D144" s="18"/>
      <c r="E144" s="18" t="s">
        <v>385</v>
      </c>
      <c r="F144" s="3" t="s">
        <v>14</v>
      </c>
      <c r="G144" s="18" t="s">
        <v>386</v>
      </c>
      <c r="H144" s="18"/>
      <c r="I144" s="18"/>
    </row>
    <row r="145" spans="1:9" ht="29.25" customHeight="1" outlineLevel="1">
      <c r="A145" s="3" t="s">
        <v>14</v>
      </c>
      <c r="B145" s="10" t="s">
        <v>545</v>
      </c>
      <c r="C145" s="10"/>
      <c r="D145" s="18" t="b">
        <f>EXACT(G144,"Estimating change in carbon stock in trees between two points in time")</f>
        <v>0</v>
      </c>
      <c r="E145" s="18" t="s">
        <v>388</v>
      </c>
      <c r="F145" s="3" t="s">
        <v>14</v>
      </c>
      <c r="G145" s="18"/>
      <c r="H145" s="18"/>
      <c r="I145" s="18"/>
    </row>
    <row r="146" spans="1:9" ht="29.25" customHeight="1" outlineLevel="2">
      <c r="A146" s="18" t="s">
        <v>11</v>
      </c>
      <c r="B146" s="18" t="s">
        <v>17</v>
      </c>
      <c r="C146" s="10" t="s">
        <v>546</v>
      </c>
      <c r="D146" s="18"/>
      <c r="E146" s="18" t="s">
        <v>390</v>
      </c>
      <c r="F146" s="18" t="s">
        <v>14</v>
      </c>
      <c r="G146" s="18" t="s">
        <v>391</v>
      </c>
      <c r="H146" s="18" t="s">
        <v>47</v>
      </c>
      <c r="I146" s="18" t="s">
        <v>47</v>
      </c>
    </row>
    <row r="147" spans="1:9" outlineLevel="2">
      <c r="A147" s="18" t="s">
        <v>14</v>
      </c>
      <c r="B147" s="10" t="s">
        <v>392</v>
      </c>
      <c r="C147" s="19"/>
      <c r="D147" s="18" t="b">
        <f>EXACT(G146,"no-decrease")</f>
        <v>1</v>
      </c>
      <c r="E147" s="18" t="s">
        <v>393</v>
      </c>
      <c r="F147" s="3" t="s">
        <v>14</v>
      </c>
      <c r="G147" s="18"/>
      <c r="H147" s="18"/>
      <c r="I147" s="18"/>
    </row>
    <row r="148" spans="1:9" ht="165" outlineLevel="3" collapsed="1">
      <c r="A148" s="20" t="s">
        <v>14</v>
      </c>
      <c r="B148" s="20" t="s">
        <v>44</v>
      </c>
      <c r="C148" s="20"/>
      <c r="D148" s="20"/>
      <c r="E148" s="20" t="s">
        <v>394</v>
      </c>
      <c r="F148" s="4" t="s">
        <v>14</v>
      </c>
      <c r="G148" s="20"/>
      <c r="H148" s="20"/>
      <c r="I148" s="20"/>
    </row>
    <row r="149" spans="1:9" ht="60" outlineLevel="3" collapsed="1">
      <c r="A149" s="20" t="s">
        <v>11</v>
      </c>
      <c r="B149" s="20" t="s">
        <v>17</v>
      </c>
      <c r="C149" s="27" t="s">
        <v>395</v>
      </c>
      <c r="D149" s="20"/>
      <c r="E149" s="20" t="s">
        <v>396</v>
      </c>
      <c r="F149" s="4" t="s">
        <v>14</v>
      </c>
      <c r="G149" s="20"/>
      <c r="H149" s="20"/>
      <c r="I149" s="20"/>
    </row>
    <row r="150" spans="1:9" outlineLevel="2">
      <c r="A150" s="18" t="s">
        <v>14</v>
      </c>
      <c r="B150" s="10" t="s">
        <v>410</v>
      </c>
      <c r="C150" s="18" t="s">
        <v>47</v>
      </c>
      <c r="D150" s="18" t="b">
        <f>EXACT(G146,"Direct estimation of change by re-measurement of sample plots")</f>
        <v>0</v>
      </c>
      <c r="E150" s="18" t="s">
        <v>547</v>
      </c>
      <c r="F150" s="18" t="s">
        <v>14</v>
      </c>
      <c r="G150" s="18" t="s">
        <v>47</v>
      </c>
      <c r="H150" s="18" t="s">
        <v>47</v>
      </c>
      <c r="I150" s="18" t="s">
        <v>47</v>
      </c>
    </row>
    <row r="151" spans="1:9" outlineLevel="3" collapsed="1">
      <c r="A151" s="20" t="s">
        <v>14</v>
      </c>
      <c r="B151" s="20" t="s">
        <v>82</v>
      </c>
      <c r="C151" s="20" t="s">
        <v>47</v>
      </c>
      <c r="D151" s="20" t="s">
        <v>399</v>
      </c>
      <c r="E151" s="20" t="s">
        <v>412</v>
      </c>
      <c r="F151" s="20" t="s">
        <v>14</v>
      </c>
      <c r="G151" s="20">
        <f>44/12*G152*G153</f>
        <v>3.6666666666666665</v>
      </c>
      <c r="H151" s="20" t="s">
        <v>47</v>
      </c>
      <c r="I151" s="20" t="s">
        <v>47</v>
      </c>
    </row>
    <row r="152" spans="1:9" outlineLevel="3" collapsed="1">
      <c r="A152" s="20" t="s">
        <v>11</v>
      </c>
      <c r="B152" s="20" t="s">
        <v>82</v>
      </c>
      <c r="C152" s="20" t="s">
        <v>47</v>
      </c>
      <c r="D152" s="20"/>
      <c r="E152" s="20" t="s">
        <v>405</v>
      </c>
      <c r="F152" s="20" t="s">
        <v>14</v>
      </c>
      <c r="G152" s="20">
        <v>1</v>
      </c>
      <c r="H152" s="20" t="s">
        <v>47</v>
      </c>
      <c r="I152" s="20" t="s">
        <v>47</v>
      </c>
    </row>
    <row r="153" spans="1:9" ht="30" outlineLevel="3" collapsed="1">
      <c r="A153" s="20" t="s">
        <v>14</v>
      </c>
      <c r="B153" s="20" t="s">
        <v>82</v>
      </c>
      <c r="C153" s="20" t="s">
        <v>47</v>
      </c>
      <c r="D153" s="20" t="s">
        <v>399</v>
      </c>
      <c r="E153" s="20" t="s">
        <v>413</v>
      </c>
      <c r="F153" s="20" t="s">
        <v>14</v>
      </c>
      <c r="G153" s="20">
        <f>G155*G154</f>
        <v>1</v>
      </c>
      <c r="H153" s="20" t="s">
        <v>47</v>
      </c>
      <c r="I153" s="20" t="s">
        <v>47</v>
      </c>
    </row>
    <row r="154" spans="1:9" ht="30" outlineLevel="3" collapsed="1">
      <c r="A154" s="20" t="s">
        <v>14</v>
      </c>
      <c r="B154" s="20" t="s">
        <v>82</v>
      </c>
      <c r="C154" s="20" t="s">
        <v>47</v>
      </c>
      <c r="D154" s="20" t="s">
        <v>399</v>
      </c>
      <c r="E154" s="20" t="s">
        <v>414</v>
      </c>
      <c r="F154" s="20" t="s">
        <v>14</v>
      </c>
      <c r="G154" s="20">
        <f>SUM((G160*G159))</f>
        <v>1</v>
      </c>
      <c r="H154" s="20" t="s">
        <v>47</v>
      </c>
      <c r="I154" s="20" t="s">
        <v>47</v>
      </c>
    </row>
    <row r="155" spans="1:9" outlineLevel="3" collapsed="1">
      <c r="A155" s="20" t="s">
        <v>11</v>
      </c>
      <c r="B155" s="20" t="s">
        <v>82</v>
      </c>
      <c r="C155" s="20" t="s">
        <v>47</v>
      </c>
      <c r="D155" s="20"/>
      <c r="E155" s="20" t="s">
        <v>415</v>
      </c>
      <c r="F155" s="20" t="s">
        <v>14</v>
      </c>
      <c r="G155" s="20">
        <v>1</v>
      </c>
      <c r="H155" s="20" t="s">
        <v>47</v>
      </c>
      <c r="I155" s="20" t="s">
        <v>47</v>
      </c>
    </row>
    <row r="156" spans="1:9" outlineLevel="3" collapsed="1">
      <c r="A156" s="20" t="s">
        <v>11</v>
      </c>
      <c r="B156" s="20" t="s">
        <v>82</v>
      </c>
      <c r="C156" s="20" t="s">
        <v>47</v>
      </c>
      <c r="D156" s="20"/>
      <c r="E156" s="20" t="s">
        <v>548</v>
      </c>
      <c r="F156" s="20" t="s">
        <v>14</v>
      </c>
      <c r="G156" s="20">
        <v>1</v>
      </c>
      <c r="H156" s="20" t="s">
        <v>47</v>
      </c>
      <c r="I156" s="20" t="s">
        <v>47</v>
      </c>
    </row>
    <row r="157" spans="1:9" outlineLevel="3" collapsed="1">
      <c r="A157" s="20" t="s">
        <v>11</v>
      </c>
      <c r="B157" s="20" t="s">
        <v>82</v>
      </c>
      <c r="C157" s="20" t="s">
        <v>47</v>
      </c>
      <c r="D157" s="20"/>
      <c r="E157" s="20" t="s">
        <v>417</v>
      </c>
      <c r="F157" s="20" t="s">
        <v>14</v>
      </c>
      <c r="G157" s="20">
        <v>1</v>
      </c>
      <c r="H157" s="20" t="s">
        <v>47</v>
      </c>
      <c r="I157" s="20" t="s">
        <v>47</v>
      </c>
    </row>
    <row r="158" spans="1:9" ht="30" outlineLevel="3">
      <c r="A158" s="22" t="s">
        <v>11</v>
      </c>
      <c r="B158" s="23" t="s">
        <v>418</v>
      </c>
      <c r="C158" s="22" t="s">
        <v>47</v>
      </c>
      <c r="D158" s="22"/>
      <c r="E158" s="22" t="s">
        <v>419</v>
      </c>
      <c r="F158" s="22" t="s">
        <v>11</v>
      </c>
      <c r="G158" s="22" t="s">
        <v>47</v>
      </c>
      <c r="H158" s="22" t="s">
        <v>47</v>
      </c>
      <c r="I158" s="22" t="s">
        <v>47</v>
      </c>
    </row>
    <row r="159" spans="1:9" ht="30" outlineLevel="4" collapsed="1">
      <c r="A159" s="20" t="s">
        <v>14</v>
      </c>
      <c r="B159" s="20" t="s">
        <v>82</v>
      </c>
      <c r="C159" s="20" t="s">
        <v>47</v>
      </c>
      <c r="D159" s="20" t="s">
        <v>399</v>
      </c>
      <c r="E159" s="20" t="s">
        <v>420</v>
      </c>
      <c r="F159" s="20" t="s">
        <v>14</v>
      </c>
      <c r="G159" s="20">
        <f>(SUM(G164))/G162</f>
        <v>1</v>
      </c>
      <c r="H159" s="20" t="s">
        <v>47</v>
      </c>
      <c r="I159" s="20" t="s">
        <v>47</v>
      </c>
    </row>
    <row r="160" spans="1:9" ht="30" outlineLevel="4" collapsed="1">
      <c r="A160" s="20" t="s">
        <v>11</v>
      </c>
      <c r="B160" s="20" t="s">
        <v>82</v>
      </c>
      <c r="C160" s="20" t="s">
        <v>47</v>
      </c>
      <c r="D160" s="20"/>
      <c r="E160" s="20" t="s">
        <v>421</v>
      </c>
      <c r="F160" s="20" t="s">
        <v>14</v>
      </c>
      <c r="G160" s="20">
        <v>1</v>
      </c>
      <c r="H160" s="20" t="s">
        <v>47</v>
      </c>
      <c r="I160" s="20" t="s">
        <v>47</v>
      </c>
    </row>
    <row r="161" spans="1:9" ht="30" outlineLevel="4" collapsed="1">
      <c r="A161" s="20" t="s">
        <v>11</v>
      </c>
      <c r="B161" s="20" t="s">
        <v>82</v>
      </c>
      <c r="C161" s="20" t="s">
        <v>47</v>
      </c>
      <c r="D161" s="20"/>
      <c r="E161" s="20" t="s">
        <v>422</v>
      </c>
      <c r="F161" s="20" t="s">
        <v>14</v>
      </c>
      <c r="G161" s="20">
        <v>1</v>
      </c>
      <c r="H161" s="20" t="s">
        <v>47</v>
      </c>
      <c r="I161" s="20" t="s">
        <v>47</v>
      </c>
    </row>
    <row r="162" spans="1:9" ht="30" outlineLevel="4" collapsed="1">
      <c r="A162" s="20" t="s">
        <v>11</v>
      </c>
      <c r="B162" s="20" t="s">
        <v>82</v>
      </c>
      <c r="C162" s="20" t="s">
        <v>47</v>
      </c>
      <c r="D162" s="20"/>
      <c r="E162" s="20" t="s">
        <v>423</v>
      </c>
      <c r="F162" s="20" t="s">
        <v>14</v>
      </c>
      <c r="G162" s="20">
        <v>1</v>
      </c>
      <c r="H162" s="20" t="s">
        <v>47</v>
      </c>
      <c r="I162" s="20" t="s">
        <v>47</v>
      </c>
    </row>
    <row r="163" spans="1:9" outlineLevel="4">
      <c r="A163" s="22" t="s">
        <v>11</v>
      </c>
      <c r="B163" s="23" t="s">
        <v>424</v>
      </c>
      <c r="C163" s="22"/>
      <c r="D163" s="22"/>
      <c r="E163" s="22" t="s">
        <v>425</v>
      </c>
      <c r="F163" s="22" t="s">
        <v>11</v>
      </c>
      <c r="G163" s="22"/>
      <c r="H163" s="22"/>
      <c r="I163" s="22"/>
    </row>
    <row r="164" spans="1:9" s="25" customFormat="1" ht="30" outlineLevel="5" collapsed="1">
      <c r="A164" s="24" t="s">
        <v>11</v>
      </c>
      <c r="B164" s="24" t="s">
        <v>82</v>
      </c>
      <c r="C164" s="24" t="s">
        <v>47</v>
      </c>
      <c r="D164" s="24"/>
      <c r="E164" s="24" t="s">
        <v>426</v>
      </c>
      <c r="F164" s="24" t="s">
        <v>14</v>
      </c>
      <c r="G164" s="24">
        <v>1</v>
      </c>
      <c r="H164" s="24" t="s">
        <v>47</v>
      </c>
      <c r="I164" s="24" t="s">
        <v>47</v>
      </c>
    </row>
    <row r="165" spans="1:9" outlineLevel="2">
      <c r="A165" s="18" t="s">
        <v>14</v>
      </c>
      <c r="B165" s="10" t="s">
        <v>427</v>
      </c>
      <c r="C165" s="18" t="s">
        <v>47</v>
      </c>
      <c r="D165" s="18" t="b">
        <f>EXACT(G146,"Difference of two independent stock estimations")</f>
        <v>0</v>
      </c>
      <c r="E165" s="18" t="s">
        <v>549</v>
      </c>
      <c r="F165" s="18" t="s">
        <v>14</v>
      </c>
      <c r="G165" s="18" t="s">
        <v>47</v>
      </c>
      <c r="H165" s="18" t="s">
        <v>47</v>
      </c>
      <c r="I165" s="18" t="s">
        <v>47</v>
      </c>
    </row>
    <row r="166" spans="1:9" outlineLevel="3" collapsed="1">
      <c r="A166" s="20" t="s">
        <v>11</v>
      </c>
      <c r="B166" s="20" t="s">
        <v>82</v>
      </c>
      <c r="C166" s="20" t="s">
        <v>47</v>
      </c>
      <c r="D166" s="20"/>
      <c r="E166" s="20" t="s">
        <v>429</v>
      </c>
      <c r="F166" s="20" t="s">
        <v>14</v>
      </c>
      <c r="G166" s="20">
        <v>1</v>
      </c>
      <c r="H166" s="20" t="s">
        <v>47</v>
      </c>
      <c r="I166" s="20" t="s">
        <v>47</v>
      </c>
    </row>
    <row r="167" spans="1:9" outlineLevel="3" collapsed="1">
      <c r="A167" s="20" t="s">
        <v>11</v>
      </c>
      <c r="B167" s="20" t="s">
        <v>82</v>
      </c>
      <c r="C167" s="20" t="s">
        <v>47</v>
      </c>
      <c r="D167" s="20"/>
      <c r="E167" s="20" t="s">
        <v>430</v>
      </c>
      <c r="F167" s="20" t="s">
        <v>14</v>
      </c>
      <c r="G167" s="20">
        <v>1</v>
      </c>
      <c r="H167" s="20" t="s">
        <v>47</v>
      </c>
      <c r="I167" s="20" t="s">
        <v>47</v>
      </c>
    </row>
    <row r="168" spans="1:9" outlineLevel="3" collapsed="1">
      <c r="A168" s="20" t="s">
        <v>11</v>
      </c>
      <c r="B168" s="20" t="s">
        <v>82</v>
      </c>
      <c r="C168" s="20" t="s">
        <v>47</v>
      </c>
      <c r="D168" s="20"/>
      <c r="E168" s="20" t="s">
        <v>431</v>
      </c>
      <c r="F168" s="20" t="s">
        <v>14</v>
      </c>
      <c r="G168" s="20">
        <v>1</v>
      </c>
      <c r="H168" s="20" t="s">
        <v>47</v>
      </c>
      <c r="I168" s="20" t="s">
        <v>47</v>
      </c>
    </row>
    <row r="169" spans="1:9" outlineLevel="3" collapsed="1">
      <c r="A169" s="20" t="s">
        <v>11</v>
      </c>
      <c r="B169" s="20" t="s">
        <v>82</v>
      </c>
      <c r="C169" s="20" t="s">
        <v>47</v>
      </c>
      <c r="D169" s="20"/>
      <c r="E169" s="20" t="s">
        <v>432</v>
      </c>
      <c r="F169" s="20" t="s">
        <v>14</v>
      </c>
      <c r="G169" s="20">
        <v>1</v>
      </c>
      <c r="H169" s="20" t="s">
        <v>47</v>
      </c>
      <c r="I169" s="20" t="s">
        <v>47</v>
      </c>
    </row>
    <row r="170" spans="1:9" ht="30" outlineLevel="3" collapsed="1">
      <c r="A170" s="20" t="s">
        <v>14</v>
      </c>
      <c r="B170" s="20" t="s">
        <v>82</v>
      </c>
      <c r="C170" s="20" t="s">
        <v>47</v>
      </c>
      <c r="D170" s="20" t="s">
        <v>399</v>
      </c>
      <c r="E170" s="24" t="s">
        <v>550</v>
      </c>
      <c r="F170" s="20" t="s">
        <v>14</v>
      </c>
      <c r="G170" s="20" t="e">
        <f>(SQRT((G168*G166)^2+(G169*G167)^2))/G171</f>
        <v>#DIV/0!</v>
      </c>
      <c r="H170" s="20" t="s">
        <v>47</v>
      </c>
      <c r="I170" s="20" t="s">
        <v>47</v>
      </c>
    </row>
    <row r="171" spans="1:9" outlineLevel="3" collapsed="1">
      <c r="A171" s="20" t="s">
        <v>14</v>
      </c>
      <c r="B171" s="20" t="s">
        <v>82</v>
      </c>
      <c r="C171" s="20" t="s">
        <v>47</v>
      </c>
      <c r="D171" s="20" t="s">
        <v>399</v>
      </c>
      <c r="E171" s="20" t="s">
        <v>551</v>
      </c>
      <c r="F171" s="20" t="s">
        <v>14</v>
      </c>
      <c r="G171" s="20">
        <f>G167-G166</f>
        <v>0</v>
      </c>
      <c r="H171" s="20" t="s">
        <v>47</v>
      </c>
      <c r="I171" s="20" t="s">
        <v>47</v>
      </c>
    </row>
    <row r="172" spans="1:9" outlineLevel="3" collapsed="1">
      <c r="A172" s="20" t="s">
        <v>11</v>
      </c>
      <c r="B172" s="20" t="s">
        <v>82</v>
      </c>
      <c r="C172" s="20" t="s">
        <v>47</v>
      </c>
      <c r="D172" s="20"/>
      <c r="E172" s="20" t="s">
        <v>552</v>
      </c>
      <c r="F172" s="20" t="s">
        <v>14</v>
      </c>
      <c r="G172" s="26">
        <v>7.0000000000000007E-2</v>
      </c>
      <c r="H172" s="20" t="s">
        <v>47</v>
      </c>
      <c r="I172" s="20" t="s">
        <v>47</v>
      </c>
    </row>
    <row r="173" spans="1:9" outlineLevel="1">
      <c r="A173" s="18" t="s">
        <v>11</v>
      </c>
      <c r="B173" s="10" t="s">
        <v>553</v>
      </c>
      <c r="C173" s="18" t="s">
        <v>47</v>
      </c>
      <c r="D173" s="18" t="b">
        <f>EXACT(G144,"Estimating change in carbon stock in trees in a year")</f>
        <v>1</v>
      </c>
      <c r="E173" s="18" t="s">
        <v>386</v>
      </c>
      <c r="F173" s="18" t="s">
        <v>14</v>
      </c>
      <c r="G173" s="18" t="s">
        <v>47</v>
      </c>
      <c r="H173" s="18" t="s">
        <v>47</v>
      </c>
      <c r="I173" s="18" t="s">
        <v>47</v>
      </c>
    </row>
    <row r="174" spans="1:9" ht="30" outlineLevel="2" collapsed="1">
      <c r="A174" s="20" t="s">
        <v>14</v>
      </c>
      <c r="B174" s="20" t="s">
        <v>82</v>
      </c>
      <c r="C174" s="20" t="s">
        <v>47</v>
      </c>
      <c r="D174" s="20" t="s">
        <v>399</v>
      </c>
      <c r="E174" s="20" t="s">
        <v>554</v>
      </c>
      <c r="F174" s="20" t="s">
        <v>14</v>
      </c>
      <c r="G174" s="20">
        <f>(G175-G176/G177)*1</f>
        <v>0</v>
      </c>
      <c r="H174" s="20" t="s">
        <v>47</v>
      </c>
      <c r="I174" s="20" t="s">
        <v>47</v>
      </c>
    </row>
    <row r="175" spans="1:9" ht="30" outlineLevel="2" collapsed="1">
      <c r="A175" s="20" t="s">
        <v>11</v>
      </c>
      <c r="B175" s="20" t="s">
        <v>82</v>
      </c>
      <c r="C175" s="20" t="s">
        <v>47</v>
      </c>
      <c r="D175" s="20"/>
      <c r="E175" s="20" t="s">
        <v>555</v>
      </c>
      <c r="F175" s="20" t="s">
        <v>14</v>
      </c>
      <c r="G175" s="20">
        <v>1</v>
      </c>
      <c r="H175" s="20" t="s">
        <v>47</v>
      </c>
      <c r="I175" s="20" t="s">
        <v>47</v>
      </c>
    </row>
    <row r="176" spans="1:9" ht="30" outlineLevel="2" collapsed="1">
      <c r="A176" s="20" t="s">
        <v>14</v>
      </c>
      <c r="B176" s="20" t="s">
        <v>82</v>
      </c>
      <c r="C176" s="20" t="s">
        <v>47</v>
      </c>
      <c r="D176" s="20" t="s">
        <v>399</v>
      </c>
      <c r="E176" s="20" t="s">
        <v>556</v>
      </c>
      <c r="F176" s="20" t="s">
        <v>14</v>
      </c>
      <c r="G176" s="20">
        <f>IF(AND(G179="Updating the previous stock by independent measurement of change"),G182,IF(AND(G179="Estimation by modelling of tree growth and stand development"),G196))</f>
        <v>1</v>
      </c>
      <c r="H176" s="20" t="s">
        <v>47</v>
      </c>
      <c r="I176" s="20" t="s">
        <v>47</v>
      </c>
    </row>
    <row r="177" spans="1:9" outlineLevel="2" collapsed="1">
      <c r="A177" s="20" t="s">
        <v>11</v>
      </c>
      <c r="B177" s="20" t="s">
        <v>82</v>
      </c>
      <c r="C177" s="20" t="s">
        <v>47</v>
      </c>
      <c r="D177" s="20"/>
      <c r="E177" s="20" t="s">
        <v>440</v>
      </c>
      <c r="F177" s="20" t="s">
        <v>14</v>
      </c>
      <c r="G177" s="20">
        <v>1</v>
      </c>
      <c r="H177" s="20" t="s">
        <v>47</v>
      </c>
      <c r="I177" s="20" t="s">
        <v>47</v>
      </c>
    </row>
    <row r="178" spans="1:9" outlineLevel="1">
      <c r="A178" s="18" t="s">
        <v>11</v>
      </c>
      <c r="B178" s="10" t="s">
        <v>557</v>
      </c>
      <c r="C178" s="18" t="s">
        <v>47</v>
      </c>
      <c r="D178" s="18"/>
      <c r="E178" s="18" t="s">
        <v>442</v>
      </c>
      <c r="F178" s="18" t="s">
        <v>14</v>
      </c>
      <c r="G178" s="18" t="s">
        <v>47</v>
      </c>
      <c r="H178" s="18" t="s">
        <v>47</v>
      </c>
      <c r="I178" s="18" t="s">
        <v>47</v>
      </c>
    </row>
    <row r="179" spans="1:9" ht="30" outlineLevel="2" collapsed="1">
      <c r="A179" s="20" t="s">
        <v>11</v>
      </c>
      <c r="B179" s="20" t="s">
        <v>17</v>
      </c>
      <c r="C179" s="27" t="s">
        <v>558</v>
      </c>
      <c r="D179" s="20"/>
      <c r="E179" s="20" t="s">
        <v>444</v>
      </c>
      <c r="F179" s="20" t="s">
        <v>14</v>
      </c>
      <c r="G179" s="20" t="s">
        <v>447</v>
      </c>
      <c r="H179" s="20" t="s">
        <v>47</v>
      </c>
      <c r="I179" s="20" t="s">
        <v>47</v>
      </c>
    </row>
    <row r="180" spans="1:9" outlineLevel="2">
      <c r="A180" s="22" t="s">
        <v>14</v>
      </c>
      <c r="B180" s="23" t="s">
        <v>559</v>
      </c>
      <c r="C180" s="22" t="s">
        <v>47</v>
      </c>
      <c r="D180" s="22" t="b">
        <f>EXACT(G179,"Updating the previous stock by independent measurement of change")</f>
        <v>1</v>
      </c>
      <c r="E180" s="22" t="s">
        <v>447</v>
      </c>
      <c r="F180" s="22" t="s">
        <v>14</v>
      </c>
      <c r="G180" s="22" t="s">
        <v>47</v>
      </c>
      <c r="H180" s="22" t="s">
        <v>47</v>
      </c>
      <c r="I180" s="22" t="s">
        <v>47</v>
      </c>
    </row>
    <row r="181" spans="1:9" outlineLevel="3" collapsed="1">
      <c r="A181" s="20" t="s">
        <v>14</v>
      </c>
      <c r="B181" s="20" t="s">
        <v>82</v>
      </c>
      <c r="C181" s="20" t="s">
        <v>47</v>
      </c>
      <c r="D181" s="20" t="s">
        <v>399</v>
      </c>
      <c r="E181" s="20" t="s">
        <v>560</v>
      </c>
      <c r="F181" s="20" t="s">
        <v>14</v>
      </c>
      <c r="G181" s="20" t="e">
        <f>E182+E183</f>
        <v>#VALUE!</v>
      </c>
      <c r="H181" s="20" t="s">
        <v>47</v>
      </c>
      <c r="I181" s="20" t="s">
        <v>47</v>
      </c>
    </row>
    <row r="182" spans="1:9" ht="30" outlineLevel="3" collapsed="1">
      <c r="A182" s="20" t="s">
        <v>11</v>
      </c>
      <c r="B182" s="20" t="s">
        <v>82</v>
      </c>
      <c r="C182" s="20" t="s">
        <v>47</v>
      </c>
      <c r="D182" s="20"/>
      <c r="E182" s="20" t="s">
        <v>561</v>
      </c>
      <c r="F182" s="20" t="s">
        <v>14</v>
      </c>
      <c r="G182" s="20">
        <v>1</v>
      </c>
      <c r="H182" s="20" t="s">
        <v>47</v>
      </c>
      <c r="I182" s="20" t="s">
        <v>47</v>
      </c>
    </row>
    <row r="183" spans="1:9" ht="30" outlineLevel="3" collapsed="1">
      <c r="A183" s="20" t="s">
        <v>11</v>
      </c>
      <c r="B183" s="20" t="s">
        <v>82</v>
      </c>
      <c r="C183" s="20" t="s">
        <v>47</v>
      </c>
      <c r="D183" s="20"/>
      <c r="E183" s="20" t="s">
        <v>562</v>
      </c>
      <c r="F183" s="20" t="s">
        <v>14</v>
      </c>
      <c r="G183" s="20">
        <v>1</v>
      </c>
      <c r="H183" s="20" t="s">
        <v>47</v>
      </c>
      <c r="I183" s="20" t="s">
        <v>47</v>
      </c>
    </row>
    <row r="184" spans="1:9" outlineLevel="3" collapsed="1">
      <c r="A184" s="20" t="s">
        <v>11</v>
      </c>
      <c r="B184" s="20" t="s">
        <v>82</v>
      </c>
      <c r="C184" s="20" t="s">
        <v>47</v>
      </c>
      <c r="D184" s="20"/>
      <c r="E184" s="20" t="s">
        <v>548</v>
      </c>
      <c r="F184" s="20" t="s">
        <v>14</v>
      </c>
      <c r="G184" s="20"/>
      <c r="H184" s="20" t="s">
        <v>47</v>
      </c>
      <c r="I184" s="20" t="s">
        <v>47</v>
      </c>
    </row>
    <row r="185" spans="1:9" ht="30" outlineLevel="3" collapsed="1">
      <c r="A185" s="20" t="s">
        <v>14</v>
      </c>
      <c r="B185" s="20" t="s">
        <v>82</v>
      </c>
      <c r="C185" s="20" t="s">
        <v>47</v>
      </c>
      <c r="D185" s="20" t="s">
        <v>399</v>
      </c>
      <c r="E185" s="20" t="s">
        <v>563</v>
      </c>
      <c r="F185" s="20" t="s">
        <v>14</v>
      </c>
      <c r="G185" s="20" t="e">
        <f>(SQRT((G186*G182)^2+(G184*G183)^2))/G181</f>
        <v>#VALUE!</v>
      </c>
      <c r="H185" s="20" t="s">
        <v>47</v>
      </c>
      <c r="I185" s="20" t="s">
        <v>47</v>
      </c>
    </row>
    <row r="186" spans="1:9" ht="30" outlineLevel="3" collapsed="1">
      <c r="A186" s="20" t="s">
        <v>11</v>
      </c>
      <c r="B186" s="20" t="s">
        <v>82</v>
      </c>
      <c r="C186" s="20" t="s">
        <v>47</v>
      </c>
      <c r="D186" s="20"/>
      <c r="E186" s="20" t="s">
        <v>564</v>
      </c>
      <c r="F186" s="20" t="s">
        <v>14</v>
      </c>
      <c r="G186" s="20">
        <v>1</v>
      </c>
      <c r="H186" s="20" t="s">
        <v>47</v>
      </c>
      <c r="I186" s="20" t="s">
        <v>47</v>
      </c>
    </row>
    <row r="187" spans="1:9" outlineLevel="2">
      <c r="A187" s="22" t="s">
        <v>14</v>
      </c>
      <c r="B187" s="23" t="s">
        <v>565</v>
      </c>
      <c r="C187" s="22"/>
      <c r="D187" s="22" t="b">
        <f>EXACT(G179,"Estimation by modelling of tree growth and stand development")</f>
        <v>0</v>
      </c>
      <c r="E187" s="22" t="s">
        <v>445</v>
      </c>
      <c r="F187" s="22" t="s">
        <v>14</v>
      </c>
      <c r="G187" s="22"/>
      <c r="H187" s="22"/>
      <c r="I187" s="22"/>
    </row>
    <row r="188" spans="1:9" ht="60" outlineLevel="3">
      <c r="A188" s="20" t="s">
        <v>14</v>
      </c>
      <c r="B188" s="20" t="s">
        <v>44</v>
      </c>
      <c r="C188" s="20"/>
      <c r="D188" s="20"/>
      <c r="E188" s="20" t="s">
        <v>455</v>
      </c>
      <c r="F188" s="20" t="s">
        <v>14</v>
      </c>
      <c r="G188" s="20"/>
      <c r="H188" s="20"/>
      <c r="I188" s="20"/>
    </row>
    <row r="189" spans="1:9" ht="75" outlineLevel="3">
      <c r="A189" s="20" t="s">
        <v>14</v>
      </c>
      <c r="B189" s="20" t="s">
        <v>44</v>
      </c>
      <c r="C189" s="20"/>
      <c r="D189" s="20"/>
      <c r="E189" s="20" t="s">
        <v>456</v>
      </c>
      <c r="F189" s="20" t="s">
        <v>14</v>
      </c>
      <c r="G189" s="20"/>
      <c r="H189" s="20"/>
      <c r="I189" s="20"/>
    </row>
    <row r="190" spans="1:9" ht="60" outlineLevel="3">
      <c r="A190" s="20" t="s">
        <v>14</v>
      </c>
      <c r="B190" s="20" t="s">
        <v>44</v>
      </c>
      <c r="C190" s="20"/>
      <c r="D190" s="20"/>
      <c r="E190" s="20" t="s">
        <v>457</v>
      </c>
      <c r="F190" s="20" t="s">
        <v>14</v>
      </c>
      <c r="G190" s="20"/>
      <c r="H190" s="20"/>
      <c r="I190" s="20"/>
    </row>
    <row r="191" spans="1:9" ht="60" outlineLevel="3">
      <c r="A191" s="20" t="s">
        <v>14</v>
      </c>
      <c r="B191" s="20" t="s">
        <v>44</v>
      </c>
      <c r="C191" s="20"/>
      <c r="D191" s="20"/>
      <c r="E191" s="20" t="s">
        <v>458</v>
      </c>
      <c r="F191" s="20" t="s">
        <v>14</v>
      </c>
      <c r="G191" s="20"/>
      <c r="H191" s="20"/>
      <c r="I191" s="20"/>
    </row>
    <row r="192" spans="1:9" ht="135" outlineLevel="3">
      <c r="A192" s="20" t="s">
        <v>11</v>
      </c>
      <c r="B192" s="20" t="s">
        <v>17</v>
      </c>
      <c r="C192" s="27" t="s">
        <v>566</v>
      </c>
      <c r="D192" s="20"/>
      <c r="E192" s="20" t="s">
        <v>460</v>
      </c>
      <c r="F192" s="20" t="s">
        <v>14</v>
      </c>
      <c r="G192" s="20" t="s">
        <v>11</v>
      </c>
      <c r="H192" s="20"/>
      <c r="I192" s="20"/>
    </row>
    <row r="193" spans="1:9" ht="30" outlineLevel="3">
      <c r="A193" s="20" t="s">
        <v>14</v>
      </c>
      <c r="B193" s="20" t="s">
        <v>44</v>
      </c>
      <c r="C193" s="20"/>
      <c r="D193" s="20" t="b">
        <f>EXACT(G192,"No")</f>
        <v>0</v>
      </c>
      <c r="E193" s="20" t="s">
        <v>461</v>
      </c>
      <c r="F193" s="20" t="s">
        <v>14</v>
      </c>
      <c r="G193" s="20"/>
      <c r="H193" s="20"/>
      <c r="I193" s="20"/>
    </row>
    <row r="194" spans="1:9" outlineLevel="3">
      <c r="A194" s="22" t="s">
        <v>14</v>
      </c>
      <c r="B194" s="23" t="s">
        <v>567</v>
      </c>
      <c r="C194" s="22"/>
      <c r="D194" s="22" t="b">
        <f>EXACT(G192,"Yes")</f>
        <v>1</v>
      </c>
      <c r="E194" s="22" t="s">
        <v>568</v>
      </c>
      <c r="F194" s="22" t="s">
        <v>14</v>
      </c>
      <c r="G194" s="22"/>
      <c r="H194" s="22"/>
      <c r="I194" s="22"/>
    </row>
    <row r="195" spans="1:9" ht="30" outlineLevel="4">
      <c r="A195" s="20" t="s">
        <v>11</v>
      </c>
      <c r="B195" s="20" t="s">
        <v>82</v>
      </c>
      <c r="C195" s="20"/>
      <c r="D195" s="20"/>
      <c r="E195" s="20" t="s">
        <v>464</v>
      </c>
      <c r="F195" s="20" t="s">
        <v>14</v>
      </c>
      <c r="G195" s="20"/>
      <c r="H195" s="20"/>
      <c r="I195" s="20"/>
    </row>
    <row r="196" spans="1:9" outlineLevel="4">
      <c r="A196" s="20" t="s">
        <v>11</v>
      </c>
      <c r="B196" s="20" t="s">
        <v>82</v>
      </c>
      <c r="C196" s="20"/>
      <c r="D196" s="20"/>
      <c r="E196" s="20" t="s">
        <v>465</v>
      </c>
      <c r="F196" s="20" t="s">
        <v>14</v>
      </c>
      <c r="G196" s="20"/>
      <c r="H196" s="20"/>
      <c r="I196" s="20"/>
    </row>
    <row r="197" spans="1:9" outlineLevel="4">
      <c r="A197" s="20" t="s">
        <v>11</v>
      </c>
      <c r="B197" s="20" t="s">
        <v>82</v>
      </c>
      <c r="C197" s="20"/>
      <c r="D197" s="20"/>
      <c r="E197" s="20" t="s">
        <v>466</v>
      </c>
      <c r="F197" s="20" t="s">
        <v>14</v>
      </c>
      <c r="G197" s="20"/>
      <c r="H197" s="20"/>
      <c r="I197" s="20"/>
    </row>
    <row r="198" spans="1:9" outlineLevel="2">
      <c r="A198" s="22" t="s">
        <v>14</v>
      </c>
      <c r="B198" s="23" t="s">
        <v>475</v>
      </c>
      <c r="C198" s="22" t="s">
        <v>47</v>
      </c>
      <c r="D198" s="22" t="b">
        <f>EXACT(G179,"Measurement of sample plots")</f>
        <v>0</v>
      </c>
      <c r="E198" s="22" t="s">
        <v>475</v>
      </c>
      <c r="F198" s="22" t="s">
        <v>14</v>
      </c>
      <c r="G198" s="22" t="s">
        <v>47</v>
      </c>
      <c r="H198" s="22" t="s">
        <v>47</v>
      </c>
      <c r="I198" s="22" t="s">
        <v>47</v>
      </c>
    </row>
    <row r="199" spans="1:9" ht="30" outlineLevel="3" collapsed="1">
      <c r="A199" s="20" t="s">
        <v>11</v>
      </c>
      <c r="B199" s="20" t="s">
        <v>17</v>
      </c>
      <c r="C199" s="21" t="s">
        <v>476</v>
      </c>
      <c r="D199" s="20"/>
      <c r="E199" s="20" t="s">
        <v>477</v>
      </c>
      <c r="F199" s="20" t="s">
        <v>14</v>
      </c>
      <c r="G199" s="20" t="s">
        <v>478</v>
      </c>
      <c r="H199" s="20" t="s">
        <v>47</v>
      </c>
      <c r="I199" s="20" t="s">
        <v>47</v>
      </c>
    </row>
    <row r="200" spans="1:9" outlineLevel="3">
      <c r="A200" s="22" t="s">
        <v>14</v>
      </c>
      <c r="B200" s="23" t="s">
        <v>478</v>
      </c>
      <c r="C200" s="22" t="s">
        <v>47</v>
      </c>
      <c r="D200" s="22" t="b">
        <f>EXACT(G199,"Stratified random sampling")</f>
        <v>1</v>
      </c>
      <c r="E200" s="22" t="s">
        <v>478</v>
      </c>
      <c r="F200" s="22" t="s">
        <v>14</v>
      </c>
      <c r="G200" s="22" t="s">
        <v>47</v>
      </c>
      <c r="H200" s="22" t="s">
        <v>47</v>
      </c>
      <c r="I200" s="22" t="s">
        <v>47</v>
      </c>
    </row>
    <row r="201" spans="1:9" ht="30" outlineLevel="4" collapsed="1">
      <c r="A201" s="20" t="s">
        <v>14</v>
      </c>
      <c r="B201" s="20" t="s">
        <v>82</v>
      </c>
      <c r="C201" s="20" t="s">
        <v>47</v>
      </c>
      <c r="D201" s="20" t="s">
        <v>399</v>
      </c>
      <c r="E201" s="20" t="s">
        <v>479</v>
      </c>
      <c r="F201" s="20" t="s">
        <v>14</v>
      </c>
      <c r="G201" s="20">
        <f>44/12*G202*G203</f>
        <v>3.6666666666666665</v>
      </c>
      <c r="H201" s="20" t="s">
        <v>47</v>
      </c>
      <c r="I201" s="20" t="s">
        <v>47</v>
      </c>
    </row>
    <row r="202" spans="1:9" outlineLevel="4" collapsed="1">
      <c r="A202" s="20" t="s">
        <v>11</v>
      </c>
      <c r="B202" s="20" t="s">
        <v>82</v>
      </c>
      <c r="C202" s="20" t="s">
        <v>47</v>
      </c>
      <c r="D202" s="20"/>
      <c r="E202" s="20" t="s">
        <v>405</v>
      </c>
      <c r="F202" s="20" t="s">
        <v>14</v>
      </c>
      <c r="G202" s="20">
        <v>1</v>
      </c>
      <c r="H202" s="20" t="s">
        <v>47</v>
      </c>
      <c r="I202" s="20" t="s">
        <v>47</v>
      </c>
    </row>
    <row r="203" spans="1:9" ht="30" outlineLevel="4" collapsed="1">
      <c r="A203" s="20" t="s">
        <v>14</v>
      </c>
      <c r="B203" s="20" t="s">
        <v>82</v>
      </c>
      <c r="C203" s="20" t="s">
        <v>47</v>
      </c>
      <c r="D203" s="20" t="s">
        <v>399</v>
      </c>
      <c r="E203" s="20" t="s">
        <v>480</v>
      </c>
      <c r="F203" s="20" t="s">
        <v>14</v>
      </c>
      <c r="G203" s="20">
        <f>G204*G205</f>
        <v>1</v>
      </c>
      <c r="H203" s="20" t="s">
        <v>47</v>
      </c>
      <c r="I203" s="20" t="s">
        <v>47</v>
      </c>
    </row>
    <row r="204" spans="1:9" ht="30" outlineLevel="4" collapsed="1">
      <c r="A204" s="20" t="s">
        <v>11</v>
      </c>
      <c r="B204" s="20" t="s">
        <v>82</v>
      </c>
      <c r="C204" s="20" t="s">
        <v>47</v>
      </c>
      <c r="D204" s="20"/>
      <c r="E204" s="20" t="s">
        <v>481</v>
      </c>
      <c r="F204" s="20" t="s">
        <v>14</v>
      </c>
      <c r="G204" s="20">
        <v>1</v>
      </c>
      <c r="H204" s="20" t="s">
        <v>47</v>
      </c>
      <c r="I204" s="20" t="s">
        <v>47</v>
      </c>
    </row>
    <row r="205" spans="1:9" ht="30" outlineLevel="4" collapsed="1">
      <c r="A205" s="20" t="s">
        <v>14</v>
      </c>
      <c r="B205" s="20" t="s">
        <v>82</v>
      </c>
      <c r="C205" s="20" t="s">
        <v>47</v>
      </c>
      <c r="D205" s="20" t="s">
        <v>399</v>
      </c>
      <c r="E205" s="20" t="s">
        <v>482</v>
      </c>
      <c r="F205" s="20" t="s">
        <v>14</v>
      </c>
      <c r="G205" s="20">
        <f>SUM((G210*G209))</f>
        <v>1</v>
      </c>
      <c r="H205" s="20" t="s">
        <v>47</v>
      </c>
      <c r="I205" s="20" t="s">
        <v>47</v>
      </c>
    </row>
    <row r="206" spans="1:9" outlineLevel="4" collapsed="1">
      <c r="A206" s="20" t="s">
        <v>11</v>
      </c>
      <c r="B206" s="20" t="s">
        <v>82</v>
      </c>
      <c r="C206" s="20" t="s">
        <v>47</v>
      </c>
      <c r="D206" s="20"/>
      <c r="E206" s="20" t="s">
        <v>569</v>
      </c>
      <c r="F206" s="20" t="s">
        <v>14</v>
      </c>
      <c r="G206" s="20">
        <v>1</v>
      </c>
      <c r="H206" s="20" t="s">
        <v>47</v>
      </c>
      <c r="I206" s="20" t="s">
        <v>47</v>
      </c>
    </row>
    <row r="207" spans="1:9" ht="30" outlineLevel="4" collapsed="1">
      <c r="A207" s="20" t="s">
        <v>11</v>
      </c>
      <c r="B207" s="20" t="s">
        <v>82</v>
      </c>
      <c r="C207" s="20" t="s">
        <v>47</v>
      </c>
      <c r="D207" s="20"/>
      <c r="E207" s="20" t="s">
        <v>484</v>
      </c>
      <c r="F207" s="20" t="s">
        <v>14</v>
      </c>
      <c r="G207" s="20">
        <v>1</v>
      </c>
      <c r="H207" s="20" t="s">
        <v>47</v>
      </c>
      <c r="I207" s="20" t="s">
        <v>47</v>
      </c>
    </row>
    <row r="208" spans="1:9" outlineLevel="4">
      <c r="A208" s="22" t="s">
        <v>11</v>
      </c>
      <c r="B208" s="23" t="s">
        <v>485</v>
      </c>
      <c r="C208" s="22" t="s">
        <v>47</v>
      </c>
      <c r="D208" s="22"/>
      <c r="E208" s="22" t="s">
        <v>486</v>
      </c>
      <c r="F208" s="22" t="s">
        <v>11</v>
      </c>
      <c r="G208" s="22" t="s">
        <v>47</v>
      </c>
      <c r="H208" s="22" t="s">
        <v>47</v>
      </c>
      <c r="I208" s="22" t="s">
        <v>47</v>
      </c>
    </row>
    <row r="209" spans="1:9" s="25" customFormat="1" ht="30" outlineLevel="5" collapsed="1">
      <c r="A209" s="24" t="s">
        <v>14</v>
      </c>
      <c r="B209" s="24" t="s">
        <v>82</v>
      </c>
      <c r="C209" s="24" t="s">
        <v>47</v>
      </c>
      <c r="D209" s="24" t="s">
        <v>399</v>
      </c>
      <c r="E209" s="24" t="s">
        <v>487</v>
      </c>
      <c r="F209" s="24" t="s">
        <v>14</v>
      </c>
      <c r="G209" s="24">
        <f>(SUM(G214))/G212</f>
        <v>1</v>
      </c>
      <c r="H209" s="24" t="s">
        <v>47</v>
      </c>
      <c r="I209" s="24" t="s">
        <v>47</v>
      </c>
    </row>
    <row r="210" spans="1:9" ht="30" outlineLevel="5" collapsed="1">
      <c r="A210" s="20" t="s">
        <v>11</v>
      </c>
      <c r="B210" s="20" t="s">
        <v>82</v>
      </c>
      <c r="C210" s="20" t="s">
        <v>47</v>
      </c>
      <c r="D210" s="20"/>
      <c r="E210" s="20" t="s">
        <v>488</v>
      </c>
      <c r="F210" s="20" t="s">
        <v>14</v>
      </c>
      <c r="G210" s="20">
        <v>1</v>
      </c>
      <c r="H210" s="20" t="s">
        <v>47</v>
      </c>
      <c r="I210" s="20" t="s">
        <v>47</v>
      </c>
    </row>
    <row r="211" spans="1:9" ht="30" outlineLevel="5" collapsed="1">
      <c r="A211" s="20" t="s">
        <v>11</v>
      </c>
      <c r="B211" s="20" t="s">
        <v>82</v>
      </c>
      <c r="C211" s="20" t="s">
        <v>47</v>
      </c>
      <c r="D211" s="20"/>
      <c r="E211" s="20" t="s">
        <v>489</v>
      </c>
      <c r="F211" s="20" t="s">
        <v>14</v>
      </c>
      <c r="G211" s="20">
        <v>1</v>
      </c>
      <c r="H211" s="20" t="s">
        <v>47</v>
      </c>
      <c r="I211" s="20" t="s">
        <v>47</v>
      </c>
    </row>
    <row r="212" spans="1:9" outlineLevel="5" collapsed="1">
      <c r="A212" s="20" t="s">
        <v>11</v>
      </c>
      <c r="B212" s="20" t="s">
        <v>82</v>
      </c>
      <c r="C212" s="20" t="s">
        <v>47</v>
      </c>
      <c r="D212" s="20"/>
      <c r="E212" s="20" t="s">
        <v>490</v>
      </c>
      <c r="F212" s="20" t="s">
        <v>14</v>
      </c>
      <c r="G212" s="20">
        <v>1</v>
      </c>
      <c r="H212" s="20" t="s">
        <v>47</v>
      </c>
      <c r="I212" s="20" t="s">
        <v>47</v>
      </c>
    </row>
    <row r="213" spans="1:9" outlineLevel="5">
      <c r="A213" s="22" t="s">
        <v>11</v>
      </c>
      <c r="B213" s="23" t="s">
        <v>491</v>
      </c>
      <c r="C213" s="22"/>
      <c r="D213" s="22"/>
      <c r="E213" s="22" t="s">
        <v>492</v>
      </c>
      <c r="F213" s="22" t="s">
        <v>11</v>
      </c>
      <c r="G213" s="22"/>
      <c r="H213" s="22"/>
      <c r="I213" s="22"/>
    </row>
    <row r="214" spans="1:9" s="25" customFormat="1" ht="30" outlineLevel="6" collapsed="1">
      <c r="A214" s="24" t="s">
        <v>11</v>
      </c>
      <c r="B214" s="24" t="s">
        <v>82</v>
      </c>
      <c r="C214" s="24" t="s">
        <v>47</v>
      </c>
      <c r="D214" s="24"/>
      <c r="E214" s="24" t="s">
        <v>493</v>
      </c>
      <c r="F214" s="24" t="s">
        <v>14</v>
      </c>
      <c r="G214" s="24">
        <v>1</v>
      </c>
      <c r="H214" s="24" t="s">
        <v>47</v>
      </c>
      <c r="I214" s="24" t="s">
        <v>47</v>
      </c>
    </row>
    <row r="215" spans="1:9" outlineLevel="3">
      <c r="A215" s="22" t="s">
        <v>14</v>
      </c>
      <c r="B215" s="23" t="s">
        <v>494</v>
      </c>
      <c r="C215" s="22" t="s">
        <v>47</v>
      </c>
      <c r="D215" s="22" t="b">
        <f>NOT(EXACT(G199,"Stratified random sampling"))</f>
        <v>0</v>
      </c>
      <c r="E215" s="22" t="s">
        <v>494</v>
      </c>
      <c r="F215" s="22" t="s">
        <v>14</v>
      </c>
      <c r="G215" s="22" t="s">
        <v>47</v>
      </c>
      <c r="H215" s="22" t="s">
        <v>47</v>
      </c>
      <c r="I215" s="22" t="s">
        <v>47</v>
      </c>
    </row>
    <row r="216" spans="1:9" ht="30" outlineLevel="4" collapsed="1">
      <c r="A216" s="20" t="s">
        <v>11</v>
      </c>
      <c r="B216" s="20" t="s">
        <v>82</v>
      </c>
      <c r="C216" s="20" t="s">
        <v>47</v>
      </c>
      <c r="D216" s="20"/>
      <c r="E216" s="20" t="s">
        <v>479</v>
      </c>
      <c r="F216" s="20" t="s">
        <v>14</v>
      </c>
      <c r="G216" s="20">
        <v>1</v>
      </c>
      <c r="H216" s="20" t="s">
        <v>47</v>
      </c>
      <c r="I216" s="20" t="s">
        <v>47</v>
      </c>
    </row>
    <row r="217" spans="1:9" outlineLevel="4" collapsed="1">
      <c r="A217" s="20" t="s">
        <v>11</v>
      </c>
      <c r="B217" s="20" t="s">
        <v>82</v>
      </c>
      <c r="C217" s="20" t="s">
        <v>47</v>
      </c>
      <c r="D217" s="20"/>
      <c r="E217" s="20" t="s">
        <v>405</v>
      </c>
      <c r="F217" s="20" t="s">
        <v>14</v>
      </c>
      <c r="G217" s="20">
        <v>1</v>
      </c>
      <c r="H217" s="20" t="s">
        <v>47</v>
      </c>
      <c r="I217" s="20" t="s">
        <v>47</v>
      </c>
    </row>
    <row r="218" spans="1:9" ht="30" outlineLevel="4" collapsed="1">
      <c r="A218" s="20" t="s">
        <v>11</v>
      </c>
      <c r="B218" s="20" t="s">
        <v>82</v>
      </c>
      <c r="C218" s="20" t="s">
        <v>47</v>
      </c>
      <c r="D218" s="20"/>
      <c r="E218" s="20" t="s">
        <v>480</v>
      </c>
      <c r="F218" s="20" t="s">
        <v>14</v>
      </c>
      <c r="G218" s="20">
        <v>1</v>
      </c>
      <c r="H218" s="20" t="s">
        <v>47</v>
      </c>
      <c r="I218" s="20" t="s">
        <v>47</v>
      </c>
    </row>
    <row r="219" spans="1:9" ht="30" outlineLevel="4" collapsed="1">
      <c r="A219" s="20" t="s">
        <v>11</v>
      </c>
      <c r="B219" s="20" t="s">
        <v>82</v>
      </c>
      <c r="C219" s="20" t="s">
        <v>47</v>
      </c>
      <c r="D219" s="20"/>
      <c r="E219" s="20" t="s">
        <v>481</v>
      </c>
      <c r="F219" s="20" t="s">
        <v>14</v>
      </c>
      <c r="G219" s="20">
        <v>1</v>
      </c>
      <c r="H219" s="20" t="s">
        <v>47</v>
      </c>
      <c r="I219" s="20" t="s">
        <v>47</v>
      </c>
    </row>
    <row r="220" spans="1:9" ht="30" outlineLevel="4" collapsed="1">
      <c r="A220" s="20" t="s">
        <v>11</v>
      </c>
      <c r="B220" s="20" t="s">
        <v>82</v>
      </c>
      <c r="C220" s="20" t="s">
        <v>47</v>
      </c>
      <c r="D220" s="20"/>
      <c r="E220" s="20" t="s">
        <v>482</v>
      </c>
      <c r="F220" s="20" t="s">
        <v>14</v>
      </c>
      <c r="G220" s="20">
        <v>1</v>
      </c>
      <c r="H220" s="20" t="s">
        <v>47</v>
      </c>
      <c r="I220" s="20" t="s">
        <v>47</v>
      </c>
    </row>
    <row r="221" spans="1:9" outlineLevel="4" collapsed="1">
      <c r="A221" s="20" t="s">
        <v>11</v>
      </c>
      <c r="B221" s="20" t="s">
        <v>82</v>
      </c>
      <c r="C221" s="20" t="s">
        <v>47</v>
      </c>
      <c r="D221" s="20"/>
      <c r="E221" s="20" t="s">
        <v>569</v>
      </c>
      <c r="F221" s="20" t="s">
        <v>14</v>
      </c>
      <c r="G221" s="20">
        <v>1</v>
      </c>
      <c r="H221" s="20" t="s">
        <v>47</v>
      </c>
      <c r="I221" s="20" t="s">
        <v>47</v>
      </c>
    </row>
    <row r="222" spans="1:9" ht="30" outlineLevel="4" collapsed="1">
      <c r="A222" s="20" t="s">
        <v>11</v>
      </c>
      <c r="B222" s="20" t="s">
        <v>82</v>
      </c>
      <c r="C222" s="20" t="s">
        <v>47</v>
      </c>
      <c r="D222" s="20"/>
      <c r="E222" s="20" t="s">
        <v>570</v>
      </c>
      <c r="F222" s="20" t="s">
        <v>14</v>
      </c>
      <c r="G222" s="20">
        <v>1</v>
      </c>
      <c r="H222" s="20" t="s">
        <v>47</v>
      </c>
      <c r="I222" s="20" t="s">
        <v>47</v>
      </c>
    </row>
    <row r="223" spans="1:9" outlineLevel="4">
      <c r="A223" s="22" t="s">
        <v>11</v>
      </c>
      <c r="B223" s="23" t="s">
        <v>495</v>
      </c>
      <c r="C223" s="22" t="s">
        <v>47</v>
      </c>
      <c r="D223" s="22"/>
      <c r="E223" s="22" t="s">
        <v>486</v>
      </c>
      <c r="F223" s="22" t="s">
        <v>11</v>
      </c>
      <c r="G223" s="22" t="s">
        <v>47</v>
      </c>
      <c r="H223" s="22" t="s">
        <v>47</v>
      </c>
      <c r="I223" s="22" t="s">
        <v>47</v>
      </c>
    </row>
    <row r="224" spans="1:9" ht="30" outlineLevel="5" collapsed="1">
      <c r="A224" s="20" t="s">
        <v>14</v>
      </c>
      <c r="B224" s="20" t="s">
        <v>82</v>
      </c>
      <c r="C224" s="20" t="s">
        <v>47</v>
      </c>
      <c r="D224" s="20" t="s">
        <v>399</v>
      </c>
      <c r="E224" s="20" t="s">
        <v>487</v>
      </c>
      <c r="F224" s="20" t="s">
        <v>14</v>
      </c>
      <c r="G224" s="20">
        <f>(SUM(G233)/G225)+G226*(G227-G228)</f>
        <v>1</v>
      </c>
      <c r="H224" s="20" t="s">
        <v>47</v>
      </c>
      <c r="I224" s="20" t="s">
        <v>47</v>
      </c>
    </row>
    <row r="225" spans="1:9" outlineLevel="5" collapsed="1">
      <c r="A225" s="20" t="s">
        <v>11</v>
      </c>
      <c r="B225" s="20" t="s">
        <v>82</v>
      </c>
      <c r="C225" s="20" t="s">
        <v>47</v>
      </c>
      <c r="D225" s="20"/>
      <c r="E225" s="20" t="s">
        <v>496</v>
      </c>
      <c r="F225" s="20" t="s">
        <v>14</v>
      </c>
      <c r="G225" s="20">
        <v>1</v>
      </c>
      <c r="H225" s="20" t="s">
        <v>47</v>
      </c>
      <c r="I225" s="20" t="s">
        <v>47</v>
      </c>
    </row>
    <row r="226" spans="1:9" ht="30" outlineLevel="5" collapsed="1">
      <c r="A226" s="20" t="s">
        <v>11</v>
      </c>
      <c r="B226" s="20" t="s">
        <v>82</v>
      </c>
      <c r="C226" s="20" t="s">
        <v>47</v>
      </c>
      <c r="D226" s="20"/>
      <c r="E226" s="20" t="s">
        <v>497</v>
      </c>
      <c r="F226" s="20" t="s">
        <v>14</v>
      </c>
      <c r="G226" s="20">
        <v>1</v>
      </c>
      <c r="H226" s="20" t="s">
        <v>47</v>
      </c>
      <c r="I226" s="20" t="s">
        <v>47</v>
      </c>
    </row>
    <row r="227" spans="1:9" ht="30" outlineLevel="5" collapsed="1">
      <c r="A227" s="20" t="s">
        <v>11</v>
      </c>
      <c r="B227" s="20" t="s">
        <v>82</v>
      </c>
      <c r="C227" s="20" t="s">
        <v>47</v>
      </c>
      <c r="D227" s="20"/>
      <c r="E227" s="20" t="s">
        <v>498</v>
      </c>
      <c r="F227" s="20" t="s">
        <v>14</v>
      </c>
      <c r="G227" s="20">
        <v>1</v>
      </c>
      <c r="H227" s="20" t="s">
        <v>47</v>
      </c>
      <c r="I227" s="20" t="s">
        <v>47</v>
      </c>
    </row>
    <row r="228" spans="1:9" ht="30" outlineLevel="5" collapsed="1">
      <c r="A228" s="20" t="s">
        <v>11</v>
      </c>
      <c r="B228" s="20" t="s">
        <v>82</v>
      </c>
      <c r="C228" s="20" t="s">
        <v>47</v>
      </c>
      <c r="D228" s="20"/>
      <c r="E228" s="20" t="s">
        <v>499</v>
      </c>
      <c r="F228" s="20" t="s">
        <v>14</v>
      </c>
      <c r="G228" s="20">
        <v>1</v>
      </c>
      <c r="H228" s="20" t="s">
        <v>47</v>
      </c>
      <c r="I228" s="20" t="s">
        <v>47</v>
      </c>
    </row>
    <row r="229" spans="1:9" ht="30" outlineLevel="5" collapsed="1">
      <c r="A229" s="20" t="s">
        <v>11</v>
      </c>
      <c r="B229" s="20" t="s">
        <v>82</v>
      </c>
      <c r="C229" s="20" t="s">
        <v>47</v>
      </c>
      <c r="D229" s="20"/>
      <c r="E229" s="20" t="s">
        <v>500</v>
      </c>
      <c r="F229" s="20" t="s">
        <v>14</v>
      </c>
      <c r="G229" s="20">
        <v>1</v>
      </c>
      <c r="H229" s="20" t="s">
        <v>47</v>
      </c>
      <c r="I229" s="20" t="s">
        <v>47</v>
      </c>
    </row>
    <row r="230" spans="1:9" ht="30" outlineLevel="5" collapsed="1">
      <c r="A230" s="20" t="s">
        <v>11</v>
      </c>
      <c r="B230" s="20" t="s">
        <v>82</v>
      </c>
      <c r="C230" s="20" t="s">
        <v>47</v>
      </c>
      <c r="D230" s="20"/>
      <c r="E230" s="20" t="s">
        <v>501</v>
      </c>
      <c r="F230" s="20" t="s">
        <v>14</v>
      </c>
      <c r="G230" s="20">
        <v>1</v>
      </c>
      <c r="H230" s="20" t="s">
        <v>47</v>
      </c>
      <c r="I230" s="20" t="s">
        <v>47</v>
      </c>
    </row>
    <row r="231" spans="1:9" ht="45" outlineLevel="5" collapsed="1">
      <c r="A231" s="20" t="s">
        <v>11</v>
      </c>
      <c r="B231" s="20" t="s">
        <v>82</v>
      </c>
      <c r="C231" s="20" t="s">
        <v>47</v>
      </c>
      <c r="D231" s="20"/>
      <c r="E231" s="20" t="s">
        <v>502</v>
      </c>
      <c r="F231" s="20" t="s">
        <v>14</v>
      </c>
      <c r="G231" s="20">
        <v>1</v>
      </c>
      <c r="H231" s="20" t="s">
        <v>47</v>
      </c>
      <c r="I231" s="20" t="s">
        <v>47</v>
      </c>
    </row>
    <row r="232" spans="1:9" outlineLevel="5">
      <c r="A232" s="22" t="s">
        <v>11</v>
      </c>
      <c r="B232" s="23" t="s">
        <v>491</v>
      </c>
      <c r="C232" s="22"/>
      <c r="D232" s="22"/>
      <c r="E232" s="22" t="s">
        <v>492</v>
      </c>
      <c r="F232" s="22" t="s">
        <v>11</v>
      </c>
      <c r="G232" s="22"/>
      <c r="H232" s="22"/>
      <c r="I232" s="22"/>
    </row>
    <row r="233" spans="1:9" s="25" customFormat="1" ht="30" outlineLevel="6" collapsed="1">
      <c r="A233" s="24" t="s">
        <v>11</v>
      </c>
      <c r="B233" s="24" t="s">
        <v>82</v>
      </c>
      <c r="C233" s="24" t="s">
        <v>47</v>
      </c>
      <c r="D233" s="24"/>
      <c r="E233" s="24" t="s">
        <v>493</v>
      </c>
      <c r="F233" s="24" t="s">
        <v>14</v>
      </c>
      <c r="G233" s="24">
        <v>1</v>
      </c>
      <c r="H233" s="24" t="s">
        <v>47</v>
      </c>
      <c r="I233" s="24" t="s">
        <v>47</v>
      </c>
    </row>
    <row r="234" spans="1:9" outlineLevel="2" collapsed="1">
      <c r="A234" s="20" t="s">
        <v>11</v>
      </c>
      <c r="B234" s="20" t="s">
        <v>503</v>
      </c>
      <c r="C234" s="20" t="s">
        <v>47</v>
      </c>
      <c r="D234" s="20"/>
      <c r="E234" s="4" t="s">
        <v>504</v>
      </c>
      <c r="F234" s="20" t="s">
        <v>14</v>
      </c>
      <c r="G234" s="20" t="s">
        <v>505</v>
      </c>
      <c r="H234" s="20" t="s">
        <v>47</v>
      </c>
      <c r="I234" s="20" t="s">
        <v>47</v>
      </c>
    </row>
    <row r="235" spans="1:9" ht="29.25" customHeight="1" outlineLevel="1">
      <c r="A235" s="18" t="s">
        <v>14</v>
      </c>
      <c r="B235" s="18" t="s">
        <v>82</v>
      </c>
      <c r="C235" s="10"/>
      <c r="D235" s="18" t="s">
        <v>399</v>
      </c>
      <c r="E235" s="18" t="s">
        <v>571</v>
      </c>
      <c r="F235" s="18" t="s">
        <v>14</v>
      </c>
      <c r="G235" s="18" t="e">
        <f>IF(G179="Updating the previous stock by independent measurement of change",G181,IF(G179="Estimation by modelling of tree growth and stand development",G195,IF(AND(G179="Measurement of sample plots",G199="Stratified random sampling"),G201,IF(AND(G179="Measurement of sample plots",G199="Double sampling"),G216))))</f>
        <v>#VALUE!</v>
      </c>
      <c r="H235" s="18"/>
      <c r="I235" s="18"/>
    </row>
    <row r="236" spans="1:9" ht="29.25" customHeight="1" outlineLevel="1">
      <c r="A236" s="18" t="s">
        <v>14</v>
      </c>
      <c r="B236" s="18" t="s">
        <v>82</v>
      </c>
      <c r="C236" s="10"/>
      <c r="D236" s="18" t="s">
        <v>399</v>
      </c>
      <c r="E236" s="18" t="s">
        <v>572</v>
      </c>
      <c r="F236" s="18" t="s">
        <v>14</v>
      </c>
      <c r="G236" s="18">
        <f>IF(AND(G144="Estimating change in carbon stock in trees between two points in time",G146="no-decrease"),0,IF(AND(G144="Estimating change in carbon stock in trees between two points in time",G146="Direct estimation of change by re-measurement of sample plots"),G151,IF(AND(G144="Estimating change in carbon stock in trees between two points in time",G146="Difference of two independent stock estimations"),G171,IF(AND(G144="Estimating change in carbon stock in trees in a year"),G174))))</f>
        <v>0</v>
      </c>
      <c r="H236" s="18"/>
      <c r="I236" s="18"/>
    </row>
    <row r="237" spans="1:9" ht="29.25" customHeight="1" outlineLevel="1">
      <c r="A237" s="18" t="s">
        <v>11</v>
      </c>
      <c r="B237" s="18" t="s">
        <v>17</v>
      </c>
      <c r="C237" s="10" t="s">
        <v>573</v>
      </c>
      <c r="D237" s="18"/>
      <c r="E237" s="3" t="s">
        <v>509</v>
      </c>
      <c r="F237" s="3" t="s">
        <v>14</v>
      </c>
      <c r="G237" s="18" t="s">
        <v>523</v>
      </c>
      <c r="H237" s="18"/>
      <c r="I237" s="18"/>
    </row>
    <row r="238" spans="1:9" outlineLevel="1">
      <c r="A238" s="18" t="s">
        <v>11</v>
      </c>
      <c r="B238" s="10" t="s">
        <v>574</v>
      </c>
      <c r="C238" s="18" t="s">
        <v>47</v>
      </c>
      <c r="D238" s="18" t="b">
        <f>EXACT(G237,"Estimating change in carbon stock in shrubs between two points in time")</f>
        <v>0</v>
      </c>
      <c r="E238" s="18" t="s">
        <v>512</v>
      </c>
      <c r="F238" s="18" t="s">
        <v>14</v>
      </c>
      <c r="G238" s="18" t="s">
        <v>47</v>
      </c>
      <c r="H238" s="18" t="s">
        <v>47</v>
      </c>
      <c r="I238" s="18" t="s">
        <v>47</v>
      </c>
    </row>
    <row r="239" spans="1:9" ht="29.25" customHeight="1" outlineLevel="2">
      <c r="A239" s="18" t="s">
        <v>11</v>
      </c>
      <c r="B239" s="18" t="s">
        <v>17</v>
      </c>
      <c r="C239" s="10" t="s">
        <v>575</v>
      </c>
      <c r="D239" s="18"/>
      <c r="E239" s="18" t="s">
        <v>514</v>
      </c>
      <c r="F239" s="18" t="s">
        <v>14</v>
      </c>
      <c r="G239" s="18" t="s">
        <v>14</v>
      </c>
      <c r="H239" s="18" t="s">
        <v>47</v>
      </c>
      <c r="I239" s="18" t="s">
        <v>47</v>
      </c>
    </row>
    <row r="240" spans="1:9" outlineLevel="2">
      <c r="A240" s="18" t="s">
        <v>14</v>
      </c>
      <c r="B240" s="10" t="s">
        <v>515</v>
      </c>
      <c r="C240" s="19"/>
      <c r="D240" s="18" t="b">
        <f>EXACT(G239,"Yes")</f>
        <v>0</v>
      </c>
      <c r="E240" s="18" t="s">
        <v>393</v>
      </c>
      <c r="F240" s="18" t="s">
        <v>14</v>
      </c>
      <c r="G240" s="18"/>
      <c r="H240" s="18"/>
      <c r="I240" s="18"/>
    </row>
    <row r="241" spans="1:9" ht="165" outlineLevel="3" collapsed="1">
      <c r="A241" s="20" t="s">
        <v>14</v>
      </c>
      <c r="B241" s="20" t="s">
        <v>44</v>
      </c>
      <c r="C241" s="20"/>
      <c r="D241" s="20"/>
      <c r="E241" s="20" t="s">
        <v>516</v>
      </c>
      <c r="F241" s="4" t="s">
        <v>14</v>
      </c>
      <c r="G241" s="20"/>
      <c r="H241" s="20"/>
      <c r="I241" s="20"/>
    </row>
    <row r="242" spans="1:9" ht="60" outlineLevel="3" collapsed="1">
      <c r="A242" s="20" t="s">
        <v>11</v>
      </c>
      <c r="B242" s="20" t="s">
        <v>17</v>
      </c>
      <c r="C242" s="21" t="s">
        <v>517</v>
      </c>
      <c r="D242" s="20"/>
      <c r="E242" s="4" t="s">
        <v>518</v>
      </c>
      <c r="F242" s="4" t="s">
        <v>14</v>
      </c>
      <c r="G242" s="20"/>
      <c r="H242" s="20"/>
      <c r="I242" s="20"/>
    </row>
    <row r="243" spans="1:9" ht="30" outlineLevel="2" collapsed="1">
      <c r="A243" s="20" t="s">
        <v>14</v>
      </c>
      <c r="B243" s="20" t="s">
        <v>82</v>
      </c>
      <c r="C243" s="20" t="s">
        <v>47</v>
      </c>
      <c r="D243" s="20" t="s">
        <v>399</v>
      </c>
      <c r="E243" s="20" t="s">
        <v>576</v>
      </c>
      <c r="F243" s="20" t="s">
        <v>14</v>
      </c>
      <c r="G243" s="20" t="e">
        <f>IF(AND(#REF!="No"),E244-E245,0)</f>
        <v>#REF!</v>
      </c>
      <c r="H243" s="20" t="s">
        <v>47</v>
      </c>
      <c r="I243" s="20" t="s">
        <v>47</v>
      </c>
    </row>
    <row r="244" spans="1:9" ht="30" outlineLevel="2" collapsed="1">
      <c r="A244" s="20" t="s">
        <v>11</v>
      </c>
      <c r="B244" s="20" t="s">
        <v>82</v>
      </c>
      <c r="C244" s="20" t="s">
        <v>47</v>
      </c>
      <c r="D244" s="20"/>
      <c r="E244" s="20" t="s">
        <v>577</v>
      </c>
      <c r="F244" s="20" t="s">
        <v>14</v>
      </c>
      <c r="G244" s="20">
        <v>1</v>
      </c>
      <c r="H244" s="20" t="s">
        <v>47</v>
      </c>
      <c r="I244" s="20" t="s">
        <v>47</v>
      </c>
    </row>
    <row r="245" spans="1:9" ht="30" outlineLevel="2" collapsed="1">
      <c r="A245" s="20" t="s">
        <v>11</v>
      </c>
      <c r="B245" s="20" t="s">
        <v>82</v>
      </c>
      <c r="C245" s="20" t="s">
        <v>47</v>
      </c>
      <c r="D245" s="20"/>
      <c r="E245" s="20" t="s">
        <v>578</v>
      </c>
      <c r="F245" s="20" t="s">
        <v>14</v>
      </c>
      <c r="G245" s="20">
        <v>1</v>
      </c>
      <c r="H245" s="20" t="s">
        <v>47</v>
      </c>
      <c r="I245" s="20" t="s">
        <v>47</v>
      </c>
    </row>
    <row r="246" spans="1:9" outlineLevel="1">
      <c r="A246" s="18" t="s">
        <v>11</v>
      </c>
      <c r="B246" s="10" t="s">
        <v>579</v>
      </c>
      <c r="C246" s="18" t="s">
        <v>47</v>
      </c>
      <c r="D246" s="18" t="b">
        <f>EXACT(G237,"Estimating change in carbon stock in shrubs in a year")</f>
        <v>1</v>
      </c>
      <c r="E246" s="18" t="s">
        <v>523</v>
      </c>
      <c r="F246" s="18" t="s">
        <v>14</v>
      </c>
      <c r="G246" s="18" t="s">
        <v>47</v>
      </c>
      <c r="H246" s="18" t="s">
        <v>47</v>
      </c>
      <c r="I246" s="18" t="s">
        <v>47</v>
      </c>
    </row>
    <row r="247" spans="1:9" ht="30" outlineLevel="2" collapsed="1">
      <c r="A247" s="20" t="s">
        <v>14</v>
      </c>
      <c r="B247" s="20" t="s">
        <v>82</v>
      </c>
      <c r="C247" s="20" t="s">
        <v>47</v>
      </c>
      <c r="D247" s="20" t="s">
        <v>399</v>
      </c>
      <c r="E247" s="20" t="s">
        <v>580</v>
      </c>
      <c r="F247" s="20" t="s">
        <v>14</v>
      </c>
      <c r="G247" s="20">
        <f>(G248-G249/G250)*1</f>
        <v>0</v>
      </c>
      <c r="H247" s="20" t="s">
        <v>47</v>
      </c>
      <c r="I247" s="20" t="s">
        <v>47</v>
      </c>
    </row>
    <row r="248" spans="1:9" outlineLevel="2" collapsed="1">
      <c r="A248" s="20" t="s">
        <v>11</v>
      </c>
      <c r="B248" s="20" t="s">
        <v>82</v>
      </c>
      <c r="C248" s="20" t="s">
        <v>47</v>
      </c>
      <c r="D248" s="20"/>
      <c r="E248" s="20" t="s">
        <v>581</v>
      </c>
      <c r="F248" s="20" t="s">
        <v>14</v>
      </c>
      <c r="G248" s="20">
        <v>1</v>
      </c>
      <c r="H248" s="20" t="s">
        <v>47</v>
      </c>
      <c r="I248" s="20" t="s">
        <v>47</v>
      </c>
    </row>
    <row r="249" spans="1:9" outlineLevel="2" collapsed="1">
      <c r="A249" s="20" t="s">
        <v>11</v>
      </c>
      <c r="B249" s="20" t="s">
        <v>82</v>
      </c>
      <c r="C249" s="20" t="s">
        <v>47</v>
      </c>
      <c r="D249" s="20"/>
      <c r="E249" s="20" t="s">
        <v>582</v>
      </c>
      <c r="F249" s="20" t="s">
        <v>14</v>
      </c>
      <c r="G249" s="20">
        <v>1</v>
      </c>
      <c r="H249" s="20" t="s">
        <v>47</v>
      </c>
      <c r="I249" s="20" t="s">
        <v>47</v>
      </c>
    </row>
    <row r="250" spans="1:9" ht="30" outlineLevel="2" collapsed="1">
      <c r="A250" s="20" t="s">
        <v>11</v>
      </c>
      <c r="B250" s="20" t="s">
        <v>82</v>
      </c>
      <c r="C250" s="20" t="s">
        <v>47</v>
      </c>
      <c r="D250" s="20"/>
      <c r="E250" s="20" t="s">
        <v>527</v>
      </c>
      <c r="F250" s="20" t="s">
        <v>14</v>
      </c>
      <c r="G250" s="20">
        <v>1</v>
      </c>
      <c r="H250" s="20" t="s">
        <v>47</v>
      </c>
      <c r="I250" s="20" t="s">
        <v>47</v>
      </c>
    </row>
    <row r="251" spans="1:9" outlineLevel="1">
      <c r="A251" s="18" t="s">
        <v>11</v>
      </c>
      <c r="B251" s="10" t="s">
        <v>583</v>
      </c>
      <c r="C251" s="18" t="s">
        <v>47</v>
      </c>
      <c r="D251" s="18"/>
      <c r="E251" s="18" t="s">
        <v>584</v>
      </c>
      <c r="F251" s="18" t="s">
        <v>11</v>
      </c>
      <c r="G251" s="18" t="s">
        <v>47</v>
      </c>
      <c r="H251" s="18" t="s">
        <v>47</v>
      </c>
      <c r="I251" s="18" t="s">
        <v>47</v>
      </c>
    </row>
    <row r="252" spans="1:9" ht="30" outlineLevel="2" collapsed="1">
      <c r="A252" s="20" t="s">
        <v>14</v>
      </c>
      <c r="B252" s="20" t="s">
        <v>82</v>
      </c>
      <c r="C252" s="20" t="s">
        <v>47</v>
      </c>
      <c r="D252" s="20" t="s">
        <v>399</v>
      </c>
      <c r="E252" s="20" t="s">
        <v>585</v>
      </c>
      <c r="F252" s="20" t="s">
        <v>14</v>
      </c>
      <c r="G252" s="20">
        <f>44/12*G253*(1+G254)*SUM((G259*G260))</f>
        <v>7.333333333333333</v>
      </c>
      <c r="H252" s="20" t="s">
        <v>47</v>
      </c>
      <c r="I252" s="20" t="s">
        <v>47</v>
      </c>
    </row>
    <row r="253" spans="1:9" outlineLevel="2" collapsed="1">
      <c r="A253" s="20" t="s">
        <v>11</v>
      </c>
      <c r="B253" s="20" t="s">
        <v>82</v>
      </c>
      <c r="C253" s="20" t="s">
        <v>47</v>
      </c>
      <c r="D253" s="20"/>
      <c r="E253" s="20" t="s">
        <v>531</v>
      </c>
      <c r="F253" s="20" t="s">
        <v>14</v>
      </c>
      <c r="G253" s="20">
        <v>1</v>
      </c>
      <c r="H253" s="20" t="s">
        <v>47</v>
      </c>
      <c r="I253" s="20" t="s">
        <v>47</v>
      </c>
    </row>
    <row r="254" spans="1:9" outlineLevel="2" collapsed="1">
      <c r="A254" s="20" t="s">
        <v>11</v>
      </c>
      <c r="B254" s="20" t="s">
        <v>82</v>
      </c>
      <c r="C254" s="20" t="s">
        <v>47</v>
      </c>
      <c r="D254" s="20"/>
      <c r="E254" s="20" t="s">
        <v>532</v>
      </c>
      <c r="F254" s="20" t="s">
        <v>14</v>
      </c>
      <c r="G254" s="20">
        <v>1</v>
      </c>
      <c r="H254" s="20" t="s">
        <v>47</v>
      </c>
      <c r="I254" s="20" t="s">
        <v>47</v>
      </c>
    </row>
    <row r="255" spans="1:9" outlineLevel="2">
      <c r="A255" s="22" t="s">
        <v>11</v>
      </c>
      <c r="B255" s="23" t="s">
        <v>533</v>
      </c>
      <c r="C255" s="22" t="s">
        <v>47</v>
      </c>
      <c r="D255" s="22"/>
      <c r="E255" s="22" t="s">
        <v>534</v>
      </c>
      <c r="F255" s="22" t="s">
        <v>11</v>
      </c>
      <c r="G255" s="22" t="s">
        <v>47</v>
      </c>
      <c r="H255" s="22" t="s">
        <v>47</v>
      </c>
      <c r="I255" s="22" t="s">
        <v>47</v>
      </c>
    </row>
    <row r="256" spans="1:9" ht="30" outlineLevel="3" collapsed="1">
      <c r="A256" s="20" t="s">
        <v>11</v>
      </c>
      <c r="B256" s="20" t="s">
        <v>82</v>
      </c>
      <c r="C256" s="20" t="s">
        <v>47</v>
      </c>
      <c r="D256" s="20"/>
      <c r="E256" s="20" t="s">
        <v>535</v>
      </c>
      <c r="F256" s="20" t="s">
        <v>14</v>
      </c>
      <c r="G256" s="20">
        <v>1</v>
      </c>
      <c r="H256" s="20" t="s">
        <v>47</v>
      </c>
      <c r="I256" s="20" t="s">
        <v>47</v>
      </c>
    </row>
    <row r="257" spans="1:9" ht="30" outlineLevel="3" collapsed="1">
      <c r="A257" s="20" t="s">
        <v>11</v>
      </c>
      <c r="B257" s="20" t="s">
        <v>82</v>
      </c>
      <c r="C257" s="20" t="s">
        <v>47</v>
      </c>
      <c r="D257" s="20"/>
      <c r="E257" s="20" t="s">
        <v>536</v>
      </c>
      <c r="F257" s="20" t="s">
        <v>14</v>
      </c>
      <c r="G257" s="20">
        <v>1</v>
      </c>
      <c r="H257" s="20" t="s">
        <v>47</v>
      </c>
      <c r="I257" s="20" t="s">
        <v>47</v>
      </c>
    </row>
    <row r="258" spans="1:9" ht="30" outlineLevel="3" collapsed="1">
      <c r="A258" s="20" t="s">
        <v>11</v>
      </c>
      <c r="B258" s="20" t="s">
        <v>82</v>
      </c>
      <c r="C258" s="20" t="s">
        <v>47</v>
      </c>
      <c r="D258" s="20"/>
      <c r="E258" s="20" t="s">
        <v>537</v>
      </c>
      <c r="F258" s="20" t="s">
        <v>14</v>
      </c>
      <c r="G258" s="20">
        <v>1</v>
      </c>
      <c r="H258" s="20" t="s">
        <v>47</v>
      </c>
      <c r="I258" s="20" t="s">
        <v>47</v>
      </c>
    </row>
    <row r="259" spans="1:9" ht="30" outlineLevel="3" collapsed="1">
      <c r="A259" s="20" t="s">
        <v>11</v>
      </c>
      <c r="B259" s="20" t="s">
        <v>82</v>
      </c>
      <c r="C259" s="20" t="s">
        <v>47</v>
      </c>
      <c r="D259" s="20"/>
      <c r="E259" s="20" t="s">
        <v>538</v>
      </c>
      <c r="F259" s="20" t="s">
        <v>14</v>
      </c>
      <c r="G259" s="20">
        <v>1</v>
      </c>
      <c r="H259" s="20" t="s">
        <v>47</v>
      </c>
      <c r="I259" s="20" t="s">
        <v>47</v>
      </c>
    </row>
    <row r="260" spans="1:9" ht="30" outlineLevel="3" collapsed="1">
      <c r="A260" s="20" t="s">
        <v>14</v>
      </c>
      <c r="B260" s="20" t="s">
        <v>82</v>
      </c>
      <c r="C260" s="20" t="s">
        <v>47</v>
      </c>
      <c r="D260" s="20" t="s">
        <v>399</v>
      </c>
      <c r="E260" s="20" t="s">
        <v>539</v>
      </c>
      <c r="F260" s="20" t="s">
        <v>14</v>
      </c>
      <c r="G260" s="20">
        <f>G256*G257*G258</f>
        <v>1</v>
      </c>
      <c r="H260" s="20" t="s">
        <v>47</v>
      </c>
      <c r="I260" s="20" t="s">
        <v>47</v>
      </c>
    </row>
    <row r="261" spans="1:9" ht="29.25" customHeight="1" outlineLevel="1">
      <c r="A261" s="18" t="s">
        <v>14</v>
      </c>
      <c r="B261" s="18" t="s">
        <v>82</v>
      </c>
      <c r="C261" s="10"/>
      <c r="D261" s="18" t="s">
        <v>399</v>
      </c>
      <c r="E261" s="18" t="s">
        <v>586</v>
      </c>
      <c r="F261" s="18" t="s">
        <v>14</v>
      </c>
      <c r="G261" s="18">
        <f>G252</f>
        <v>7.333333333333333</v>
      </c>
      <c r="H261" s="18"/>
      <c r="I261" s="18"/>
    </row>
    <row r="262" spans="1:9" ht="29.25" customHeight="1" outlineLevel="1">
      <c r="A262" s="18" t="s">
        <v>14</v>
      </c>
      <c r="B262" s="18" t="s">
        <v>82</v>
      </c>
      <c r="C262" s="10"/>
      <c r="D262" s="18" t="s">
        <v>399</v>
      </c>
      <c r="E262" s="18" t="s">
        <v>587</v>
      </c>
      <c r="F262" s="18" t="s">
        <v>14</v>
      </c>
      <c r="G262" s="18">
        <f>IF(AND(G237="Estimating change in carbon stock in shrubs between two points in time",G239="Yes"),0,IF(AND(G237="Estimating change in carbon stock in shrubs between two points in time"),G243,IF(AND(G237="Estimating change in carbon stock in shrubs in a year"),G247)))</f>
        <v>0</v>
      </c>
      <c r="H262" s="18"/>
      <c r="I262" s="18"/>
    </row>
  </sheetData>
  <mergeCells count="3">
    <mergeCell ref="A1:I1"/>
    <mergeCell ref="B2:I2"/>
    <mergeCell ref="B3:I3"/>
  </mergeCells>
  <dataValidations count="2">
    <dataValidation type="list" allowBlank="1" showInputMessage="1" showErrorMessage="1" sqref="G63:G68 G192:G197" xr:uid="{2B91574B-09A1-4205-9929-6853C6F9DFB5}">
      <formula1>"Yes,No"</formula1>
    </dataValidation>
    <dataValidation type="list" allowBlank="1" sqref="G11 G119 G149 G242 G239" xr:uid="{AD0385D4-301C-4397-986A-6DDE2F821C15}">
      <formula1>"Yes,No"</formula1>
    </dataValidation>
  </dataValidations>
  <hyperlinks>
    <hyperlink ref="B5" location="'AR Tool 14 Baseline'!A1" display="'AR Tool 14 Baseline" xr:uid="{00154AD0-D839-49BB-BA7A-4F545119251F}"/>
    <hyperlink ref="B143" location="'AR Tool 14 Project'!A1" display="'AR Tool 14 Project" xr:uid="{570CA2E3-808D-43A4-A8DB-3B53B40AC4E9}"/>
    <hyperlink ref="C8" location="#'Which method did you us (enum)'!A3" display="Which method did you us (enum)" xr:uid="{11765242-9575-4EF8-9C85-489F58C30342}"/>
    <hyperlink ref="C50" location="#'Which method did you 1 (enum)'!A3" display="Which method did you 1 (enum)" xr:uid="{70E6F81B-B2D8-4FA7-AAEC-CF28975E821D}"/>
    <hyperlink ref="C79" location="#'Which sampling design w (enum)'!A3" display="Which sampling design w (enum)" xr:uid="{1111F006-BBB3-482D-BB33-4CB3303D76C1}"/>
    <hyperlink ref="B9" location="'Tree Demonstration of “no-d'!A1" display="'Tree Demonstration of “no-d" xr:uid="{25FE002A-44A9-442D-B763-97DAD32D244E}"/>
    <hyperlink ref="B12" location="'BSL-Estimation by proportionate'!A1" display="'BSL-Estimation by proportionate" xr:uid="{C5AC0480-6519-4A1A-8E3D-4D248407FFCD}"/>
    <hyperlink ref="B14" location="'Mean annual change in carbon st'!A1" display="'Mean annual change in carbon st" xr:uid="{8BA2818D-692E-4236-8873-E3DF07F539D6}"/>
    <hyperlink ref="B21" location="'Direct Estimating Changes via S'!A1" display="'Direct Estimating Changes via S" xr:uid="{D0FA45F0-CA13-4BAE-841D-E29721CC7297}"/>
    <hyperlink ref="B29" location="'Mean Change In Tree Biomass Per'!A1" display="'Mean Change In Tree Biomass Per" xr:uid="{32CB3489-7BEE-4559-BC10-6E62D0722B1A}"/>
    <hyperlink ref="B34" location="'Change in Tree Biomass per Hect'!A1" display="'Change in Tree Biomass per Hect" xr:uid="{75432F73-F74C-4E9E-9444-293BC44B3C0A}"/>
    <hyperlink ref="B36" location="'Difference of Two Independent S'!A1" display="'Difference of Two Independent S" xr:uid="{C4EBE1EB-66A6-4D4B-8B30-773583C28909}"/>
    <hyperlink ref="B44" location="'BSL-Estimating change in carbon'!A1" display="'BSL-Estimating change in carbon" xr:uid="{A997301F-0EEA-47EC-8256-9EEFE327D9A9}"/>
    <hyperlink ref="B49" location="'BSL-Determination of Estimating'!A1" display="'BSL-Determination of Estimating" xr:uid="{B08DFEF1-9541-4183-B8AA-47675E7FECCD}"/>
    <hyperlink ref="B51" location="'BSL-Updating the previous stock'!A1" display="'BSL-Updating the previous stock" xr:uid="{0E3CE659-99D6-45E9-B884-E57405C64978}"/>
    <hyperlink ref="B58" location="'BSL-Estimation by modelling of '!A1" display="'BSL-Estimation by modelling of" xr:uid="{4269817D-65DA-4DED-BDFF-F61C6CE9AF4E}"/>
    <hyperlink ref="B65" location="'BSL-Carbon stock in trees at a '!A1" display="'BSL-Carbon stock in trees at a" xr:uid="{E1CD2E47-97E9-490A-B49C-0BF2BF5BE0C5}"/>
    <hyperlink ref="B69" location="'BSL-Estimation by proportiona'!A1" display="'BSL-Estimation by proportiona" xr:uid="{9BB1BA5E-51F5-4803-A767-4AB28DD83D6F}"/>
    <hyperlink ref="B71" location="'BSL-Mean annual change in carbo'!A1" display="'BSL-Mean annual change in carbo" xr:uid="{7B112E39-EE84-41A5-BD8A-BA5A6F8562A1}"/>
    <hyperlink ref="B78" location="'Measurement of sample plots'!A1" display="'Measurement of sample plots" xr:uid="{2478F64F-CE3A-451E-A5E6-93AD2B370FAE}"/>
    <hyperlink ref="B80" location="'Stratified random sampling'!A1" display="'Stratified random sampling" xr:uid="{237EC2F0-FF3F-4002-BEEF-915FDBD73BC9}"/>
    <hyperlink ref="B88" location="'Mean tree biomass per hectare w'!A1" display="'Mean tree biomass per hectare w" xr:uid="{580777EC-D1A5-46DF-8158-FDFFDD629D93}"/>
    <hyperlink ref="B93" location="'Tree Biomass per Hectare in Plo'!A1" display="'Tree Biomass per Hectare in Plo" xr:uid="{78ABCCBB-078B-41A5-A5AF-301153A351D8}"/>
    <hyperlink ref="B95" location="'Double sampling'!A1" display="'Double sampling" xr:uid="{643AE714-A6C1-44B7-A2B0-8F9409DA852D}"/>
    <hyperlink ref="B103" location="'Double Mean tree biomass per he'!A1" display="'Double Mean tree biomass per he" xr:uid="{74EF6483-3641-484D-A05C-19DC55D7D0B1}"/>
    <hyperlink ref="B112" location="'Tree Biomass per Hectare in Plo'!A1" display="'Tree Biomass per Hectare in Plo" xr:uid="{ADCF7D11-C1E5-412C-8B96-E2CC863EF634}"/>
    <hyperlink ref="B118" location="'BSL-Estimating Shrub Carbon Sto'!A1" display="'BSL-Estimating Shrub Carbon Sto" xr:uid="{6CDF6BC2-9E67-4093-B536-D7752287ABF0}"/>
    <hyperlink ref="B126" location="'BSL-Estimating change in carb'!A1" display="'BSL-Estimating change in carb" xr:uid="{77A5D49E-AFB1-4B8B-A940-6EBCA8B79AED}"/>
    <hyperlink ref="B131" location="'BSL-Estimating carbon stock in '!A1" display="'BSL-Estimating carbon stock in" xr:uid="{F6A97E20-ED89-4978-99C5-03B58A1EC15C}"/>
    <hyperlink ref="B135" location="'Shrub biomass per hectare in sh'!A1" display="'Shrub biomass per hectare in sh" xr:uid="{F38153D4-EC3A-4F18-A828-7A746CE9456E}"/>
    <hyperlink ref="B7" location="'BSL-Estimating change in car'!A1" display="'BSL-Estimating change in car" xr:uid="{346F7557-3F8C-4BC6-B51F-44C5E3BBDD19}"/>
    <hyperlink ref="C6" location="'Which method did you u (enum)'!A1" display="'Which method did you u (enum)" xr:uid="{C701D101-C1A4-4A66-89C8-A141B9E2BD81}"/>
    <hyperlink ref="C117" location="'Which method did you (enum)'!A1" display="'Which method did you (enum)" xr:uid="{C616D4A8-1AE8-49C4-9F78-33192810A793}"/>
    <hyperlink ref="C119" location="'Will you be applying the (enum)'!A1" display="'Will you be applying the (enum)" xr:uid="{89F637CB-18CD-4DCD-BAA5-DE9CB1E74183}"/>
    <hyperlink ref="B120" location="'Shrub Demonstration of “n'!A1" display="'Shrub Demonstration of “n" xr:uid="{E761528C-6754-4761-8B56-54ADD8F35160}"/>
    <hyperlink ref="C122" location="'If all three conditi (enum)'!A1" display="'If all three conditi (enum)" xr:uid="{C86217A7-D5B0-4B76-87D5-E805AB63FC81}"/>
    <hyperlink ref="C199" location="#'Which sampling design w (enum)'!A3" display="Which sampling design w (enum)" xr:uid="{5C1F82AB-6FD5-49DD-A964-C8538B996D88}"/>
    <hyperlink ref="C179" location="'Which method did you 2 (enum)'!A1" display="'Which method did you 2 (enum)" xr:uid="{099B8894-7EE4-4BF7-95F0-D9A921980368}"/>
    <hyperlink ref="B150" location="'Direct Estimating Changes via S'!A1" display="'Direct Estimating Changes via S" xr:uid="{944570A5-6D16-426B-8D01-8F40046913A1}"/>
    <hyperlink ref="B158" location="'Mean Change In Tree Biomass Per'!A1" display="'Mean Change In Tree Biomass Per" xr:uid="{BEB1477C-87E5-459D-9786-B3C2420535DF}"/>
    <hyperlink ref="B163" location="'Change in Tree Biomass per Hect'!A1" display="'Change in Tree Biomass per Hect" xr:uid="{A5152C87-433A-4589-8059-1221F873F756}"/>
    <hyperlink ref="B165" location="'Difference of Two Independent S'!A1" display="'Difference of Two Independent S" xr:uid="{18BB0F44-2E7E-4E0C-B0D2-3C2287EA6A1F}"/>
    <hyperlink ref="B194" location="'Proj-Carbon stock in trees at a'!A1" display="'Proj-Carbon stock in trees at a" xr:uid="{A32D2506-1E07-42D8-9EEC-379A2B504506}"/>
    <hyperlink ref="B187" location="'Proj-Estimation by modelling of'!A1" display="'Proj-Estimation by modelling of" xr:uid="{79B16A3C-37EB-4CF8-8090-8371BE287D2F}"/>
    <hyperlink ref="B198" location="'Measurement of sample plots'!A1" display="'Measurement of sample plots" xr:uid="{8B526DC1-67D4-4E91-8352-EE0D3EECCE82}"/>
    <hyperlink ref="B200" location="'Stratified random sampling'!A1" display="'Stratified random sampling" xr:uid="{F7AF1B8B-D3AD-4602-83FA-A13BA525513D}"/>
    <hyperlink ref="B208" location="'Mean tree biomass per hectare w'!A1" display="'Mean tree biomass per hectare w" xr:uid="{1B52D4E6-BBB6-426D-A1A3-B01AF12F4989}"/>
    <hyperlink ref="B213" location="'Tree Biomass per Hectare in Plo'!A1" display="'Tree Biomass per Hectare in Plo" xr:uid="{6C5934AA-22D2-4F6D-9B82-0857E7C8B1A3}"/>
    <hyperlink ref="B215" location="'Double sampling'!A1" display="'Double sampling" xr:uid="{A997B9A6-6D11-4B61-9949-CD917918F5E5}"/>
    <hyperlink ref="B223" location="'Double Mean tree biomass per he'!A1" display="'Double Mean tree biomass per he" xr:uid="{25DD8BC4-9129-4833-B705-0AA14FA47F81}"/>
    <hyperlink ref="B232" location="'Tree Biomass per Hectare in Plo'!A1" display="'Tree Biomass per Hectare in Plo" xr:uid="{D8B8B412-52D2-47EE-9484-682B256A4D31}"/>
    <hyperlink ref="B180" location="'Proj-Updating the previous stoc'!A1" display="'Proj-Updating the previous stoc" xr:uid="{C6D8BC8F-A72A-4CDF-8712-0CE1CB0A0A9A}"/>
    <hyperlink ref="B178" location="'Proj-Determination of Estimatin'!A1" display="'Proj-Determination of Estimatin" xr:uid="{929E26E4-40E8-4D83-88CD-5D849F8BEC25}"/>
    <hyperlink ref="B238" location="'Proj-Estimating Shrub Carbon St'!A1" display="'Proj-Estimating Shrub Carbon St" xr:uid="{E32CB946-41B4-481C-9DB6-A832C34B471D}"/>
    <hyperlink ref="B246" location="'Proj-Estimating change in carbo'!A1" display="'Proj-Estimating change in carbo" xr:uid="{B3CD28C4-E10D-4B19-BE4E-FB9142CB82D4}"/>
    <hyperlink ref="B251" location="'Proj-Estimating carbon stock in'!A1" display="'Proj-Estimating carbon stock in" xr:uid="{0E083C0F-CEB5-4216-A7A6-74278DBA2096}"/>
    <hyperlink ref="B255" location="'Shrub biomass per hectare in sh'!A1" display="'Shrub biomass per hectare in sh" xr:uid="{6F02E919-19D2-4B48-931A-A87A413A1D2B}"/>
    <hyperlink ref="B147" location="'Tree Demonstration of “no-d'!A1" display="'Tree Demonstration of “no-d" xr:uid="{A7A31DD3-4941-44EE-BC0A-32E2F2824F24}"/>
    <hyperlink ref="C146" location="'Which method did yous (enum)'!A1" display="'Which method did yous (enum)" xr:uid="{6198E0FF-F065-4809-B759-3AFE1E0253EE}"/>
    <hyperlink ref="B145" location="'PROJ-Estimating change in car'!A1" display="'PROJ-Estimating change in car" xr:uid="{32EE4A5E-38A8-40CC-A759-3507BDC59F9A}"/>
    <hyperlink ref="B240" location="'Shrub Demonstration of “n'!A1" display="'Shrub Demonstration of “n" xr:uid="{3F69B296-19AC-4BD4-8391-055D246C1089}"/>
    <hyperlink ref="C144" location="'Which method did you pro(enum)'!A1" display="'Which method did you pro(enum)" xr:uid="{57404875-0C82-45D7-8D07-7A45AC5465CC}"/>
    <hyperlink ref="B173" location="'Proj-Estimating Change in Carb'!A1" display="'Proj-Estimating Change in Carb" xr:uid="{6E16F0D9-9F8B-42AE-A84E-0B9FA033BB01}"/>
    <hyperlink ref="C237" location="'Which method did  pro (enum)'!A1" display="'Which method did  pro (enum)" xr:uid="{69782BE9-A11B-4F27-8E70-89DE816295E9}"/>
    <hyperlink ref="C239" location="'Will you be applying  pr (enum)'!A1" display="'Will you be applying  pr (enum)" xr:uid="{A93B8D53-54D9-4C7E-9228-02ADF2218F8F}"/>
    <hyperlink ref="C192" location="'Does your project apply  (enum)'!A1" display="'Does your project apply  (enum)" xr:uid="{8B18C76C-9AC8-47F3-B2BE-5A540A4D077B}"/>
    <hyperlink ref="C11" location="'If all three conditi tree(enum)'!A1" display="'If all three conditi tree(enum)" xr:uid="{17FE5FBE-D438-486F-9364-596EBA2B0D49}"/>
    <hyperlink ref="C63" location="'Does your project apply b(enum)'!A1" display="'Does your project apply b(enum)" xr:uid="{E728357E-1B31-412E-A450-B86D97F849A7}"/>
    <hyperlink ref="C149" location="'If all three conditi tree(enum)'!A1" display="'If all three conditi tree(enum)" xr:uid="{1013F8C9-F324-4BDD-A17E-90CBBC952B95}"/>
    <hyperlink ref="C242" location="'If all three conditi (enum)'!A1" display="'If all three conditi (enum)" xr:uid="{1E2DE7A4-98AD-475B-A9EB-E3A0FB4E01D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5">
        <x14:dataValidation type="list" allowBlank="1" xr:uid="{B1E801FC-3B45-48E2-93F0-19E19BB7465F}">
          <x14:formula1>
            <xm:f>'If all three conditi (enum)'!$A$3:$A$4</xm:f>
          </x14:formula1>
          <xm:sqref>G122</xm:sqref>
        </x14:dataValidation>
        <x14:dataValidation type="list" allowBlank="1" showInputMessage="1" showErrorMessage="1" xr:uid="{6E7F8BD1-1576-460F-B493-581A763233B4}">
          <x14:formula1>
            <xm:f>'Which method did you (enum)'!$A$3:$A$4</xm:f>
          </x14:formula1>
          <xm:sqref>G117 G237</xm:sqref>
        </x14:dataValidation>
        <x14:dataValidation type="list" allowBlank="1" showInputMessage="1" showErrorMessage="1" xr:uid="{DEB3C6FD-967E-434C-9F8B-A1C13800ADA3}">
          <x14:formula1>
            <xm:f>'Which method did you u (enum)'!$A$3:$A$4</xm:f>
          </x14:formula1>
          <xm:sqref>G6:G7 G144:G145</xm:sqref>
        </x14:dataValidation>
        <x14:dataValidation type="list" allowBlank="1" xr:uid="{8268C2AF-2850-4BAF-ADEB-6EF7A03115C9}">
          <x14:formula1>
            <xm:f>'Which method did you us (enum)'!$A$3:$A$6</xm:f>
          </x14:formula1>
          <xm:sqref>G8</xm:sqref>
        </x14:dataValidation>
        <x14:dataValidation type="list" allowBlank="1" xr:uid="{D6DD3166-0B71-452F-8664-C67B0D037AED}">
          <x14:formula1>
            <xm:f>'Which method did you 1 (enum)'!$A$3:$A$6</xm:f>
          </x14:formula1>
          <xm:sqref>G50</xm:sqref>
        </x14:dataValidation>
        <x14:dataValidation type="list" allowBlank="1" xr:uid="{5F18121D-AB04-482C-BE45-19DCBD36B715}">
          <x14:formula1>
            <xm:f>'Which method did yous (enum)'!$A$3:$A$5</xm:f>
          </x14:formula1>
          <xm:sqref>G146</xm:sqref>
        </x14:dataValidation>
        <x14:dataValidation type="list" allowBlank="1" xr:uid="{2D8C7731-08B0-4646-AD93-A8B43238127A}">
          <x14:formula1>
            <xm:f>'Which method did you 2 (enum)'!$A$3:$A$5</xm:f>
          </x14:formula1>
          <xm:sqref>G179</xm:sqref>
        </x14:dataValidation>
        <x14:dataValidation type="list" allowBlank="1" xr:uid="{66C45404-8F05-4D24-8BAD-81A22EF555BD}">
          <x14:formula1>
            <xm:f>'Which method did you 1 (enum)'!C4:C7</xm:f>
          </x14:formula1>
          <xm:sqref>H50:I50</xm:sqref>
        </x14:dataValidation>
        <x14:dataValidation type="list" allowBlank="1" xr:uid="{9106E0BE-8236-461C-9B9B-00D4A2EB455C}">
          <x14:formula1>
            <xm:f>'Which sampling design w (enum)'!B4:B5</xm:f>
          </x14:formula1>
          <xm:sqref>G79:I79</xm:sqref>
        </x14:dataValidation>
        <x14:dataValidation type="list" allowBlank="1" xr:uid="{84BF1923-535C-4912-84CE-241BA36CB301}">
          <x14:formula1>
            <xm:f>'Which method did you us (enum)'!C4:C7</xm:f>
          </x14:formula1>
          <xm:sqref>H119:I121 H8:I10 H146:I148</xm:sqref>
        </x14:dataValidation>
        <x14:dataValidation type="list" allowBlank="1" xr:uid="{28CBF546-3526-46BE-BE87-43283BAC5F45}">
          <x14:formula1>
            <xm:f>'Which method did you us (enum)'!C6:C9</xm:f>
          </x14:formula1>
          <xm:sqref>H122:I122 H11:I11 H149:I149</xm:sqref>
        </x14:dataValidation>
        <x14:dataValidation type="list" allowBlank="1" xr:uid="{65E637F1-1286-4711-9F7E-7FE55100B99B}">
          <x14:formula1>
            <xm:f>'Which method did you 1 (enum)'!C142:C145</xm:f>
          </x14:formula1>
          <xm:sqref>H179:I179</xm:sqref>
        </x14:dataValidation>
        <x14:dataValidation type="list" allowBlank="1" xr:uid="{CE89A0C6-2806-4F08-88FB-886C25AD39BD}">
          <x14:formula1>
            <xm:f>'Which sampling design w (enum)'!B142:B143</xm:f>
          </x14:formula1>
          <xm:sqref>G199:I199</xm:sqref>
        </x14:dataValidation>
        <x14:dataValidation type="list" allowBlank="1" xr:uid="{73AE30E5-080A-407F-973C-D007271EA74E}">
          <x14:formula1>
            <xm:f>'Which method did you us (enum)'!C255:C258</xm:f>
          </x14:formula1>
          <xm:sqref>H242:I242</xm:sqref>
        </x14:dataValidation>
        <x14:dataValidation type="list" allowBlank="1" xr:uid="{E0A07204-CC01-4E87-80C4-5685134B5FF3}">
          <x14:formula1>
            <xm:f>'Which method did you us (enum)'!C253:C256</xm:f>
          </x14:formula1>
          <xm:sqref>H239:I241</xm:sqref>
        </x14:dataValidation>
      </x14:dataValidations>
    </ext>
  </extLst>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E5D2-B5A3-4254-81CE-9EC26871D1FE}">
  <sheetPr codeName="Sheet100">
    <tabColor rgb="FF7030A0"/>
    <outlinePr summaryBelow="0" summaryRight="0"/>
  </sheetPr>
  <dimension ref="A1:I262"/>
  <sheetViews>
    <sheetView topLeftCell="A126" workbookViewId="0">
      <selection activeCell="C241" sqref="C241"/>
    </sheetView>
  </sheetViews>
  <sheetFormatPr defaultRowHeight="15" outlineLevelRow="5"/>
  <cols>
    <col min="1" max="1" width="20" customWidth="1"/>
    <col min="2" max="2" width="40" customWidth="1"/>
    <col min="3" max="4" width="20" customWidth="1"/>
    <col min="5" max="5" width="70" customWidth="1"/>
    <col min="6" max="6" width="30" customWidth="1"/>
    <col min="7" max="9" width="50" customWidth="1"/>
  </cols>
  <sheetData>
    <row r="1" spans="1:9" ht="18.75">
      <c r="A1" s="35" t="s">
        <v>383</v>
      </c>
      <c r="B1" s="35"/>
      <c r="C1" s="35"/>
      <c r="D1" s="35"/>
      <c r="E1" s="35"/>
      <c r="F1" s="35"/>
      <c r="G1" s="35"/>
      <c r="H1" s="35"/>
      <c r="I1" s="35"/>
    </row>
    <row r="2" spans="1:9" ht="18.75">
      <c r="A2" s="16" t="s">
        <v>1</v>
      </c>
      <c r="B2" s="36" t="s">
        <v>756</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0" t="s">
        <v>384</v>
      </c>
      <c r="D5" s="18"/>
      <c r="E5" s="18" t="s">
        <v>385</v>
      </c>
      <c r="F5" s="3" t="s">
        <v>14</v>
      </c>
      <c r="G5" s="18" t="s">
        <v>386</v>
      </c>
      <c r="H5" s="18"/>
      <c r="I5" s="18"/>
    </row>
    <row r="6" spans="1:9" ht="29.25" customHeight="1">
      <c r="A6" s="3" t="s">
        <v>14</v>
      </c>
      <c r="B6" s="10" t="s">
        <v>387</v>
      </c>
      <c r="C6" s="10"/>
      <c r="D6" s="18" t="b">
        <f>EXACT(G5,"Estimating change in carbon stock in trees between two points in time")</f>
        <v>0</v>
      </c>
      <c r="E6" s="18" t="s">
        <v>388</v>
      </c>
      <c r="F6" s="3" t="s">
        <v>14</v>
      </c>
      <c r="G6" s="18"/>
      <c r="H6" s="18"/>
      <c r="I6" s="18"/>
    </row>
    <row r="7" spans="1:9" ht="29.25" customHeight="1" outlineLevel="1">
      <c r="A7" s="18" t="s">
        <v>11</v>
      </c>
      <c r="B7" s="18" t="s">
        <v>17</v>
      </c>
      <c r="C7" s="19" t="s">
        <v>389</v>
      </c>
      <c r="D7" s="18"/>
      <c r="E7" s="18" t="s">
        <v>390</v>
      </c>
      <c r="F7" s="18" t="s">
        <v>14</v>
      </c>
      <c r="G7" s="18" t="s">
        <v>391</v>
      </c>
      <c r="H7" s="18" t="s">
        <v>47</v>
      </c>
      <c r="I7" s="18" t="s">
        <v>47</v>
      </c>
    </row>
    <row r="8" spans="1:9" outlineLevel="1">
      <c r="A8" s="18" t="s">
        <v>14</v>
      </c>
      <c r="B8" s="10" t="s">
        <v>392</v>
      </c>
      <c r="C8" s="19"/>
      <c r="D8" s="18" t="b">
        <f>EXACT(G7,"no-decrease")</f>
        <v>1</v>
      </c>
      <c r="E8" s="18" t="s">
        <v>393</v>
      </c>
      <c r="F8" s="3" t="s">
        <v>14</v>
      </c>
      <c r="G8" s="18"/>
      <c r="H8" s="18"/>
      <c r="I8" s="18"/>
    </row>
    <row r="9" spans="1:9" ht="165" outlineLevel="2" collapsed="1">
      <c r="A9" s="20" t="s">
        <v>14</v>
      </c>
      <c r="B9" s="20" t="s">
        <v>44</v>
      </c>
      <c r="C9" s="20"/>
      <c r="D9" s="20"/>
      <c r="E9" s="20" t="s">
        <v>394</v>
      </c>
      <c r="F9" s="4" t="s">
        <v>14</v>
      </c>
      <c r="G9" s="20"/>
      <c r="H9" s="20"/>
      <c r="I9" s="20"/>
    </row>
    <row r="10" spans="1:9" ht="60" outlineLevel="2" collapsed="1">
      <c r="A10" s="20" t="s">
        <v>11</v>
      </c>
      <c r="B10" s="20" t="s">
        <v>17</v>
      </c>
      <c r="C10" s="21" t="s">
        <v>395</v>
      </c>
      <c r="D10" s="20"/>
      <c r="E10" s="20" t="s">
        <v>396</v>
      </c>
      <c r="F10" s="4" t="s">
        <v>14</v>
      </c>
      <c r="G10" s="20"/>
      <c r="H10" s="20"/>
      <c r="I10" s="20"/>
    </row>
    <row r="11" spans="1:9" outlineLevel="1">
      <c r="A11" s="18" t="s">
        <v>14</v>
      </c>
      <c r="B11" s="10" t="s">
        <v>397</v>
      </c>
      <c r="C11" s="18" t="s">
        <v>47</v>
      </c>
      <c r="D11" s="18" t="b">
        <f>EXACT(G7,"Estimation by proportionate crown cover")</f>
        <v>0</v>
      </c>
      <c r="E11" s="18" t="s">
        <v>398</v>
      </c>
      <c r="F11" s="18" t="s">
        <v>14</v>
      </c>
      <c r="G11" s="18" t="s">
        <v>47</v>
      </c>
      <c r="H11" s="18" t="s">
        <v>47</v>
      </c>
      <c r="I11" s="18" t="s">
        <v>47</v>
      </c>
    </row>
    <row r="12" spans="1:9" ht="30" outlineLevel="2" collapsed="1">
      <c r="A12" s="20" t="s">
        <v>14</v>
      </c>
      <c r="B12" s="20" t="s">
        <v>82</v>
      </c>
      <c r="C12" s="20" t="s">
        <v>47</v>
      </c>
      <c r="D12" s="20" t="s">
        <v>48</v>
      </c>
      <c r="E12" s="20" t="s">
        <v>400</v>
      </c>
      <c r="F12" s="20" t="s">
        <v>14</v>
      </c>
      <c r="G12" s="20">
        <f>SUM(G14)</f>
        <v>7.333333333333333</v>
      </c>
      <c r="H12" s="20" t="s">
        <v>47</v>
      </c>
      <c r="I12" s="20" t="s">
        <v>47</v>
      </c>
    </row>
    <row r="13" spans="1:9" outlineLevel="2">
      <c r="A13" s="22" t="s">
        <v>11</v>
      </c>
      <c r="B13" s="23" t="s">
        <v>402</v>
      </c>
      <c r="C13" s="22" t="s">
        <v>47</v>
      </c>
      <c r="D13" s="22"/>
      <c r="E13" s="22" t="s">
        <v>403</v>
      </c>
      <c r="F13" s="22" t="s">
        <v>11</v>
      </c>
      <c r="G13" s="22" t="s">
        <v>47</v>
      </c>
      <c r="H13" s="22" t="s">
        <v>47</v>
      </c>
      <c r="I13" s="22" t="s">
        <v>47</v>
      </c>
    </row>
    <row r="14" spans="1:9" ht="30" outlineLevel="3" collapsed="1">
      <c r="A14" s="20" t="s">
        <v>14</v>
      </c>
      <c r="B14" s="20" t="s">
        <v>82</v>
      </c>
      <c r="C14" s="20" t="s">
        <v>47</v>
      </c>
      <c r="D14" s="20" t="s">
        <v>399</v>
      </c>
      <c r="E14" s="20" t="s">
        <v>404</v>
      </c>
      <c r="F14" s="20" t="s">
        <v>14</v>
      </c>
      <c r="G14" s="20">
        <f>44/12*G15*G16*(1+G17)*G18*G19</f>
        <v>7.333333333333333</v>
      </c>
      <c r="H14" s="20" t="s">
        <v>47</v>
      </c>
      <c r="I14" s="20" t="s">
        <v>47</v>
      </c>
    </row>
    <row r="15" spans="1:9" outlineLevel="3" collapsed="1">
      <c r="A15" s="20" t="s">
        <v>11</v>
      </c>
      <c r="B15" s="20" t="s">
        <v>82</v>
      </c>
      <c r="C15" s="20" t="s">
        <v>47</v>
      </c>
      <c r="D15" s="20"/>
      <c r="E15" s="20" t="s">
        <v>405</v>
      </c>
      <c r="F15" s="20" t="s">
        <v>14</v>
      </c>
      <c r="G15" s="20">
        <v>1</v>
      </c>
      <c r="H15" s="20" t="s">
        <v>47</v>
      </c>
      <c r="I15" s="20" t="s">
        <v>47</v>
      </c>
    </row>
    <row r="16" spans="1:9" ht="30" outlineLevel="3" collapsed="1">
      <c r="A16" s="20" t="s">
        <v>11</v>
      </c>
      <c r="B16" s="20" t="s">
        <v>82</v>
      </c>
      <c r="C16" s="20" t="s">
        <v>47</v>
      </c>
      <c r="D16" s="20"/>
      <c r="E16" s="20" t="s">
        <v>406</v>
      </c>
      <c r="F16" s="20" t="s">
        <v>14</v>
      </c>
      <c r="G16" s="20">
        <v>1</v>
      </c>
      <c r="H16" s="20" t="s">
        <v>47</v>
      </c>
      <c r="I16" s="20" t="s">
        <v>47</v>
      </c>
    </row>
    <row r="17" spans="1:9" outlineLevel="3" collapsed="1">
      <c r="A17" s="20" t="s">
        <v>11</v>
      </c>
      <c r="B17" s="20" t="s">
        <v>82</v>
      </c>
      <c r="C17" s="20" t="s">
        <v>47</v>
      </c>
      <c r="D17" s="20"/>
      <c r="E17" s="20" t="s">
        <v>407</v>
      </c>
      <c r="F17" s="20" t="s">
        <v>14</v>
      </c>
      <c r="G17" s="20">
        <v>1</v>
      </c>
      <c r="H17" s="20" t="s">
        <v>47</v>
      </c>
      <c r="I17" s="20" t="s">
        <v>47</v>
      </c>
    </row>
    <row r="18" spans="1:9" ht="30" outlineLevel="3" collapsed="1">
      <c r="A18" s="20" t="s">
        <v>11</v>
      </c>
      <c r="B18" s="20" t="s">
        <v>82</v>
      </c>
      <c r="C18" s="20" t="s">
        <v>47</v>
      </c>
      <c r="D18" s="20"/>
      <c r="E18" s="20" t="s">
        <v>408</v>
      </c>
      <c r="F18" s="20" t="s">
        <v>14</v>
      </c>
      <c r="G18" s="20">
        <v>1</v>
      </c>
      <c r="H18" s="20" t="s">
        <v>47</v>
      </c>
      <c r="I18" s="20" t="s">
        <v>47</v>
      </c>
    </row>
    <row r="19" spans="1:9" ht="30" outlineLevel="3" collapsed="1">
      <c r="A19" s="20" t="s">
        <v>11</v>
      </c>
      <c r="B19" s="20" t="s">
        <v>82</v>
      </c>
      <c r="C19" s="20" t="s">
        <v>47</v>
      </c>
      <c r="D19" s="20"/>
      <c r="E19" s="20" t="s">
        <v>409</v>
      </c>
      <c r="F19" s="20" t="s">
        <v>14</v>
      </c>
      <c r="G19" s="20">
        <v>1</v>
      </c>
      <c r="H19" s="20" t="s">
        <v>47</v>
      </c>
      <c r="I19" s="20" t="s">
        <v>47</v>
      </c>
    </row>
    <row r="20" spans="1:9" outlineLevel="1">
      <c r="A20" s="18" t="s">
        <v>14</v>
      </c>
      <c r="B20" s="10" t="s">
        <v>410</v>
      </c>
      <c r="C20" s="18" t="s">
        <v>47</v>
      </c>
      <c r="D20" s="18" t="b">
        <f>EXACT(G7,"Direct estimation of change by re-measurement of sample plots")</f>
        <v>0</v>
      </c>
      <c r="E20" s="18" t="s">
        <v>411</v>
      </c>
      <c r="F20" s="18" t="s">
        <v>14</v>
      </c>
      <c r="G20" s="18" t="s">
        <v>47</v>
      </c>
      <c r="H20" s="18" t="s">
        <v>47</v>
      </c>
      <c r="I20" s="18" t="s">
        <v>47</v>
      </c>
    </row>
    <row r="21" spans="1:9" outlineLevel="2" collapsed="1">
      <c r="A21" s="20" t="s">
        <v>14</v>
      </c>
      <c r="B21" s="20" t="s">
        <v>82</v>
      </c>
      <c r="C21" s="20" t="s">
        <v>47</v>
      </c>
      <c r="D21" s="20" t="s">
        <v>399</v>
      </c>
      <c r="E21" s="20" t="s">
        <v>412</v>
      </c>
      <c r="F21" s="20" t="s">
        <v>14</v>
      </c>
      <c r="G21" s="20">
        <f>44/12*G22*G23</f>
        <v>3.6666666666666665</v>
      </c>
      <c r="H21" s="20" t="s">
        <v>47</v>
      </c>
      <c r="I21" s="20" t="s">
        <v>47</v>
      </c>
    </row>
    <row r="22" spans="1:9" outlineLevel="2" collapsed="1">
      <c r="A22" s="20" t="s">
        <v>11</v>
      </c>
      <c r="B22" s="20" t="s">
        <v>82</v>
      </c>
      <c r="C22" s="20" t="s">
        <v>47</v>
      </c>
      <c r="D22" s="20"/>
      <c r="E22" s="20" t="s">
        <v>405</v>
      </c>
      <c r="F22" s="20" t="s">
        <v>14</v>
      </c>
      <c r="G22" s="20">
        <v>1</v>
      </c>
      <c r="H22" s="20" t="s">
        <v>47</v>
      </c>
      <c r="I22" s="20" t="s">
        <v>47</v>
      </c>
    </row>
    <row r="23" spans="1:9" ht="30" outlineLevel="2" collapsed="1">
      <c r="A23" s="20" t="s">
        <v>14</v>
      </c>
      <c r="B23" s="20" t="s">
        <v>82</v>
      </c>
      <c r="C23" s="20" t="s">
        <v>47</v>
      </c>
      <c r="D23" s="20" t="s">
        <v>399</v>
      </c>
      <c r="E23" s="20" t="s">
        <v>413</v>
      </c>
      <c r="F23" s="20" t="s">
        <v>14</v>
      </c>
      <c r="G23" s="20">
        <f>G25*G24</f>
        <v>1</v>
      </c>
      <c r="H23" s="20" t="s">
        <v>47</v>
      </c>
      <c r="I23" s="20" t="s">
        <v>47</v>
      </c>
    </row>
    <row r="24" spans="1:9" ht="30" outlineLevel="2" collapsed="1">
      <c r="A24" s="20" t="s">
        <v>14</v>
      </c>
      <c r="B24" s="20" t="s">
        <v>82</v>
      </c>
      <c r="C24" s="20" t="s">
        <v>47</v>
      </c>
      <c r="D24" s="20" t="s">
        <v>399</v>
      </c>
      <c r="E24" s="20" t="s">
        <v>414</v>
      </c>
      <c r="F24" s="20" t="s">
        <v>14</v>
      </c>
      <c r="G24" s="20">
        <f>SUM((G30*G29))</f>
        <v>1</v>
      </c>
      <c r="H24" s="20" t="s">
        <v>47</v>
      </c>
      <c r="I24" s="20" t="s">
        <v>47</v>
      </c>
    </row>
    <row r="25" spans="1:9" outlineLevel="2" collapsed="1">
      <c r="A25" s="20" t="s">
        <v>11</v>
      </c>
      <c r="B25" s="20" t="s">
        <v>82</v>
      </c>
      <c r="C25" s="20" t="s">
        <v>47</v>
      </c>
      <c r="D25" s="20"/>
      <c r="E25" s="20" t="s">
        <v>415</v>
      </c>
      <c r="F25" s="20" t="s">
        <v>14</v>
      </c>
      <c r="G25" s="20">
        <v>1</v>
      </c>
      <c r="H25" s="20" t="s">
        <v>47</v>
      </c>
      <c r="I25" s="20" t="s">
        <v>47</v>
      </c>
    </row>
    <row r="26" spans="1:9" outlineLevel="2" collapsed="1">
      <c r="A26" s="20" t="s">
        <v>11</v>
      </c>
      <c r="B26" s="20" t="s">
        <v>82</v>
      </c>
      <c r="C26" s="20" t="s">
        <v>47</v>
      </c>
      <c r="D26" s="20"/>
      <c r="E26" s="20" t="s">
        <v>416</v>
      </c>
      <c r="F26" s="20" t="s">
        <v>14</v>
      </c>
      <c r="G26" s="20">
        <v>1</v>
      </c>
      <c r="H26" s="20" t="s">
        <v>47</v>
      </c>
      <c r="I26" s="20" t="s">
        <v>47</v>
      </c>
    </row>
    <row r="27" spans="1:9" outlineLevel="2" collapsed="1">
      <c r="A27" s="20" t="s">
        <v>11</v>
      </c>
      <c r="B27" s="20" t="s">
        <v>82</v>
      </c>
      <c r="C27" s="20" t="s">
        <v>47</v>
      </c>
      <c r="D27" s="20"/>
      <c r="E27" s="20" t="s">
        <v>417</v>
      </c>
      <c r="F27" s="20" t="s">
        <v>14</v>
      </c>
      <c r="G27" s="20">
        <v>1</v>
      </c>
      <c r="H27" s="20" t="s">
        <v>47</v>
      </c>
      <c r="I27" s="20" t="s">
        <v>47</v>
      </c>
    </row>
    <row r="28" spans="1:9" ht="30" outlineLevel="2">
      <c r="A28" s="22" t="s">
        <v>11</v>
      </c>
      <c r="B28" s="23" t="s">
        <v>418</v>
      </c>
      <c r="C28" s="22" t="s">
        <v>47</v>
      </c>
      <c r="D28" s="22"/>
      <c r="E28" s="22" t="s">
        <v>419</v>
      </c>
      <c r="F28" s="22" t="s">
        <v>11</v>
      </c>
      <c r="G28" s="22" t="s">
        <v>47</v>
      </c>
      <c r="H28" s="22" t="s">
        <v>47</v>
      </c>
      <c r="I28" s="22" t="s">
        <v>47</v>
      </c>
    </row>
    <row r="29" spans="1:9" ht="30" outlineLevel="3" collapsed="1">
      <c r="A29" s="20" t="s">
        <v>14</v>
      </c>
      <c r="B29" s="20" t="s">
        <v>82</v>
      </c>
      <c r="C29" s="20" t="s">
        <v>47</v>
      </c>
      <c r="D29" s="20" t="s">
        <v>399</v>
      </c>
      <c r="E29" s="20" t="s">
        <v>420</v>
      </c>
      <c r="F29" s="20" t="s">
        <v>14</v>
      </c>
      <c r="G29" s="20">
        <f>(SUM(G34))/G32</f>
        <v>1</v>
      </c>
      <c r="H29" s="20" t="s">
        <v>47</v>
      </c>
      <c r="I29" s="20" t="s">
        <v>47</v>
      </c>
    </row>
    <row r="30" spans="1:9" ht="30" outlineLevel="3" collapsed="1">
      <c r="A30" s="20" t="s">
        <v>11</v>
      </c>
      <c r="B30" s="20" t="s">
        <v>82</v>
      </c>
      <c r="C30" s="20" t="s">
        <v>47</v>
      </c>
      <c r="D30" s="20"/>
      <c r="E30" s="20" t="s">
        <v>421</v>
      </c>
      <c r="F30" s="20" t="s">
        <v>14</v>
      </c>
      <c r="G30" s="20">
        <v>1</v>
      </c>
      <c r="H30" s="20" t="s">
        <v>47</v>
      </c>
      <c r="I30" s="20" t="s">
        <v>47</v>
      </c>
    </row>
    <row r="31" spans="1:9" ht="30" outlineLevel="3" collapsed="1">
      <c r="A31" s="20" t="s">
        <v>11</v>
      </c>
      <c r="B31" s="20" t="s">
        <v>82</v>
      </c>
      <c r="C31" s="20" t="s">
        <v>47</v>
      </c>
      <c r="D31" s="20"/>
      <c r="E31" s="20" t="s">
        <v>422</v>
      </c>
      <c r="F31" s="20" t="s">
        <v>14</v>
      </c>
      <c r="G31" s="20">
        <v>1</v>
      </c>
      <c r="H31" s="20" t="s">
        <v>47</v>
      </c>
      <c r="I31" s="20" t="s">
        <v>47</v>
      </c>
    </row>
    <row r="32" spans="1:9" ht="30" outlineLevel="3" collapsed="1">
      <c r="A32" s="20" t="s">
        <v>11</v>
      </c>
      <c r="B32" s="20" t="s">
        <v>82</v>
      </c>
      <c r="C32" s="20" t="s">
        <v>47</v>
      </c>
      <c r="D32" s="20"/>
      <c r="E32" s="20" t="s">
        <v>423</v>
      </c>
      <c r="F32" s="20" t="s">
        <v>14</v>
      </c>
      <c r="G32" s="20">
        <v>1</v>
      </c>
      <c r="H32" s="20" t="s">
        <v>47</v>
      </c>
      <c r="I32" s="20" t="s">
        <v>47</v>
      </c>
    </row>
    <row r="33" spans="1:9" outlineLevel="3">
      <c r="A33" s="22" t="s">
        <v>11</v>
      </c>
      <c r="B33" s="23" t="s">
        <v>424</v>
      </c>
      <c r="C33" s="22"/>
      <c r="D33" s="22"/>
      <c r="E33" s="22" t="s">
        <v>425</v>
      </c>
      <c r="F33" s="22" t="s">
        <v>11</v>
      </c>
      <c r="G33" s="22"/>
      <c r="H33" s="22"/>
      <c r="I33" s="22"/>
    </row>
    <row r="34" spans="1:9" s="25" customFormat="1" ht="30" outlineLevel="4" collapsed="1">
      <c r="A34" s="24" t="s">
        <v>11</v>
      </c>
      <c r="B34" s="24" t="s">
        <v>82</v>
      </c>
      <c r="C34" s="24" t="s">
        <v>47</v>
      </c>
      <c r="D34" s="24"/>
      <c r="E34" s="24" t="s">
        <v>426</v>
      </c>
      <c r="F34" s="24" t="s">
        <v>14</v>
      </c>
      <c r="G34" s="24">
        <v>1</v>
      </c>
      <c r="H34" s="24" t="s">
        <v>47</v>
      </c>
      <c r="I34" s="24" t="s">
        <v>47</v>
      </c>
    </row>
    <row r="35" spans="1:9" outlineLevel="1">
      <c r="A35" s="18" t="s">
        <v>14</v>
      </c>
      <c r="B35" s="10" t="s">
        <v>427</v>
      </c>
      <c r="C35" s="18" t="s">
        <v>47</v>
      </c>
      <c r="D35" s="18" t="b">
        <f>EXACT(G7,"Difference of two independent stock estimations")</f>
        <v>0</v>
      </c>
      <c r="E35" s="18" t="s">
        <v>428</v>
      </c>
      <c r="F35" s="18" t="s">
        <v>14</v>
      </c>
      <c r="G35" s="18" t="s">
        <v>47</v>
      </c>
      <c r="H35" s="18" t="s">
        <v>47</v>
      </c>
      <c r="I35" s="18" t="s">
        <v>47</v>
      </c>
    </row>
    <row r="36" spans="1:9" outlineLevel="2" collapsed="1">
      <c r="A36" s="20" t="s">
        <v>11</v>
      </c>
      <c r="B36" s="20" t="s">
        <v>82</v>
      </c>
      <c r="C36" s="20" t="s">
        <v>47</v>
      </c>
      <c r="D36" s="20"/>
      <c r="E36" s="20" t="s">
        <v>429</v>
      </c>
      <c r="F36" s="20" t="s">
        <v>14</v>
      </c>
      <c r="G36" s="20">
        <v>1</v>
      </c>
      <c r="H36" s="20" t="s">
        <v>47</v>
      </c>
      <c r="I36" s="20" t="s">
        <v>47</v>
      </c>
    </row>
    <row r="37" spans="1:9" outlineLevel="2" collapsed="1">
      <c r="A37" s="20" t="s">
        <v>11</v>
      </c>
      <c r="B37" s="20" t="s">
        <v>82</v>
      </c>
      <c r="C37" s="20" t="s">
        <v>47</v>
      </c>
      <c r="D37" s="20"/>
      <c r="E37" s="20" t="s">
        <v>430</v>
      </c>
      <c r="F37" s="20" t="s">
        <v>14</v>
      </c>
      <c r="G37" s="20">
        <v>1</v>
      </c>
      <c r="H37" s="20" t="s">
        <v>47</v>
      </c>
      <c r="I37" s="20" t="s">
        <v>47</v>
      </c>
    </row>
    <row r="38" spans="1:9" outlineLevel="2" collapsed="1">
      <c r="A38" s="20" t="s">
        <v>11</v>
      </c>
      <c r="B38" s="20" t="s">
        <v>82</v>
      </c>
      <c r="C38" s="20" t="s">
        <v>47</v>
      </c>
      <c r="D38" s="20"/>
      <c r="E38" s="20" t="s">
        <v>431</v>
      </c>
      <c r="F38" s="20" t="s">
        <v>14</v>
      </c>
      <c r="G38" s="20">
        <v>1</v>
      </c>
      <c r="H38" s="20" t="s">
        <v>47</v>
      </c>
      <c r="I38" s="20" t="s">
        <v>47</v>
      </c>
    </row>
    <row r="39" spans="1:9" outlineLevel="2" collapsed="1">
      <c r="A39" s="20" t="s">
        <v>11</v>
      </c>
      <c r="B39" s="20" t="s">
        <v>82</v>
      </c>
      <c r="C39" s="20" t="s">
        <v>47</v>
      </c>
      <c r="D39" s="20"/>
      <c r="E39" s="20" t="s">
        <v>432</v>
      </c>
      <c r="F39" s="20" t="s">
        <v>14</v>
      </c>
      <c r="G39" s="20">
        <v>1</v>
      </c>
      <c r="H39" s="20" t="s">
        <v>47</v>
      </c>
      <c r="I39" s="20" t="s">
        <v>47</v>
      </c>
    </row>
    <row r="40" spans="1:9" outlineLevel="2" collapsed="1">
      <c r="A40" s="20" t="s">
        <v>14</v>
      </c>
      <c r="B40" s="20" t="s">
        <v>82</v>
      </c>
      <c r="C40" s="20" t="s">
        <v>47</v>
      </c>
      <c r="D40" s="20" t="s">
        <v>399</v>
      </c>
      <c r="E40" s="24" t="s">
        <v>433</v>
      </c>
      <c r="F40" s="20" t="s">
        <v>14</v>
      </c>
      <c r="G40" s="20" t="e">
        <f>(SQRT((G38*G36)^2+(G39*G37)^2))/G41</f>
        <v>#DIV/0!</v>
      </c>
      <c r="H40" s="20" t="s">
        <v>47</v>
      </c>
      <c r="I40" s="20" t="s">
        <v>47</v>
      </c>
    </row>
    <row r="41" spans="1:9" outlineLevel="2" collapsed="1">
      <c r="A41" s="20" t="s">
        <v>14</v>
      </c>
      <c r="B41" s="20" t="s">
        <v>82</v>
      </c>
      <c r="C41" s="20" t="s">
        <v>47</v>
      </c>
      <c r="D41" s="20" t="s">
        <v>399</v>
      </c>
      <c r="E41" s="20" t="s">
        <v>434</v>
      </c>
      <c r="F41" s="20" t="s">
        <v>14</v>
      </c>
      <c r="G41" s="26">
        <f>G37-G36</f>
        <v>0</v>
      </c>
      <c r="H41" s="20" t="s">
        <v>47</v>
      </c>
      <c r="I41" s="20" t="s">
        <v>47</v>
      </c>
    </row>
    <row r="42" spans="1:9" outlineLevel="2" collapsed="1">
      <c r="A42" s="20" t="s">
        <v>11</v>
      </c>
      <c r="B42" s="20" t="s">
        <v>82</v>
      </c>
      <c r="C42" s="20" t="s">
        <v>47</v>
      </c>
      <c r="D42" s="20"/>
      <c r="E42" s="20" t="s">
        <v>435</v>
      </c>
      <c r="F42" s="20" t="s">
        <v>14</v>
      </c>
      <c r="G42" s="26">
        <v>7.0000000000000007E-2</v>
      </c>
      <c r="H42" s="20" t="s">
        <v>47</v>
      </c>
      <c r="I42" s="20" t="s">
        <v>47</v>
      </c>
    </row>
    <row r="43" spans="1:9">
      <c r="A43" s="3" t="s">
        <v>14</v>
      </c>
      <c r="B43" s="10" t="s">
        <v>436</v>
      </c>
      <c r="C43" s="18" t="s">
        <v>47</v>
      </c>
      <c r="D43" s="18" t="b">
        <f>EXACT(G5,"Estimating change in carbon stock in trees in a year")</f>
        <v>1</v>
      </c>
      <c r="E43" s="18" t="s">
        <v>386</v>
      </c>
      <c r="F43" s="18" t="s">
        <v>14</v>
      </c>
      <c r="G43" s="18" t="s">
        <v>47</v>
      </c>
      <c r="H43" s="18" t="s">
        <v>47</v>
      </c>
      <c r="I43" s="18" t="s">
        <v>47</v>
      </c>
    </row>
    <row r="44" spans="1:9" ht="30" outlineLevel="1" collapsed="1">
      <c r="A44" s="20" t="s">
        <v>14</v>
      </c>
      <c r="B44" s="20" t="s">
        <v>82</v>
      </c>
      <c r="C44" s="20" t="s">
        <v>47</v>
      </c>
      <c r="D44" s="20" t="s">
        <v>399</v>
      </c>
      <c r="E44" s="20" t="s">
        <v>437</v>
      </c>
      <c r="F44" s="20" t="s">
        <v>14</v>
      </c>
      <c r="G44" s="20">
        <f>(G45-G46/G47)*1</f>
        <v>1</v>
      </c>
      <c r="H44" s="20" t="s">
        <v>47</v>
      </c>
      <c r="I44" s="20" t="s">
        <v>47</v>
      </c>
    </row>
    <row r="45" spans="1:9" ht="30" outlineLevel="1" collapsed="1">
      <c r="A45" s="20" t="s">
        <v>11</v>
      </c>
      <c r="B45" s="20" t="s">
        <v>82</v>
      </c>
      <c r="C45" s="20" t="s">
        <v>47</v>
      </c>
      <c r="D45" s="20"/>
      <c r="E45" s="20" t="s">
        <v>438</v>
      </c>
      <c r="F45" s="20" t="s">
        <v>14</v>
      </c>
      <c r="G45" s="20">
        <v>1</v>
      </c>
      <c r="H45" s="20" t="s">
        <v>47</v>
      </c>
      <c r="I45" s="20" t="s">
        <v>47</v>
      </c>
    </row>
    <row r="46" spans="1:9" ht="30" outlineLevel="1" collapsed="1">
      <c r="A46" s="20" t="s">
        <v>11</v>
      </c>
      <c r="B46" s="20" t="s">
        <v>82</v>
      </c>
      <c r="C46" s="20" t="s">
        <v>47</v>
      </c>
      <c r="D46" s="20"/>
      <c r="E46" s="20" t="s">
        <v>439</v>
      </c>
      <c r="F46" s="20" t="s">
        <v>14</v>
      </c>
      <c r="G46" s="20"/>
      <c r="H46" s="20" t="s">
        <v>47</v>
      </c>
      <c r="I46" s="20" t="s">
        <v>47</v>
      </c>
    </row>
    <row r="47" spans="1:9" outlineLevel="1" collapsed="1">
      <c r="A47" s="20" t="s">
        <v>11</v>
      </c>
      <c r="B47" s="20" t="s">
        <v>82</v>
      </c>
      <c r="C47" s="20" t="s">
        <v>47</v>
      </c>
      <c r="D47" s="20"/>
      <c r="E47" s="20" t="s">
        <v>440</v>
      </c>
      <c r="F47" s="20" t="s">
        <v>14</v>
      </c>
      <c r="G47" s="20">
        <v>1</v>
      </c>
      <c r="H47" s="20" t="s">
        <v>47</v>
      </c>
      <c r="I47" s="20" t="s">
        <v>47</v>
      </c>
    </row>
    <row r="48" spans="1:9">
      <c r="A48" s="3" t="s">
        <v>11</v>
      </c>
      <c r="B48" s="10" t="s">
        <v>441</v>
      </c>
      <c r="C48" s="18" t="s">
        <v>47</v>
      </c>
      <c r="D48" s="18"/>
      <c r="E48" s="18" t="s">
        <v>442</v>
      </c>
      <c r="F48" s="18" t="s">
        <v>14</v>
      </c>
      <c r="G48" s="18" t="s">
        <v>47</v>
      </c>
      <c r="H48" s="18" t="s">
        <v>47</v>
      </c>
      <c r="I48" s="18" t="s">
        <v>47</v>
      </c>
    </row>
    <row r="49" spans="1:9" ht="30" outlineLevel="1" collapsed="1">
      <c r="A49" s="20" t="s">
        <v>11</v>
      </c>
      <c r="B49" s="20" t="s">
        <v>17</v>
      </c>
      <c r="C49" s="21" t="s">
        <v>443</v>
      </c>
      <c r="D49" s="20"/>
      <c r="E49" s="20" t="s">
        <v>444</v>
      </c>
      <c r="F49" s="20" t="s">
        <v>14</v>
      </c>
      <c r="G49" s="20" t="s">
        <v>445</v>
      </c>
      <c r="H49" s="20" t="s">
        <v>47</v>
      </c>
      <c r="I49" s="20" t="s">
        <v>47</v>
      </c>
    </row>
    <row r="50" spans="1:9" outlineLevel="1">
      <c r="A50" s="22" t="s">
        <v>14</v>
      </c>
      <c r="B50" s="23" t="s">
        <v>446</v>
      </c>
      <c r="C50" s="22" t="s">
        <v>47</v>
      </c>
      <c r="D50" s="22" t="b">
        <f>EXACT(G49,"Updating the previous stock by independent measurement of change")</f>
        <v>0</v>
      </c>
      <c r="E50" s="22" t="s">
        <v>447</v>
      </c>
      <c r="F50" s="22" t="s">
        <v>14</v>
      </c>
      <c r="G50" s="22" t="s">
        <v>47</v>
      </c>
      <c r="H50" s="22" t="s">
        <v>47</v>
      </c>
      <c r="I50" s="22" t="s">
        <v>47</v>
      </c>
    </row>
    <row r="51" spans="1:9" outlineLevel="2" collapsed="1">
      <c r="A51" s="20" t="s">
        <v>14</v>
      </c>
      <c r="B51" s="20" t="s">
        <v>82</v>
      </c>
      <c r="C51" s="20" t="s">
        <v>47</v>
      </c>
      <c r="D51" s="20" t="s">
        <v>399</v>
      </c>
      <c r="E51" s="20" t="s">
        <v>448</v>
      </c>
      <c r="F51" s="20" t="s">
        <v>14</v>
      </c>
      <c r="G51" s="20" t="e">
        <f>E52+E53</f>
        <v>#VALUE!</v>
      </c>
      <c r="H51" s="20" t="s">
        <v>47</v>
      </c>
      <c r="I51" s="20" t="s">
        <v>47</v>
      </c>
    </row>
    <row r="52" spans="1:9" ht="30" outlineLevel="2" collapsed="1">
      <c r="A52" s="20" t="s">
        <v>11</v>
      </c>
      <c r="B52" s="20" t="s">
        <v>82</v>
      </c>
      <c r="C52" s="20" t="s">
        <v>47</v>
      </c>
      <c r="D52" s="20"/>
      <c r="E52" s="20" t="s">
        <v>449</v>
      </c>
      <c r="F52" s="20" t="s">
        <v>14</v>
      </c>
      <c r="G52" s="20">
        <v>1</v>
      </c>
      <c r="H52" s="20" t="s">
        <v>47</v>
      </c>
      <c r="I52" s="20" t="s">
        <v>47</v>
      </c>
    </row>
    <row r="53" spans="1:9" ht="30" outlineLevel="2" collapsed="1">
      <c r="A53" s="20" t="s">
        <v>11</v>
      </c>
      <c r="B53" s="20" t="s">
        <v>82</v>
      </c>
      <c r="C53" s="20" t="s">
        <v>47</v>
      </c>
      <c r="D53" s="20"/>
      <c r="E53" s="20" t="s">
        <v>450</v>
      </c>
      <c r="F53" s="20" t="s">
        <v>14</v>
      </c>
      <c r="G53" s="20">
        <v>1</v>
      </c>
      <c r="H53" s="20" t="s">
        <v>47</v>
      </c>
      <c r="I53" s="20" t="s">
        <v>47</v>
      </c>
    </row>
    <row r="54" spans="1:9" outlineLevel="2" collapsed="1">
      <c r="A54" s="20" t="s">
        <v>11</v>
      </c>
      <c r="B54" s="20" t="s">
        <v>82</v>
      </c>
      <c r="C54" s="20" t="s">
        <v>47</v>
      </c>
      <c r="D54" s="20"/>
      <c r="E54" s="20" t="s">
        <v>451</v>
      </c>
      <c r="F54" s="20" t="s">
        <v>14</v>
      </c>
      <c r="G54" s="20"/>
      <c r="H54" s="20" t="s">
        <v>47</v>
      </c>
      <c r="I54" s="20" t="s">
        <v>47</v>
      </c>
    </row>
    <row r="55" spans="1:9" ht="30" outlineLevel="2" collapsed="1">
      <c r="A55" s="20" t="s">
        <v>14</v>
      </c>
      <c r="B55" s="20" t="s">
        <v>82</v>
      </c>
      <c r="C55" s="20" t="s">
        <v>47</v>
      </c>
      <c r="D55" s="20" t="s">
        <v>399</v>
      </c>
      <c r="E55" s="20" t="s">
        <v>452</v>
      </c>
      <c r="F55" s="20" t="s">
        <v>14</v>
      </c>
      <c r="G55" s="20" t="e">
        <f>(SQRT((G56*G52)^2+(G54*G53)^2))/G51</f>
        <v>#VALUE!</v>
      </c>
      <c r="H55" s="20" t="s">
        <v>47</v>
      </c>
      <c r="I55" s="20" t="s">
        <v>47</v>
      </c>
    </row>
    <row r="56" spans="1:9" ht="30" outlineLevel="2" collapsed="1">
      <c r="A56" s="20" t="s">
        <v>11</v>
      </c>
      <c r="B56" s="20" t="s">
        <v>82</v>
      </c>
      <c r="C56" s="20" t="s">
        <v>47</v>
      </c>
      <c r="D56" s="20"/>
      <c r="E56" s="20" t="s">
        <v>453</v>
      </c>
      <c r="F56" s="20" t="s">
        <v>14</v>
      </c>
      <c r="G56" s="20">
        <v>1</v>
      </c>
      <c r="H56" s="20" t="s">
        <v>47</v>
      </c>
      <c r="I56" s="20" t="s">
        <v>47</v>
      </c>
    </row>
    <row r="57" spans="1:9" outlineLevel="1">
      <c r="A57" s="22" t="s">
        <v>14</v>
      </c>
      <c r="B57" s="23" t="s">
        <v>454</v>
      </c>
      <c r="C57" s="22"/>
      <c r="D57" s="22" t="b">
        <f>EXACT(G49,"Estimation by modelling of tree growth and stand development")</f>
        <v>1</v>
      </c>
      <c r="E57" s="22" t="s">
        <v>445</v>
      </c>
      <c r="F57" s="22" t="s">
        <v>14</v>
      </c>
      <c r="G57" s="22"/>
      <c r="H57" s="22"/>
      <c r="I57" s="22"/>
    </row>
    <row r="58" spans="1:9" ht="60" outlineLevel="2">
      <c r="A58" s="20" t="s">
        <v>14</v>
      </c>
      <c r="B58" s="20" t="s">
        <v>44</v>
      </c>
      <c r="C58" s="20"/>
      <c r="D58" s="20"/>
      <c r="E58" s="20" t="s">
        <v>455</v>
      </c>
      <c r="F58" s="20" t="s">
        <v>14</v>
      </c>
      <c r="G58" s="20"/>
      <c r="H58" s="20"/>
      <c r="I58" s="20"/>
    </row>
    <row r="59" spans="1:9" ht="75" outlineLevel="2">
      <c r="A59" s="20" t="s">
        <v>14</v>
      </c>
      <c r="B59" s="20" t="s">
        <v>44</v>
      </c>
      <c r="C59" s="20"/>
      <c r="D59" s="20"/>
      <c r="E59" s="20" t="s">
        <v>456</v>
      </c>
      <c r="F59" s="20" t="s">
        <v>14</v>
      </c>
      <c r="G59" s="20"/>
      <c r="H59" s="20"/>
      <c r="I59" s="20"/>
    </row>
    <row r="60" spans="1:9" ht="60" outlineLevel="2">
      <c r="A60" s="20" t="s">
        <v>14</v>
      </c>
      <c r="B60" s="20" t="s">
        <v>44</v>
      </c>
      <c r="C60" s="20"/>
      <c r="D60" s="20"/>
      <c r="E60" s="20" t="s">
        <v>457</v>
      </c>
      <c r="F60" s="20" t="s">
        <v>14</v>
      </c>
      <c r="G60" s="20"/>
      <c r="H60" s="20"/>
      <c r="I60" s="20"/>
    </row>
    <row r="61" spans="1:9" ht="60" outlineLevel="2">
      <c r="A61" s="20" t="s">
        <v>14</v>
      </c>
      <c r="B61" s="20" t="s">
        <v>44</v>
      </c>
      <c r="C61" s="20"/>
      <c r="D61" s="20"/>
      <c r="E61" s="20" t="s">
        <v>458</v>
      </c>
      <c r="F61" s="20" t="s">
        <v>14</v>
      </c>
      <c r="G61" s="20"/>
      <c r="H61" s="20"/>
      <c r="I61" s="20"/>
    </row>
    <row r="62" spans="1:9" ht="135" outlineLevel="2">
      <c r="A62" s="20" t="s">
        <v>11</v>
      </c>
      <c r="B62" s="20" t="s">
        <v>17</v>
      </c>
      <c r="C62" s="21" t="s">
        <v>459</v>
      </c>
      <c r="D62" s="20"/>
      <c r="E62" s="20" t="s">
        <v>460</v>
      </c>
      <c r="F62" s="20" t="s">
        <v>14</v>
      </c>
      <c r="G62" s="20" t="s">
        <v>11</v>
      </c>
      <c r="H62" s="20"/>
      <c r="I62" s="20"/>
    </row>
    <row r="63" spans="1:9" ht="30" outlineLevel="2">
      <c r="A63" s="20" t="s">
        <v>14</v>
      </c>
      <c r="B63" s="20" t="s">
        <v>44</v>
      </c>
      <c r="C63" s="20"/>
      <c r="D63" s="20" t="b">
        <f>EXACT(G62,"No")</f>
        <v>0</v>
      </c>
      <c r="E63" s="20" t="s">
        <v>461</v>
      </c>
      <c r="F63" s="20" t="s">
        <v>14</v>
      </c>
      <c r="G63" s="20"/>
      <c r="H63" s="20"/>
      <c r="I63" s="20"/>
    </row>
    <row r="64" spans="1:9" outlineLevel="2">
      <c r="A64" s="22" t="s">
        <v>14</v>
      </c>
      <c r="B64" s="23" t="s">
        <v>462</v>
      </c>
      <c r="C64" s="22"/>
      <c r="D64" s="22" t="b">
        <f>EXACT(G62,"Yes")</f>
        <v>1</v>
      </c>
      <c r="E64" s="22" t="s">
        <v>463</v>
      </c>
      <c r="F64" s="22" t="s">
        <v>14</v>
      </c>
      <c r="G64" s="22"/>
      <c r="H64" s="22"/>
      <c r="I64" s="22"/>
    </row>
    <row r="65" spans="1:9" ht="30" outlineLevel="3">
      <c r="A65" s="20" t="s">
        <v>11</v>
      </c>
      <c r="B65" s="20" t="s">
        <v>82</v>
      </c>
      <c r="C65" s="20"/>
      <c r="D65" s="20"/>
      <c r="E65" s="20" t="s">
        <v>464</v>
      </c>
      <c r="F65" s="20" t="s">
        <v>14</v>
      </c>
      <c r="G65" s="20"/>
      <c r="H65" s="20"/>
      <c r="I65" s="20"/>
    </row>
    <row r="66" spans="1:9" outlineLevel="3">
      <c r="A66" s="20" t="s">
        <v>11</v>
      </c>
      <c r="B66" s="20" t="s">
        <v>82</v>
      </c>
      <c r="C66" s="20"/>
      <c r="D66" s="20"/>
      <c r="E66" s="20" t="s">
        <v>465</v>
      </c>
      <c r="F66" s="20" t="s">
        <v>14</v>
      </c>
      <c r="G66" s="20"/>
      <c r="H66" s="20"/>
      <c r="I66" s="20"/>
    </row>
    <row r="67" spans="1:9" outlineLevel="3">
      <c r="A67" s="20" t="s">
        <v>11</v>
      </c>
      <c r="B67" s="20" t="s">
        <v>82</v>
      </c>
      <c r="C67" s="20"/>
      <c r="D67" s="20"/>
      <c r="E67" s="20" t="s">
        <v>466</v>
      </c>
      <c r="F67" s="20" t="s">
        <v>14</v>
      </c>
      <c r="G67" s="20"/>
      <c r="H67" s="20"/>
      <c r="I67" s="20"/>
    </row>
    <row r="68" spans="1:9" outlineLevel="1">
      <c r="A68" s="22" t="s">
        <v>14</v>
      </c>
      <c r="B68" s="23" t="s">
        <v>467</v>
      </c>
      <c r="C68" s="22" t="s">
        <v>47</v>
      </c>
      <c r="D68" s="22" t="b">
        <f>EXACT(G49,"Proportionate crown cover")</f>
        <v>0</v>
      </c>
      <c r="E68" s="22" t="s">
        <v>468</v>
      </c>
      <c r="F68" s="22" t="s">
        <v>14</v>
      </c>
      <c r="G68" s="22" t="s">
        <v>47</v>
      </c>
      <c r="H68" s="22" t="s">
        <v>47</v>
      </c>
      <c r="I68" s="22" t="s">
        <v>47</v>
      </c>
    </row>
    <row r="69" spans="1:9" ht="30" outlineLevel="2" collapsed="1">
      <c r="A69" s="20" t="s">
        <v>14</v>
      </c>
      <c r="B69" s="20" t="s">
        <v>82</v>
      </c>
      <c r="C69" s="20" t="s">
        <v>47</v>
      </c>
      <c r="D69" s="20" t="s">
        <v>399</v>
      </c>
      <c r="E69" s="20" t="s">
        <v>758</v>
      </c>
      <c r="F69" s="20" t="s">
        <v>14</v>
      </c>
      <c r="G69" s="20">
        <f>SUM(G71)</f>
        <v>7.333333333333333</v>
      </c>
      <c r="H69" s="20" t="s">
        <v>47</v>
      </c>
      <c r="I69" s="20" t="s">
        <v>47</v>
      </c>
    </row>
    <row r="70" spans="1:9" outlineLevel="2">
      <c r="A70" s="22" t="s">
        <v>11</v>
      </c>
      <c r="B70" s="23" t="s">
        <v>470</v>
      </c>
      <c r="C70" s="22" t="s">
        <v>47</v>
      </c>
      <c r="D70" s="22"/>
      <c r="E70" s="22" t="s">
        <v>403</v>
      </c>
      <c r="F70" s="22" t="s">
        <v>11</v>
      </c>
      <c r="G70" s="22" t="s">
        <v>47</v>
      </c>
      <c r="H70" s="22" t="s">
        <v>47</v>
      </c>
      <c r="I70" s="22" t="s">
        <v>47</v>
      </c>
    </row>
    <row r="71" spans="1:9" ht="30" outlineLevel="3" collapsed="1">
      <c r="A71" s="20" t="s">
        <v>14</v>
      </c>
      <c r="B71" s="20" t="s">
        <v>82</v>
      </c>
      <c r="C71" s="20" t="s">
        <v>47</v>
      </c>
      <c r="D71" s="20" t="s">
        <v>399</v>
      </c>
      <c r="E71" s="20" t="s">
        <v>471</v>
      </c>
      <c r="F71" s="20" t="s">
        <v>14</v>
      </c>
      <c r="G71" s="20">
        <f>44/12*G72*G73*(1+G74)*G75*G76</f>
        <v>7.333333333333333</v>
      </c>
      <c r="H71" s="20" t="s">
        <v>47</v>
      </c>
      <c r="I71" s="20" t="s">
        <v>47</v>
      </c>
    </row>
    <row r="72" spans="1:9" outlineLevel="3" collapsed="1">
      <c r="A72" s="20" t="s">
        <v>11</v>
      </c>
      <c r="B72" s="20" t="s">
        <v>82</v>
      </c>
      <c r="C72" s="20" t="s">
        <v>47</v>
      </c>
      <c r="D72" s="20"/>
      <c r="E72" s="20" t="s">
        <v>405</v>
      </c>
      <c r="F72" s="20" t="s">
        <v>14</v>
      </c>
      <c r="G72" s="20">
        <v>1</v>
      </c>
      <c r="H72" s="20" t="s">
        <v>47</v>
      </c>
      <c r="I72" s="20" t="s">
        <v>47</v>
      </c>
    </row>
    <row r="73" spans="1:9" ht="30" outlineLevel="3" collapsed="1">
      <c r="A73" s="20" t="s">
        <v>11</v>
      </c>
      <c r="B73" s="20" t="s">
        <v>82</v>
      </c>
      <c r="C73" s="20" t="s">
        <v>47</v>
      </c>
      <c r="D73" s="20"/>
      <c r="E73" s="20" t="s">
        <v>472</v>
      </c>
      <c r="F73" s="20" t="s">
        <v>14</v>
      </c>
      <c r="G73" s="20">
        <v>1</v>
      </c>
      <c r="H73" s="20" t="s">
        <v>47</v>
      </c>
      <c r="I73" s="20" t="s">
        <v>47</v>
      </c>
    </row>
    <row r="74" spans="1:9" outlineLevel="3" collapsed="1">
      <c r="A74" s="20" t="s">
        <v>11</v>
      </c>
      <c r="B74" s="20" t="s">
        <v>82</v>
      </c>
      <c r="C74" s="20" t="s">
        <v>47</v>
      </c>
      <c r="D74" s="20"/>
      <c r="E74" s="20" t="s">
        <v>407</v>
      </c>
      <c r="F74" s="20" t="s">
        <v>14</v>
      </c>
      <c r="G74" s="20">
        <v>1</v>
      </c>
      <c r="H74" s="20" t="s">
        <v>47</v>
      </c>
      <c r="I74" s="20" t="s">
        <v>47</v>
      </c>
    </row>
    <row r="75" spans="1:9" ht="30" outlineLevel="3" collapsed="1">
      <c r="A75" s="20" t="s">
        <v>11</v>
      </c>
      <c r="B75" s="20" t="s">
        <v>82</v>
      </c>
      <c r="C75" s="20" t="s">
        <v>47</v>
      </c>
      <c r="D75" s="20"/>
      <c r="E75" s="20" t="s">
        <v>473</v>
      </c>
      <c r="F75" s="20" t="s">
        <v>14</v>
      </c>
      <c r="G75" s="20">
        <v>1</v>
      </c>
      <c r="H75" s="20" t="s">
        <v>47</v>
      </c>
      <c r="I75" s="20" t="s">
        <v>47</v>
      </c>
    </row>
    <row r="76" spans="1:9" ht="30" outlineLevel="3" collapsed="1">
      <c r="A76" s="20" t="s">
        <v>11</v>
      </c>
      <c r="B76" s="20" t="s">
        <v>82</v>
      </c>
      <c r="C76" s="20" t="s">
        <v>47</v>
      </c>
      <c r="D76" s="20"/>
      <c r="E76" s="20" t="s">
        <v>474</v>
      </c>
      <c r="F76" s="20" t="s">
        <v>14</v>
      </c>
      <c r="G76" s="20">
        <v>1</v>
      </c>
      <c r="H76" s="20" t="s">
        <v>47</v>
      </c>
      <c r="I76" s="20" t="s">
        <v>47</v>
      </c>
    </row>
    <row r="77" spans="1:9" outlineLevel="1">
      <c r="A77" s="22" t="s">
        <v>14</v>
      </c>
      <c r="B77" s="23" t="s">
        <v>475</v>
      </c>
      <c r="C77" s="22" t="s">
        <v>47</v>
      </c>
      <c r="D77" s="22" t="b">
        <f>EXACT(G49,"Measurement of sample plots")</f>
        <v>0</v>
      </c>
      <c r="E77" s="22" t="s">
        <v>475</v>
      </c>
      <c r="F77" s="22" t="s">
        <v>14</v>
      </c>
      <c r="G77" s="22" t="s">
        <v>47</v>
      </c>
      <c r="H77" s="22" t="s">
        <v>47</v>
      </c>
      <c r="I77" s="22" t="s">
        <v>47</v>
      </c>
    </row>
    <row r="78" spans="1:9" ht="30" outlineLevel="2" collapsed="1">
      <c r="A78" s="20" t="s">
        <v>11</v>
      </c>
      <c r="B78" s="20" t="s">
        <v>17</v>
      </c>
      <c r="C78" s="21" t="s">
        <v>476</v>
      </c>
      <c r="D78" s="20"/>
      <c r="E78" s="20" t="s">
        <v>477</v>
      </c>
      <c r="F78" s="20" t="s">
        <v>14</v>
      </c>
      <c r="G78" s="20" t="s">
        <v>478</v>
      </c>
      <c r="H78" s="20" t="s">
        <v>47</v>
      </c>
      <c r="I78" s="20" t="s">
        <v>47</v>
      </c>
    </row>
    <row r="79" spans="1:9" outlineLevel="2">
      <c r="A79" s="22" t="s">
        <v>14</v>
      </c>
      <c r="B79" s="23" t="s">
        <v>478</v>
      </c>
      <c r="C79" s="22" t="s">
        <v>47</v>
      </c>
      <c r="D79" s="22" t="b">
        <f>EXACT(G78,"Stratified random sampling")</f>
        <v>1</v>
      </c>
      <c r="E79" s="22" t="s">
        <v>478</v>
      </c>
      <c r="F79" s="22" t="s">
        <v>14</v>
      </c>
      <c r="G79" s="22" t="s">
        <v>47</v>
      </c>
      <c r="H79" s="22" t="s">
        <v>47</v>
      </c>
      <c r="I79" s="22" t="s">
        <v>47</v>
      </c>
    </row>
    <row r="80" spans="1:9" ht="30" outlineLevel="3" collapsed="1">
      <c r="A80" s="20" t="s">
        <v>14</v>
      </c>
      <c r="B80" s="20" t="s">
        <v>82</v>
      </c>
      <c r="C80" s="20" t="s">
        <v>47</v>
      </c>
      <c r="D80" s="20" t="s">
        <v>399</v>
      </c>
      <c r="E80" s="20" t="s">
        <v>479</v>
      </c>
      <c r="F80" s="20" t="s">
        <v>14</v>
      </c>
      <c r="G80" s="20">
        <f>44/12*G81*G82</f>
        <v>3.6666666666666665</v>
      </c>
      <c r="H80" s="20" t="s">
        <v>47</v>
      </c>
      <c r="I80" s="20" t="s">
        <v>47</v>
      </c>
    </row>
    <row r="81" spans="1:9" outlineLevel="3" collapsed="1">
      <c r="A81" s="20" t="s">
        <v>11</v>
      </c>
      <c r="B81" s="20" t="s">
        <v>82</v>
      </c>
      <c r="C81" s="20" t="s">
        <v>47</v>
      </c>
      <c r="D81" s="20"/>
      <c r="E81" s="20" t="s">
        <v>405</v>
      </c>
      <c r="F81" s="20" t="s">
        <v>14</v>
      </c>
      <c r="G81" s="20">
        <v>1</v>
      </c>
      <c r="H81" s="20" t="s">
        <v>47</v>
      </c>
      <c r="I81" s="20" t="s">
        <v>47</v>
      </c>
    </row>
    <row r="82" spans="1:9" ht="30" outlineLevel="3" collapsed="1">
      <c r="A82" s="20" t="s">
        <v>14</v>
      </c>
      <c r="B82" s="20" t="s">
        <v>82</v>
      </c>
      <c r="C82" s="20" t="s">
        <v>47</v>
      </c>
      <c r="D82" s="20" t="s">
        <v>399</v>
      </c>
      <c r="E82" s="20" t="s">
        <v>480</v>
      </c>
      <c r="F82" s="20" t="s">
        <v>14</v>
      </c>
      <c r="G82" s="20">
        <f>G83*G84</f>
        <v>1</v>
      </c>
      <c r="H82" s="20" t="s">
        <v>47</v>
      </c>
      <c r="I82" s="20" t="s">
        <v>47</v>
      </c>
    </row>
    <row r="83" spans="1:9" ht="30" outlineLevel="3" collapsed="1">
      <c r="A83" s="20" t="s">
        <v>11</v>
      </c>
      <c r="B83" s="20" t="s">
        <v>82</v>
      </c>
      <c r="C83" s="20" t="s">
        <v>47</v>
      </c>
      <c r="D83" s="20"/>
      <c r="E83" s="20" t="s">
        <v>481</v>
      </c>
      <c r="F83" s="20" t="s">
        <v>14</v>
      </c>
      <c r="G83" s="20">
        <v>1</v>
      </c>
      <c r="H83" s="20" t="s">
        <v>47</v>
      </c>
      <c r="I83" s="20" t="s">
        <v>47</v>
      </c>
    </row>
    <row r="84" spans="1:9" ht="30" outlineLevel="3" collapsed="1">
      <c r="A84" s="20" t="s">
        <v>14</v>
      </c>
      <c r="B84" s="20" t="s">
        <v>82</v>
      </c>
      <c r="C84" s="20" t="s">
        <v>47</v>
      </c>
      <c r="D84" s="20" t="s">
        <v>399</v>
      </c>
      <c r="E84" s="20" t="s">
        <v>482</v>
      </c>
      <c r="F84" s="20" t="s">
        <v>14</v>
      </c>
      <c r="G84" s="20">
        <f>SUM((G89*G88))</f>
        <v>1</v>
      </c>
      <c r="H84" s="20" t="s">
        <v>47</v>
      </c>
      <c r="I84" s="20" t="s">
        <v>47</v>
      </c>
    </row>
    <row r="85" spans="1:9" outlineLevel="3" collapsed="1">
      <c r="A85" s="20" t="s">
        <v>11</v>
      </c>
      <c r="B85" s="20" t="s">
        <v>82</v>
      </c>
      <c r="C85" s="20" t="s">
        <v>47</v>
      </c>
      <c r="D85" s="20"/>
      <c r="E85" s="20" t="s">
        <v>569</v>
      </c>
      <c r="F85" s="20" t="s">
        <v>14</v>
      </c>
      <c r="G85" s="20">
        <v>1</v>
      </c>
      <c r="H85" s="20" t="s">
        <v>47</v>
      </c>
      <c r="I85" s="20" t="s">
        <v>47</v>
      </c>
    </row>
    <row r="86" spans="1:9" ht="30" outlineLevel="3" collapsed="1">
      <c r="A86" s="20" t="s">
        <v>11</v>
      </c>
      <c r="B86" s="20" t="s">
        <v>82</v>
      </c>
      <c r="C86" s="20" t="s">
        <v>47</v>
      </c>
      <c r="D86" s="20"/>
      <c r="E86" s="20" t="s">
        <v>484</v>
      </c>
      <c r="F86" s="20" t="s">
        <v>14</v>
      </c>
      <c r="G86" s="20">
        <v>1</v>
      </c>
      <c r="H86" s="20" t="s">
        <v>47</v>
      </c>
      <c r="I86" s="20" t="s">
        <v>47</v>
      </c>
    </row>
    <row r="87" spans="1:9" outlineLevel="3">
      <c r="A87" s="22" t="s">
        <v>11</v>
      </c>
      <c r="B87" s="23" t="s">
        <v>485</v>
      </c>
      <c r="C87" s="22" t="s">
        <v>47</v>
      </c>
      <c r="D87" s="22"/>
      <c r="E87" s="22" t="s">
        <v>486</v>
      </c>
      <c r="F87" s="22" t="s">
        <v>11</v>
      </c>
      <c r="G87" s="22" t="s">
        <v>47</v>
      </c>
      <c r="H87" s="22" t="s">
        <v>47</v>
      </c>
      <c r="I87" s="22" t="s">
        <v>47</v>
      </c>
    </row>
    <row r="88" spans="1:9" s="25" customFormat="1" ht="30" outlineLevel="4" collapsed="1">
      <c r="A88" s="24" t="s">
        <v>14</v>
      </c>
      <c r="B88" s="20" t="s">
        <v>82</v>
      </c>
      <c r="C88" s="24" t="s">
        <v>47</v>
      </c>
      <c r="D88" s="20" t="s">
        <v>399</v>
      </c>
      <c r="E88" s="24" t="s">
        <v>487</v>
      </c>
      <c r="F88" s="24" t="s">
        <v>14</v>
      </c>
      <c r="G88" s="24">
        <f>(SUM(G93))/G91</f>
        <v>1</v>
      </c>
      <c r="H88" s="24" t="s">
        <v>47</v>
      </c>
      <c r="I88" s="24" t="s">
        <v>47</v>
      </c>
    </row>
    <row r="89" spans="1:9" ht="30" outlineLevel="4" collapsed="1">
      <c r="A89" s="20" t="s">
        <v>11</v>
      </c>
      <c r="B89" s="20" t="s">
        <v>82</v>
      </c>
      <c r="C89" s="20" t="s">
        <v>47</v>
      </c>
      <c r="D89" s="20"/>
      <c r="E89" s="20" t="s">
        <v>488</v>
      </c>
      <c r="F89" s="20" t="s">
        <v>14</v>
      </c>
      <c r="G89" s="20">
        <v>1</v>
      </c>
      <c r="H89" s="20" t="s">
        <v>47</v>
      </c>
      <c r="I89" s="20" t="s">
        <v>47</v>
      </c>
    </row>
    <row r="90" spans="1:9" ht="30" outlineLevel="4" collapsed="1">
      <c r="A90" s="20" t="s">
        <v>11</v>
      </c>
      <c r="B90" s="20" t="s">
        <v>82</v>
      </c>
      <c r="C90" s="20" t="s">
        <v>47</v>
      </c>
      <c r="D90" s="20"/>
      <c r="E90" s="20" t="s">
        <v>489</v>
      </c>
      <c r="F90" s="20" t="s">
        <v>14</v>
      </c>
      <c r="G90" s="20">
        <v>1</v>
      </c>
      <c r="H90" s="20" t="s">
        <v>47</v>
      </c>
      <c r="I90" s="20" t="s">
        <v>47</v>
      </c>
    </row>
    <row r="91" spans="1:9" outlineLevel="4" collapsed="1">
      <c r="A91" s="20" t="s">
        <v>11</v>
      </c>
      <c r="B91" s="20" t="s">
        <v>82</v>
      </c>
      <c r="C91" s="20" t="s">
        <v>47</v>
      </c>
      <c r="D91" s="20"/>
      <c r="E91" s="20" t="s">
        <v>490</v>
      </c>
      <c r="F91" s="20" t="s">
        <v>14</v>
      </c>
      <c r="G91" s="20">
        <v>1</v>
      </c>
      <c r="H91" s="20" t="s">
        <v>47</v>
      </c>
      <c r="I91" s="20" t="s">
        <v>47</v>
      </c>
    </row>
    <row r="92" spans="1:9" outlineLevel="4">
      <c r="A92" s="22" t="s">
        <v>11</v>
      </c>
      <c r="B92" s="23" t="s">
        <v>491</v>
      </c>
      <c r="C92" s="22"/>
      <c r="D92" s="22"/>
      <c r="E92" s="22" t="s">
        <v>492</v>
      </c>
      <c r="F92" s="22" t="s">
        <v>11</v>
      </c>
      <c r="G92" s="22"/>
      <c r="H92" s="22"/>
      <c r="I92" s="22"/>
    </row>
    <row r="93" spans="1:9" s="25" customFormat="1" ht="30" outlineLevel="5" collapsed="1">
      <c r="A93" s="24" t="s">
        <v>11</v>
      </c>
      <c r="B93" s="24" t="s">
        <v>82</v>
      </c>
      <c r="C93" s="24" t="s">
        <v>47</v>
      </c>
      <c r="D93" s="24"/>
      <c r="E93" s="24" t="s">
        <v>493</v>
      </c>
      <c r="F93" s="24" t="s">
        <v>14</v>
      </c>
      <c r="G93" s="24">
        <v>1</v>
      </c>
      <c r="H93" s="24" t="s">
        <v>47</v>
      </c>
      <c r="I93" s="24" t="s">
        <v>47</v>
      </c>
    </row>
    <row r="94" spans="1:9" outlineLevel="2">
      <c r="A94" s="22" t="s">
        <v>14</v>
      </c>
      <c r="B94" s="23" t="s">
        <v>494</v>
      </c>
      <c r="C94" s="22" t="s">
        <v>47</v>
      </c>
      <c r="D94" s="22" t="b">
        <f>NOT(EXACT(G78,"Stratified random sampling"))</f>
        <v>0</v>
      </c>
      <c r="E94" s="22" t="s">
        <v>494</v>
      </c>
      <c r="F94" s="22" t="s">
        <v>14</v>
      </c>
      <c r="G94" s="22" t="s">
        <v>47</v>
      </c>
      <c r="H94" s="22" t="s">
        <v>47</v>
      </c>
      <c r="I94" s="22" t="s">
        <v>47</v>
      </c>
    </row>
    <row r="95" spans="1:9" ht="30" outlineLevel="3" collapsed="1">
      <c r="A95" s="20" t="s">
        <v>11</v>
      </c>
      <c r="B95" s="20" t="s">
        <v>82</v>
      </c>
      <c r="C95" s="20" t="s">
        <v>47</v>
      </c>
      <c r="D95" s="20"/>
      <c r="E95" s="20" t="s">
        <v>479</v>
      </c>
      <c r="F95" s="20" t="s">
        <v>14</v>
      </c>
      <c r="G95" s="20">
        <v>1</v>
      </c>
      <c r="H95" s="20" t="s">
        <v>47</v>
      </c>
      <c r="I95" s="20" t="s">
        <v>47</v>
      </c>
    </row>
    <row r="96" spans="1:9" outlineLevel="3" collapsed="1">
      <c r="A96" s="20" t="s">
        <v>11</v>
      </c>
      <c r="B96" s="20" t="s">
        <v>82</v>
      </c>
      <c r="C96" s="20" t="s">
        <v>47</v>
      </c>
      <c r="D96" s="20"/>
      <c r="E96" s="20" t="s">
        <v>405</v>
      </c>
      <c r="F96" s="20" t="s">
        <v>14</v>
      </c>
      <c r="G96" s="20">
        <v>1</v>
      </c>
      <c r="H96" s="20" t="s">
        <v>47</v>
      </c>
      <c r="I96" s="20" t="s">
        <v>47</v>
      </c>
    </row>
    <row r="97" spans="1:9" ht="30" outlineLevel="3" collapsed="1">
      <c r="A97" s="20" t="s">
        <v>11</v>
      </c>
      <c r="B97" s="20" t="s">
        <v>82</v>
      </c>
      <c r="C97" s="20" t="s">
        <v>47</v>
      </c>
      <c r="D97" s="20"/>
      <c r="E97" s="20" t="s">
        <v>480</v>
      </c>
      <c r="F97" s="20" t="s">
        <v>14</v>
      </c>
      <c r="G97" s="20">
        <v>1</v>
      </c>
      <c r="H97" s="20" t="s">
        <v>47</v>
      </c>
      <c r="I97" s="20" t="s">
        <v>47</v>
      </c>
    </row>
    <row r="98" spans="1:9" ht="30" outlineLevel="3" collapsed="1">
      <c r="A98" s="20" t="s">
        <v>11</v>
      </c>
      <c r="B98" s="20" t="s">
        <v>82</v>
      </c>
      <c r="C98" s="20" t="s">
        <v>47</v>
      </c>
      <c r="D98" s="20"/>
      <c r="E98" s="20" t="s">
        <v>481</v>
      </c>
      <c r="F98" s="20" t="s">
        <v>14</v>
      </c>
      <c r="G98" s="20">
        <v>1</v>
      </c>
      <c r="H98" s="20" t="s">
        <v>47</v>
      </c>
      <c r="I98" s="20" t="s">
        <v>47</v>
      </c>
    </row>
    <row r="99" spans="1:9" ht="30" outlineLevel="3" collapsed="1">
      <c r="A99" s="20" t="s">
        <v>11</v>
      </c>
      <c r="B99" s="20" t="s">
        <v>82</v>
      </c>
      <c r="C99" s="20" t="s">
        <v>47</v>
      </c>
      <c r="D99" s="20"/>
      <c r="E99" s="20" t="s">
        <v>482</v>
      </c>
      <c r="F99" s="20" t="s">
        <v>14</v>
      </c>
      <c r="G99" s="20">
        <v>1</v>
      </c>
      <c r="H99" s="20" t="s">
        <v>47</v>
      </c>
      <c r="I99" s="20" t="s">
        <v>47</v>
      </c>
    </row>
    <row r="100" spans="1:9" outlineLevel="3" collapsed="1">
      <c r="A100" s="20" t="s">
        <v>11</v>
      </c>
      <c r="B100" s="20" t="s">
        <v>82</v>
      </c>
      <c r="C100" s="20" t="s">
        <v>47</v>
      </c>
      <c r="D100" s="20"/>
      <c r="E100" s="20" t="s">
        <v>483</v>
      </c>
      <c r="F100" s="20" t="s">
        <v>14</v>
      </c>
      <c r="G100" s="20">
        <v>1</v>
      </c>
      <c r="H100" s="20" t="s">
        <v>47</v>
      </c>
      <c r="I100" s="20" t="s">
        <v>47</v>
      </c>
    </row>
    <row r="101" spans="1:9" ht="30" outlineLevel="3" collapsed="1">
      <c r="A101" s="20" t="s">
        <v>11</v>
      </c>
      <c r="B101" s="20" t="s">
        <v>82</v>
      </c>
      <c r="C101" s="20" t="s">
        <v>47</v>
      </c>
      <c r="D101" s="20"/>
      <c r="E101" s="20" t="s">
        <v>484</v>
      </c>
      <c r="F101" s="20" t="s">
        <v>14</v>
      </c>
      <c r="G101" s="20">
        <v>1</v>
      </c>
      <c r="H101" s="20" t="s">
        <v>47</v>
      </c>
      <c r="I101" s="20" t="s">
        <v>47</v>
      </c>
    </row>
    <row r="102" spans="1:9" outlineLevel="3">
      <c r="A102" s="22" t="s">
        <v>11</v>
      </c>
      <c r="B102" s="23" t="s">
        <v>495</v>
      </c>
      <c r="C102" s="22" t="s">
        <v>47</v>
      </c>
      <c r="D102" s="22"/>
      <c r="E102" s="22" t="s">
        <v>486</v>
      </c>
      <c r="F102" s="22" t="s">
        <v>11</v>
      </c>
      <c r="G102" s="22" t="s">
        <v>47</v>
      </c>
      <c r="H102" s="22" t="s">
        <v>47</v>
      </c>
      <c r="I102" s="22" t="s">
        <v>47</v>
      </c>
    </row>
    <row r="103" spans="1:9" ht="30" outlineLevel="4" collapsed="1">
      <c r="A103" s="20" t="s">
        <v>14</v>
      </c>
      <c r="B103" s="20" t="s">
        <v>82</v>
      </c>
      <c r="C103" s="20" t="s">
        <v>47</v>
      </c>
      <c r="D103" s="20" t="s">
        <v>399</v>
      </c>
      <c r="E103" s="20" t="s">
        <v>487</v>
      </c>
      <c r="F103" s="20" t="s">
        <v>14</v>
      </c>
      <c r="G103" s="20">
        <f>(SUM(G112)/G104)+G105*(G106-G107)</f>
        <v>1</v>
      </c>
      <c r="H103" s="20" t="s">
        <v>47</v>
      </c>
      <c r="I103" s="20" t="s">
        <v>47</v>
      </c>
    </row>
    <row r="104" spans="1:9" outlineLevel="4" collapsed="1">
      <c r="A104" s="20" t="s">
        <v>11</v>
      </c>
      <c r="B104" s="20" t="s">
        <v>82</v>
      </c>
      <c r="C104" s="20" t="s">
        <v>47</v>
      </c>
      <c r="D104" s="20"/>
      <c r="E104" s="20" t="s">
        <v>496</v>
      </c>
      <c r="F104" s="20" t="s">
        <v>14</v>
      </c>
      <c r="G104" s="20">
        <v>1</v>
      </c>
      <c r="H104" s="20" t="s">
        <v>47</v>
      </c>
      <c r="I104" s="20" t="s">
        <v>47</v>
      </c>
    </row>
    <row r="105" spans="1:9" ht="30" outlineLevel="4" collapsed="1">
      <c r="A105" s="20" t="s">
        <v>11</v>
      </c>
      <c r="B105" s="20" t="s">
        <v>82</v>
      </c>
      <c r="C105" s="20" t="s">
        <v>47</v>
      </c>
      <c r="D105" s="20"/>
      <c r="E105" s="20" t="s">
        <v>497</v>
      </c>
      <c r="F105" s="20" t="s">
        <v>14</v>
      </c>
      <c r="G105" s="20">
        <v>1</v>
      </c>
      <c r="H105" s="20" t="s">
        <v>47</v>
      </c>
      <c r="I105" s="20" t="s">
        <v>47</v>
      </c>
    </row>
    <row r="106" spans="1:9" ht="30" outlineLevel="4" collapsed="1">
      <c r="A106" s="20" t="s">
        <v>11</v>
      </c>
      <c r="B106" s="20" t="s">
        <v>82</v>
      </c>
      <c r="C106" s="20" t="s">
        <v>47</v>
      </c>
      <c r="D106" s="20"/>
      <c r="E106" s="20" t="s">
        <v>498</v>
      </c>
      <c r="F106" s="20" t="s">
        <v>14</v>
      </c>
      <c r="G106" s="20">
        <v>1</v>
      </c>
      <c r="H106" s="20" t="s">
        <v>47</v>
      </c>
      <c r="I106" s="20" t="s">
        <v>47</v>
      </c>
    </row>
    <row r="107" spans="1:9" ht="30" outlineLevel="4" collapsed="1">
      <c r="A107" s="20" t="s">
        <v>11</v>
      </c>
      <c r="B107" s="20" t="s">
        <v>82</v>
      </c>
      <c r="C107" s="20" t="s">
        <v>47</v>
      </c>
      <c r="D107" s="20"/>
      <c r="E107" s="20" t="s">
        <v>499</v>
      </c>
      <c r="F107" s="20" t="s">
        <v>14</v>
      </c>
      <c r="G107" s="20">
        <v>1</v>
      </c>
      <c r="H107" s="20" t="s">
        <v>47</v>
      </c>
      <c r="I107" s="20" t="s">
        <v>47</v>
      </c>
    </row>
    <row r="108" spans="1:9" ht="30" outlineLevel="4" collapsed="1">
      <c r="A108" s="20" t="s">
        <v>11</v>
      </c>
      <c r="B108" s="20" t="s">
        <v>82</v>
      </c>
      <c r="C108" s="20" t="s">
        <v>47</v>
      </c>
      <c r="D108" s="20"/>
      <c r="E108" s="20" t="s">
        <v>500</v>
      </c>
      <c r="F108" s="20" t="s">
        <v>14</v>
      </c>
      <c r="G108" s="20">
        <v>1</v>
      </c>
      <c r="H108" s="20" t="s">
        <v>47</v>
      </c>
      <c r="I108" s="20" t="s">
        <v>47</v>
      </c>
    </row>
    <row r="109" spans="1:9" ht="30" outlineLevel="4" collapsed="1">
      <c r="A109" s="20" t="s">
        <v>11</v>
      </c>
      <c r="B109" s="20" t="s">
        <v>82</v>
      </c>
      <c r="C109" s="20" t="s">
        <v>47</v>
      </c>
      <c r="D109" s="20"/>
      <c r="E109" s="20" t="s">
        <v>501</v>
      </c>
      <c r="F109" s="20" t="s">
        <v>14</v>
      </c>
      <c r="G109" s="20">
        <v>1</v>
      </c>
      <c r="H109" s="20" t="s">
        <v>47</v>
      </c>
      <c r="I109" s="20" t="s">
        <v>47</v>
      </c>
    </row>
    <row r="110" spans="1:9" ht="45" outlineLevel="4" collapsed="1">
      <c r="A110" s="20" t="s">
        <v>11</v>
      </c>
      <c r="B110" s="20" t="s">
        <v>82</v>
      </c>
      <c r="C110" s="20" t="s">
        <v>47</v>
      </c>
      <c r="D110" s="20"/>
      <c r="E110" s="20" t="s">
        <v>502</v>
      </c>
      <c r="F110" s="20" t="s">
        <v>14</v>
      </c>
      <c r="G110" s="20">
        <v>1</v>
      </c>
      <c r="H110" s="20" t="s">
        <v>47</v>
      </c>
      <c r="I110" s="20" t="s">
        <v>47</v>
      </c>
    </row>
    <row r="111" spans="1:9" outlineLevel="4">
      <c r="A111" s="22" t="s">
        <v>11</v>
      </c>
      <c r="B111" s="23" t="s">
        <v>491</v>
      </c>
      <c r="C111" s="22"/>
      <c r="D111" s="22"/>
      <c r="E111" s="22" t="s">
        <v>492</v>
      </c>
      <c r="F111" s="22" t="s">
        <v>11</v>
      </c>
      <c r="G111" s="22"/>
      <c r="H111" s="22"/>
      <c r="I111" s="22"/>
    </row>
    <row r="112" spans="1:9" s="25" customFormat="1" ht="30" outlineLevel="5" collapsed="1">
      <c r="A112" s="24" t="s">
        <v>11</v>
      </c>
      <c r="B112" s="24" t="s">
        <v>82</v>
      </c>
      <c r="C112" s="24" t="s">
        <v>47</v>
      </c>
      <c r="D112" s="24"/>
      <c r="E112" s="24" t="s">
        <v>493</v>
      </c>
      <c r="F112" s="24" t="s">
        <v>14</v>
      </c>
      <c r="G112" s="24">
        <v>1</v>
      </c>
      <c r="H112" s="24" t="s">
        <v>47</v>
      </c>
      <c r="I112" s="24" t="s">
        <v>47</v>
      </c>
    </row>
    <row r="113" spans="1:9" outlineLevel="1" collapsed="1">
      <c r="A113" s="20" t="s">
        <v>11</v>
      </c>
      <c r="B113" s="20" t="s">
        <v>503</v>
      </c>
      <c r="C113" s="20" t="s">
        <v>47</v>
      </c>
      <c r="D113" s="20"/>
      <c r="E113" s="4" t="s">
        <v>504</v>
      </c>
      <c r="F113" s="20" t="s">
        <v>14</v>
      </c>
      <c r="G113" s="20" t="s">
        <v>505</v>
      </c>
      <c r="H113" s="20" t="s">
        <v>47</v>
      </c>
      <c r="I113" s="20" t="s">
        <v>47</v>
      </c>
    </row>
    <row r="114" spans="1:9" ht="29.25" customHeight="1">
      <c r="A114" s="18" t="s">
        <v>14</v>
      </c>
      <c r="B114" s="18" t="s">
        <v>82</v>
      </c>
      <c r="C114" s="10"/>
      <c r="D114" s="18" t="s">
        <v>399</v>
      </c>
      <c r="E114" s="18" t="s">
        <v>506</v>
      </c>
      <c r="F114" s="18" t="s">
        <v>14</v>
      </c>
      <c r="G114" s="18">
        <f>IF(G49="Updating the previous stock by independent measurement of change",G51,IF(G49="Estimation by modelling of tree growth and stand development",G65,IF(G49="Estimation by proportionate crown cover",G69,IF(AND(G49="Measurement of sample plots",G78="Stratified random sampling"),G80,IF(AND(G49="Measurement of sample plots",G78="Double sampling"),G95)))))</f>
        <v>0</v>
      </c>
      <c r="H114" s="18"/>
      <c r="I114" s="18"/>
    </row>
    <row r="115" spans="1:9" ht="29.25" customHeight="1">
      <c r="A115" s="18" t="s">
        <v>14</v>
      </c>
      <c r="B115" s="18" t="s">
        <v>82</v>
      </c>
      <c r="C115" s="10"/>
      <c r="D115" s="18" t="s">
        <v>399</v>
      </c>
      <c r="E115" s="18" t="s">
        <v>507</v>
      </c>
      <c r="F115" s="18" t="s">
        <v>14</v>
      </c>
      <c r="G115" s="18">
        <f>IF(AND(G5="Estimating change in carbon stock in trees between two points in time",G7="no-decrease"),0,IF(AND(G5="Estimating change in carbon stock in trees between two points in time",G7="Estimation by proportionate crown cover"),G12,IF(AND(G5="Estimating change in carbon stock in trees between two points in time",G7="Direct estimation of change by re-measurement of sample plots"),G21,IF(AND(G5="Estimating change in carbon stock in trees between two points in time",G7="Difference of two independent stock estimations"),G41,IF(AND(G5="Estimating change in carbon stock in trees in a year"),G44)))))</f>
        <v>1</v>
      </c>
      <c r="H115" s="18"/>
      <c r="I115" s="18"/>
    </row>
    <row r="116" spans="1:9" ht="29.25" customHeight="1">
      <c r="A116" s="18" t="s">
        <v>11</v>
      </c>
      <c r="B116" s="18" t="s">
        <v>17</v>
      </c>
      <c r="C116" s="10" t="s">
        <v>508</v>
      </c>
      <c r="D116" s="18"/>
      <c r="E116" s="3" t="s">
        <v>509</v>
      </c>
      <c r="F116" s="3" t="s">
        <v>14</v>
      </c>
      <c r="G116" s="18" t="s">
        <v>510</v>
      </c>
      <c r="H116" s="18"/>
      <c r="I116" s="18"/>
    </row>
    <row r="117" spans="1:9">
      <c r="A117" s="18" t="s">
        <v>14</v>
      </c>
      <c r="B117" s="10" t="s">
        <v>511</v>
      </c>
      <c r="C117" s="18" t="s">
        <v>47</v>
      </c>
      <c r="D117" s="18" t="b">
        <f>EXACT(G116,"Estimating change in carbon stock in shrubs between two points in time")</f>
        <v>1</v>
      </c>
      <c r="E117" s="18" t="s">
        <v>512</v>
      </c>
      <c r="F117" s="18" t="s">
        <v>14</v>
      </c>
      <c r="G117" s="18" t="s">
        <v>47</v>
      </c>
      <c r="H117" s="18" t="s">
        <v>47</v>
      </c>
      <c r="I117" s="18" t="s">
        <v>47</v>
      </c>
    </row>
    <row r="118" spans="1:9" ht="29.25" customHeight="1" outlineLevel="1">
      <c r="A118" s="18" t="s">
        <v>11</v>
      </c>
      <c r="B118" s="18" t="s">
        <v>17</v>
      </c>
      <c r="C118" s="10" t="s">
        <v>513</v>
      </c>
      <c r="D118" s="18"/>
      <c r="E118" s="18" t="s">
        <v>514</v>
      </c>
      <c r="F118" s="18" t="s">
        <v>14</v>
      </c>
      <c r="G118" s="18" t="s">
        <v>14</v>
      </c>
      <c r="H118" s="18" t="s">
        <v>47</v>
      </c>
      <c r="I118" s="18" t="s">
        <v>47</v>
      </c>
    </row>
    <row r="119" spans="1:9" outlineLevel="1">
      <c r="A119" s="18" t="s">
        <v>14</v>
      </c>
      <c r="B119" s="10" t="s">
        <v>515</v>
      </c>
      <c r="C119" s="19"/>
      <c r="D119" s="18" t="b">
        <f>EXACT(G118,"Yes")</f>
        <v>0</v>
      </c>
      <c r="E119" s="18" t="s">
        <v>393</v>
      </c>
      <c r="F119" s="3" t="s">
        <v>14</v>
      </c>
      <c r="G119" s="18"/>
      <c r="H119" s="18"/>
      <c r="I119" s="18"/>
    </row>
    <row r="120" spans="1:9" ht="165" outlineLevel="2" collapsed="1">
      <c r="A120" s="20" t="s">
        <v>14</v>
      </c>
      <c r="B120" s="20" t="s">
        <v>44</v>
      </c>
      <c r="C120" s="20"/>
      <c r="D120" s="20"/>
      <c r="E120" s="20" t="s">
        <v>516</v>
      </c>
      <c r="F120" s="4" t="s">
        <v>14</v>
      </c>
      <c r="G120" s="20"/>
      <c r="H120" s="20"/>
      <c r="I120" s="20"/>
    </row>
    <row r="121" spans="1:9" ht="60" outlineLevel="2" collapsed="1">
      <c r="A121" s="20" t="s">
        <v>11</v>
      </c>
      <c r="B121" s="20" t="s">
        <v>17</v>
      </c>
      <c r="C121" s="27" t="s">
        <v>517</v>
      </c>
      <c r="D121" s="20"/>
      <c r="E121" s="20" t="s">
        <v>518</v>
      </c>
      <c r="F121" s="4" t="s">
        <v>14</v>
      </c>
      <c r="G121" s="20" t="s">
        <v>14</v>
      </c>
      <c r="H121" s="20"/>
      <c r="I121" s="20"/>
    </row>
    <row r="122" spans="1:9" ht="30" outlineLevel="1" collapsed="1">
      <c r="A122" s="20" t="s">
        <v>14</v>
      </c>
      <c r="B122" s="20" t="s">
        <v>82</v>
      </c>
      <c r="C122" s="20" t="s">
        <v>47</v>
      </c>
      <c r="D122" s="20" t="s">
        <v>399</v>
      </c>
      <c r="E122" s="20" t="s">
        <v>519</v>
      </c>
      <c r="F122" s="4" t="s">
        <v>14</v>
      </c>
      <c r="G122" s="20" t="e">
        <f>IF(AND(#REF!="No"),E123-E124,0)</f>
        <v>#REF!</v>
      </c>
      <c r="H122" s="20" t="s">
        <v>47</v>
      </c>
      <c r="I122" s="20" t="s">
        <v>47</v>
      </c>
    </row>
    <row r="123" spans="1:9" ht="30" outlineLevel="1" collapsed="1">
      <c r="A123" s="20" t="s">
        <v>11</v>
      </c>
      <c r="B123" s="20" t="s">
        <v>82</v>
      </c>
      <c r="C123" s="20" t="s">
        <v>47</v>
      </c>
      <c r="D123" s="20"/>
      <c r="E123" s="20" t="s">
        <v>520</v>
      </c>
      <c r="F123" s="20" t="s">
        <v>14</v>
      </c>
      <c r="G123" s="20">
        <v>1</v>
      </c>
      <c r="H123" s="20" t="s">
        <v>47</v>
      </c>
      <c r="I123" s="20" t="s">
        <v>47</v>
      </c>
    </row>
    <row r="124" spans="1:9" ht="30" outlineLevel="1" collapsed="1">
      <c r="A124" s="20" t="s">
        <v>11</v>
      </c>
      <c r="B124" s="20" t="s">
        <v>82</v>
      </c>
      <c r="C124" s="20" t="s">
        <v>47</v>
      </c>
      <c r="D124" s="20"/>
      <c r="E124" s="20" t="s">
        <v>521</v>
      </c>
      <c r="F124" s="20" t="s">
        <v>14</v>
      </c>
      <c r="G124" s="20">
        <v>1</v>
      </c>
      <c r="H124" s="20" t="s">
        <v>47</v>
      </c>
      <c r="I124" s="20" t="s">
        <v>47</v>
      </c>
    </row>
    <row r="125" spans="1:9">
      <c r="A125" s="18" t="s">
        <v>14</v>
      </c>
      <c r="B125" s="10" t="s">
        <v>522</v>
      </c>
      <c r="C125" s="18" t="s">
        <v>47</v>
      </c>
      <c r="D125" s="18" t="b">
        <f>EXACT(G116,"Estimating change in carbon stock in shrubs in a year")</f>
        <v>0</v>
      </c>
      <c r="E125" s="18" t="s">
        <v>523</v>
      </c>
      <c r="F125" s="18" t="s">
        <v>14</v>
      </c>
      <c r="G125" s="18" t="s">
        <v>47</v>
      </c>
      <c r="H125" s="18" t="s">
        <v>47</v>
      </c>
      <c r="I125" s="18" t="s">
        <v>47</v>
      </c>
    </row>
    <row r="126" spans="1:9" ht="30" outlineLevel="1" collapsed="1">
      <c r="A126" s="20" t="s">
        <v>14</v>
      </c>
      <c r="B126" s="20" t="s">
        <v>82</v>
      </c>
      <c r="C126" s="20" t="s">
        <v>47</v>
      </c>
      <c r="D126" s="20" t="s">
        <v>399</v>
      </c>
      <c r="E126" s="20" t="s">
        <v>524</v>
      </c>
      <c r="F126" s="20" t="s">
        <v>14</v>
      </c>
      <c r="G126" s="20">
        <f>(G127-G128/G129)*1</f>
        <v>0</v>
      </c>
      <c r="H126" s="20" t="s">
        <v>47</v>
      </c>
      <c r="I126" s="20" t="s">
        <v>47</v>
      </c>
    </row>
    <row r="127" spans="1:9" outlineLevel="1" collapsed="1">
      <c r="A127" s="20" t="s">
        <v>11</v>
      </c>
      <c r="B127" s="20" t="s">
        <v>82</v>
      </c>
      <c r="C127" s="20" t="s">
        <v>47</v>
      </c>
      <c r="D127" s="20"/>
      <c r="E127" s="20" t="s">
        <v>525</v>
      </c>
      <c r="F127" s="20" t="s">
        <v>14</v>
      </c>
      <c r="G127" s="20">
        <v>1</v>
      </c>
      <c r="H127" s="20" t="s">
        <v>47</v>
      </c>
      <c r="I127" s="20" t="s">
        <v>47</v>
      </c>
    </row>
    <row r="128" spans="1:9" outlineLevel="1" collapsed="1">
      <c r="A128" s="20" t="s">
        <v>11</v>
      </c>
      <c r="B128" s="20" t="s">
        <v>82</v>
      </c>
      <c r="C128" s="20" t="s">
        <v>47</v>
      </c>
      <c r="D128" s="20"/>
      <c r="E128" s="20" t="s">
        <v>526</v>
      </c>
      <c r="F128" s="20" t="s">
        <v>14</v>
      </c>
      <c r="G128" s="20">
        <v>1</v>
      </c>
      <c r="H128" s="20" t="s">
        <v>47</v>
      </c>
      <c r="I128" s="20" t="s">
        <v>47</v>
      </c>
    </row>
    <row r="129" spans="1:9" ht="30" outlineLevel="1" collapsed="1">
      <c r="A129" s="20" t="s">
        <v>11</v>
      </c>
      <c r="B129" s="20" t="s">
        <v>82</v>
      </c>
      <c r="C129" s="20" t="s">
        <v>47</v>
      </c>
      <c r="D129" s="20"/>
      <c r="E129" s="20" t="s">
        <v>527</v>
      </c>
      <c r="F129" s="20" t="s">
        <v>14</v>
      </c>
      <c r="G129" s="20">
        <v>1</v>
      </c>
      <c r="H129" s="20" t="s">
        <v>47</v>
      </c>
      <c r="I129" s="20" t="s">
        <v>47</v>
      </c>
    </row>
    <row r="130" spans="1:9" ht="30">
      <c r="A130" s="18" t="s">
        <v>11</v>
      </c>
      <c r="B130" s="10" t="s">
        <v>529</v>
      </c>
      <c r="C130" s="18" t="s">
        <v>47</v>
      </c>
      <c r="D130" s="18"/>
      <c r="E130" s="3" t="s">
        <v>529</v>
      </c>
      <c r="F130" s="18" t="s">
        <v>11</v>
      </c>
      <c r="G130" s="18" t="s">
        <v>47</v>
      </c>
      <c r="H130" s="18" t="s">
        <v>47</v>
      </c>
      <c r="I130" s="18" t="s">
        <v>47</v>
      </c>
    </row>
    <row r="131" spans="1:9" ht="13.5" customHeight="1" outlineLevel="1" collapsed="1">
      <c r="A131" s="20" t="s">
        <v>14</v>
      </c>
      <c r="B131" s="20" t="s">
        <v>82</v>
      </c>
      <c r="C131" s="20" t="s">
        <v>47</v>
      </c>
      <c r="D131" s="20" t="s">
        <v>399</v>
      </c>
      <c r="E131" s="20" t="s">
        <v>530</v>
      </c>
      <c r="F131" s="20" t="s">
        <v>14</v>
      </c>
      <c r="G131" s="20">
        <f>44/12*G132*(1+G133)*SUM((G138*G139))</f>
        <v>7.333333333333333</v>
      </c>
      <c r="H131" s="20" t="s">
        <v>47</v>
      </c>
      <c r="I131" s="20" t="s">
        <v>47</v>
      </c>
    </row>
    <row r="132" spans="1:9" ht="13.5" customHeight="1" outlineLevel="1" collapsed="1">
      <c r="A132" s="20" t="s">
        <v>11</v>
      </c>
      <c r="B132" s="20" t="s">
        <v>82</v>
      </c>
      <c r="C132" s="20" t="s">
        <v>47</v>
      </c>
      <c r="D132" s="20"/>
      <c r="E132" s="20" t="s">
        <v>531</v>
      </c>
      <c r="F132" s="20" t="s">
        <v>14</v>
      </c>
      <c r="G132" s="20">
        <v>1</v>
      </c>
      <c r="H132" s="20" t="s">
        <v>47</v>
      </c>
      <c r="I132" s="20" t="s">
        <v>47</v>
      </c>
    </row>
    <row r="133" spans="1:9" outlineLevel="1" collapsed="1">
      <c r="A133" s="20" t="s">
        <v>11</v>
      </c>
      <c r="B133" s="20" t="s">
        <v>82</v>
      </c>
      <c r="C133" s="20" t="s">
        <v>47</v>
      </c>
      <c r="D133" s="20"/>
      <c r="E133" s="20" t="s">
        <v>532</v>
      </c>
      <c r="F133" s="20" t="s">
        <v>14</v>
      </c>
      <c r="G133" s="20">
        <v>1</v>
      </c>
      <c r="H133" s="20" t="s">
        <v>47</v>
      </c>
      <c r="I133" s="20" t="s">
        <v>47</v>
      </c>
    </row>
    <row r="134" spans="1:9" outlineLevel="1">
      <c r="A134" s="22" t="s">
        <v>11</v>
      </c>
      <c r="B134" s="23" t="s">
        <v>533</v>
      </c>
      <c r="C134" s="22" t="s">
        <v>47</v>
      </c>
      <c r="D134" s="22"/>
      <c r="E134" s="22" t="s">
        <v>534</v>
      </c>
      <c r="F134" s="22" t="s">
        <v>11</v>
      </c>
      <c r="G134" s="22" t="s">
        <v>47</v>
      </c>
      <c r="H134" s="22" t="s">
        <v>47</v>
      </c>
      <c r="I134" s="22" t="s">
        <v>47</v>
      </c>
    </row>
    <row r="135" spans="1:9" ht="30" outlineLevel="2" collapsed="1">
      <c r="A135" s="20" t="s">
        <v>11</v>
      </c>
      <c r="B135" s="20" t="s">
        <v>82</v>
      </c>
      <c r="C135" s="20" t="s">
        <v>47</v>
      </c>
      <c r="D135" s="20"/>
      <c r="E135" s="20" t="s">
        <v>535</v>
      </c>
      <c r="F135" s="20" t="s">
        <v>14</v>
      </c>
      <c r="G135" s="20">
        <v>1</v>
      </c>
      <c r="H135" s="20" t="s">
        <v>47</v>
      </c>
      <c r="I135" s="20" t="s">
        <v>47</v>
      </c>
    </row>
    <row r="136" spans="1:9" ht="30" outlineLevel="2" collapsed="1">
      <c r="A136" s="20" t="s">
        <v>11</v>
      </c>
      <c r="B136" s="20" t="s">
        <v>82</v>
      </c>
      <c r="C136" s="20" t="s">
        <v>47</v>
      </c>
      <c r="D136" s="20"/>
      <c r="E136" s="20" t="s">
        <v>536</v>
      </c>
      <c r="F136" s="20" t="s">
        <v>14</v>
      </c>
      <c r="G136" s="20">
        <v>1</v>
      </c>
      <c r="H136" s="20" t="s">
        <v>47</v>
      </c>
      <c r="I136" s="20" t="s">
        <v>47</v>
      </c>
    </row>
    <row r="137" spans="1:9" ht="30" outlineLevel="2" collapsed="1">
      <c r="A137" s="20" t="s">
        <v>11</v>
      </c>
      <c r="B137" s="20" t="s">
        <v>82</v>
      </c>
      <c r="C137" s="20" t="s">
        <v>47</v>
      </c>
      <c r="D137" s="20"/>
      <c r="E137" s="20" t="s">
        <v>537</v>
      </c>
      <c r="F137" s="20" t="s">
        <v>14</v>
      </c>
      <c r="G137" s="20">
        <v>1</v>
      </c>
      <c r="H137" s="20" t="s">
        <v>47</v>
      </c>
      <c r="I137" s="20" t="s">
        <v>47</v>
      </c>
    </row>
    <row r="138" spans="1:9" ht="30" outlineLevel="2" collapsed="1">
      <c r="A138" s="20" t="s">
        <v>11</v>
      </c>
      <c r="B138" s="20" t="s">
        <v>82</v>
      </c>
      <c r="C138" s="20" t="s">
        <v>47</v>
      </c>
      <c r="D138" s="20"/>
      <c r="E138" s="20" t="s">
        <v>538</v>
      </c>
      <c r="F138" s="20" t="s">
        <v>14</v>
      </c>
      <c r="G138" s="20">
        <v>1</v>
      </c>
      <c r="H138" s="20" t="s">
        <v>47</v>
      </c>
      <c r="I138" s="20" t="s">
        <v>47</v>
      </c>
    </row>
    <row r="139" spans="1:9" ht="30" outlineLevel="2" collapsed="1">
      <c r="A139" s="20" t="s">
        <v>14</v>
      </c>
      <c r="B139" s="20" t="s">
        <v>82</v>
      </c>
      <c r="C139" s="20" t="s">
        <v>47</v>
      </c>
      <c r="D139" s="20" t="s">
        <v>399</v>
      </c>
      <c r="E139" s="20" t="s">
        <v>539</v>
      </c>
      <c r="F139" s="20" t="s">
        <v>14</v>
      </c>
      <c r="G139" s="20">
        <f>G135*G136*G137</f>
        <v>1</v>
      </c>
      <c r="H139" s="20" t="s">
        <v>47</v>
      </c>
      <c r="I139" s="20" t="s">
        <v>47</v>
      </c>
    </row>
    <row r="140" spans="1:9" ht="29.25" customHeight="1">
      <c r="A140" s="18" t="s">
        <v>14</v>
      </c>
      <c r="B140" s="18" t="s">
        <v>82</v>
      </c>
      <c r="C140" s="10"/>
      <c r="D140" s="18" t="s">
        <v>399</v>
      </c>
      <c r="E140" s="18" t="s">
        <v>540</v>
      </c>
      <c r="F140" s="18" t="s">
        <v>14</v>
      </c>
      <c r="G140" s="18">
        <f>G131</f>
        <v>7.333333333333333</v>
      </c>
      <c r="H140" s="18"/>
      <c r="I140" s="18"/>
    </row>
    <row r="141" spans="1:9" ht="29.25" customHeight="1">
      <c r="A141" s="18" t="s">
        <v>14</v>
      </c>
      <c r="B141" s="18" t="s">
        <v>82</v>
      </c>
      <c r="C141" s="10"/>
      <c r="D141" s="18" t="s">
        <v>399</v>
      </c>
      <c r="E141" s="18" t="s">
        <v>541</v>
      </c>
      <c r="F141" s="18" t="s">
        <v>14</v>
      </c>
      <c r="G141" s="18" t="e">
        <f>IF(AND(G116="Estimating change in carbon stock in shrubs between two points in time",G118="Yes"),0,IF(AND(G116="Estimating change in carbon stock in shrubs between two points in time"),G122,IF(AND(G116="Estimating change in carbon stock in shrubs in a year"),G126)))</f>
        <v>#REF!</v>
      </c>
      <c r="H141" s="18"/>
      <c r="I141" s="18"/>
    </row>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2">
    <dataValidation type="list" allowBlank="1" sqref="G10 G118" xr:uid="{B8DCA520-1909-4AC7-AD25-677B9BA6FF4D}">
      <formula1>"Yes,No"</formula1>
    </dataValidation>
    <dataValidation type="list" allowBlank="1" showInputMessage="1" showErrorMessage="1" sqref="G62:G67" xr:uid="{44768FE1-DC1A-4AC1-8C74-619B64014217}">
      <formula1>"Yes,No"</formula1>
    </dataValidation>
  </dataValidations>
  <hyperlinks>
    <hyperlink ref="C7" location="#'Which method did you us (enum)'!A3" display="Which method did you us (enum)" xr:uid="{0E5C053F-1BBF-47CB-A346-700B58D333C7}"/>
    <hyperlink ref="C49" location="#'Which method did you 1 (enum)'!A3" display="Which method did you 1 (enum)" xr:uid="{5C3F9836-66ED-452D-90F5-18E398E40248}"/>
    <hyperlink ref="C78" location="#'Which sampling design w (enum)'!A3" display="Which sampling design w (enum)" xr:uid="{2893CB12-D77A-4EC3-A1A9-4D4720ABF013}"/>
    <hyperlink ref="B8" location="'Tree Demonstration of “no-d'!A1" display="'Tree Demonstration of “no-d" xr:uid="{084D6C1D-3C4C-431F-942D-24F9BC9A3546}"/>
    <hyperlink ref="B11" location="'BSL-Estimation by proportionate'!A1" display="'BSL-Estimation by proportionate" xr:uid="{CB0817DA-4D7C-4853-A5E4-4AB78061EF31}"/>
    <hyperlink ref="B13" location="'Mean annual change in carbon st'!A1" display="'Mean annual change in carbon st" xr:uid="{645D7E80-3F3B-4A35-924F-FCC71C0EDD3F}"/>
    <hyperlink ref="B20" location="'Direct Estimating Changes via S'!A1" display="'Direct Estimating Changes via S" xr:uid="{61F64847-EF73-49BA-B862-0380932F7D63}"/>
    <hyperlink ref="B28" location="'Mean Change In Tree Biomass Per'!A1" display="'Mean Change In Tree Biomass Per" xr:uid="{FD7061D3-30FF-47AB-969E-AD3173B75C72}"/>
    <hyperlink ref="B33" location="'Change in Tree Biomass per Hect'!A1" display="'Change in Tree Biomass per Hect" xr:uid="{60F2E6E4-86DF-45A4-8C68-45295928F645}"/>
    <hyperlink ref="B35" location="'Difference of Two Independent S'!A1" display="'Difference of Two Independent S" xr:uid="{8402B771-91A0-46D8-87AA-C77F9CAF8FE0}"/>
    <hyperlink ref="B43" location="'BSL-Estimating change in carbon'!A1" display="'BSL-Estimating change in carbon" xr:uid="{9CAD78E7-41D6-487D-AF92-832CDA9AEB88}"/>
    <hyperlink ref="B48" location="'BSL-Determination of Estimating'!A1" display="'BSL-Determination of Estimating" xr:uid="{D687F299-E537-4466-90DC-FC36F8C92DE8}"/>
    <hyperlink ref="B50" location="'BSL-Updating the previous stock'!A1" display="'BSL-Updating the previous stock" xr:uid="{58BD075C-7CC7-4EA1-9172-1A95ED937307}"/>
    <hyperlink ref="B57" location="'BSL-Estimation by modelling of '!A1" display="'BSL-Estimation by modelling of" xr:uid="{C5A271EF-051A-4073-98F9-ABD796A02224}"/>
    <hyperlink ref="B64" location="'BSL-Carbon stock in trees at a '!A1" display="'BSL-Carbon stock in trees at a" xr:uid="{39E83AB6-8B0B-4685-B396-2C1F5A2198CD}"/>
    <hyperlink ref="B68" location="'BSL-Estimation by proportiona'!A1" display="'BSL-Estimation by proportiona" xr:uid="{AB235FCD-280B-4492-BE99-14405CE5DE28}"/>
    <hyperlink ref="B70" location="'BSL-Mean annual change in carbo'!A1" display="'BSL-Mean annual change in carbo" xr:uid="{6BC7DF91-B942-4438-873E-850073614C26}"/>
    <hyperlink ref="B77" location="'Measurement of sample plots'!A1" display="'Measurement of sample plots" xr:uid="{4071509E-D8FA-40D8-9925-EC050A4F9E88}"/>
    <hyperlink ref="B79" location="'Stratified random sampling'!A1" display="'Stratified random sampling" xr:uid="{3E000511-0DB1-4ECA-A516-8FBB9FA6BBCB}"/>
    <hyperlink ref="B87" location="'Mean tree biomass per hectare w'!A1" display="'Mean tree biomass per hectare w" xr:uid="{DE113604-5D0E-470C-B0E6-54B0FC63AD40}"/>
    <hyperlink ref="B92" location="'Tree Biomass per Hectare in Plo'!A1" display="'Tree Biomass per Hectare in Plo" xr:uid="{3F00B617-1B8B-4167-90B8-AF957364C8DB}"/>
    <hyperlink ref="B94" location="'Double sampling'!A1" display="'Double sampling" xr:uid="{33F1AF82-9259-46AF-B977-FCC8619DCE5E}"/>
    <hyperlink ref="B102" location="'Double Mean tree biomass per he'!A1" display="'Double Mean tree biomass per he" xr:uid="{5FAD7029-FB3B-4D60-96A2-3C62AC9B231E}"/>
    <hyperlink ref="B111" location="'Tree Biomass per Hectare in Plo'!A1" display="'Tree Biomass per Hectare in Plo" xr:uid="{2AAD464F-A90B-4A89-952A-83BABD164DD8}"/>
    <hyperlink ref="B117" location="'BSL-Estimating Shrub Carbon Sto'!A1" display="'BSL-Estimating Shrub Carbon Sto" xr:uid="{B79F44F1-EFCF-4037-B984-AB5B52F198B2}"/>
    <hyperlink ref="B125" location="'BSL-Estimating change in carb'!A1" display="'BSL-Estimating change in carb" xr:uid="{47C13E98-3ABE-456D-B540-620E5B8952BD}"/>
    <hyperlink ref="B134" location="'Shrub biomass per hectare in sh'!A1" display="'Shrub biomass per hectare in sh" xr:uid="{37D18694-DCEF-4AFE-AE37-2BF9F4695567}"/>
    <hyperlink ref="B6" location="'BSL-Estimating change in car'!A1" display="'BSL-Estimating change in car" xr:uid="{BAF374AA-E662-4A22-9F50-6522AB475068}"/>
    <hyperlink ref="C5" location="'Which method did you u (enum)'!A1" display="'Which method did you u (enum)" xr:uid="{6B05C474-4E4E-45E5-9D14-3E4A8EFEFAB1}"/>
    <hyperlink ref="C116" location="'Which method did you (enum)'!A1" display="'Which method did you (enum)" xr:uid="{95148664-F886-46D7-A2D9-95771C804EBA}"/>
    <hyperlink ref="C118" location="'Will you be applying the (enum)'!A1" display="'Will you be applying the (enum)" xr:uid="{7B1B7960-B7CD-4E8A-A5FD-E07E3249FA8E}"/>
    <hyperlink ref="B119" location="'Shrub Demonstration of “n'!A1" display="'Shrub Demonstration of “n" xr:uid="{65C789F3-6249-48E8-9ADA-A97B74BBAB6E}"/>
    <hyperlink ref="C121" location="'If all three conditi (enum)'!A1" display="'If all three conditi (enum)" xr:uid="{EE5BC8F3-6F91-4415-8303-ED438D528C42}"/>
    <hyperlink ref="B130" location="'BSL-Estimating carbon stock in '!A1" display="'BSL-Estimating carbon stock in" xr:uid="{4532B90F-99D0-47AE-B6E7-0D38EC5FBF4E}"/>
    <hyperlink ref="C62" location="'Does your project apply b(enum)'!A1" display="'Does your project apply b(enum)" xr:uid="{79385C41-4EB1-4DCD-9C1D-1349FFB8710C}"/>
    <hyperlink ref="C10" location="'If all three conditi tree(enum)'!A1" display="'If all three conditi tree(enum)" xr:uid="{9788FB76-1B77-43A8-9DE3-E73B7D27E3A6}"/>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9">
        <x14:dataValidation type="list" allowBlank="1" xr:uid="{FDA0E2BF-689D-4A54-B7E0-8B3C9BEA2438}">
          <x14:formula1>
            <xm:f>'Which method did you 1 (enum)'!$A$3:$A$6</xm:f>
          </x14:formula1>
          <xm:sqref>G49</xm:sqref>
        </x14:dataValidation>
        <x14:dataValidation type="list" allowBlank="1" xr:uid="{9F8DD4B9-DD92-47D0-B11D-73DD4A2D0E89}">
          <x14:formula1>
            <xm:f>'Which method did you us (enum)'!$A$3:$A$6</xm:f>
          </x14:formula1>
          <xm:sqref>G7</xm:sqref>
        </x14:dataValidation>
        <x14:dataValidation type="list" allowBlank="1" showInputMessage="1" showErrorMessage="1" xr:uid="{AA43E0B2-9461-47DB-9AF4-1823A443DAFA}">
          <x14:formula1>
            <xm:f>'Which method did you u (enum)'!$A$3:$A$4</xm:f>
          </x14:formula1>
          <xm:sqref>G5:G6</xm:sqref>
        </x14:dataValidation>
        <x14:dataValidation type="list" allowBlank="1" showInputMessage="1" showErrorMessage="1" xr:uid="{A02AD420-4A3F-4342-92BD-32584BDCDF7B}">
          <x14:formula1>
            <xm:f>'Which method did you (enum)'!$A$3:$A$4</xm:f>
          </x14:formula1>
          <xm:sqref>G116</xm:sqref>
        </x14:dataValidation>
        <x14:dataValidation type="list" allowBlank="1" xr:uid="{BA9986B2-6F48-4DF9-9412-6F905CFB5289}">
          <x14:formula1>
            <xm:f>'If all three conditi (enum)'!$A$3:$A$4</xm:f>
          </x14:formula1>
          <xm:sqref>G121</xm:sqref>
        </x14:dataValidation>
        <x14:dataValidation type="list" allowBlank="1" xr:uid="{FA3EC35D-F3A7-47FE-B7F5-3AF2F8D002BD}">
          <x14:formula1>
            <xm:f>'Which method did you us (enum)'!C5:C8</xm:f>
          </x14:formula1>
          <xm:sqref>H121:I121 H10:I10</xm:sqref>
        </x14:dataValidation>
        <x14:dataValidation type="list" allowBlank="1" xr:uid="{A0916CE1-FC8C-420B-84FD-8C9B91C67C79}">
          <x14:formula1>
            <xm:f>'Which method did you us (enum)'!C3:C6</xm:f>
          </x14:formula1>
          <xm:sqref>H118:I120 H7:I9</xm:sqref>
        </x14:dataValidation>
        <x14:dataValidation type="list" allowBlank="1" xr:uid="{DFC3BADE-E24A-46A4-888D-EAC06E7A1E76}">
          <x14:formula1>
            <xm:f>'Which sampling design w (enum)'!B3:B4</xm:f>
          </x14:formula1>
          <xm:sqref>G78:I78</xm:sqref>
        </x14:dataValidation>
        <x14:dataValidation type="list" allowBlank="1" xr:uid="{FCA795C3-167C-40C2-925A-F42AFD8E713B}">
          <x14:formula1>
            <xm:f>'Which method did you 1 (enum)'!C3:C6</xm:f>
          </x14:formula1>
          <xm:sqref>H49:I49</xm:sqref>
        </x14:dataValidation>
      </x14:dataValidations>
    </ext>
  </extLst>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9B65-69AC-4BFB-8EF2-DBB9B681DCB3}">
  <sheetPr codeName="Sheet101">
    <tabColor rgb="FF7030A0"/>
    <outlinePr summaryBelow="0" summaryRight="0"/>
  </sheetPr>
  <dimension ref="A1:I262"/>
  <sheetViews>
    <sheetView workbookViewId="0">
      <selection activeCell="C241" sqref="C24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2" t="s">
        <v>388</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9" t="s">
        <v>389</v>
      </c>
      <c r="D5" s="18"/>
      <c r="E5" s="18" t="s">
        <v>390</v>
      </c>
      <c r="F5" s="18" t="s">
        <v>14</v>
      </c>
      <c r="G5" s="18" t="s">
        <v>391</v>
      </c>
      <c r="H5" s="18" t="s">
        <v>47</v>
      </c>
      <c r="I5" s="18" t="s">
        <v>47</v>
      </c>
    </row>
    <row r="6" spans="1:9">
      <c r="A6" s="18" t="s">
        <v>14</v>
      </c>
      <c r="B6" s="10" t="s">
        <v>392</v>
      </c>
      <c r="C6" s="19"/>
      <c r="D6" s="18" t="b">
        <f>EXACT(G5,"no-decrease")</f>
        <v>1</v>
      </c>
      <c r="E6" s="18" t="s">
        <v>393</v>
      </c>
      <c r="F6" s="3" t="s">
        <v>14</v>
      </c>
      <c r="G6" s="18"/>
      <c r="H6" s="18"/>
      <c r="I6" s="18"/>
    </row>
    <row r="7" spans="1:9" ht="165" outlineLevel="1" collapsed="1">
      <c r="A7" s="20" t="s">
        <v>14</v>
      </c>
      <c r="B7" s="20" t="s">
        <v>44</v>
      </c>
      <c r="C7" s="20"/>
      <c r="D7" s="20"/>
      <c r="E7" s="20" t="s">
        <v>394</v>
      </c>
      <c r="F7" s="4" t="s">
        <v>14</v>
      </c>
      <c r="G7" s="20"/>
      <c r="H7" s="20"/>
      <c r="I7" s="20"/>
    </row>
    <row r="8" spans="1:9" ht="60" outlineLevel="1" collapsed="1">
      <c r="A8" s="20" t="s">
        <v>11</v>
      </c>
      <c r="B8" s="20" t="s">
        <v>17</v>
      </c>
      <c r="C8" s="27" t="s">
        <v>395</v>
      </c>
      <c r="D8" s="20"/>
      <c r="E8" s="20" t="s">
        <v>396</v>
      </c>
      <c r="F8" s="4" t="s">
        <v>14</v>
      </c>
      <c r="G8" s="20"/>
      <c r="H8" s="20"/>
      <c r="I8" s="20"/>
    </row>
    <row r="9" spans="1:9">
      <c r="A9" s="18" t="s">
        <v>14</v>
      </c>
      <c r="B9" s="10" t="s">
        <v>397</v>
      </c>
      <c r="C9" s="18" t="s">
        <v>47</v>
      </c>
      <c r="D9" s="18" t="b">
        <f>EXACT(G5,"Estimation by proportionate crown cover")</f>
        <v>0</v>
      </c>
      <c r="E9" s="18" t="s">
        <v>398</v>
      </c>
      <c r="F9" s="18" t="s">
        <v>14</v>
      </c>
      <c r="G9" s="18" t="s">
        <v>47</v>
      </c>
      <c r="H9" s="18" t="s">
        <v>47</v>
      </c>
      <c r="I9" s="18" t="s">
        <v>47</v>
      </c>
    </row>
    <row r="10" spans="1:9" ht="30" outlineLevel="1" collapsed="1">
      <c r="A10" s="20" t="s">
        <v>14</v>
      </c>
      <c r="B10" s="20" t="s">
        <v>82</v>
      </c>
      <c r="C10" s="20" t="s">
        <v>47</v>
      </c>
      <c r="D10" s="20" t="s">
        <v>48</v>
      </c>
      <c r="E10" s="20" t="s">
        <v>400</v>
      </c>
      <c r="F10" s="20" t="s">
        <v>14</v>
      </c>
      <c r="G10" s="20">
        <f>SUM(G12)</f>
        <v>7.333333333333333</v>
      </c>
      <c r="H10" s="20" t="s">
        <v>47</v>
      </c>
      <c r="I10" s="20" t="s">
        <v>47</v>
      </c>
    </row>
    <row r="11" spans="1:9" outlineLevel="1">
      <c r="A11" s="22" t="s">
        <v>11</v>
      </c>
      <c r="B11" s="23" t="s">
        <v>402</v>
      </c>
      <c r="C11" s="22" t="s">
        <v>47</v>
      </c>
      <c r="D11" s="22"/>
      <c r="E11" s="22" t="s">
        <v>403</v>
      </c>
      <c r="F11" s="22" t="s">
        <v>11</v>
      </c>
      <c r="G11" s="22" t="s">
        <v>47</v>
      </c>
      <c r="H11" s="22" t="s">
        <v>47</v>
      </c>
      <c r="I11" s="22" t="s">
        <v>47</v>
      </c>
    </row>
    <row r="12" spans="1:9" ht="30" outlineLevel="2" collapsed="1">
      <c r="A12" s="20" t="s">
        <v>14</v>
      </c>
      <c r="B12" s="20" t="s">
        <v>82</v>
      </c>
      <c r="C12" s="20" t="s">
        <v>47</v>
      </c>
      <c r="D12" s="20" t="s">
        <v>399</v>
      </c>
      <c r="E12" s="20" t="s">
        <v>404</v>
      </c>
      <c r="F12" s="20" t="s">
        <v>14</v>
      </c>
      <c r="G12" s="20">
        <f>44/12*G13*G14*(1+G15)*G16*G17</f>
        <v>7.333333333333333</v>
      </c>
      <c r="H12" s="20" t="s">
        <v>47</v>
      </c>
      <c r="I12" s="20" t="s">
        <v>47</v>
      </c>
    </row>
    <row r="13" spans="1:9" outlineLevel="2" collapsed="1">
      <c r="A13" s="20" t="s">
        <v>11</v>
      </c>
      <c r="B13" s="20" t="s">
        <v>82</v>
      </c>
      <c r="C13" s="20" t="s">
        <v>47</v>
      </c>
      <c r="D13" s="20"/>
      <c r="E13" s="20" t="s">
        <v>405</v>
      </c>
      <c r="F13" s="20" t="s">
        <v>14</v>
      </c>
      <c r="G13" s="20">
        <v>1</v>
      </c>
      <c r="H13" s="20" t="s">
        <v>47</v>
      </c>
      <c r="I13" s="20" t="s">
        <v>47</v>
      </c>
    </row>
    <row r="14" spans="1:9" ht="30" outlineLevel="2" collapsed="1">
      <c r="A14" s="20" t="s">
        <v>11</v>
      </c>
      <c r="B14" s="20" t="s">
        <v>82</v>
      </c>
      <c r="C14" s="20" t="s">
        <v>47</v>
      </c>
      <c r="D14" s="20"/>
      <c r="E14" s="20" t="s">
        <v>406</v>
      </c>
      <c r="F14" s="20" t="s">
        <v>14</v>
      </c>
      <c r="G14" s="20">
        <v>1</v>
      </c>
      <c r="H14" s="20" t="s">
        <v>47</v>
      </c>
      <c r="I14" s="20" t="s">
        <v>47</v>
      </c>
    </row>
    <row r="15" spans="1:9" outlineLevel="2" collapsed="1">
      <c r="A15" s="20" t="s">
        <v>11</v>
      </c>
      <c r="B15" s="20" t="s">
        <v>82</v>
      </c>
      <c r="C15" s="20" t="s">
        <v>47</v>
      </c>
      <c r="D15" s="20"/>
      <c r="E15" s="20" t="s">
        <v>407</v>
      </c>
      <c r="F15" s="20" t="s">
        <v>14</v>
      </c>
      <c r="G15" s="20">
        <v>1</v>
      </c>
      <c r="H15" s="20" t="s">
        <v>47</v>
      </c>
      <c r="I15" s="20" t="s">
        <v>47</v>
      </c>
    </row>
    <row r="16" spans="1:9" ht="30" outlineLevel="2" collapsed="1">
      <c r="A16" s="20" t="s">
        <v>11</v>
      </c>
      <c r="B16" s="20" t="s">
        <v>82</v>
      </c>
      <c r="C16" s="20" t="s">
        <v>47</v>
      </c>
      <c r="D16" s="20"/>
      <c r="E16" s="20" t="s">
        <v>408</v>
      </c>
      <c r="F16" s="20" t="s">
        <v>14</v>
      </c>
      <c r="G16" s="20">
        <v>1</v>
      </c>
      <c r="H16" s="20" t="s">
        <v>47</v>
      </c>
      <c r="I16" s="20" t="s">
        <v>47</v>
      </c>
    </row>
    <row r="17" spans="1:9" ht="30" outlineLevel="2" collapsed="1">
      <c r="A17" s="20" t="s">
        <v>11</v>
      </c>
      <c r="B17" s="20" t="s">
        <v>82</v>
      </c>
      <c r="C17" s="20" t="s">
        <v>47</v>
      </c>
      <c r="D17" s="20"/>
      <c r="E17" s="20" t="s">
        <v>409</v>
      </c>
      <c r="F17" s="20" t="s">
        <v>14</v>
      </c>
      <c r="G17" s="20">
        <v>1</v>
      </c>
      <c r="H17" s="20" t="s">
        <v>47</v>
      </c>
      <c r="I17" s="20" t="s">
        <v>47</v>
      </c>
    </row>
    <row r="18" spans="1:9">
      <c r="A18" s="18" t="s">
        <v>14</v>
      </c>
      <c r="B18" s="10" t="s">
        <v>410</v>
      </c>
      <c r="C18" s="18" t="s">
        <v>47</v>
      </c>
      <c r="D18" s="18" t="b">
        <f>EXACT(G5,"Direct estimation of change by re-measurement of sample plots")</f>
        <v>0</v>
      </c>
      <c r="E18" s="3" t="s">
        <v>411</v>
      </c>
      <c r="F18" s="18" t="s">
        <v>14</v>
      </c>
      <c r="G18" s="18" t="s">
        <v>47</v>
      </c>
      <c r="H18" s="18" t="s">
        <v>47</v>
      </c>
      <c r="I18" s="18" t="s">
        <v>47</v>
      </c>
    </row>
    <row r="19" spans="1:9" outlineLevel="1" collapsed="1">
      <c r="A19" s="20" t="s">
        <v>14</v>
      </c>
      <c r="B19" s="20" t="s">
        <v>82</v>
      </c>
      <c r="C19" s="20" t="s">
        <v>47</v>
      </c>
      <c r="D19" s="20" t="s">
        <v>399</v>
      </c>
      <c r="E19" s="20" t="s">
        <v>412</v>
      </c>
      <c r="F19" s="20" t="s">
        <v>14</v>
      </c>
      <c r="G19" s="20">
        <f>44/12*G20*G21</f>
        <v>3.6666666666666665</v>
      </c>
      <c r="H19" s="20" t="s">
        <v>47</v>
      </c>
      <c r="I19" s="20" t="s">
        <v>47</v>
      </c>
    </row>
    <row r="20" spans="1:9" outlineLevel="1" collapsed="1">
      <c r="A20" s="20" t="s">
        <v>11</v>
      </c>
      <c r="B20" s="20" t="s">
        <v>82</v>
      </c>
      <c r="C20" s="20" t="s">
        <v>47</v>
      </c>
      <c r="D20" s="20"/>
      <c r="E20" s="20" t="s">
        <v>405</v>
      </c>
      <c r="F20" s="20" t="s">
        <v>14</v>
      </c>
      <c r="G20" s="20">
        <v>1</v>
      </c>
      <c r="H20" s="20" t="s">
        <v>47</v>
      </c>
      <c r="I20" s="20" t="s">
        <v>47</v>
      </c>
    </row>
    <row r="21" spans="1:9" ht="30" outlineLevel="1" collapsed="1">
      <c r="A21" s="20" t="s">
        <v>14</v>
      </c>
      <c r="B21" s="20" t="s">
        <v>82</v>
      </c>
      <c r="C21" s="20" t="s">
        <v>47</v>
      </c>
      <c r="D21" s="20" t="s">
        <v>399</v>
      </c>
      <c r="E21" s="20" t="s">
        <v>413</v>
      </c>
      <c r="F21" s="20" t="s">
        <v>14</v>
      </c>
      <c r="G21" s="20">
        <f>G23*G22</f>
        <v>1</v>
      </c>
      <c r="H21" s="20" t="s">
        <v>47</v>
      </c>
      <c r="I21" s="20" t="s">
        <v>47</v>
      </c>
    </row>
    <row r="22" spans="1:9" ht="30" outlineLevel="1" collapsed="1">
      <c r="A22" s="20" t="s">
        <v>14</v>
      </c>
      <c r="B22" s="20" t="s">
        <v>82</v>
      </c>
      <c r="C22" s="20" t="s">
        <v>47</v>
      </c>
      <c r="D22" s="20" t="s">
        <v>399</v>
      </c>
      <c r="E22" s="20" t="s">
        <v>414</v>
      </c>
      <c r="F22" s="20" t="s">
        <v>14</v>
      </c>
      <c r="G22" s="20">
        <f>SUM((G28*G27))</f>
        <v>1</v>
      </c>
      <c r="H22" s="20" t="s">
        <v>47</v>
      </c>
      <c r="I22" s="20" t="s">
        <v>47</v>
      </c>
    </row>
    <row r="23" spans="1:9" outlineLevel="1" collapsed="1">
      <c r="A23" s="20" t="s">
        <v>11</v>
      </c>
      <c r="B23" s="20" t="s">
        <v>82</v>
      </c>
      <c r="C23" s="20" t="s">
        <v>47</v>
      </c>
      <c r="D23" s="20"/>
      <c r="E23" s="20" t="s">
        <v>415</v>
      </c>
      <c r="F23" s="20" t="s">
        <v>14</v>
      </c>
      <c r="G23" s="20">
        <v>1</v>
      </c>
      <c r="H23" s="20" t="s">
        <v>47</v>
      </c>
      <c r="I23" s="20" t="s">
        <v>47</v>
      </c>
    </row>
    <row r="24" spans="1:9" outlineLevel="1" collapsed="1">
      <c r="A24" s="20" t="s">
        <v>11</v>
      </c>
      <c r="B24" s="20" t="s">
        <v>82</v>
      </c>
      <c r="C24" s="20" t="s">
        <v>47</v>
      </c>
      <c r="D24" s="20"/>
      <c r="E24" s="20" t="s">
        <v>416</v>
      </c>
      <c r="F24" s="20" t="s">
        <v>14</v>
      </c>
      <c r="G24" s="20">
        <v>1</v>
      </c>
      <c r="H24" s="20" t="s">
        <v>47</v>
      </c>
      <c r="I24" s="20" t="s">
        <v>47</v>
      </c>
    </row>
    <row r="25" spans="1:9" outlineLevel="1" collapsed="1">
      <c r="A25" s="20" t="s">
        <v>11</v>
      </c>
      <c r="B25" s="20" t="s">
        <v>82</v>
      </c>
      <c r="C25" s="20" t="s">
        <v>47</v>
      </c>
      <c r="D25" s="20"/>
      <c r="E25" s="20" t="s">
        <v>417</v>
      </c>
      <c r="F25" s="20" t="s">
        <v>14</v>
      </c>
      <c r="G25" s="20">
        <v>1</v>
      </c>
      <c r="H25" s="20" t="s">
        <v>47</v>
      </c>
      <c r="I25" s="20" t="s">
        <v>47</v>
      </c>
    </row>
    <row r="26" spans="1:9" ht="30" outlineLevel="1">
      <c r="A26" s="22" t="s">
        <v>11</v>
      </c>
      <c r="B26" s="23" t="s">
        <v>418</v>
      </c>
      <c r="C26" s="22" t="s">
        <v>47</v>
      </c>
      <c r="D26" s="22"/>
      <c r="E26" s="22" t="s">
        <v>419</v>
      </c>
      <c r="F26" s="22" t="s">
        <v>11</v>
      </c>
      <c r="G26" s="22" t="s">
        <v>47</v>
      </c>
      <c r="H26" s="22" t="s">
        <v>47</v>
      </c>
      <c r="I26" s="22" t="s">
        <v>47</v>
      </c>
    </row>
    <row r="27" spans="1:9" ht="30" outlineLevel="2" collapsed="1">
      <c r="A27" s="20" t="s">
        <v>14</v>
      </c>
      <c r="B27" s="20" t="s">
        <v>82</v>
      </c>
      <c r="C27" s="20" t="s">
        <v>47</v>
      </c>
      <c r="D27" s="20" t="s">
        <v>399</v>
      </c>
      <c r="E27" s="20" t="s">
        <v>420</v>
      </c>
      <c r="F27" s="20" t="s">
        <v>14</v>
      </c>
      <c r="G27" s="20">
        <f>(SUM(G32))/G30</f>
        <v>1</v>
      </c>
      <c r="H27" s="20" t="s">
        <v>47</v>
      </c>
      <c r="I27" s="20" t="s">
        <v>47</v>
      </c>
    </row>
    <row r="28" spans="1:9" ht="30" outlineLevel="2" collapsed="1">
      <c r="A28" s="20" t="s">
        <v>11</v>
      </c>
      <c r="B28" s="20" t="s">
        <v>82</v>
      </c>
      <c r="C28" s="20" t="s">
        <v>47</v>
      </c>
      <c r="D28" s="20"/>
      <c r="E28" s="20" t="s">
        <v>421</v>
      </c>
      <c r="F28" s="20" t="s">
        <v>14</v>
      </c>
      <c r="G28" s="20">
        <v>1</v>
      </c>
      <c r="H28" s="20" t="s">
        <v>47</v>
      </c>
      <c r="I28" s="20" t="s">
        <v>47</v>
      </c>
    </row>
    <row r="29" spans="1:9" ht="30" outlineLevel="2" collapsed="1">
      <c r="A29" s="20" t="s">
        <v>11</v>
      </c>
      <c r="B29" s="20" t="s">
        <v>82</v>
      </c>
      <c r="C29" s="20" t="s">
        <v>47</v>
      </c>
      <c r="D29" s="20"/>
      <c r="E29" s="20" t="s">
        <v>422</v>
      </c>
      <c r="F29" s="20" t="s">
        <v>14</v>
      </c>
      <c r="G29" s="20">
        <v>1</v>
      </c>
      <c r="H29" s="20" t="s">
        <v>47</v>
      </c>
      <c r="I29" s="20" t="s">
        <v>47</v>
      </c>
    </row>
    <row r="30" spans="1:9" ht="30" outlineLevel="2" collapsed="1">
      <c r="A30" s="20" t="s">
        <v>11</v>
      </c>
      <c r="B30" s="20" t="s">
        <v>82</v>
      </c>
      <c r="C30" s="20" t="s">
        <v>47</v>
      </c>
      <c r="D30" s="20"/>
      <c r="E30" s="20" t="s">
        <v>423</v>
      </c>
      <c r="F30" s="20" t="s">
        <v>14</v>
      </c>
      <c r="G30" s="20">
        <v>1</v>
      </c>
      <c r="H30" s="20" t="s">
        <v>47</v>
      </c>
      <c r="I30" s="20" t="s">
        <v>47</v>
      </c>
    </row>
    <row r="31" spans="1:9" outlineLevel="2">
      <c r="A31" s="22" t="s">
        <v>11</v>
      </c>
      <c r="B31" s="23" t="s">
        <v>424</v>
      </c>
      <c r="C31" s="22"/>
      <c r="D31" s="22"/>
      <c r="E31" s="22" t="s">
        <v>425</v>
      </c>
      <c r="F31" s="22" t="s">
        <v>11</v>
      </c>
      <c r="G31" s="22"/>
      <c r="H31" s="22"/>
      <c r="I31" s="22"/>
    </row>
    <row r="32" spans="1:9" s="25" customFormat="1" ht="30" outlineLevel="3" collapsed="1">
      <c r="A32" s="24" t="s">
        <v>11</v>
      </c>
      <c r="B32" s="24" t="s">
        <v>82</v>
      </c>
      <c r="C32" s="24" t="s">
        <v>47</v>
      </c>
      <c r="D32" s="24"/>
      <c r="E32" s="24" t="s">
        <v>426</v>
      </c>
      <c r="F32" s="24" t="s">
        <v>14</v>
      </c>
      <c r="G32" s="24">
        <v>1</v>
      </c>
      <c r="H32" s="24" t="s">
        <v>47</v>
      </c>
      <c r="I32" s="24" t="s">
        <v>47</v>
      </c>
    </row>
    <row r="33" spans="1:9">
      <c r="A33" s="18" t="s">
        <v>14</v>
      </c>
      <c r="B33" s="10" t="s">
        <v>427</v>
      </c>
      <c r="C33" s="18" t="s">
        <v>47</v>
      </c>
      <c r="D33" s="18" t="b">
        <f>EXACT(G5,"Difference of two independent stock estimations")</f>
        <v>0</v>
      </c>
      <c r="E33" s="18" t="s">
        <v>428</v>
      </c>
      <c r="F33" s="18" t="s">
        <v>14</v>
      </c>
      <c r="G33" s="18" t="s">
        <v>47</v>
      </c>
      <c r="H33" s="18" t="s">
        <v>47</v>
      </c>
      <c r="I33" s="18" t="s">
        <v>47</v>
      </c>
    </row>
    <row r="34" spans="1:9" outlineLevel="1" collapsed="1">
      <c r="A34" s="20" t="s">
        <v>11</v>
      </c>
      <c r="B34" s="20" t="s">
        <v>82</v>
      </c>
      <c r="C34" s="20" t="s">
        <v>47</v>
      </c>
      <c r="D34" s="20"/>
      <c r="E34" s="20" t="s">
        <v>429</v>
      </c>
      <c r="F34" s="20" t="s">
        <v>14</v>
      </c>
      <c r="G34" s="20">
        <v>1</v>
      </c>
      <c r="H34" s="20" t="s">
        <v>47</v>
      </c>
      <c r="I34" s="20" t="s">
        <v>47</v>
      </c>
    </row>
    <row r="35" spans="1:9" outlineLevel="1" collapsed="1">
      <c r="A35" s="20" t="s">
        <v>11</v>
      </c>
      <c r="B35" s="20" t="s">
        <v>82</v>
      </c>
      <c r="C35" s="20" t="s">
        <v>47</v>
      </c>
      <c r="D35" s="20"/>
      <c r="E35" s="20" t="s">
        <v>430</v>
      </c>
      <c r="F35" s="20" t="s">
        <v>14</v>
      </c>
      <c r="G35" s="20">
        <v>1</v>
      </c>
      <c r="H35" s="20" t="s">
        <v>47</v>
      </c>
      <c r="I35" s="20" t="s">
        <v>47</v>
      </c>
    </row>
    <row r="36" spans="1:9" outlineLevel="1" collapsed="1">
      <c r="A36" s="20" t="s">
        <v>11</v>
      </c>
      <c r="B36" s="20" t="s">
        <v>82</v>
      </c>
      <c r="C36" s="20" t="s">
        <v>47</v>
      </c>
      <c r="D36" s="20"/>
      <c r="E36" s="20" t="s">
        <v>431</v>
      </c>
      <c r="F36" s="20" t="s">
        <v>14</v>
      </c>
      <c r="G36" s="20">
        <v>1</v>
      </c>
      <c r="H36" s="20" t="s">
        <v>47</v>
      </c>
      <c r="I36" s="20" t="s">
        <v>47</v>
      </c>
    </row>
    <row r="37" spans="1:9" outlineLevel="1" collapsed="1">
      <c r="A37" s="20" t="s">
        <v>11</v>
      </c>
      <c r="B37" s="20" t="s">
        <v>82</v>
      </c>
      <c r="C37" s="20" t="s">
        <v>47</v>
      </c>
      <c r="D37" s="20"/>
      <c r="E37" s="20" t="s">
        <v>432</v>
      </c>
      <c r="F37" s="20" t="s">
        <v>14</v>
      </c>
      <c r="G37" s="20">
        <v>1</v>
      </c>
      <c r="H37" s="20" t="s">
        <v>47</v>
      </c>
      <c r="I37" s="20" t="s">
        <v>47</v>
      </c>
    </row>
    <row r="38" spans="1:9" outlineLevel="1" collapsed="1">
      <c r="A38" s="20" t="s">
        <v>14</v>
      </c>
      <c r="B38" s="20" t="s">
        <v>82</v>
      </c>
      <c r="C38" s="20" t="s">
        <v>47</v>
      </c>
      <c r="D38" s="20" t="s">
        <v>399</v>
      </c>
      <c r="E38" s="24" t="s">
        <v>433</v>
      </c>
      <c r="F38" s="20" t="s">
        <v>14</v>
      </c>
      <c r="G38" s="20" t="e">
        <f>(SQRT((G36*G34)^2+(G37*G35)^2))/G39</f>
        <v>#DIV/0!</v>
      </c>
      <c r="H38" s="20" t="s">
        <v>47</v>
      </c>
      <c r="I38" s="20" t="s">
        <v>47</v>
      </c>
    </row>
    <row r="39" spans="1:9" outlineLevel="1" collapsed="1">
      <c r="A39" s="20" t="s">
        <v>14</v>
      </c>
      <c r="B39" s="20" t="s">
        <v>82</v>
      </c>
      <c r="C39" s="20" t="s">
        <v>47</v>
      </c>
      <c r="D39" s="20" t="s">
        <v>399</v>
      </c>
      <c r="E39" s="20" t="s">
        <v>434</v>
      </c>
      <c r="F39" s="20" t="s">
        <v>14</v>
      </c>
      <c r="G39" s="20">
        <f>G35-G34</f>
        <v>0</v>
      </c>
      <c r="H39" s="20" t="s">
        <v>47</v>
      </c>
      <c r="I39" s="20" t="s">
        <v>47</v>
      </c>
    </row>
    <row r="40" spans="1:9" outlineLevel="1" collapsed="1">
      <c r="A40" s="20" t="s">
        <v>11</v>
      </c>
      <c r="B40" s="20" t="s">
        <v>82</v>
      </c>
      <c r="C40" s="20" t="s">
        <v>47</v>
      </c>
      <c r="D40" s="20"/>
      <c r="E40" s="20" t="s">
        <v>435</v>
      </c>
      <c r="F40" s="20" t="s">
        <v>14</v>
      </c>
      <c r="G40" s="26">
        <v>7.0000000000000007E-2</v>
      </c>
      <c r="H40" s="20" t="s">
        <v>47</v>
      </c>
      <c r="I40" s="20" t="s">
        <v>47</v>
      </c>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xr:uid="{CE76A5A6-C5C7-4AD0-A961-7DD4E48DC4E1}">
      <formula1>"Yes,No"</formula1>
    </dataValidation>
  </dataValidations>
  <hyperlinks>
    <hyperlink ref="C5" location="#'Which method did you us (enum)'!A3" display="Which method did you us (enum)" xr:uid="{0C4F2907-E852-4A44-BBF4-67A8C1BA9437}"/>
    <hyperlink ref="B6" location="'Tree Demonstration of “no-d'!A1" display="'Tree Demonstration of “no-d" xr:uid="{8BFEDCDD-282E-4DB2-966C-596866C43C36}"/>
    <hyperlink ref="B9" location="'BSL-Estimation by proportionate'!A1" display="'BSL-Estimation by proportionate" xr:uid="{B2935CCE-D84B-4552-84E2-9771CC9F256A}"/>
    <hyperlink ref="B11" location="'Mean annual change in carbon st'!A1" display="'Mean annual change in carbon st" xr:uid="{60D62794-ADA5-41FF-9003-AED16A685EE2}"/>
    <hyperlink ref="B18" location="'Direct Estimating Changes via S'!A1" display="'Direct Estimating Changes via S" xr:uid="{1BD84D2F-02BD-4378-B7FC-42677D264431}"/>
    <hyperlink ref="B26" location="'Mean Change In Tree Biomass Per'!A1" display="'Mean Change In Tree Biomass Per" xr:uid="{13DCCB9C-C5FD-4013-8FC6-7191D553D3E5}"/>
    <hyperlink ref="B31" location="'Change in Tree Biomass per Hect'!A1" display="'Change in Tree Biomass per Hect" xr:uid="{DA510CD8-BCCC-43A1-8F20-D2EF173AFA5F}"/>
    <hyperlink ref="B33" location="'Difference of Two Independent S'!A1" display="'Difference of Two Independent S" xr:uid="{8CE670B9-2C55-425C-AF0D-38DB5E630EA7}"/>
    <hyperlink ref="C8" location="'If all three conditi tree(enum)'!A1" display="'If all three conditi tree(enum)" xr:uid="{FD247494-300A-4AEC-B278-35F2AC96980D}"/>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3">
        <x14:dataValidation type="list" allowBlank="1" xr:uid="{5EB382CD-6849-48A9-81EC-BB4D1CA61F50}">
          <x14:formula1>
            <xm:f>'Which method did you us (enum)'!$A$3:$A$6</xm:f>
          </x14:formula1>
          <xm:sqref>G5</xm:sqref>
        </x14:dataValidation>
        <x14:dataValidation type="list" allowBlank="1" xr:uid="{6DDB57C3-DF86-4094-9535-9918EE47E26F}">
          <x14:formula1>
            <xm:f>'Which method did you us (enum)'!C6:C9</xm:f>
          </x14:formula1>
          <xm:sqref>H8:I8</xm:sqref>
        </x14:dataValidation>
        <x14:dataValidation type="list" allowBlank="1" xr:uid="{4F6B2C03-C800-403F-A503-F66F8895A190}">
          <x14:formula1>
            <xm:f>'Which method did you us (enum)'!C4:C7</xm:f>
          </x14:formula1>
          <xm:sqref>H5:I7</xm:sqref>
        </x14:dataValidation>
      </x14:dataValidations>
    </ext>
  </extLst>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FD246-E949-4219-9153-90CB67C77EAC}">
  <sheetPr codeName="Sheet102">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759</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48</v>
      </c>
      <c r="E5" s="18" t="s">
        <v>400</v>
      </c>
      <c r="F5" s="18" t="s">
        <v>14</v>
      </c>
      <c r="G5" s="18">
        <f>SUM(G7)</f>
        <v>7.333333333333333</v>
      </c>
      <c r="H5" s="18" t="s">
        <v>47</v>
      </c>
      <c r="I5" s="18" t="s">
        <v>47</v>
      </c>
    </row>
    <row r="6" spans="1:9">
      <c r="A6" s="22" t="s">
        <v>11</v>
      </c>
      <c r="B6" s="23" t="s">
        <v>402</v>
      </c>
      <c r="C6" s="22" t="s">
        <v>47</v>
      </c>
      <c r="D6" s="22"/>
      <c r="E6" s="22" t="s">
        <v>403</v>
      </c>
      <c r="F6" s="22" t="s">
        <v>11</v>
      </c>
      <c r="G6" s="22" t="s">
        <v>47</v>
      </c>
      <c r="H6" s="22" t="s">
        <v>47</v>
      </c>
      <c r="I6" s="22" t="s">
        <v>47</v>
      </c>
    </row>
    <row r="7" spans="1:9" ht="30" outlineLevel="1" collapsed="1">
      <c r="A7" s="20" t="s">
        <v>14</v>
      </c>
      <c r="B7" s="20" t="s">
        <v>82</v>
      </c>
      <c r="C7" s="20" t="s">
        <v>47</v>
      </c>
      <c r="D7" s="20" t="s">
        <v>399</v>
      </c>
      <c r="E7" s="20" t="s">
        <v>404</v>
      </c>
      <c r="F7" s="20" t="s">
        <v>14</v>
      </c>
      <c r="G7" s="20">
        <f>44/12*G8*G9*(1+G10)*G11*G12</f>
        <v>7.333333333333333</v>
      </c>
      <c r="H7" s="20" t="s">
        <v>47</v>
      </c>
      <c r="I7" s="20" t="s">
        <v>47</v>
      </c>
    </row>
    <row r="8" spans="1:9" outlineLevel="1" collapsed="1">
      <c r="A8" s="20" t="s">
        <v>11</v>
      </c>
      <c r="B8" s="20" t="s">
        <v>82</v>
      </c>
      <c r="C8" s="20" t="s">
        <v>47</v>
      </c>
      <c r="D8" s="20"/>
      <c r="E8" s="20" t="s">
        <v>405</v>
      </c>
      <c r="F8" s="20" t="s">
        <v>14</v>
      </c>
      <c r="G8" s="20">
        <v>1</v>
      </c>
      <c r="H8" s="20" t="s">
        <v>47</v>
      </c>
      <c r="I8" s="20" t="s">
        <v>47</v>
      </c>
    </row>
    <row r="9" spans="1:9" ht="30" outlineLevel="1" collapsed="1">
      <c r="A9" s="20" t="s">
        <v>11</v>
      </c>
      <c r="B9" s="20" t="s">
        <v>82</v>
      </c>
      <c r="C9" s="20" t="s">
        <v>47</v>
      </c>
      <c r="D9" s="20"/>
      <c r="E9" s="20" t="s">
        <v>406</v>
      </c>
      <c r="F9" s="20" t="s">
        <v>14</v>
      </c>
      <c r="G9" s="20">
        <v>1</v>
      </c>
      <c r="H9" s="20" t="s">
        <v>47</v>
      </c>
      <c r="I9" s="20" t="s">
        <v>47</v>
      </c>
    </row>
    <row r="10" spans="1:9" outlineLevel="1" collapsed="1">
      <c r="A10" s="20" t="s">
        <v>11</v>
      </c>
      <c r="B10" s="20" t="s">
        <v>82</v>
      </c>
      <c r="C10" s="20" t="s">
        <v>47</v>
      </c>
      <c r="D10" s="20"/>
      <c r="E10" s="20" t="s">
        <v>407</v>
      </c>
      <c r="F10" s="20" t="s">
        <v>14</v>
      </c>
      <c r="G10" s="20">
        <v>1</v>
      </c>
      <c r="H10" s="20" t="s">
        <v>47</v>
      </c>
      <c r="I10" s="20" t="s">
        <v>47</v>
      </c>
    </row>
    <row r="11" spans="1:9" ht="30" outlineLevel="1" collapsed="1">
      <c r="A11" s="20" t="s">
        <v>11</v>
      </c>
      <c r="B11" s="20" t="s">
        <v>82</v>
      </c>
      <c r="C11" s="20" t="s">
        <v>47</v>
      </c>
      <c r="D11" s="20"/>
      <c r="E11" s="20" t="s">
        <v>408</v>
      </c>
      <c r="F11" s="20" t="s">
        <v>14</v>
      </c>
      <c r="G11" s="20">
        <v>1</v>
      </c>
      <c r="H11" s="20" t="s">
        <v>47</v>
      </c>
      <c r="I11" s="20" t="s">
        <v>47</v>
      </c>
    </row>
    <row r="12" spans="1:9" ht="30" outlineLevel="1" collapsed="1">
      <c r="A12" s="20" t="s">
        <v>11</v>
      </c>
      <c r="B12" s="20" t="s">
        <v>82</v>
      </c>
      <c r="C12" s="20" t="s">
        <v>47</v>
      </c>
      <c r="D12" s="20"/>
      <c r="E12" s="20" t="s">
        <v>409</v>
      </c>
      <c r="F12" s="20" t="s">
        <v>14</v>
      </c>
      <c r="G12" s="20">
        <v>1</v>
      </c>
      <c r="H12" s="20" t="s">
        <v>47</v>
      </c>
      <c r="I12" s="20"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6" location="'Mean annual change in carbon st'!A1" display="'Mean annual change in carbon st" xr:uid="{529D004E-1ED3-4A0D-9374-7486210E4CD1}"/>
  </hyperlinks>
  <pageMargins left="0.7" right="0.7" top="0.75" bottom="0.75" header="0.3" footer="0.3"/>
  <pageSetup orientation="portrait" horizontalDpi="4294967295" verticalDpi="4294967295"/>
  <legacy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CA79-DCAC-4EE5-B834-4E7A76576533}">
  <sheetPr codeName="Sheet103">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403</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399</v>
      </c>
      <c r="E5" s="18" t="s">
        <v>760</v>
      </c>
      <c r="F5" s="18" t="s">
        <v>14</v>
      </c>
      <c r="G5" s="18">
        <f>44/12*G6*G7*(1+G8)*G9*G10</f>
        <v>7.333333333333333</v>
      </c>
      <c r="H5" s="18" t="s">
        <v>47</v>
      </c>
      <c r="I5" s="18" t="s">
        <v>47</v>
      </c>
    </row>
    <row r="6" spans="1:9" ht="29.25" customHeight="1">
      <c r="A6" s="18" t="s">
        <v>11</v>
      </c>
      <c r="B6" s="18" t="s">
        <v>82</v>
      </c>
      <c r="C6" s="19" t="s">
        <v>47</v>
      </c>
      <c r="D6" s="18"/>
      <c r="E6" s="18" t="s">
        <v>405</v>
      </c>
      <c r="F6" s="18" t="s">
        <v>14</v>
      </c>
      <c r="G6" s="18">
        <v>1</v>
      </c>
      <c r="H6" s="18" t="s">
        <v>47</v>
      </c>
      <c r="I6" s="18" t="s">
        <v>47</v>
      </c>
    </row>
    <row r="7" spans="1:9" ht="29.25" customHeight="1">
      <c r="A7" s="18" t="s">
        <v>11</v>
      </c>
      <c r="B7" s="18" t="s">
        <v>82</v>
      </c>
      <c r="C7" s="19" t="s">
        <v>47</v>
      </c>
      <c r="D7" s="18"/>
      <c r="E7" s="18" t="s">
        <v>406</v>
      </c>
      <c r="F7" s="18" t="s">
        <v>14</v>
      </c>
      <c r="G7" s="18">
        <v>1</v>
      </c>
      <c r="H7" s="18" t="s">
        <v>47</v>
      </c>
      <c r="I7" s="18" t="s">
        <v>47</v>
      </c>
    </row>
    <row r="8" spans="1:9" ht="29.25" customHeight="1">
      <c r="A8" s="18" t="s">
        <v>11</v>
      </c>
      <c r="B8" s="18" t="s">
        <v>82</v>
      </c>
      <c r="C8" s="19" t="s">
        <v>47</v>
      </c>
      <c r="D8" s="18"/>
      <c r="E8" s="18" t="s">
        <v>407</v>
      </c>
      <c r="F8" s="3" t="s">
        <v>14</v>
      </c>
      <c r="G8" s="18">
        <v>1</v>
      </c>
      <c r="H8" s="18" t="s">
        <v>47</v>
      </c>
      <c r="I8" s="18" t="s">
        <v>47</v>
      </c>
    </row>
    <row r="9" spans="1:9" ht="29.25" customHeight="1">
      <c r="A9" s="18" t="s">
        <v>11</v>
      </c>
      <c r="B9" s="18" t="s">
        <v>82</v>
      </c>
      <c r="C9" s="19" t="s">
        <v>47</v>
      </c>
      <c r="D9" s="18"/>
      <c r="E9" s="18" t="s">
        <v>408</v>
      </c>
      <c r="F9" s="18" t="s">
        <v>14</v>
      </c>
      <c r="G9" s="18">
        <v>1</v>
      </c>
      <c r="H9" s="18" t="s">
        <v>47</v>
      </c>
      <c r="I9" s="18" t="s">
        <v>47</v>
      </c>
    </row>
    <row r="10" spans="1:9" ht="29.25" customHeight="1">
      <c r="A10" s="18" t="s">
        <v>11</v>
      </c>
      <c r="B10" s="18" t="s">
        <v>82</v>
      </c>
      <c r="C10" s="19" t="s">
        <v>47</v>
      </c>
      <c r="D10" s="18"/>
      <c r="E10" s="18" t="s">
        <v>409</v>
      </c>
      <c r="F10" s="18" t="s">
        <v>14</v>
      </c>
      <c r="G10" s="18">
        <v>1</v>
      </c>
      <c r="H10" s="18" t="s">
        <v>47</v>
      </c>
      <c r="I10"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91E1-AB71-4077-8E2A-4915BB7B715A}">
  <sheetPr codeName="Sheet104">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761</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399</v>
      </c>
      <c r="E5" s="18" t="s">
        <v>437</v>
      </c>
      <c r="F5" s="18" t="s">
        <v>14</v>
      </c>
      <c r="G5" s="18">
        <f>(G6-G7/G8)*1</f>
        <v>1</v>
      </c>
      <c r="H5" s="18" t="s">
        <v>47</v>
      </c>
      <c r="I5" s="18" t="s">
        <v>47</v>
      </c>
    </row>
    <row r="6" spans="1:9" ht="29.25" customHeight="1">
      <c r="A6" s="18" t="s">
        <v>11</v>
      </c>
      <c r="B6" s="18" t="s">
        <v>82</v>
      </c>
      <c r="C6" s="19" t="s">
        <v>47</v>
      </c>
      <c r="D6" s="18"/>
      <c r="E6" s="18" t="s">
        <v>438</v>
      </c>
      <c r="F6" s="18" t="s">
        <v>14</v>
      </c>
      <c r="G6" s="18">
        <v>1</v>
      </c>
      <c r="H6" s="18" t="s">
        <v>47</v>
      </c>
      <c r="I6" s="18" t="s">
        <v>47</v>
      </c>
    </row>
    <row r="7" spans="1:9" ht="29.25" customHeight="1">
      <c r="A7" s="18" t="s">
        <v>11</v>
      </c>
      <c r="B7" s="18" t="s">
        <v>82</v>
      </c>
      <c r="C7" s="19" t="s">
        <v>47</v>
      </c>
      <c r="D7" s="18"/>
      <c r="E7" s="18" t="s">
        <v>439</v>
      </c>
      <c r="F7" s="18" t="s">
        <v>14</v>
      </c>
      <c r="G7" s="18"/>
      <c r="H7" s="18" t="s">
        <v>47</v>
      </c>
      <c r="I7" s="18" t="s">
        <v>47</v>
      </c>
    </row>
    <row r="8" spans="1:9" ht="29.25" customHeight="1">
      <c r="A8" s="18" t="s">
        <v>11</v>
      </c>
      <c r="B8" s="18" t="s">
        <v>82</v>
      </c>
      <c r="C8" s="19" t="s">
        <v>47</v>
      </c>
      <c r="D8" s="18"/>
      <c r="E8" s="18" t="s">
        <v>440</v>
      </c>
      <c r="F8" s="18" t="s">
        <v>14</v>
      </c>
      <c r="G8" s="18">
        <v>1</v>
      </c>
      <c r="H8" s="18" t="s">
        <v>47</v>
      </c>
      <c r="I8"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6193-46B8-4806-ABB1-C7816C6796AA}">
  <sheetPr codeName="Sheet105">
    <tabColor rgb="FF7030A0"/>
    <outlinePr summaryBelow="0" summaryRight="0"/>
  </sheetPr>
  <dimension ref="A1:I262"/>
  <sheetViews>
    <sheetView topLeftCell="A31" workbookViewId="0">
      <selection activeCell="C241" sqref="C241"/>
    </sheetView>
  </sheetViews>
  <sheetFormatPr defaultRowHeight="15" outlineLevelRow="4"/>
  <cols>
    <col min="1" max="1" width="20" customWidth="1"/>
    <col min="2" max="2" width="40" customWidth="1"/>
    <col min="3" max="4" width="20" customWidth="1"/>
    <col min="5" max="5" width="70" customWidth="1"/>
    <col min="6" max="6" width="30" customWidth="1"/>
    <col min="7" max="9" width="50" customWidth="1"/>
  </cols>
  <sheetData>
    <row r="1" spans="1:9" ht="18.75">
      <c r="A1" s="35" t="s">
        <v>762</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9" t="s">
        <v>443</v>
      </c>
      <c r="D5" s="18"/>
      <c r="E5" s="18" t="s">
        <v>444</v>
      </c>
      <c r="F5" s="18" t="s">
        <v>14</v>
      </c>
      <c r="G5" s="18" t="s">
        <v>445</v>
      </c>
      <c r="H5" s="18" t="s">
        <v>47</v>
      </c>
      <c r="I5" s="18" t="s">
        <v>47</v>
      </c>
    </row>
    <row r="6" spans="1:9">
      <c r="A6" s="22" t="s">
        <v>14</v>
      </c>
      <c r="B6" s="23" t="s">
        <v>446</v>
      </c>
      <c r="C6" s="22" t="s">
        <v>47</v>
      </c>
      <c r="D6" s="22" t="b">
        <f>EXACT(G5,"Updating the previous stock by independent measurement of change")</f>
        <v>0</v>
      </c>
      <c r="E6" s="22" t="s">
        <v>447</v>
      </c>
      <c r="F6" s="22" t="s">
        <v>14</v>
      </c>
      <c r="G6" s="22" t="s">
        <v>47</v>
      </c>
      <c r="H6" s="22" t="s">
        <v>47</v>
      </c>
      <c r="I6" s="22" t="s">
        <v>47</v>
      </c>
    </row>
    <row r="7" spans="1:9" outlineLevel="1" collapsed="1">
      <c r="A7" s="20" t="s">
        <v>14</v>
      </c>
      <c r="B7" s="20" t="s">
        <v>82</v>
      </c>
      <c r="C7" s="20" t="s">
        <v>47</v>
      </c>
      <c r="D7" s="20" t="s">
        <v>399</v>
      </c>
      <c r="E7" s="20" t="s">
        <v>448</v>
      </c>
      <c r="F7" s="20" t="s">
        <v>14</v>
      </c>
      <c r="G7" s="20" t="e">
        <f>E8+E9</f>
        <v>#VALUE!</v>
      </c>
      <c r="H7" s="20" t="s">
        <v>47</v>
      </c>
      <c r="I7" s="20" t="s">
        <v>47</v>
      </c>
    </row>
    <row r="8" spans="1:9" ht="30" outlineLevel="1" collapsed="1">
      <c r="A8" s="20" t="s">
        <v>11</v>
      </c>
      <c r="B8" s="20" t="s">
        <v>82</v>
      </c>
      <c r="C8" s="20" t="s">
        <v>47</v>
      </c>
      <c r="D8" s="20"/>
      <c r="E8" s="20" t="s">
        <v>449</v>
      </c>
      <c r="F8" s="20" t="s">
        <v>14</v>
      </c>
      <c r="G8" s="20">
        <v>1</v>
      </c>
      <c r="H8" s="20" t="s">
        <v>47</v>
      </c>
      <c r="I8" s="20" t="s">
        <v>47</v>
      </c>
    </row>
    <row r="9" spans="1:9" ht="30" outlineLevel="1" collapsed="1">
      <c r="A9" s="20" t="s">
        <v>11</v>
      </c>
      <c r="B9" s="20" t="s">
        <v>82</v>
      </c>
      <c r="C9" s="20" t="s">
        <v>47</v>
      </c>
      <c r="D9" s="20"/>
      <c r="E9" s="20" t="s">
        <v>450</v>
      </c>
      <c r="F9" s="20" t="s">
        <v>14</v>
      </c>
      <c r="G9" s="20">
        <v>1</v>
      </c>
      <c r="H9" s="20" t="s">
        <v>47</v>
      </c>
      <c r="I9" s="20" t="s">
        <v>47</v>
      </c>
    </row>
    <row r="10" spans="1:9" outlineLevel="1" collapsed="1">
      <c r="A10" s="20" t="s">
        <v>11</v>
      </c>
      <c r="B10" s="20" t="s">
        <v>82</v>
      </c>
      <c r="C10" s="20" t="s">
        <v>47</v>
      </c>
      <c r="D10" s="20"/>
      <c r="E10" s="20" t="s">
        <v>451</v>
      </c>
      <c r="F10" s="20" t="s">
        <v>14</v>
      </c>
      <c r="G10" s="20"/>
      <c r="H10" s="20" t="s">
        <v>47</v>
      </c>
      <c r="I10" s="20" t="s">
        <v>47</v>
      </c>
    </row>
    <row r="11" spans="1:9" ht="30" outlineLevel="1" collapsed="1">
      <c r="A11" s="20" t="s">
        <v>14</v>
      </c>
      <c r="B11" s="20" t="s">
        <v>82</v>
      </c>
      <c r="C11" s="20" t="s">
        <v>47</v>
      </c>
      <c r="D11" s="20" t="s">
        <v>399</v>
      </c>
      <c r="E11" s="20" t="s">
        <v>452</v>
      </c>
      <c r="F11" s="20" t="s">
        <v>14</v>
      </c>
      <c r="G11" s="20" t="e">
        <f>(SQRT((G12*G8)^2+(G10*G9)^2))/G7</f>
        <v>#VALUE!</v>
      </c>
      <c r="H11" s="20" t="s">
        <v>47</v>
      </c>
      <c r="I11" s="20" t="s">
        <v>47</v>
      </c>
    </row>
    <row r="12" spans="1:9" ht="30" outlineLevel="1" collapsed="1">
      <c r="A12" s="20" t="s">
        <v>11</v>
      </c>
      <c r="B12" s="20" t="s">
        <v>82</v>
      </c>
      <c r="C12" s="20" t="s">
        <v>47</v>
      </c>
      <c r="D12" s="20"/>
      <c r="E12" s="20" t="s">
        <v>453</v>
      </c>
      <c r="F12" s="20" t="s">
        <v>14</v>
      </c>
      <c r="G12" s="20">
        <v>1</v>
      </c>
      <c r="H12" s="20" t="s">
        <v>47</v>
      </c>
      <c r="I12" s="20" t="s">
        <v>47</v>
      </c>
    </row>
    <row r="13" spans="1:9" ht="45">
      <c r="A13" s="22" t="s">
        <v>14</v>
      </c>
      <c r="B13" s="23" t="s">
        <v>763</v>
      </c>
      <c r="C13" s="22"/>
      <c r="D13" s="22" t="b">
        <f>EXACT(G5,"Estimation by modelling of tree growth and stand development")</f>
        <v>1</v>
      </c>
      <c r="E13" s="28" t="s">
        <v>763</v>
      </c>
      <c r="F13" s="22" t="s">
        <v>14</v>
      </c>
      <c r="G13" s="22"/>
      <c r="H13" s="22"/>
      <c r="I13" s="22"/>
    </row>
    <row r="14" spans="1:9" ht="60" outlineLevel="1">
      <c r="A14" s="20" t="s">
        <v>14</v>
      </c>
      <c r="B14" s="20" t="s">
        <v>44</v>
      </c>
      <c r="C14" s="20"/>
      <c r="D14" s="20"/>
      <c r="E14" s="20" t="s">
        <v>455</v>
      </c>
      <c r="F14" s="20" t="s">
        <v>14</v>
      </c>
      <c r="G14" s="20"/>
      <c r="H14" s="20"/>
      <c r="I14" s="20"/>
    </row>
    <row r="15" spans="1:9" ht="75" outlineLevel="1">
      <c r="A15" s="20" t="s">
        <v>14</v>
      </c>
      <c r="B15" s="20" t="s">
        <v>44</v>
      </c>
      <c r="C15" s="20"/>
      <c r="D15" s="20"/>
      <c r="E15" s="20" t="s">
        <v>456</v>
      </c>
      <c r="F15" s="20" t="s">
        <v>14</v>
      </c>
      <c r="G15" s="20"/>
      <c r="H15" s="20"/>
      <c r="I15" s="20"/>
    </row>
    <row r="16" spans="1:9" ht="60" outlineLevel="1">
      <c r="A16" s="20" t="s">
        <v>14</v>
      </c>
      <c r="B16" s="20" t="s">
        <v>44</v>
      </c>
      <c r="C16" s="20"/>
      <c r="D16" s="20"/>
      <c r="E16" s="20" t="s">
        <v>457</v>
      </c>
      <c r="F16" s="20" t="s">
        <v>14</v>
      </c>
      <c r="G16" s="20"/>
      <c r="H16" s="20"/>
      <c r="I16" s="20"/>
    </row>
    <row r="17" spans="1:9" ht="60" outlineLevel="1">
      <c r="A17" s="20" t="s">
        <v>14</v>
      </c>
      <c r="B17" s="20" t="s">
        <v>44</v>
      </c>
      <c r="C17" s="20"/>
      <c r="D17" s="20"/>
      <c r="E17" s="20" t="s">
        <v>458</v>
      </c>
      <c r="F17" s="20" t="s">
        <v>14</v>
      </c>
      <c r="G17" s="20"/>
      <c r="H17" s="20"/>
      <c r="I17" s="20"/>
    </row>
    <row r="18" spans="1:9" ht="135" outlineLevel="1">
      <c r="A18" s="20" t="s">
        <v>11</v>
      </c>
      <c r="B18" s="20" t="s">
        <v>17</v>
      </c>
      <c r="C18" s="27" t="s">
        <v>459</v>
      </c>
      <c r="D18" s="20"/>
      <c r="E18" s="20" t="s">
        <v>460</v>
      </c>
      <c r="F18" s="20" t="s">
        <v>14</v>
      </c>
      <c r="G18" s="20" t="s">
        <v>11</v>
      </c>
      <c r="H18" s="20"/>
      <c r="I18" s="20"/>
    </row>
    <row r="19" spans="1:9" ht="30" outlineLevel="1">
      <c r="A19" s="20" t="s">
        <v>14</v>
      </c>
      <c r="B19" s="20" t="s">
        <v>44</v>
      </c>
      <c r="C19" s="20"/>
      <c r="D19" s="20" t="b">
        <f>EXACT(G18,"No")</f>
        <v>0</v>
      </c>
      <c r="E19" s="20" t="s">
        <v>461</v>
      </c>
      <c r="F19" s="20" t="s">
        <v>14</v>
      </c>
      <c r="G19" s="20"/>
      <c r="H19" s="20"/>
      <c r="I19" s="20"/>
    </row>
    <row r="20" spans="1:9" outlineLevel="1">
      <c r="A20" s="22" t="s">
        <v>14</v>
      </c>
      <c r="B20" s="23" t="s">
        <v>462</v>
      </c>
      <c r="C20" s="22"/>
      <c r="D20" s="22" t="b">
        <f>EXACT(G18,"Yes")</f>
        <v>1</v>
      </c>
      <c r="E20" s="22" t="s">
        <v>463</v>
      </c>
      <c r="F20" s="22" t="s">
        <v>14</v>
      </c>
      <c r="G20" s="22"/>
      <c r="H20" s="22"/>
      <c r="I20" s="22"/>
    </row>
    <row r="21" spans="1:9" outlineLevel="2">
      <c r="A21" s="20" t="s">
        <v>11</v>
      </c>
      <c r="B21" s="20" t="s">
        <v>82</v>
      </c>
      <c r="C21" s="20"/>
      <c r="D21" s="20"/>
      <c r="E21" s="20" t="s">
        <v>465</v>
      </c>
      <c r="F21" s="20" t="s">
        <v>14</v>
      </c>
      <c r="G21" s="20"/>
      <c r="H21" s="20"/>
      <c r="I21" s="20"/>
    </row>
    <row r="22" spans="1:9" outlineLevel="2">
      <c r="A22" s="20" t="s">
        <v>11</v>
      </c>
      <c r="B22" s="20" t="s">
        <v>82</v>
      </c>
      <c r="C22" s="20"/>
      <c r="D22" s="20"/>
      <c r="E22" s="20" t="s">
        <v>466</v>
      </c>
      <c r="F22" s="20" t="s">
        <v>14</v>
      </c>
      <c r="G22" s="20"/>
      <c r="H22" s="20"/>
      <c r="I22" s="20"/>
    </row>
    <row r="23" spans="1:9">
      <c r="A23" s="22" t="s">
        <v>14</v>
      </c>
      <c r="B23" s="23" t="s">
        <v>467</v>
      </c>
      <c r="C23" s="22" t="s">
        <v>47</v>
      </c>
      <c r="D23" s="22" t="b">
        <f>EXACT(G5,"Proportionate crown cover")</f>
        <v>0</v>
      </c>
      <c r="E23" s="22" t="s">
        <v>468</v>
      </c>
      <c r="F23" s="22" t="s">
        <v>14</v>
      </c>
      <c r="G23" s="22" t="s">
        <v>47</v>
      </c>
      <c r="H23" s="22" t="s">
        <v>47</v>
      </c>
      <c r="I23" s="22" t="s">
        <v>47</v>
      </c>
    </row>
    <row r="24" spans="1:9" ht="30" outlineLevel="1" collapsed="1">
      <c r="A24" s="20" t="s">
        <v>14</v>
      </c>
      <c r="B24" s="20" t="s">
        <v>82</v>
      </c>
      <c r="C24" s="20" t="s">
        <v>47</v>
      </c>
      <c r="D24" s="20" t="s">
        <v>399</v>
      </c>
      <c r="E24" s="20" t="s">
        <v>758</v>
      </c>
      <c r="F24" s="20" t="s">
        <v>14</v>
      </c>
      <c r="G24" s="20">
        <f>SUM(G26)</f>
        <v>7.333333333333333</v>
      </c>
      <c r="H24" s="20" t="s">
        <v>47</v>
      </c>
      <c r="I24" s="20" t="s">
        <v>47</v>
      </c>
    </row>
    <row r="25" spans="1:9" outlineLevel="1">
      <c r="A25" s="22" t="s">
        <v>11</v>
      </c>
      <c r="B25" s="23" t="s">
        <v>470</v>
      </c>
      <c r="C25" s="22" t="s">
        <v>47</v>
      </c>
      <c r="D25" s="22"/>
      <c r="E25" s="22" t="s">
        <v>403</v>
      </c>
      <c r="F25" s="22" t="s">
        <v>11</v>
      </c>
      <c r="G25" s="22" t="s">
        <v>47</v>
      </c>
      <c r="H25" s="22" t="s">
        <v>47</v>
      </c>
      <c r="I25" s="22" t="s">
        <v>47</v>
      </c>
    </row>
    <row r="26" spans="1:9" ht="30" outlineLevel="2" collapsed="1">
      <c r="A26" s="20" t="s">
        <v>14</v>
      </c>
      <c r="B26" s="20" t="s">
        <v>82</v>
      </c>
      <c r="C26" s="20" t="s">
        <v>47</v>
      </c>
      <c r="D26" s="20" t="s">
        <v>399</v>
      </c>
      <c r="E26" s="20" t="s">
        <v>471</v>
      </c>
      <c r="F26" s="20" t="s">
        <v>14</v>
      </c>
      <c r="G26" s="20">
        <f>44/12*G27*G28*(1+G29)*G30*G31</f>
        <v>7.333333333333333</v>
      </c>
      <c r="H26" s="20" t="s">
        <v>47</v>
      </c>
      <c r="I26" s="20" t="s">
        <v>47</v>
      </c>
    </row>
    <row r="27" spans="1:9" outlineLevel="2" collapsed="1">
      <c r="A27" s="20" t="s">
        <v>11</v>
      </c>
      <c r="B27" s="20" t="s">
        <v>82</v>
      </c>
      <c r="C27" s="20" t="s">
        <v>47</v>
      </c>
      <c r="D27" s="20"/>
      <c r="E27" s="20" t="s">
        <v>405</v>
      </c>
      <c r="F27" s="20" t="s">
        <v>14</v>
      </c>
      <c r="G27" s="20">
        <v>1</v>
      </c>
      <c r="H27" s="20" t="s">
        <v>47</v>
      </c>
      <c r="I27" s="20" t="s">
        <v>47</v>
      </c>
    </row>
    <row r="28" spans="1:9" ht="30" outlineLevel="2" collapsed="1">
      <c r="A28" s="20" t="s">
        <v>11</v>
      </c>
      <c r="B28" s="20" t="s">
        <v>82</v>
      </c>
      <c r="C28" s="20" t="s">
        <v>47</v>
      </c>
      <c r="D28" s="20"/>
      <c r="E28" s="20" t="s">
        <v>472</v>
      </c>
      <c r="F28" s="20" t="s">
        <v>14</v>
      </c>
      <c r="G28" s="20">
        <v>1</v>
      </c>
      <c r="H28" s="20" t="s">
        <v>47</v>
      </c>
      <c r="I28" s="20" t="s">
        <v>47</v>
      </c>
    </row>
    <row r="29" spans="1:9" outlineLevel="2" collapsed="1">
      <c r="A29" s="20" t="s">
        <v>11</v>
      </c>
      <c r="B29" s="20" t="s">
        <v>82</v>
      </c>
      <c r="C29" s="20" t="s">
        <v>47</v>
      </c>
      <c r="D29" s="20"/>
      <c r="E29" s="20" t="s">
        <v>407</v>
      </c>
      <c r="F29" s="20" t="s">
        <v>14</v>
      </c>
      <c r="G29" s="20">
        <v>1</v>
      </c>
      <c r="H29" s="20" t="s">
        <v>47</v>
      </c>
      <c r="I29" s="20" t="s">
        <v>47</v>
      </c>
    </row>
    <row r="30" spans="1:9" ht="30" outlineLevel="2" collapsed="1">
      <c r="A30" s="20" t="s">
        <v>11</v>
      </c>
      <c r="B30" s="20" t="s">
        <v>82</v>
      </c>
      <c r="C30" s="20" t="s">
        <v>47</v>
      </c>
      <c r="D30" s="20"/>
      <c r="E30" s="20" t="s">
        <v>408</v>
      </c>
      <c r="F30" s="20" t="s">
        <v>14</v>
      </c>
      <c r="G30" s="20">
        <v>1</v>
      </c>
      <c r="H30" s="20" t="s">
        <v>47</v>
      </c>
      <c r="I30" s="20" t="s">
        <v>47</v>
      </c>
    </row>
    <row r="31" spans="1:9" ht="30" outlineLevel="2" collapsed="1">
      <c r="A31" s="20" t="s">
        <v>11</v>
      </c>
      <c r="B31" s="20" t="s">
        <v>82</v>
      </c>
      <c r="C31" s="20" t="s">
        <v>47</v>
      </c>
      <c r="D31" s="20"/>
      <c r="E31" s="20" t="s">
        <v>409</v>
      </c>
      <c r="F31" s="20" t="s">
        <v>14</v>
      </c>
      <c r="G31" s="20">
        <v>1</v>
      </c>
      <c r="H31" s="20" t="s">
        <v>47</v>
      </c>
      <c r="I31" s="20" t="s">
        <v>47</v>
      </c>
    </row>
    <row r="32" spans="1:9">
      <c r="A32" s="22" t="s">
        <v>14</v>
      </c>
      <c r="B32" s="23" t="s">
        <v>475</v>
      </c>
      <c r="C32" s="22" t="s">
        <v>47</v>
      </c>
      <c r="D32" s="22" t="b">
        <f>EXACT(G5,"Measurement of sample plots")</f>
        <v>0</v>
      </c>
      <c r="E32" s="22" t="s">
        <v>475</v>
      </c>
      <c r="F32" s="22" t="s">
        <v>14</v>
      </c>
      <c r="G32" s="22" t="s">
        <v>47</v>
      </c>
      <c r="H32" s="22" t="s">
        <v>47</v>
      </c>
      <c r="I32" s="22" t="s">
        <v>47</v>
      </c>
    </row>
    <row r="33" spans="1:9" ht="30" outlineLevel="1" collapsed="1">
      <c r="A33" s="20" t="s">
        <v>11</v>
      </c>
      <c r="B33" s="20" t="s">
        <v>17</v>
      </c>
      <c r="C33" s="21" t="s">
        <v>476</v>
      </c>
      <c r="D33" s="20"/>
      <c r="E33" s="20" t="s">
        <v>477</v>
      </c>
      <c r="F33" s="20" t="s">
        <v>14</v>
      </c>
      <c r="G33" s="20" t="s">
        <v>478</v>
      </c>
      <c r="H33" s="20" t="s">
        <v>47</v>
      </c>
      <c r="I33" s="20" t="s">
        <v>47</v>
      </c>
    </row>
    <row r="34" spans="1:9" outlineLevel="1">
      <c r="A34" s="22" t="s">
        <v>14</v>
      </c>
      <c r="B34" s="23" t="s">
        <v>478</v>
      </c>
      <c r="C34" s="22" t="s">
        <v>47</v>
      </c>
      <c r="D34" s="22" t="b">
        <f>EXACT(G33,"Stratified random sampling")</f>
        <v>1</v>
      </c>
      <c r="E34" s="22" t="s">
        <v>478</v>
      </c>
      <c r="F34" s="22" t="s">
        <v>14</v>
      </c>
      <c r="G34" s="22" t="s">
        <v>47</v>
      </c>
      <c r="H34" s="22" t="s">
        <v>47</v>
      </c>
      <c r="I34" s="22" t="s">
        <v>47</v>
      </c>
    </row>
    <row r="35" spans="1:9" ht="30" outlineLevel="2" collapsed="1">
      <c r="A35" s="20" t="s">
        <v>14</v>
      </c>
      <c r="B35" s="20" t="s">
        <v>82</v>
      </c>
      <c r="C35" s="20" t="s">
        <v>47</v>
      </c>
      <c r="D35" s="20" t="s">
        <v>399</v>
      </c>
      <c r="E35" s="20" t="s">
        <v>479</v>
      </c>
      <c r="F35" s="20" t="s">
        <v>14</v>
      </c>
      <c r="G35" s="20">
        <f>44/12*G36*G37</f>
        <v>3.6666666666666665</v>
      </c>
      <c r="H35" s="20" t="s">
        <v>47</v>
      </c>
      <c r="I35" s="20" t="s">
        <v>47</v>
      </c>
    </row>
    <row r="36" spans="1:9" outlineLevel="2" collapsed="1">
      <c r="A36" s="20" t="s">
        <v>11</v>
      </c>
      <c r="B36" s="20" t="s">
        <v>82</v>
      </c>
      <c r="C36" s="20" t="s">
        <v>47</v>
      </c>
      <c r="D36" s="20"/>
      <c r="E36" s="20" t="s">
        <v>405</v>
      </c>
      <c r="F36" s="20" t="s">
        <v>14</v>
      </c>
      <c r="G36" s="20">
        <v>1</v>
      </c>
      <c r="H36" s="20" t="s">
        <v>47</v>
      </c>
      <c r="I36" s="20" t="s">
        <v>47</v>
      </c>
    </row>
    <row r="37" spans="1:9" ht="30" outlineLevel="2" collapsed="1">
      <c r="A37" s="20" t="s">
        <v>14</v>
      </c>
      <c r="B37" s="20" t="s">
        <v>82</v>
      </c>
      <c r="C37" s="20" t="s">
        <v>47</v>
      </c>
      <c r="D37" s="20" t="s">
        <v>399</v>
      </c>
      <c r="E37" s="20" t="s">
        <v>480</v>
      </c>
      <c r="F37" s="20" t="s">
        <v>14</v>
      </c>
      <c r="G37" s="20">
        <f>G38*G39</f>
        <v>1</v>
      </c>
      <c r="H37" s="20" t="s">
        <v>47</v>
      </c>
      <c r="I37" s="20" t="s">
        <v>47</v>
      </c>
    </row>
    <row r="38" spans="1:9" ht="30" outlineLevel="2" collapsed="1">
      <c r="A38" s="20" t="s">
        <v>11</v>
      </c>
      <c r="B38" s="20" t="s">
        <v>82</v>
      </c>
      <c r="C38" s="20" t="s">
        <v>47</v>
      </c>
      <c r="D38" s="20"/>
      <c r="E38" s="20" t="s">
        <v>481</v>
      </c>
      <c r="F38" s="20" t="s">
        <v>14</v>
      </c>
      <c r="G38" s="20">
        <v>1</v>
      </c>
      <c r="H38" s="20" t="s">
        <v>47</v>
      </c>
      <c r="I38" s="20" t="s">
        <v>47</v>
      </c>
    </row>
    <row r="39" spans="1:9" ht="30" outlineLevel="2" collapsed="1">
      <c r="A39" s="20" t="s">
        <v>14</v>
      </c>
      <c r="B39" s="20" t="s">
        <v>82</v>
      </c>
      <c r="C39" s="20" t="s">
        <v>47</v>
      </c>
      <c r="D39" s="20" t="s">
        <v>399</v>
      </c>
      <c r="E39" s="20" t="s">
        <v>482</v>
      </c>
      <c r="F39" s="20" t="s">
        <v>14</v>
      </c>
      <c r="G39" s="20">
        <f>SUM((G44*G43))</f>
        <v>1</v>
      </c>
      <c r="H39" s="20" t="s">
        <v>47</v>
      </c>
      <c r="I39" s="20" t="s">
        <v>47</v>
      </c>
    </row>
    <row r="40" spans="1:9" outlineLevel="2" collapsed="1">
      <c r="A40" s="20" t="s">
        <v>11</v>
      </c>
      <c r="B40" s="20" t="s">
        <v>82</v>
      </c>
      <c r="C40" s="20" t="s">
        <v>47</v>
      </c>
      <c r="D40" s="20"/>
      <c r="E40" s="20" t="s">
        <v>569</v>
      </c>
      <c r="F40" s="20" t="s">
        <v>14</v>
      </c>
      <c r="G40" s="20">
        <v>1</v>
      </c>
      <c r="H40" s="20" t="s">
        <v>47</v>
      </c>
      <c r="I40" s="20" t="s">
        <v>47</v>
      </c>
    </row>
    <row r="41" spans="1:9" ht="30" outlineLevel="2" collapsed="1">
      <c r="A41" s="20" t="s">
        <v>11</v>
      </c>
      <c r="B41" s="20" t="s">
        <v>82</v>
      </c>
      <c r="C41" s="20" t="s">
        <v>47</v>
      </c>
      <c r="D41" s="20"/>
      <c r="E41" s="20" t="s">
        <v>484</v>
      </c>
      <c r="F41" s="20" t="s">
        <v>14</v>
      </c>
      <c r="G41" s="20">
        <v>1</v>
      </c>
      <c r="H41" s="20" t="s">
        <v>47</v>
      </c>
      <c r="I41" s="20" t="s">
        <v>47</v>
      </c>
    </row>
    <row r="42" spans="1:9" outlineLevel="2">
      <c r="A42" s="22" t="s">
        <v>11</v>
      </c>
      <c r="B42" s="23" t="s">
        <v>485</v>
      </c>
      <c r="C42" s="22" t="s">
        <v>47</v>
      </c>
      <c r="D42" s="22"/>
      <c r="E42" s="22" t="s">
        <v>486</v>
      </c>
      <c r="F42" s="22" t="s">
        <v>11</v>
      </c>
      <c r="G42" s="22" t="s">
        <v>47</v>
      </c>
      <c r="H42" s="22" t="s">
        <v>47</v>
      </c>
      <c r="I42" s="22" t="s">
        <v>47</v>
      </c>
    </row>
    <row r="43" spans="1:9" s="25" customFormat="1" ht="30" outlineLevel="3" collapsed="1">
      <c r="A43" s="24" t="s">
        <v>14</v>
      </c>
      <c r="B43" s="20" t="s">
        <v>82</v>
      </c>
      <c r="C43" s="24" t="s">
        <v>47</v>
      </c>
      <c r="D43" s="20" t="s">
        <v>399</v>
      </c>
      <c r="E43" s="24" t="s">
        <v>487</v>
      </c>
      <c r="F43" s="24" t="s">
        <v>14</v>
      </c>
      <c r="G43" s="24">
        <f>(SUM(G48))/G46</f>
        <v>1</v>
      </c>
      <c r="H43" s="24" t="s">
        <v>47</v>
      </c>
      <c r="I43" s="24" t="s">
        <v>47</v>
      </c>
    </row>
    <row r="44" spans="1:9" ht="30" outlineLevel="3" collapsed="1">
      <c r="A44" s="20" t="s">
        <v>11</v>
      </c>
      <c r="B44" s="20" t="s">
        <v>82</v>
      </c>
      <c r="C44" s="20" t="s">
        <v>47</v>
      </c>
      <c r="D44" s="20"/>
      <c r="E44" s="20" t="s">
        <v>488</v>
      </c>
      <c r="F44" s="20" t="s">
        <v>14</v>
      </c>
      <c r="G44" s="20">
        <v>1</v>
      </c>
      <c r="H44" s="20" t="s">
        <v>47</v>
      </c>
      <c r="I44" s="20" t="s">
        <v>47</v>
      </c>
    </row>
    <row r="45" spans="1:9" ht="30" outlineLevel="3" collapsed="1">
      <c r="A45" s="20" t="s">
        <v>11</v>
      </c>
      <c r="B45" s="20" t="s">
        <v>82</v>
      </c>
      <c r="C45" s="20" t="s">
        <v>47</v>
      </c>
      <c r="D45" s="20"/>
      <c r="E45" s="20" t="s">
        <v>489</v>
      </c>
      <c r="F45" s="20" t="s">
        <v>14</v>
      </c>
      <c r="G45" s="20">
        <v>1</v>
      </c>
      <c r="H45" s="20" t="s">
        <v>47</v>
      </c>
      <c r="I45" s="20" t="s">
        <v>47</v>
      </c>
    </row>
    <row r="46" spans="1:9" outlineLevel="3" collapsed="1">
      <c r="A46" s="20" t="s">
        <v>11</v>
      </c>
      <c r="B46" s="20" t="s">
        <v>82</v>
      </c>
      <c r="C46" s="20" t="s">
        <v>47</v>
      </c>
      <c r="D46" s="20"/>
      <c r="E46" s="20" t="s">
        <v>490</v>
      </c>
      <c r="F46" s="20" t="s">
        <v>14</v>
      </c>
      <c r="G46" s="20">
        <v>1</v>
      </c>
      <c r="H46" s="20" t="s">
        <v>47</v>
      </c>
      <c r="I46" s="20" t="s">
        <v>47</v>
      </c>
    </row>
    <row r="47" spans="1:9" outlineLevel="3">
      <c r="A47" s="22" t="s">
        <v>11</v>
      </c>
      <c r="B47" s="23" t="s">
        <v>491</v>
      </c>
      <c r="C47" s="22"/>
      <c r="D47" s="22"/>
      <c r="E47" s="22" t="s">
        <v>492</v>
      </c>
      <c r="F47" s="22" t="s">
        <v>11</v>
      </c>
      <c r="G47" s="22"/>
      <c r="H47" s="22"/>
      <c r="I47" s="22"/>
    </row>
    <row r="48" spans="1:9" s="25" customFormat="1" ht="30" outlineLevel="4" collapsed="1">
      <c r="A48" s="24" t="s">
        <v>11</v>
      </c>
      <c r="B48" s="24" t="s">
        <v>82</v>
      </c>
      <c r="C48" s="24" t="s">
        <v>47</v>
      </c>
      <c r="D48" s="24"/>
      <c r="E48" s="24" t="s">
        <v>493</v>
      </c>
      <c r="F48" s="24" t="s">
        <v>14</v>
      </c>
      <c r="G48" s="24">
        <v>1</v>
      </c>
      <c r="H48" s="24" t="s">
        <v>47</v>
      </c>
      <c r="I48" s="24" t="s">
        <v>47</v>
      </c>
    </row>
    <row r="49" spans="1:9" outlineLevel="1">
      <c r="A49" s="22" t="s">
        <v>14</v>
      </c>
      <c r="B49" s="23" t="s">
        <v>494</v>
      </c>
      <c r="C49" s="22" t="s">
        <v>47</v>
      </c>
      <c r="D49" s="22" t="b">
        <f>NOT(EXACT(G33,"Stratified random sampling"))</f>
        <v>0</v>
      </c>
      <c r="E49" s="22" t="s">
        <v>494</v>
      </c>
      <c r="F49" s="22" t="s">
        <v>14</v>
      </c>
      <c r="G49" s="22" t="s">
        <v>47</v>
      </c>
      <c r="H49" s="22" t="s">
        <v>47</v>
      </c>
      <c r="I49" s="22" t="s">
        <v>47</v>
      </c>
    </row>
    <row r="50" spans="1:9" ht="30" outlineLevel="2" collapsed="1">
      <c r="A50" s="20" t="s">
        <v>11</v>
      </c>
      <c r="B50" s="20" t="s">
        <v>82</v>
      </c>
      <c r="C50" s="20" t="s">
        <v>47</v>
      </c>
      <c r="D50" s="20"/>
      <c r="E50" s="20" t="s">
        <v>479</v>
      </c>
      <c r="F50" s="20" t="s">
        <v>14</v>
      </c>
      <c r="G50" s="20">
        <v>1</v>
      </c>
      <c r="H50" s="20" t="s">
        <v>47</v>
      </c>
      <c r="I50" s="20" t="s">
        <v>47</v>
      </c>
    </row>
    <row r="51" spans="1:9" outlineLevel="2" collapsed="1">
      <c r="A51" s="20" t="s">
        <v>11</v>
      </c>
      <c r="B51" s="20" t="s">
        <v>82</v>
      </c>
      <c r="C51" s="20" t="s">
        <v>47</v>
      </c>
      <c r="D51" s="20"/>
      <c r="E51" s="20" t="s">
        <v>405</v>
      </c>
      <c r="F51" s="20" t="s">
        <v>14</v>
      </c>
      <c r="G51" s="20">
        <v>1</v>
      </c>
      <c r="H51" s="20" t="s">
        <v>47</v>
      </c>
      <c r="I51" s="20" t="s">
        <v>47</v>
      </c>
    </row>
    <row r="52" spans="1:9" ht="30" outlineLevel="2" collapsed="1">
      <c r="A52" s="20" t="s">
        <v>11</v>
      </c>
      <c r="B52" s="20" t="s">
        <v>82</v>
      </c>
      <c r="C52" s="20" t="s">
        <v>47</v>
      </c>
      <c r="D52" s="20"/>
      <c r="E52" s="20" t="s">
        <v>480</v>
      </c>
      <c r="F52" s="20" t="s">
        <v>14</v>
      </c>
      <c r="G52" s="20">
        <v>1</v>
      </c>
      <c r="H52" s="20" t="s">
        <v>47</v>
      </c>
      <c r="I52" s="20" t="s">
        <v>47</v>
      </c>
    </row>
    <row r="53" spans="1:9" ht="30" outlineLevel="2" collapsed="1">
      <c r="A53" s="20" t="s">
        <v>11</v>
      </c>
      <c r="B53" s="20" t="s">
        <v>82</v>
      </c>
      <c r="C53" s="20" t="s">
        <v>47</v>
      </c>
      <c r="D53" s="20"/>
      <c r="E53" s="20" t="s">
        <v>481</v>
      </c>
      <c r="F53" s="20" t="s">
        <v>14</v>
      </c>
      <c r="G53" s="20">
        <v>1</v>
      </c>
      <c r="H53" s="20" t="s">
        <v>47</v>
      </c>
      <c r="I53" s="20" t="s">
        <v>47</v>
      </c>
    </row>
    <row r="54" spans="1:9" ht="30" outlineLevel="2" collapsed="1">
      <c r="A54" s="20" t="s">
        <v>11</v>
      </c>
      <c r="B54" s="20" t="s">
        <v>82</v>
      </c>
      <c r="C54" s="20" t="s">
        <v>47</v>
      </c>
      <c r="D54" s="20"/>
      <c r="E54" s="20" t="s">
        <v>482</v>
      </c>
      <c r="F54" s="20" t="s">
        <v>14</v>
      </c>
      <c r="G54" s="20">
        <v>1</v>
      </c>
      <c r="H54" s="20" t="s">
        <v>47</v>
      </c>
      <c r="I54" s="20" t="s">
        <v>47</v>
      </c>
    </row>
    <row r="55" spans="1:9" outlineLevel="2" collapsed="1">
      <c r="A55" s="20" t="s">
        <v>11</v>
      </c>
      <c r="B55" s="20" t="s">
        <v>82</v>
      </c>
      <c r="C55" s="20" t="s">
        <v>47</v>
      </c>
      <c r="D55" s="20"/>
      <c r="E55" s="20" t="s">
        <v>483</v>
      </c>
      <c r="F55" s="20" t="s">
        <v>14</v>
      </c>
      <c r="G55" s="20">
        <v>1</v>
      </c>
      <c r="H55" s="20" t="s">
        <v>47</v>
      </c>
      <c r="I55" s="20" t="s">
        <v>47</v>
      </c>
    </row>
    <row r="56" spans="1:9" ht="30" outlineLevel="2" collapsed="1">
      <c r="A56" s="20" t="s">
        <v>11</v>
      </c>
      <c r="B56" s="20" t="s">
        <v>82</v>
      </c>
      <c r="C56" s="20" t="s">
        <v>47</v>
      </c>
      <c r="D56" s="20"/>
      <c r="E56" s="20" t="s">
        <v>484</v>
      </c>
      <c r="F56" s="20" t="s">
        <v>14</v>
      </c>
      <c r="G56" s="20">
        <v>1</v>
      </c>
      <c r="H56" s="20" t="s">
        <v>47</v>
      </c>
      <c r="I56" s="20" t="s">
        <v>47</v>
      </c>
    </row>
    <row r="57" spans="1:9" outlineLevel="2">
      <c r="A57" s="22" t="s">
        <v>11</v>
      </c>
      <c r="B57" s="23" t="s">
        <v>495</v>
      </c>
      <c r="C57" s="22" t="s">
        <v>47</v>
      </c>
      <c r="D57" s="22"/>
      <c r="E57" s="22" t="s">
        <v>486</v>
      </c>
      <c r="F57" s="22" t="s">
        <v>11</v>
      </c>
      <c r="G57" s="22" t="s">
        <v>47</v>
      </c>
      <c r="H57" s="22" t="s">
        <v>47</v>
      </c>
      <c r="I57" s="22" t="s">
        <v>47</v>
      </c>
    </row>
    <row r="58" spans="1:9" ht="30" outlineLevel="3" collapsed="1">
      <c r="A58" s="20" t="s">
        <v>14</v>
      </c>
      <c r="B58" s="20" t="s">
        <v>82</v>
      </c>
      <c r="C58" s="20" t="s">
        <v>47</v>
      </c>
      <c r="D58" s="20" t="s">
        <v>399</v>
      </c>
      <c r="E58" s="20" t="s">
        <v>487</v>
      </c>
      <c r="F58" s="20" t="s">
        <v>14</v>
      </c>
      <c r="G58" s="20">
        <f>(SUM(G67)/G59)+G60*(G61-G62)</f>
        <v>1</v>
      </c>
      <c r="H58" s="20" t="s">
        <v>47</v>
      </c>
      <c r="I58" s="20" t="s">
        <v>47</v>
      </c>
    </row>
    <row r="59" spans="1:9" outlineLevel="3" collapsed="1">
      <c r="A59" s="20" t="s">
        <v>11</v>
      </c>
      <c r="B59" s="20" t="s">
        <v>82</v>
      </c>
      <c r="C59" s="20" t="s">
        <v>47</v>
      </c>
      <c r="D59" s="20"/>
      <c r="E59" s="20" t="s">
        <v>496</v>
      </c>
      <c r="F59" s="20" t="s">
        <v>14</v>
      </c>
      <c r="G59" s="20">
        <v>1</v>
      </c>
      <c r="H59" s="20" t="s">
        <v>47</v>
      </c>
      <c r="I59" s="20" t="s">
        <v>47</v>
      </c>
    </row>
    <row r="60" spans="1:9" ht="30" outlineLevel="3" collapsed="1">
      <c r="A60" s="20" t="s">
        <v>11</v>
      </c>
      <c r="B60" s="20" t="s">
        <v>82</v>
      </c>
      <c r="C60" s="20" t="s">
        <v>47</v>
      </c>
      <c r="D60" s="20"/>
      <c r="E60" s="20" t="s">
        <v>497</v>
      </c>
      <c r="F60" s="20" t="s">
        <v>14</v>
      </c>
      <c r="G60" s="20">
        <v>1</v>
      </c>
      <c r="H60" s="20" t="s">
        <v>47</v>
      </c>
      <c r="I60" s="20" t="s">
        <v>47</v>
      </c>
    </row>
    <row r="61" spans="1:9" ht="30" outlineLevel="3" collapsed="1">
      <c r="A61" s="20" t="s">
        <v>11</v>
      </c>
      <c r="B61" s="20" t="s">
        <v>82</v>
      </c>
      <c r="C61" s="20" t="s">
        <v>47</v>
      </c>
      <c r="D61" s="20"/>
      <c r="E61" s="20" t="s">
        <v>498</v>
      </c>
      <c r="F61" s="20" t="s">
        <v>14</v>
      </c>
      <c r="G61" s="20">
        <v>1</v>
      </c>
      <c r="H61" s="20" t="s">
        <v>47</v>
      </c>
      <c r="I61" s="20" t="s">
        <v>47</v>
      </c>
    </row>
    <row r="62" spans="1:9" ht="30" outlineLevel="3" collapsed="1">
      <c r="A62" s="20" t="s">
        <v>11</v>
      </c>
      <c r="B62" s="20" t="s">
        <v>82</v>
      </c>
      <c r="C62" s="20" t="s">
        <v>47</v>
      </c>
      <c r="D62" s="20"/>
      <c r="E62" s="20" t="s">
        <v>499</v>
      </c>
      <c r="F62" s="20" t="s">
        <v>14</v>
      </c>
      <c r="G62" s="20">
        <v>1</v>
      </c>
      <c r="H62" s="20" t="s">
        <v>47</v>
      </c>
      <c r="I62" s="20" t="s">
        <v>47</v>
      </c>
    </row>
    <row r="63" spans="1:9" ht="30" outlineLevel="3" collapsed="1">
      <c r="A63" s="20" t="s">
        <v>11</v>
      </c>
      <c r="B63" s="20" t="s">
        <v>82</v>
      </c>
      <c r="C63" s="20" t="s">
        <v>47</v>
      </c>
      <c r="D63" s="20"/>
      <c r="E63" s="20" t="s">
        <v>500</v>
      </c>
      <c r="F63" s="20" t="s">
        <v>14</v>
      </c>
      <c r="G63" s="20">
        <v>1</v>
      </c>
      <c r="H63" s="20" t="s">
        <v>47</v>
      </c>
      <c r="I63" s="20" t="s">
        <v>47</v>
      </c>
    </row>
    <row r="64" spans="1:9" ht="30" outlineLevel="3" collapsed="1">
      <c r="A64" s="20" t="s">
        <v>11</v>
      </c>
      <c r="B64" s="20" t="s">
        <v>82</v>
      </c>
      <c r="C64" s="20" t="s">
        <v>47</v>
      </c>
      <c r="D64" s="20"/>
      <c r="E64" s="20" t="s">
        <v>501</v>
      </c>
      <c r="F64" s="20" t="s">
        <v>14</v>
      </c>
      <c r="G64" s="20">
        <v>1</v>
      </c>
      <c r="H64" s="20" t="s">
        <v>47</v>
      </c>
      <c r="I64" s="20" t="s">
        <v>47</v>
      </c>
    </row>
    <row r="65" spans="1:9" ht="45" outlineLevel="3" collapsed="1">
      <c r="A65" s="20" t="s">
        <v>11</v>
      </c>
      <c r="B65" s="20" t="s">
        <v>82</v>
      </c>
      <c r="C65" s="20" t="s">
        <v>47</v>
      </c>
      <c r="D65" s="20"/>
      <c r="E65" s="20" t="s">
        <v>502</v>
      </c>
      <c r="F65" s="20" t="s">
        <v>14</v>
      </c>
      <c r="G65" s="20">
        <v>1</v>
      </c>
      <c r="H65" s="20" t="s">
        <v>47</v>
      </c>
      <c r="I65" s="20" t="s">
        <v>47</v>
      </c>
    </row>
    <row r="66" spans="1:9" outlineLevel="3">
      <c r="A66" s="22" t="s">
        <v>11</v>
      </c>
      <c r="B66" s="23" t="s">
        <v>491</v>
      </c>
      <c r="C66" s="22"/>
      <c r="D66" s="22"/>
      <c r="E66" s="22" t="s">
        <v>492</v>
      </c>
      <c r="F66" s="22" t="s">
        <v>11</v>
      </c>
      <c r="G66" s="22"/>
      <c r="H66" s="22"/>
      <c r="I66" s="22"/>
    </row>
    <row r="67" spans="1:9" s="25" customFormat="1" ht="30" outlineLevel="4" collapsed="1">
      <c r="A67" s="24" t="s">
        <v>11</v>
      </c>
      <c r="B67" s="24" t="s">
        <v>82</v>
      </c>
      <c r="C67" s="24" t="s">
        <v>47</v>
      </c>
      <c r="D67" s="24"/>
      <c r="E67" s="24" t="s">
        <v>493</v>
      </c>
      <c r="F67" s="24" t="s">
        <v>14</v>
      </c>
      <c r="G67" s="24">
        <v>1</v>
      </c>
      <c r="H67" s="24" t="s">
        <v>47</v>
      </c>
      <c r="I67" s="24" t="s">
        <v>47</v>
      </c>
    </row>
    <row r="68" spans="1:9" ht="29.25" customHeight="1">
      <c r="A68" s="18" t="s">
        <v>11</v>
      </c>
      <c r="B68" s="18" t="s">
        <v>503</v>
      </c>
      <c r="C68" s="19" t="s">
        <v>47</v>
      </c>
      <c r="D68" s="18"/>
      <c r="E68" s="3" t="s">
        <v>504</v>
      </c>
      <c r="F68" s="18" t="s">
        <v>14</v>
      </c>
      <c r="G68" s="18" t="s">
        <v>505</v>
      </c>
      <c r="H68" s="18" t="s">
        <v>47</v>
      </c>
      <c r="I68" s="18" t="s">
        <v>47</v>
      </c>
    </row>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18:G22" xr:uid="{51F898A0-7623-4FD1-86E5-B6465C7AB8D9}">
      <formula1>"Yes,No"</formula1>
    </dataValidation>
  </dataValidations>
  <hyperlinks>
    <hyperlink ref="C5" location="#'Which method did you 1 (enum)'!A3" display="Which method did you 1 (enum)" xr:uid="{276F1A26-2F3C-413D-8B12-A455E2D9077F}"/>
    <hyperlink ref="C33" location="#'Which sampling design w (enum)'!A3" display="Which sampling design w (enum)" xr:uid="{EA4A9FDD-EED1-4FDE-8932-E15A1B07B56F}"/>
    <hyperlink ref="B6" location="'BSL-Updating the previous stock'!A1" display="'BSL-Updating the previous stock" xr:uid="{F03BEC47-F9E5-4B09-9F9C-62F80BDE1F97}"/>
    <hyperlink ref="B13" location="'BSL-Estimation by modelling of '!A1" display="'BSL-Estimation by modelling of" xr:uid="{C6685CB9-C252-46E9-B5F8-FE62250D3FEF}"/>
    <hyperlink ref="B20" location="'BSL-Carbon stock in trees at a '!A1" display="'BSL-Carbon stock in trees at a" xr:uid="{552A85B1-3BDF-4AC0-BF6A-1DF6179CEB10}"/>
    <hyperlink ref="B23" location="'BSL-Estimation by proportiona'!A1" display="'BSL-Estimation by proportiona" xr:uid="{D4962C43-0DA4-4360-9782-AE299B300E83}"/>
    <hyperlink ref="B25" location="'BSL-Mean annual change in carbo'!A1" display="'BSL-Mean annual change in carbo" xr:uid="{75857C45-B8FA-406B-8534-FCF9F3E8A84D}"/>
    <hyperlink ref="B32" location="'Measurement of sample plots'!A1" display="'Measurement of sample plots" xr:uid="{11D4E75C-3616-4093-B70E-CFBA62B6102D}"/>
    <hyperlink ref="B34" location="'Stratified random sampling'!A1" display="'Stratified random sampling" xr:uid="{95285E70-426F-4B96-80CB-D1A72C9293AE}"/>
    <hyperlink ref="B42" location="'Mean tree biomass per hectare w'!A1" display="'Mean tree biomass per hectare w" xr:uid="{7319F635-0868-4A56-AA3C-E9735FD003E3}"/>
    <hyperlink ref="B47" location="'Tree Biomass per Hectare in Plo'!A1" display="'Tree Biomass per Hectare in Plo" xr:uid="{F65FB473-E5AA-48B7-867C-43C927440F3B}"/>
    <hyperlink ref="B49" location="'Double sampling'!A1" display="'Double sampling" xr:uid="{A85496BE-ED17-44AA-9C78-65E4B4FC64A4}"/>
    <hyperlink ref="B57" location="'Double Mean tree biomass per he'!A1" display="'Double Mean tree biomass per he" xr:uid="{C6CE6E01-1A3A-49C6-9FD0-CF3D819781D4}"/>
    <hyperlink ref="B66" location="'Tree Biomass per Hectare in Plo'!A1" display="'Tree Biomass per Hectare in Plo" xr:uid="{CE34C5B5-BAC5-47F5-95F4-BE87EA769A9F}"/>
    <hyperlink ref="C18" location="'Does your project apply b(enum)'!A1" display="'Does your project apply b(enum)" xr:uid="{C0701B0A-309C-4087-AEAD-CA688EDBD9F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
        <x14:dataValidation type="list" allowBlank="1" xr:uid="{8D9E9C47-A65D-412C-A337-848D022D50C3}">
          <x14:formula1>
            <xm:f>'Which sampling design w (enum)'!B3:B4</xm:f>
          </x14:formula1>
          <xm:sqref>G33:I33</xm:sqref>
        </x14:dataValidation>
        <x14:dataValidation type="list" allowBlank="1" xr:uid="{EFDC83F9-DD7C-4DC5-8863-29F5494DC2FE}">
          <x14:formula1>
            <xm:f>'Which method did you 1 (enum)'!B3:B6</xm:f>
          </x14:formula1>
          <xm:sqref>G5:I5</xm:sqref>
        </x14:dataValidation>
      </x14:dataValidations>
    </ext>
  </extLst>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7361-61EB-4EE2-90DD-467DDDD7DAF1}">
  <sheetPr codeName="Sheet10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764</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399</v>
      </c>
      <c r="E5" s="18" t="s">
        <v>448</v>
      </c>
      <c r="F5" s="18" t="s">
        <v>14</v>
      </c>
      <c r="G5" s="18" t="e">
        <f>E6+E7</f>
        <v>#VALUE!</v>
      </c>
      <c r="H5" s="18" t="s">
        <v>47</v>
      </c>
      <c r="I5" s="18" t="s">
        <v>47</v>
      </c>
    </row>
    <row r="6" spans="1:9" ht="29.25" customHeight="1">
      <c r="A6" s="18" t="s">
        <v>11</v>
      </c>
      <c r="B6" s="18" t="s">
        <v>82</v>
      </c>
      <c r="C6" s="19" t="s">
        <v>47</v>
      </c>
      <c r="D6" s="18"/>
      <c r="E6" s="18" t="s">
        <v>449</v>
      </c>
      <c r="F6" s="18" t="s">
        <v>14</v>
      </c>
      <c r="G6" s="18">
        <v>1</v>
      </c>
      <c r="H6" s="18" t="s">
        <v>47</v>
      </c>
      <c r="I6" s="18" t="s">
        <v>47</v>
      </c>
    </row>
    <row r="7" spans="1:9" ht="29.25" customHeight="1">
      <c r="A7" s="18" t="s">
        <v>11</v>
      </c>
      <c r="B7" s="18" t="s">
        <v>82</v>
      </c>
      <c r="C7" s="19" t="s">
        <v>47</v>
      </c>
      <c r="D7" s="18"/>
      <c r="E7" s="18" t="s">
        <v>450</v>
      </c>
      <c r="F7" s="18" t="s">
        <v>14</v>
      </c>
      <c r="G7" s="18">
        <v>1</v>
      </c>
      <c r="H7" s="18" t="s">
        <v>47</v>
      </c>
      <c r="I7" s="18" t="s">
        <v>47</v>
      </c>
    </row>
    <row r="8" spans="1:9" ht="29.25" customHeight="1">
      <c r="A8" s="18" t="s">
        <v>11</v>
      </c>
      <c r="B8" s="18" t="s">
        <v>82</v>
      </c>
      <c r="C8" s="19" t="s">
        <v>47</v>
      </c>
      <c r="D8" s="18"/>
      <c r="E8" s="18" t="s">
        <v>451</v>
      </c>
      <c r="F8" s="18" t="s">
        <v>14</v>
      </c>
      <c r="G8" s="18"/>
      <c r="H8" s="18" t="s">
        <v>47</v>
      </c>
      <c r="I8" s="18" t="s">
        <v>47</v>
      </c>
    </row>
    <row r="9" spans="1:9" ht="29.25" customHeight="1">
      <c r="A9" s="18" t="s">
        <v>14</v>
      </c>
      <c r="B9" s="18" t="s">
        <v>82</v>
      </c>
      <c r="C9" s="19" t="s">
        <v>47</v>
      </c>
      <c r="D9" s="18" t="s">
        <v>399</v>
      </c>
      <c r="E9" s="18" t="s">
        <v>452</v>
      </c>
      <c r="F9" s="18" t="s">
        <v>14</v>
      </c>
      <c r="G9" s="18" t="e">
        <f>(SQRT((G10*G6)^2+(G8*G7)^2))/G5</f>
        <v>#VALUE!</v>
      </c>
      <c r="H9" s="18" t="s">
        <v>47</v>
      </c>
      <c r="I9" s="18" t="s">
        <v>47</v>
      </c>
    </row>
    <row r="10" spans="1:9" ht="29.25" customHeight="1">
      <c r="A10" s="18" t="s">
        <v>11</v>
      </c>
      <c r="B10" s="18" t="s">
        <v>82</v>
      </c>
      <c r="C10" s="19" t="s">
        <v>47</v>
      </c>
      <c r="D10" s="18"/>
      <c r="E10" s="18" t="s">
        <v>453</v>
      </c>
      <c r="F10" s="18" t="s">
        <v>14</v>
      </c>
      <c r="G10" s="18">
        <v>1</v>
      </c>
      <c r="H10" s="18" t="s">
        <v>47</v>
      </c>
      <c r="I10"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95C6-BFA5-4F4D-8C43-4B8638E0CAC8}">
  <sheetPr codeName="Sheet107">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2" t="s">
        <v>763</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44</v>
      </c>
      <c r="C5" s="19"/>
      <c r="D5" s="18"/>
      <c r="E5" s="18" t="s">
        <v>455</v>
      </c>
      <c r="F5" s="18" t="s">
        <v>14</v>
      </c>
      <c r="G5" s="18"/>
      <c r="H5" s="18"/>
      <c r="I5" s="18"/>
    </row>
    <row r="6" spans="1:9" ht="29.25" customHeight="1">
      <c r="A6" s="18" t="s">
        <v>14</v>
      </c>
      <c r="B6" s="18" t="s">
        <v>44</v>
      </c>
      <c r="C6" s="19"/>
      <c r="D6" s="18"/>
      <c r="E6" s="18" t="s">
        <v>456</v>
      </c>
      <c r="F6" s="18" t="s">
        <v>14</v>
      </c>
      <c r="G6" s="18"/>
      <c r="H6" s="18"/>
      <c r="I6" s="18"/>
    </row>
    <row r="7" spans="1:9" ht="29.25" customHeight="1">
      <c r="A7" s="18" t="s">
        <v>14</v>
      </c>
      <c r="B7" s="18" t="s">
        <v>44</v>
      </c>
      <c r="C7" s="19"/>
      <c r="D7" s="18"/>
      <c r="E7" s="18" t="s">
        <v>457</v>
      </c>
      <c r="F7" s="18" t="s">
        <v>14</v>
      </c>
      <c r="G7" s="18"/>
      <c r="H7" s="18"/>
      <c r="I7" s="18"/>
    </row>
    <row r="8" spans="1:9" ht="29.25" customHeight="1">
      <c r="A8" s="18" t="s">
        <v>14</v>
      </c>
      <c r="B8" s="18" t="s">
        <v>44</v>
      </c>
      <c r="C8" s="19"/>
      <c r="D8" s="18"/>
      <c r="E8" s="18" t="s">
        <v>458</v>
      </c>
      <c r="F8" s="18" t="s">
        <v>14</v>
      </c>
      <c r="G8" s="18"/>
      <c r="H8" s="18"/>
      <c r="I8" s="18"/>
    </row>
    <row r="9" spans="1:9" ht="29.25" customHeight="1">
      <c r="A9" s="18" t="s">
        <v>11</v>
      </c>
      <c r="B9" s="18" t="s">
        <v>17</v>
      </c>
      <c r="C9" s="10" t="s">
        <v>459</v>
      </c>
      <c r="D9" s="18"/>
      <c r="E9" s="18" t="s">
        <v>460</v>
      </c>
      <c r="F9" s="18" t="s">
        <v>14</v>
      </c>
      <c r="G9" s="18" t="s">
        <v>11</v>
      </c>
      <c r="H9" s="18"/>
      <c r="I9" s="18"/>
    </row>
    <row r="10" spans="1:9" ht="29.25" customHeight="1">
      <c r="A10" s="18" t="s">
        <v>14</v>
      </c>
      <c r="B10" s="18" t="s">
        <v>44</v>
      </c>
      <c r="C10" s="19"/>
      <c r="D10" s="18" t="b">
        <f>EXACT(G9,"No")</f>
        <v>0</v>
      </c>
      <c r="E10" s="18" t="s">
        <v>461</v>
      </c>
      <c r="F10" s="18" t="s">
        <v>14</v>
      </c>
      <c r="G10" s="18"/>
      <c r="H10" s="18"/>
      <c r="I10" s="18"/>
    </row>
    <row r="11" spans="1:9" ht="30">
      <c r="A11" s="22" t="s">
        <v>14</v>
      </c>
      <c r="B11" s="23" t="s">
        <v>463</v>
      </c>
      <c r="C11" s="22"/>
      <c r="D11" s="22" t="b">
        <f>EXACT(G9,"Yes")</f>
        <v>1</v>
      </c>
      <c r="E11" s="28" t="s">
        <v>463</v>
      </c>
      <c r="F11" s="22" t="s">
        <v>14</v>
      </c>
      <c r="G11" s="22"/>
      <c r="H11" s="22"/>
      <c r="I11" s="22"/>
    </row>
    <row r="12" spans="1:9" outlineLevel="1">
      <c r="A12" s="20" t="s">
        <v>11</v>
      </c>
      <c r="B12" s="20" t="s">
        <v>82</v>
      </c>
      <c r="C12" s="20"/>
      <c r="D12" s="20"/>
      <c r="E12" s="20" t="s">
        <v>465</v>
      </c>
      <c r="F12" s="20" t="s">
        <v>14</v>
      </c>
      <c r="G12" s="20"/>
      <c r="H12" s="20"/>
      <c r="I12" s="20"/>
    </row>
    <row r="13" spans="1:9" outlineLevel="1">
      <c r="A13" s="20" t="s">
        <v>11</v>
      </c>
      <c r="B13" s="20" t="s">
        <v>82</v>
      </c>
      <c r="C13" s="20"/>
      <c r="D13" s="20"/>
      <c r="E13" s="20" t="s">
        <v>466</v>
      </c>
      <c r="F13" s="20" t="s">
        <v>14</v>
      </c>
      <c r="G13" s="20"/>
      <c r="H13" s="20"/>
      <c r="I13" s="2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9:G13" xr:uid="{5BDB6E42-3A44-4DF1-B9C5-2C89D7778407}">
      <formula1>"Yes,No"</formula1>
    </dataValidation>
  </dataValidations>
  <hyperlinks>
    <hyperlink ref="C9" location="'Does your project apply b(enum)'!A1" display="'Does your project apply b(enum)" xr:uid="{0F329E0E-62BA-4456-A239-93768E7F3967}"/>
    <hyperlink ref="B11" location="'BSL-Carbon stock in trees at a '!A1" display="'BSL-Carbon stock in trees at a" xr:uid="{8AFF1DD8-66A2-4833-94EE-9C7B558714CA}"/>
  </hyperlinks>
  <pageMargins left="0.7" right="0.7" top="0.75" bottom="0.75" header="0.3" footer="0.3"/>
  <pageSetup orientation="portrait" horizontalDpi="4294967295" verticalDpi="429496729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FC9D4-A6BB-428B-A481-A6BBBC820E06}">
  <sheetPr codeName="Sheet108">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2" t="s">
        <v>463</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c r="D5" s="18"/>
      <c r="E5" s="18" t="s">
        <v>464</v>
      </c>
      <c r="F5" s="18" t="s">
        <v>14</v>
      </c>
      <c r="G5" s="18"/>
      <c r="H5" s="18"/>
      <c r="I5" s="18"/>
    </row>
    <row r="6" spans="1:9" ht="29.25" customHeight="1">
      <c r="A6" s="18" t="s">
        <v>11</v>
      </c>
      <c r="B6" s="18" t="s">
        <v>82</v>
      </c>
      <c r="C6" s="19"/>
      <c r="D6" s="18"/>
      <c r="E6" s="18" t="s">
        <v>465</v>
      </c>
      <c r="F6" s="18" t="s">
        <v>14</v>
      </c>
      <c r="G6" s="18"/>
      <c r="H6" s="18"/>
      <c r="I6" s="18"/>
    </row>
    <row r="7" spans="1:9" ht="29.25" customHeight="1">
      <c r="A7" s="18" t="s">
        <v>11</v>
      </c>
      <c r="B7" s="18" t="s">
        <v>82</v>
      </c>
      <c r="C7" s="19"/>
      <c r="D7" s="18"/>
      <c r="E7" s="18" t="s">
        <v>466</v>
      </c>
      <c r="F7" s="18" t="s">
        <v>14</v>
      </c>
      <c r="G7" s="18"/>
      <c r="H7" s="18"/>
      <c r="I7"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5:G7" xr:uid="{E9AFC3F7-C3C5-4F80-90F3-F9412A65C19C}">
      <formula1>"Yes,No"</formula1>
    </dataValidation>
  </dataValidation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BD1E-006C-48F3-91DF-9804C13F3FAF}">
  <sheetPr codeName="Sheet10">
    <outlinePr summaryBelow="0" summaryRight="0"/>
  </sheetPr>
  <dimension ref="A1:G9"/>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606</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1" t="s">
        <v>642</v>
      </c>
      <c r="B4" s="33" t="s">
        <v>645</v>
      </c>
      <c r="C4" s="33"/>
      <c r="D4" s="33"/>
      <c r="E4" s="33"/>
      <c r="F4" s="33"/>
      <c r="G4" s="33"/>
    </row>
    <row r="5" spans="1:7" ht="18.75">
      <c r="A5" s="1" t="s">
        <v>643</v>
      </c>
      <c r="B5" s="33" t="s">
        <v>646</v>
      </c>
      <c r="C5" s="33"/>
      <c r="D5" s="33"/>
      <c r="E5" s="33"/>
      <c r="F5" s="33"/>
      <c r="G5" s="33"/>
    </row>
    <row r="6" spans="1:7" ht="18.75">
      <c r="A6" s="2" t="s">
        <v>4</v>
      </c>
      <c r="B6" s="2" t="s">
        <v>5</v>
      </c>
      <c r="C6" s="2" t="s">
        <v>6</v>
      </c>
      <c r="D6" s="2" t="s">
        <v>7</v>
      </c>
      <c r="E6" s="2" t="s">
        <v>8</v>
      </c>
      <c r="F6" s="2" t="s">
        <v>9</v>
      </c>
      <c r="G6" s="2" t="s">
        <v>10</v>
      </c>
    </row>
    <row r="7" spans="1:7" ht="29.25" customHeight="1">
      <c r="A7" s="3" t="s">
        <v>11</v>
      </c>
      <c r="B7" s="3" t="s">
        <v>82</v>
      </c>
      <c r="C7" s="3"/>
      <c r="D7" s="3"/>
      <c r="E7" s="3" t="s">
        <v>607</v>
      </c>
      <c r="F7" s="3" t="s">
        <v>14</v>
      </c>
      <c r="G7" s="3">
        <v>0.1</v>
      </c>
    </row>
    <row r="8" spans="1:7" ht="30">
      <c r="A8" s="3" t="s">
        <v>11</v>
      </c>
      <c r="B8" s="3" t="s">
        <v>82</v>
      </c>
      <c r="C8" s="3"/>
      <c r="D8" s="3"/>
      <c r="E8" s="3" t="s">
        <v>608</v>
      </c>
      <c r="F8" s="3" t="s">
        <v>14</v>
      </c>
      <c r="G8" s="3">
        <v>0.08</v>
      </c>
    </row>
    <row r="9" spans="1:7" ht="30">
      <c r="A9" s="3" t="s">
        <v>11</v>
      </c>
      <c r="B9" s="3" t="s">
        <v>82</v>
      </c>
      <c r="C9" s="3"/>
      <c r="D9" s="3"/>
      <c r="E9" s="3" t="s">
        <v>609</v>
      </c>
      <c r="F9" s="3" t="s">
        <v>14</v>
      </c>
      <c r="G9" s="3">
        <v>0.15</v>
      </c>
    </row>
  </sheetData>
  <mergeCells count="5">
    <mergeCell ref="A1:G1"/>
    <mergeCell ref="B2:G2"/>
    <mergeCell ref="B3:G3"/>
    <mergeCell ref="B4:G4"/>
    <mergeCell ref="B5:G5"/>
  </mergeCells>
  <dataValidations count="1">
    <dataValidation type="list" allowBlank="1" showInputMessage="1" showErrorMessage="1" sqref="B3:G3" xr:uid="{E5F504B0-1893-47A5-BDFE-797DFC09C4D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604C-B834-4D93-86F7-7A70A5BB13F5}">
  <sheetPr codeName="Sheet109">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765</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399</v>
      </c>
      <c r="E5" s="18" t="s">
        <v>758</v>
      </c>
      <c r="F5" s="18" t="s">
        <v>14</v>
      </c>
      <c r="G5" s="18">
        <f>SUM(G7)</f>
        <v>7.333333333333333</v>
      </c>
      <c r="H5" s="18" t="s">
        <v>47</v>
      </c>
      <c r="I5" s="18" t="s">
        <v>47</v>
      </c>
    </row>
    <row r="6" spans="1:9">
      <c r="A6" s="22" t="s">
        <v>11</v>
      </c>
      <c r="B6" s="23" t="s">
        <v>470</v>
      </c>
      <c r="C6" s="22" t="s">
        <v>47</v>
      </c>
      <c r="D6" s="22"/>
      <c r="E6" s="22" t="s">
        <v>403</v>
      </c>
      <c r="F6" s="22" t="s">
        <v>11</v>
      </c>
      <c r="G6" s="22" t="s">
        <v>47</v>
      </c>
      <c r="H6" s="22" t="s">
        <v>47</v>
      </c>
      <c r="I6" s="22" t="s">
        <v>47</v>
      </c>
    </row>
    <row r="7" spans="1:9" ht="30" outlineLevel="1" collapsed="1">
      <c r="A7" s="20" t="s">
        <v>14</v>
      </c>
      <c r="B7" s="20" t="s">
        <v>82</v>
      </c>
      <c r="C7" s="20" t="s">
        <v>47</v>
      </c>
      <c r="D7" s="20" t="s">
        <v>399</v>
      </c>
      <c r="E7" s="20" t="s">
        <v>471</v>
      </c>
      <c r="F7" s="20" t="s">
        <v>14</v>
      </c>
      <c r="G7" s="20">
        <f>44/12*G8*G9*(1+G10)*G11*G12</f>
        <v>7.333333333333333</v>
      </c>
      <c r="H7" s="20" t="s">
        <v>47</v>
      </c>
      <c r="I7" s="20" t="s">
        <v>47</v>
      </c>
    </row>
    <row r="8" spans="1:9" outlineLevel="1" collapsed="1">
      <c r="A8" s="20" t="s">
        <v>11</v>
      </c>
      <c r="B8" s="20" t="s">
        <v>82</v>
      </c>
      <c r="C8" s="20" t="s">
        <v>47</v>
      </c>
      <c r="D8" s="20"/>
      <c r="E8" s="20" t="s">
        <v>405</v>
      </c>
      <c r="F8" s="20" t="s">
        <v>14</v>
      </c>
      <c r="G8" s="20">
        <v>1</v>
      </c>
      <c r="H8" s="20" t="s">
        <v>47</v>
      </c>
      <c r="I8" s="20" t="s">
        <v>47</v>
      </c>
    </row>
    <row r="9" spans="1:9" ht="30" outlineLevel="1" collapsed="1">
      <c r="A9" s="20" t="s">
        <v>11</v>
      </c>
      <c r="B9" s="20" t="s">
        <v>82</v>
      </c>
      <c r="C9" s="20" t="s">
        <v>47</v>
      </c>
      <c r="D9" s="20"/>
      <c r="E9" s="20" t="s">
        <v>472</v>
      </c>
      <c r="F9" s="20" t="s">
        <v>14</v>
      </c>
      <c r="G9" s="20">
        <v>1</v>
      </c>
      <c r="H9" s="20" t="s">
        <v>47</v>
      </c>
      <c r="I9" s="20" t="s">
        <v>47</v>
      </c>
    </row>
    <row r="10" spans="1:9" outlineLevel="1" collapsed="1">
      <c r="A10" s="20" t="s">
        <v>11</v>
      </c>
      <c r="B10" s="20" t="s">
        <v>82</v>
      </c>
      <c r="C10" s="20" t="s">
        <v>47</v>
      </c>
      <c r="D10" s="20"/>
      <c r="E10" s="20" t="s">
        <v>407</v>
      </c>
      <c r="F10" s="20" t="s">
        <v>14</v>
      </c>
      <c r="G10" s="20">
        <v>1</v>
      </c>
      <c r="H10" s="20" t="s">
        <v>47</v>
      </c>
      <c r="I10" s="20" t="s">
        <v>47</v>
      </c>
    </row>
    <row r="11" spans="1:9" ht="30" outlineLevel="1" collapsed="1">
      <c r="A11" s="20" t="s">
        <v>11</v>
      </c>
      <c r="B11" s="20" t="s">
        <v>82</v>
      </c>
      <c r="C11" s="20" t="s">
        <v>47</v>
      </c>
      <c r="D11" s="20"/>
      <c r="E11" s="20" t="s">
        <v>408</v>
      </c>
      <c r="F11" s="20" t="s">
        <v>14</v>
      </c>
      <c r="G11" s="20">
        <v>1</v>
      </c>
      <c r="H11" s="20" t="s">
        <v>47</v>
      </c>
      <c r="I11" s="20" t="s">
        <v>47</v>
      </c>
    </row>
    <row r="12" spans="1:9" ht="30" outlineLevel="1" collapsed="1">
      <c r="A12" s="20" t="s">
        <v>11</v>
      </c>
      <c r="B12" s="20" t="s">
        <v>82</v>
      </c>
      <c r="C12" s="20" t="s">
        <v>47</v>
      </c>
      <c r="D12" s="20"/>
      <c r="E12" s="20" t="s">
        <v>409</v>
      </c>
      <c r="F12" s="20" t="s">
        <v>14</v>
      </c>
      <c r="G12" s="20">
        <v>1</v>
      </c>
      <c r="H12" s="20" t="s">
        <v>47</v>
      </c>
      <c r="I12" s="20"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6" location="'BSL-Mean annual change in carbo'!A1" display="'BSL-Mean annual change in carbo" xr:uid="{5DC57F71-58C3-4F50-96F6-924434CAE6BA}"/>
  </hyperlinks>
  <pageMargins left="0.7" right="0.7" top="0.75" bottom="0.75" header="0.3" footer="0.3"/>
  <pageSetup orientation="portrait" horizontalDpi="4294967295" verticalDpi="4294967295"/>
  <legacy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2F79-1F68-4B95-8A50-3F19A6FE5FF4}">
  <sheetPr codeName="Sheet110">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766</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82</v>
      </c>
      <c r="C5" s="19" t="s">
        <v>47</v>
      </c>
      <c r="D5" s="18" t="s">
        <v>399</v>
      </c>
      <c r="E5" s="18" t="s">
        <v>471</v>
      </c>
      <c r="F5" s="18" t="s">
        <v>14</v>
      </c>
      <c r="G5" s="18">
        <f>44/12*G6*G7*(1+G8)*G9*G10</f>
        <v>7.333333333333333</v>
      </c>
      <c r="H5" s="18" t="s">
        <v>47</v>
      </c>
      <c r="I5" s="18" t="s">
        <v>47</v>
      </c>
    </row>
    <row r="6" spans="1:9" ht="29.25" customHeight="1">
      <c r="A6" s="18" t="s">
        <v>11</v>
      </c>
      <c r="B6" s="18" t="s">
        <v>82</v>
      </c>
      <c r="C6" s="19" t="s">
        <v>47</v>
      </c>
      <c r="D6" s="18"/>
      <c r="E6" s="18" t="s">
        <v>405</v>
      </c>
      <c r="F6" s="18" t="s">
        <v>14</v>
      </c>
      <c r="G6" s="18">
        <v>1</v>
      </c>
      <c r="H6" s="18" t="s">
        <v>47</v>
      </c>
      <c r="I6" s="18" t="s">
        <v>47</v>
      </c>
    </row>
    <row r="7" spans="1:9" ht="29.25" customHeight="1">
      <c r="A7" s="18" t="s">
        <v>11</v>
      </c>
      <c r="B7" s="18" t="s">
        <v>82</v>
      </c>
      <c r="C7" s="19" t="s">
        <v>47</v>
      </c>
      <c r="D7" s="18"/>
      <c r="E7" s="18" t="s">
        <v>472</v>
      </c>
      <c r="F7" s="18" t="s">
        <v>14</v>
      </c>
      <c r="G7" s="18">
        <v>1</v>
      </c>
      <c r="H7" s="18" t="s">
        <v>47</v>
      </c>
      <c r="I7" s="18" t="s">
        <v>47</v>
      </c>
    </row>
    <row r="8" spans="1:9" ht="29.25" customHeight="1">
      <c r="A8" s="18" t="s">
        <v>11</v>
      </c>
      <c r="B8" s="18" t="s">
        <v>82</v>
      </c>
      <c r="C8" s="19" t="s">
        <v>47</v>
      </c>
      <c r="D8" s="18"/>
      <c r="E8" s="18" t="s">
        <v>407</v>
      </c>
      <c r="F8" s="18" t="s">
        <v>14</v>
      </c>
      <c r="G8" s="18">
        <v>1</v>
      </c>
      <c r="H8" s="18" t="s">
        <v>47</v>
      </c>
      <c r="I8" s="18" t="s">
        <v>47</v>
      </c>
    </row>
    <row r="9" spans="1:9" ht="29.25" customHeight="1">
      <c r="A9" s="18" t="s">
        <v>11</v>
      </c>
      <c r="B9" s="18" t="s">
        <v>82</v>
      </c>
      <c r="C9" s="19" t="s">
        <v>47</v>
      </c>
      <c r="D9" s="18"/>
      <c r="E9" s="18" t="s">
        <v>408</v>
      </c>
      <c r="F9" s="18" t="s">
        <v>14</v>
      </c>
      <c r="G9" s="18">
        <v>1</v>
      </c>
      <c r="H9" s="18" t="s">
        <v>47</v>
      </c>
      <c r="I9" s="18" t="s">
        <v>47</v>
      </c>
    </row>
    <row r="10" spans="1:9" ht="29.25" customHeight="1">
      <c r="A10" s="18" t="s">
        <v>11</v>
      </c>
      <c r="B10" s="18" t="s">
        <v>82</v>
      </c>
      <c r="C10" s="19" t="s">
        <v>47</v>
      </c>
      <c r="D10" s="18"/>
      <c r="E10" s="18" t="s">
        <v>409</v>
      </c>
      <c r="F10" s="18" t="s">
        <v>14</v>
      </c>
      <c r="G10" s="18">
        <v>1</v>
      </c>
      <c r="H10" s="18" t="s">
        <v>47</v>
      </c>
      <c r="I10"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460-5709-48AF-A697-5AC2F6CD3E47}">
  <sheetPr codeName="Sheet111">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767</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0" t="s">
        <v>513</v>
      </c>
      <c r="D5" s="18"/>
      <c r="E5" s="18" t="s">
        <v>514</v>
      </c>
      <c r="F5" s="18" t="s">
        <v>14</v>
      </c>
      <c r="G5" s="18" t="s">
        <v>14</v>
      </c>
      <c r="H5" s="18" t="s">
        <v>47</v>
      </c>
      <c r="I5" s="18" t="s">
        <v>47</v>
      </c>
    </row>
    <row r="6" spans="1:9">
      <c r="A6" s="18" t="s">
        <v>14</v>
      </c>
      <c r="B6" s="10" t="s">
        <v>515</v>
      </c>
      <c r="C6" s="19"/>
      <c r="D6" s="18" t="b">
        <f>EXACT(G5,"Yes")</f>
        <v>0</v>
      </c>
      <c r="E6" s="18" t="s">
        <v>393</v>
      </c>
      <c r="F6" s="3" t="s">
        <v>14</v>
      </c>
      <c r="G6" s="18"/>
      <c r="H6" s="18"/>
      <c r="I6" s="18"/>
    </row>
    <row r="7" spans="1:9" ht="165" outlineLevel="1" collapsed="1">
      <c r="A7" s="20" t="s">
        <v>14</v>
      </c>
      <c r="B7" s="20" t="s">
        <v>44</v>
      </c>
      <c r="C7" s="20"/>
      <c r="D7" s="20"/>
      <c r="E7" s="20" t="s">
        <v>516</v>
      </c>
      <c r="F7" s="4" t="s">
        <v>14</v>
      </c>
      <c r="G7" s="20"/>
      <c r="H7" s="20"/>
      <c r="I7" s="20"/>
    </row>
    <row r="8" spans="1:9" ht="60" outlineLevel="1" collapsed="1">
      <c r="A8" s="20" t="s">
        <v>11</v>
      </c>
      <c r="B8" s="20" t="s">
        <v>17</v>
      </c>
      <c r="C8" s="27" t="s">
        <v>517</v>
      </c>
      <c r="D8" s="20"/>
      <c r="E8" s="20" t="s">
        <v>518</v>
      </c>
      <c r="F8" s="4" t="s">
        <v>14</v>
      </c>
      <c r="G8" s="20"/>
      <c r="H8" s="20"/>
      <c r="I8" s="20"/>
    </row>
    <row r="9" spans="1:9" ht="29.25" customHeight="1">
      <c r="A9" s="18" t="s">
        <v>14</v>
      </c>
      <c r="B9" s="3" t="s">
        <v>82</v>
      </c>
      <c r="C9" s="19" t="s">
        <v>47</v>
      </c>
      <c r="D9" s="18" t="s">
        <v>399</v>
      </c>
      <c r="E9" s="18" t="s">
        <v>519</v>
      </c>
      <c r="F9" s="18" t="s">
        <v>14</v>
      </c>
      <c r="G9" s="18" t="e">
        <f>IF(AND(#REF!="No"),E10-E11,0)</f>
        <v>#REF!</v>
      </c>
      <c r="H9" s="18" t="s">
        <v>47</v>
      </c>
      <c r="I9" s="18" t="s">
        <v>47</v>
      </c>
    </row>
    <row r="10" spans="1:9" ht="29.25" customHeight="1">
      <c r="A10" s="18" t="s">
        <v>11</v>
      </c>
      <c r="B10" s="18" t="s">
        <v>82</v>
      </c>
      <c r="C10" s="19" t="s">
        <v>47</v>
      </c>
      <c r="D10" s="18"/>
      <c r="E10" s="18" t="s">
        <v>520</v>
      </c>
      <c r="F10" s="18" t="s">
        <v>14</v>
      </c>
      <c r="G10" s="18">
        <v>1</v>
      </c>
      <c r="H10" s="18" t="s">
        <v>47</v>
      </c>
      <c r="I10" s="18" t="s">
        <v>47</v>
      </c>
    </row>
    <row r="11" spans="1:9" ht="29.25" customHeight="1">
      <c r="A11" s="18" t="s">
        <v>11</v>
      </c>
      <c r="B11" s="18" t="s">
        <v>82</v>
      </c>
      <c r="C11" s="19" t="s">
        <v>47</v>
      </c>
      <c r="D11" s="18"/>
      <c r="E11" s="18" t="s">
        <v>521</v>
      </c>
      <c r="F11" s="18" t="s">
        <v>14</v>
      </c>
      <c r="G11" s="18">
        <v>1</v>
      </c>
      <c r="H11" s="18" t="s">
        <v>47</v>
      </c>
      <c r="I11"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G5" xr:uid="{23A13018-8E15-45FD-9A57-099AB43CE824}">
      <formula1>"Yes,No"</formula1>
    </dataValidation>
  </dataValidations>
  <hyperlinks>
    <hyperlink ref="C5" location="'Will you be applying the (enum)'!A1" display="'Will you be applying the (enum)" xr:uid="{9815B944-010F-4AB8-856A-C3CF8CB4492C}"/>
    <hyperlink ref="B6" location="'Shrub Demonstration of “n'!A1" display="'Shrub Demonstration of “n" xr:uid="{DE760934-D565-4626-AA5F-10824D017B4A}"/>
    <hyperlink ref="C8" location="'If all three conditi (enum)'!A1" display="'If all three conditi (enum)" xr:uid="{F92F8075-39C6-46AE-8EDA-DD3EC1A8B77C}"/>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
        <x14:dataValidation type="list" allowBlank="1" xr:uid="{3D83DC7E-4A1A-4E56-996B-1F6BFBFF81AF}">
          <x14:formula1>
            <xm:f>'Which method did you us (enum)'!C1048573:C1048576</xm:f>
          </x14:formula1>
          <xm:sqref>H5:I7</xm:sqref>
        </x14:dataValidation>
        <x14:dataValidation type="list" allowBlank="1" xr:uid="{2BC28741-07FF-4C66-A6C8-12E0592A29CE}">
          <x14:formula1>
            <xm:f>'Which method did you us (enum)'!C2:C1048575</xm:f>
          </x14:formula1>
          <xm:sqref>H8:I8</xm:sqref>
        </x14:dataValidation>
      </x14:dataValidations>
    </ext>
  </extLst>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67C82-C435-4FFA-9144-3E057CE671B8}">
  <sheetPr codeName="Sheet112">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768</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524</v>
      </c>
      <c r="F5" s="18" t="s">
        <v>14</v>
      </c>
      <c r="G5" s="18">
        <f>(G6-G7/G8)*1</f>
        <v>0</v>
      </c>
      <c r="H5" s="18" t="s">
        <v>47</v>
      </c>
      <c r="I5" s="18" t="s">
        <v>47</v>
      </c>
    </row>
    <row r="6" spans="1:9" ht="29.25" customHeight="1">
      <c r="A6" s="18" t="s">
        <v>11</v>
      </c>
      <c r="B6" s="18" t="s">
        <v>82</v>
      </c>
      <c r="C6" s="19" t="s">
        <v>47</v>
      </c>
      <c r="D6" s="18"/>
      <c r="E6" s="18" t="s">
        <v>525</v>
      </c>
      <c r="F6" s="18" t="s">
        <v>14</v>
      </c>
      <c r="G6" s="18">
        <v>1</v>
      </c>
      <c r="H6" s="18" t="s">
        <v>47</v>
      </c>
      <c r="I6" s="18" t="s">
        <v>47</v>
      </c>
    </row>
    <row r="7" spans="1:9" ht="29.25" customHeight="1">
      <c r="A7" s="18" t="s">
        <v>11</v>
      </c>
      <c r="B7" s="18" t="s">
        <v>82</v>
      </c>
      <c r="C7" s="19" t="s">
        <v>47</v>
      </c>
      <c r="D7" s="18"/>
      <c r="E7" s="18" t="s">
        <v>526</v>
      </c>
      <c r="F7" s="18" t="s">
        <v>14</v>
      </c>
      <c r="G7" s="18">
        <v>1</v>
      </c>
      <c r="H7" s="18" t="s">
        <v>47</v>
      </c>
      <c r="I7" s="18" t="s">
        <v>47</v>
      </c>
    </row>
    <row r="8" spans="1:9" ht="29.25" customHeight="1">
      <c r="A8" s="18" t="s">
        <v>11</v>
      </c>
      <c r="B8" s="18" t="s">
        <v>82</v>
      </c>
      <c r="C8" s="19" t="s">
        <v>47</v>
      </c>
      <c r="D8" s="18"/>
      <c r="E8" s="18" t="s">
        <v>527</v>
      </c>
      <c r="F8" s="18" t="s">
        <v>14</v>
      </c>
      <c r="G8" s="18">
        <v>1</v>
      </c>
      <c r="H8" s="18" t="s">
        <v>47</v>
      </c>
      <c r="I8"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41BB-6B72-427A-8EB1-B437854141ED}">
  <sheetPr codeName="Sheet113">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2" t="s">
        <v>529</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530</v>
      </c>
      <c r="F5" s="18" t="s">
        <v>14</v>
      </c>
      <c r="G5" s="18">
        <f>44/12*G6*(1+G7)*SUM((G12*G13))</f>
        <v>7.333333333333333</v>
      </c>
      <c r="H5" s="18" t="s">
        <v>47</v>
      </c>
      <c r="I5" s="18" t="s">
        <v>47</v>
      </c>
    </row>
    <row r="6" spans="1:9" ht="29.25" customHeight="1">
      <c r="A6" s="18" t="s">
        <v>11</v>
      </c>
      <c r="B6" s="18" t="s">
        <v>82</v>
      </c>
      <c r="C6" s="19" t="s">
        <v>47</v>
      </c>
      <c r="D6" s="18"/>
      <c r="E6" s="18" t="s">
        <v>531</v>
      </c>
      <c r="F6" s="18" t="s">
        <v>14</v>
      </c>
      <c r="G6" s="18">
        <v>1</v>
      </c>
      <c r="H6" s="18" t="s">
        <v>47</v>
      </c>
      <c r="I6" s="18" t="s">
        <v>47</v>
      </c>
    </row>
    <row r="7" spans="1:9" ht="29.25" customHeight="1">
      <c r="A7" s="18" t="s">
        <v>11</v>
      </c>
      <c r="B7" s="18" t="s">
        <v>82</v>
      </c>
      <c r="C7" s="19" t="s">
        <v>47</v>
      </c>
      <c r="D7" s="18"/>
      <c r="E7" s="18" t="s">
        <v>532</v>
      </c>
      <c r="F7" s="18" t="s">
        <v>14</v>
      </c>
      <c r="G7" s="18">
        <v>1</v>
      </c>
      <c r="H7" s="18" t="s">
        <v>47</v>
      </c>
      <c r="I7" s="18" t="s">
        <v>47</v>
      </c>
    </row>
    <row r="8" spans="1:9">
      <c r="A8" s="22" t="s">
        <v>11</v>
      </c>
      <c r="B8" s="23" t="s">
        <v>533</v>
      </c>
      <c r="C8" s="22" t="s">
        <v>47</v>
      </c>
      <c r="D8" s="22"/>
      <c r="E8" s="22" t="s">
        <v>534</v>
      </c>
      <c r="F8" s="22" t="s">
        <v>11</v>
      </c>
      <c r="G8" s="22" t="s">
        <v>47</v>
      </c>
      <c r="H8" s="22" t="s">
        <v>47</v>
      </c>
      <c r="I8" s="22" t="s">
        <v>47</v>
      </c>
    </row>
    <row r="9" spans="1:9" ht="30" outlineLevel="1" collapsed="1">
      <c r="A9" s="20" t="s">
        <v>11</v>
      </c>
      <c r="B9" s="20" t="s">
        <v>82</v>
      </c>
      <c r="C9" s="20" t="s">
        <v>47</v>
      </c>
      <c r="D9" s="20"/>
      <c r="E9" s="20" t="s">
        <v>535</v>
      </c>
      <c r="F9" s="20" t="s">
        <v>14</v>
      </c>
      <c r="G9" s="20">
        <v>1</v>
      </c>
      <c r="H9" s="20" t="s">
        <v>47</v>
      </c>
      <c r="I9" s="20" t="s">
        <v>47</v>
      </c>
    </row>
    <row r="10" spans="1:9" ht="30" outlineLevel="1" collapsed="1">
      <c r="A10" s="20" t="s">
        <v>11</v>
      </c>
      <c r="B10" s="20" t="s">
        <v>82</v>
      </c>
      <c r="C10" s="20" t="s">
        <v>47</v>
      </c>
      <c r="D10" s="20"/>
      <c r="E10" s="20" t="s">
        <v>536</v>
      </c>
      <c r="F10" s="20" t="s">
        <v>14</v>
      </c>
      <c r="G10" s="20">
        <v>1</v>
      </c>
      <c r="H10" s="20" t="s">
        <v>47</v>
      </c>
      <c r="I10" s="20" t="s">
        <v>47</v>
      </c>
    </row>
    <row r="11" spans="1:9" ht="30" outlineLevel="1" collapsed="1">
      <c r="A11" s="20" t="s">
        <v>11</v>
      </c>
      <c r="B11" s="20" t="s">
        <v>82</v>
      </c>
      <c r="C11" s="20" t="s">
        <v>47</v>
      </c>
      <c r="D11" s="20"/>
      <c r="E11" s="20" t="s">
        <v>537</v>
      </c>
      <c r="F11" s="20" t="s">
        <v>14</v>
      </c>
      <c r="G11" s="20">
        <v>1</v>
      </c>
      <c r="H11" s="20" t="s">
        <v>47</v>
      </c>
      <c r="I11" s="20" t="s">
        <v>47</v>
      </c>
    </row>
    <row r="12" spans="1:9" ht="30" outlineLevel="1" collapsed="1">
      <c r="A12" s="20" t="s">
        <v>11</v>
      </c>
      <c r="B12" s="20" t="s">
        <v>82</v>
      </c>
      <c r="C12" s="20" t="s">
        <v>47</v>
      </c>
      <c r="D12" s="20"/>
      <c r="E12" s="20" t="s">
        <v>538</v>
      </c>
      <c r="F12" s="20" t="s">
        <v>14</v>
      </c>
      <c r="G12" s="20">
        <v>1</v>
      </c>
      <c r="H12" s="20" t="s">
        <v>47</v>
      </c>
      <c r="I12" s="20" t="s">
        <v>47</v>
      </c>
    </row>
    <row r="13" spans="1:9" ht="30" outlineLevel="1" collapsed="1">
      <c r="A13" s="20" t="s">
        <v>14</v>
      </c>
      <c r="B13" s="4" t="s">
        <v>82</v>
      </c>
      <c r="C13" s="20" t="s">
        <v>47</v>
      </c>
      <c r="D13" s="20" t="s">
        <v>399</v>
      </c>
      <c r="E13" s="20" t="s">
        <v>539</v>
      </c>
      <c r="F13" s="20" t="s">
        <v>14</v>
      </c>
      <c r="G13" s="20">
        <f>G9*G10*G11</f>
        <v>1</v>
      </c>
      <c r="H13" s="20" t="s">
        <v>47</v>
      </c>
      <c r="I13" s="20"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8" location="'Shrub biomass per hectare in sh'!A1" display="'Shrub biomass per hectare in sh" xr:uid="{266CD8AB-07C6-44A6-A910-CD050B3FC2E3}"/>
  </hyperlinks>
  <pageMargins left="0.7" right="0.7" top="0.75" bottom="0.75" header="0.3" footer="0.3"/>
  <pageSetup orientation="portrait" horizontalDpi="4294967295" verticalDpi="4294967295"/>
  <legacy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123BE-4966-42B7-8F3F-5E732ABC820F}">
  <sheetPr codeName="Sheet114">
    <tabColor rgb="FF7030A0"/>
    <outlinePr summaryBelow="0" summaryRight="0"/>
  </sheetPr>
  <dimension ref="A1:I262"/>
  <sheetViews>
    <sheetView topLeftCell="A97" workbookViewId="0">
      <selection activeCell="C241" sqref="C241"/>
    </sheetView>
  </sheetViews>
  <sheetFormatPr defaultRowHeight="15" outlineLevelRow="5"/>
  <cols>
    <col min="1" max="1" width="20" customWidth="1"/>
    <col min="2" max="2" width="40" customWidth="1"/>
    <col min="3" max="4" width="20" customWidth="1"/>
    <col min="5" max="5" width="70" customWidth="1"/>
    <col min="6" max="6" width="30" customWidth="1"/>
    <col min="7" max="9" width="50" customWidth="1"/>
  </cols>
  <sheetData>
    <row r="1" spans="1:9" ht="18.75">
      <c r="A1" s="35" t="s">
        <v>543</v>
      </c>
      <c r="B1" s="35"/>
      <c r="C1" s="35"/>
      <c r="D1" s="35"/>
      <c r="E1" s="35"/>
      <c r="F1" s="35"/>
      <c r="G1" s="35"/>
      <c r="H1" s="35"/>
      <c r="I1" s="35"/>
    </row>
    <row r="2" spans="1:9" ht="18.75">
      <c r="A2" s="16" t="s">
        <v>1</v>
      </c>
      <c r="B2" s="36" t="s">
        <v>769</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0" t="s">
        <v>544</v>
      </c>
      <c r="D5" s="18"/>
      <c r="E5" s="18" t="s">
        <v>385</v>
      </c>
      <c r="F5" s="3" t="s">
        <v>14</v>
      </c>
      <c r="G5" s="18" t="s">
        <v>386</v>
      </c>
      <c r="H5" s="18"/>
      <c r="I5" s="18"/>
    </row>
    <row r="6" spans="1:9" ht="29.25" customHeight="1">
      <c r="A6" s="3" t="s">
        <v>14</v>
      </c>
      <c r="B6" s="10" t="s">
        <v>545</v>
      </c>
      <c r="C6" s="10"/>
      <c r="D6" s="18" t="b">
        <f>EXACT(G5,"Estimating change in carbon stock in trees between two points in time")</f>
        <v>0</v>
      </c>
      <c r="E6" s="18" t="s">
        <v>388</v>
      </c>
      <c r="F6" s="3" t="s">
        <v>14</v>
      </c>
      <c r="G6" s="18"/>
      <c r="H6" s="18"/>
      <c r="I6" s="18"/>
    </row>
    <row r="7" spans="1:9" ht="29.25" customHeight="1" outlineLevel="1">
      <c r="A7" s="18" t="s">
        <v>11</v>
      </c>
      <c r="B7" s="18" t="s">
        <v>17</v>
      </c>
      <c r="C7" s="10" t="s">
        <v>546</v>
      </c>
      <c r="D7" s="18"/>
      <c r="E7" s="18" t="s">
        <v>390</v>
      </c>
      <c r="F7" s="18" t="s">
        <v>14</v>
      </c>
      <c r="G7" s="18" t="s">
        <v>391</v>
      </c>
      <c r="H7" s="18" t="s">
        <v>47</v>
      </c>
      <c r="I7" s="18" t="s">
        <v>47</v>
      </c>
    </row>
    <row r="8" spans="1:9" outlineLevel="1">
      <c r="A8" s="18" t="s">
        <v>14</v>
      </c>
      <c r="B8" s="10" t="s">
        <v>392</v>
      </c>
      <c r="C8" s="19"/>
      <c r="D8" s="18" t="b">
        <f>EXACT(G7,"no-decrease")</f>
        <v>1</v>
      </c>
      <c r="E8" s="18" t="s">
        <v>393</v>
      </c>
      <c r="F8" s="3" t="s">
        <v>14</v>
      </c>
      <c r="G8" s="18"/>
      <c r="H8" s="18"/>
      <c r="I8" s="18"/>
    </row>
    <row r="9" spans="1:9" ht="165" outlineLevel="2" collapsed="1">
      <c r="A9" s="20" t="s">
        <v>14</v>
      </c>
      <c r="B9" s="20" t="s">
        <v>44</v>
      </c>
      <c r="C9" s="20"/>
      <c r="D9" s="20"/>
      <c r="E9" s="20" t="s">
        <v>394</v>
      </c>
      <c r="F9" s="4" t="s">
        <v>14</v>
      </c>
      <c r="G9" s="20"/>
      <c r="H9" s="20"/>
      <c r="I9" s="20"/>
    </row>
    <row r="10" spans="1:9" ht="60" outlineLevel="2" collapsed="1">
      <c r="A10" s="20" t="s">
        <v>11</v>
      </c>
      <c r="B10" s="20" t="s">
        <v>17</v>
      </c>
      <c r="C10" s="27" t="s">
        <v>395</v>
      </c>
      <c r="D10" s="20"/>
      <c r="E10" s="20" t="s">
        <v>396</v>
      </c>
      <c r="F10" s="4" t="s">
        <v>14</v>
      </c>
      <c r="G10" s="20"/>
      <c r="H10" s="20"/>
      <c r="I10" s="20"/>
    </row>
    <row r="11" spans="1:9" outlineLevel="1">
      <c r="A11" s="18" t="s">
        <v>14</v>
      </c>
      <c r="B11" s="10" t="s">
        <v>410</v>
      </c>
      <c r="C11" s="18" t="s">
        <v>47</v>
      </c>
      <c r="D11" s="18" t="b">
        <f>EXACT(G7,"Direct estimation of change by re-measurement of sample plots")</f>
        <v>0</v>
      </c>
      <c r="E11" s="18" t="s">
        <v>547</v>
      </c>
      <c r="F11" s="18" t="s">
        <v>14</v>
      </c>
      <c r="G11" s="18" t="s">
        <v>47</v>
      </c>
      <c r="H11" s="18" t="s">
        <v>47</v>
      </c>
      <c r="I11" s="18" t="s">
        <v>47</v>
      </c>
    </row>
    <row r="12" spans="1:9" outlineLevel="2" collapsed="1">
      <c r="A12" s="20" t="s">
        <v>14</v>
      </c>
      <c r="B12" s="4" t="s">
        <v>82</v>
      </c>
      <c r="C12" s="20" t="s">
        <v>47</v>
      </c>
      <c r="D12" s="20" t="s">
        <v>399</v>
      </c>
      <c r="E12" s="20" t="s">
        <v>412</v>
      </c>
      <c r="F12" s="20" t="s">
        <v>14</v>
      </c>
      <c r="G12" s="20">
        <f>44/12*G13*G14</f>
        <v>3.6666666666666665</v>
      </c>
      <c r="H12" s="20" t="s">
        <v>47</v>
      </c>
      <c r="I12" s="20" t="s">
        <v>47</v>
      </c>
    </row>
    <row r="13" spans="1:9" outlineLevel="2" collapsed="1">
      <c r="A13" s="20" t="s">
        <v>11</v>
      </c>
      <c r="B13" s="20" t="s">
        <v>82</v>
      </c>
      <c r="C13" s="20" t="s">
        <v>47</v>
      </c>
      <c r="D13" s="20"/>
      <c r="E13" s="20" t="s">
        <v>405</v>
      </c>
      <c r="F13" s="20" t="s">
        <v>14</v>
      </c>
      <c r="G13" s="20">
        <v>1</v>
      </c>
      <c r="H13" s="20" t="s">
        <v>47</v>
      </c>
      <c r="I13" s="20" t="s">
        <v>47</v>
      </c>
    </row>
    <row r="14" spans="1:9" ht="30" outlineLevel="2" collapsed="1">
      <c r="A14" s="20" t="s">
        <v>14</v>
      </c>
      <c r="B14" s="4" t="s">
        <v>82</v>
      </c>
      <c r="C14" s="20" t="s">
        <v>47</v>
      </c>
      <c r="D14" s="20" t="s">
        <v>399</v>
      </c>
      <c r="E14" s="20" t="s">
        <v>413</v>
      </c>
      <c r="F14" s="20" t="s">
        <v>14</v>
      </c>
      <c r="G14" s="20">
        <f>G16*G15</f>
        <v>1</v>
      </c>
      <c r="H14" s="20" t="s">
        <v>47</v>
      </c>
      <c r="I14" s="20" t="s">
        <v>47</v>
      </c>
    </row>
    <row r="15" spans="1:9" ht="30" outlineLevel="2" collapsed="1">
      <c r="A15" s="20" t="s">
        <v>14</v>
      </c>
      <c r="B15" s="4" t="s">
        <v>82</v>
      </c>
      <c r="C15" s="20" t="s">
        <v>47</v>
      </c>
      <c r="D15" s="20" t="s">
        <v>399</v>
      </c>
      <c r="E15" s="20" t="s">
        <v>414</v>
      </c>
      <c r="F15" s="20" t="s">
        <v>14</v>
      </c>
      <c r="G15" s="20">
        <f>SUM((G21*G20))</f>
        <v>1</v>
      </c>
      <c r="H15" s="20" t="s">
        <v>47</v>
      </c>
      <c r="I15" s="20" t="s">
        <v>47</v>
      </c>
    </row>
    <row r="16" spans="1:9" outlineLevel="2" collapsed="1">
      <c r="A16" s="20" t="s">
        <v>11</v>
      </c>
      <c r="B16" s="20" t="s">
        <v>82</v>
      </c>
      <c r="C16" s="20" t="s">
        <v>47</v>
      </c>
      <c r="D16" s="20"/>
      <c r="E16" s="20" t="s">
        <v>415</v>
      </c>
      <c r="F16" s="20" t="s">
        <v>14</v>
      </c>
      <c r="G16" s="20">
        <v>1</v>
      </c>
      <c r="H16" s="20" t="s">
        <v>47</v>
      </c>
      <c r="I16" s="20" t="s">
        <v>47</v>
      </c>
    </row>
    <row r="17" spans="1:9" outlineLevel="2" collapsed="1">
      <c r="A17" s="20" t="s">
        <v>11</v>
      </c>
      <c r="B17" s="20" t="s">
        <v>82</v>
      </c>
      <c r="C17" s="20" t="s">
        <v>47</v>
      </c>
      <c r="D17" s="20"/>
      <c r="E17" s="20" t="s">
        <v>548</v>
      </c>
      <c r="F17" s="20" t="s">
        <v>14</v>
      </c>
      <c r="G17" s="20">
        <v>1</v>
      </c>
      <c r="H17" s="20" t="s">
        <v>47</v>
      </c>
      <c r="I17" s="20" t="s">
        <v>47</v>
      </c>
    </row>
    <row r="18" spans="1:9" outlineLevel="2" collapsed="1">
      <c r="A18" s="20" t="s">
        <v>11</v>
      </c>
      <c r="B18" s="20" t="s">
        <v>82</v>
      </c>
      <c r="C18" s="20" t="s">
        <v>47</v>
      </c>
      <c r="D18" s="20"/>
      <c r="E18" s="20" t="s">
        <v>417</v>
      </c>
      <c r="F18" s="20" t="s">
        <v>14</v>
      </c>
      <c r="G18" s="20">
        <v>1</v>
      </c>
      <c r="H18" s="20" t="s">
        <v>47</v>
      </c>
      <c r="I18" s="20" t="s">
        <v>47</v>
      </c>
    </row>
    <row r="19" spans="1:9" ht="30" outlineLevel="2">
      <c r="A19" s="22" t="s">
        <v>11</v>
      </c>
      <c r="B19" s="23" t="s">
        <v>418</v>
      </c>
      <c r="C19" s="22" t="s">
        <v>47</v>
      </c>
      <c r="D19" s="22"/>
      <c r="E19" s="22" t="s">
        <v>419</v>
      </c>
      <c r="F19" s="22" t="s">
        <v>11</v>
      </c>
      <c r="G19" s="22" t="s">
        <v>47</v>
      </c>
      <c r="H19" s="22" t="s">
        <v>47</v>
      </c>
      <c r="I19" s="22" t="s">
        <v>47</v>
      </c>
    </row>
    <row r="20" spans="1:9" ht="30" outlineLevel="3" collapsed="1">
      <c r="A20" s="20" t="s">
        <v>14</v>
      </c>
      <c r="B20" s="4" t="s">
        <v>82</v>
      </c>
      <c r="C20" s="20" t="s">
        <v>47</v>
      </c>
      <c r="D20" s="20" t="s">
        <v>399</v>
      </c>
      <c r="E20" s="20" t="s">
        <v>420</v>
      </c>
      <c r="F20" s="20" t="s">
        <v>14</v>
      </c>
      <c r="G20" s="20">
        <f>(SUM(G25))/G23</f>
        <v>1</v>
      </c>
      <c r="H20" s="20" t="s">
        <v>47</v>
      </c>
      <c r="I20" s="20" t="s">
        <v>47</v>
      </c>
    </row>
    <row r="21" spans="1:9" ht="30" outlineLevel="3" collapsed="1">
      <c r="A21" s="20" t="s">
        <v>11</v>
      </c>
      <c r="B21" s="20" t="s">
        <v>82</v>
      </c>
      <c r="C21" s="20" t="s">
        <v>47</v>
      </c>
      <c r="D21" s="20"/>
      <c r="E21" s="20" t="s">
        <v>421</v>
      </c>
      <c r="F21" s="20" t="s">
        <v>14</v>
      </c>
      <c r="G21" s="20">
        <v>1</v>
      </c>
      <c r="H21" s="20" t="s">
        <v>47</v>
      </c>
      <c r="I21" s="20" t="s">
        <v>47</v>
      </c>
    </row>
    <row r="22" spans="1:9" ht="30" outlineLevel="3" collapsed="1">
      <c r="A22" s="20" t="s">
        <v>11</v>
      </c>
      <c r="B22" s="20" t="s">
        <v>82</v>
      </c>
      <c r="C22" s="20" t="s">
        <v>47</v>
      </c>
      <c r="D22" s="20"/>
      <c r="E22" s="20" t="s">
        <v>422</v>
      </c>
      <c r="F22" s="20" t="s">
        <v>14</v>
      </c>
      <c r="G22" s="20">
        <v>1</v>
      </c>
      <c r="H22" s="20" t="s">
        <v>47</v>
      </c>
      <c r="I22" s="20" t="s">
        <v>47</v>
      </c>
    </row>
    <row r="23" spans="1:9" ht="30" outlineLevel="3" collapsed="1">
      <c r="A23" s="20" t="s">
        <v>11</v>
      </c>
      <c r="B23" s="20" t="s">
        <v>82</v>
      </c>
      <c r="C23" s="20" t="s">
        <v>47</v>
      </c>
      <c r="D23" s="20"/>
      <c r="E23" s="20" t="s">
        <v>423</v>
      </c>
      <c r="F23" s="20" t="s">
        <v>14</v>
      </c>
      <c r="G23" s="20">
        <v>1</v>
      </c>
      <c r="H23" s="20" t="s">
        <v>47</v>
      </c>
      <c r="I23" s="20" t="s">
        <v>47</v>
      </c>
    </row>
    <row r="24" spans="1:9" outlineLevel="3">
      <c r="A24" s="22" t="s">
        <v>11</v>
      </c>
      <c r="B24" s="23" t="s">
        <v>424</v>
      </c>
      <c r="C24" s="22"/>
      <c r="D24" s="22"/>
      <c r="E24" s="22" t="s">
        <v>425</v>
      </c>
      <c r="F24" s="22" t="s">
        <v>11</v>
      </c>
      <c r="G24" s="22"/>
      <c r="H24" s="22"/>
      <c r="I24" s="22"/>
    </row>
    <row r="25" spans="1:9" s="25" customFormat="1" ht="30" outlineLevel="4" collapsed="1">
      <c r="A25" s="24" t="s">
        <v>11</v>
      </c>
      <c r="B25" s="24" t="s">
        <v>82</v>
      </c>
      <c r="C25" s="24" t="s">
        <v>47</v>
      </c>
      <c r="D25" s="24"/>
      <c r="E25" s="24" t="s">
        <v>426</v>
      </c>
      <c r="F25" s="24" t="s">
        <v>14</v>
      </c>
      <c r="G25" s="24">
        <v>1</v>
      </c>
      <c r="H25" s="24" t="s">
        <v>47</v>
      </c>
      <c r="I25" s="24" t="s">
        <v>47</v>
      </c>
    </row>
    <row r="26" spans="1:9" outlineLevel="1">
      <c r="A26" s="18" t="s">
        <v>14</v>
      </c>
      <c r="B26" s="10" t="s">
        <v>427</v>
      </c>
      <c r="C26" s="18" t="s">
        <v>47</v>
      </c>
      <c r="D26" s="18" t="b">
        <f>EXACT(G7,"Difference of two independent stock estimations")</f>
        <v>0</v>
      </c>
      <c r="E26" s="18" t="s">
        <v>549</v>
      </c>
      <c r="F26" s="18" t="s">
        <v>14</v>
      </c>
      <c r="G26" s="18" t="s">
        <v>47</v>
      </c>
      <c r="H26" s="18" t="s">
        <v>47</v>
      </c>
      <c r="I26" s="18" t="s">
        <v>47</v>
      </c>
    </row>
    <row r="27" spans="1:9" outlineLevel="2" collapsed="1">
      <c r="A27" s="20" t="s">
        <v>11</v>
      </c>
      <c r="B27" s="20" t="s">
        <v>82</v>
      </c>
      <c r="C27" s="20" t="s">
        <v>47</v>
      </c>
      <c r="D27" s="20"/>
      <c r="E27" s="20" t="s">
        <v>429</v>
      </c>
      <c r="F27" s="20" t="s">
        <v>14</v>
      </c>
      <c r="G27" s="20">
        <v>1</v>
      </c>
      <c r="H27" s="20" t="s">
        <v>47</v>
      </c>
      <c r="I27" s="20" t="s">
        <v>47</v>
      </c>
    </row>
    <row r="28" spans="1:9" outlineLevel="2" collapsed="1">
      <c r="A28" s="20" t="s">
        <v>11</v>
      </c>
      <c r="B28" s="20" t="s">
        <v>82</v>
      </c>
      <c r="C28" s="20" t="s">
        <v>47</v>
      </c>
      <c r="D28" s="20"/>
      <c r="E28" s="20" t="s">
        <v>430</v>
      </c>
      <c r="F28" s="20" t="s">
        <v>14</v>
      </c>
      <c r="G28" s="20">
        <v>1</v>
      </c>
      <c r="H28" s="20" t="s">
        <v>47</v>
      </c>
      <c r="I28" s="20" t="s">
        <v>47</v>
      </c>
    </row>
    <row r="29" spans="1:9" outlineLevel="2" collapsed="1">
      <c r="A29" s="20" t="s">
        <v>11</v>
      </c>
      <c r="B29" s="20" t="s">
        <v>82</v>
      </c>
      <c r="C29" s="20" t="s">
        <v>47</v>
      </c>
      <c r="D29" s="20"/>
      <c r="E29" s="20" t="s">
        <v>431</v>
      </c>
      <c r="F29" s="20" t="s">
        <v>14</v>
      </c>
      <c r="G29" s="20">
        <v>1</v>
      </c>
      <c r="H29" s="20" t="s">
        <v>47</v>
      </c>
      <c r="I29" s="20" t="s">
        <v>47</v>
      </c>
    </row>
    <row r="30" spans="1:9" outlineLevel="2" collapsed="1">
      <c r="A30" s="20" t="s">
        <v>11</v>
      </c>
      <c r="B30" s="20" t="s">
        <v>82</v>
      </c>
      <c r="C30" s="20" t="s">
        <v>47</v>
      </c>
      <c r="D30" s="20"/>
      <c r="E30" s="20" t="s">
        <v>432</v>
      </c>
      <c r="F30" s="20" t="s">
        <v>14</v>
      </c>
      <c r="G30" s="20">
        <v>1</v>
      </c>
      <c r="H30" s="20" t="s">
        <v>47</v>
      </c>
      <c r="I30" s="20" t="s">
        <v>47</v>
      </c>
    </row>
    <row r="31" spans="1:9" ht="30" outlineLevel="2" collapsed="1">
      <c r="A31" s="20" t="s">
        <v>14</v>
      </c>
      <c r="B31" s="4" t="s">
        <v>82</v>
      </c>
      <c r="C31" s="20" t="s">
        <v>47</v>
      </c>
      <c r="D31" s="20" t="s">
        <v>399</v>
      </c>
      <c r="E31" s="24" t="s">
        <v>550</v>
      </c>
      <c r="F31" s="20" t="s">
        <v>14</v>
      </c>
      <c r="G31" s="20" t="e">
        <f>(SQRT((G29*G27)^2+(G30*G28)^2))/G32</f>
        <v>#DIV/0!</v>
      </c>
      <c r="H31" s="20" t="s">
        <v>47</v>
      </c>
      <c r="I31" s="20" t="s">
        <v>47</v>
      </c>
    </row>
    <row r="32" spans="1:9" outlineLevel="2" collapsed="1">
      <c r="A32" s="20" t="s">
        <v>14</v>
      </c>
      <c r="B32" s="4" t="s">
        <v>82</v>
      </c>
      <c r="C32" s="20" t="s">
        <v>47</v>
      </c>
      <c r="D32" s="20" t="s">
        <v>399</v>
      </c>
      <c r="E32" s="20" t="s">
        <v>551</v>
      </c>
      <c r="F32" s="20" t="s">
        <v>14</v>
      </c>
      <c r="G32" s="20">
        <f>G28-G27</f>
        <v>0</v>
      </c>
      <c r="H32" s="20" t="s">
        <v>47</v>
      </c>
      <c r="I32" s="20" t="s">
        <v>47</v>
      </c>
    </row>
    <row r="33" spans="1:9" outlineLevel="2" collapsed="1">
      <c r="A33" s="20" t="s">
        <v>11</v>
      </c>
      <c r="B33" s="20" t="s">
        <v>82</v>
      </c>
      <c r="C33" s="20" t="s">
        <v>47</v>
      </c>
      <c r="D33" s="20"/>
      <c r="E33" s="20" t="s">
        <v>552</v>
      </c>
      <c r="F33" s="20" t="s">
        <v>14</v>
      </c>
      <c r="G33" s="26">
        <v>7.0000000000000007E-2</v>
      </c>
      <c r="H33" s="20" t="s">
        <v>47</v>
      </c>
      <c r="I33" s="20" t="s">
        <v>47</v>
      </c>
    </row>
    <row r="34" spans="1:9">
      <c r="A34" s="18" t="s">
        <v>11</v>
      </c>
      <c r="B34" s="10" t="s">
        <v>553</v>
      </c>
      <c r="C34" s="18" t="s">
        <v>47</v>
      </c>
      <c r="D34" s="18" t="b">
        <f>EXACT(G5,"Estimating change in carbon stock in trees in a year")</f>
        <v>1</v>
      </c>
      <c r="E34" s="18" t="s">
        <v>386</v>
      </c>
      <c r="F34" s="18" t="s">
        <v>14</v>
      </c>
      <c r="G34" s="18" t="s">
        <v>47</v>
      </c>
      <c r="H34" s="18" t="s">
        <v>47</v>
      </c>
      <c r="I34" s="18" t="s">
        <v>47</v>
      </c>
    </row>
    <row r="35" spans="1:9" ht="30" outlineLevel="1" collapsed="1">
      <c r="A35" s="20" t="s">
        <v>14</v>
      </c>
      <c r="B35" s="4" t="s">
        <v>82</v>
      </c>
      <c r="C35" s="20" t="s">
        <v>47</v>
      </c>
      <c r="D35" s="20" t="s">
        <v>399</v>
      </c>
      <c r="E35" s="20" t="s">
        <v>554</v>
      </c>
      <c r="F35" s="20" t="s">
        <v>14</v>
      </c>
      <c r="G35" s="20">
        <f>(G36-G37/G38)*1</f>
        <v>0</v>
      </c>
      <c r="H35" s="20" t="s">
        <v>47</v>
      </c>
      <c r="I35" s="20" t="s">
        <v>47</v>
      </c>
    </row>
    <row r="36" spans="1:9" ht="30" outlineLevel="1" collapsed="1">
      <c r="A36" s="20" t="s">
        <v>11</v>
      </c>
      <c r="B36" s="20" t="s">
        <v>82</v>
      </c>
      <c r="C36" s="20" t="s">
        <v>47</v>
      </c>
      <c r="D36" s="20"/>
      <c r="E36" s="20" t="s">
        <v>555</v>
      </c>
      <c r="F36" s="20" t="s">
        <v>14</v>
      </c>
      <c r="G36" s="20">
        <v>1</v>
      </c>
      <c r="H36" s="20" t="s">
        <v>47</v>
      </c>
      <c r="I36" s="20" t="s">
        <v>47</v>
      </c>
    </row>
    <row r="37" spans="1:9" ht="30" outlineLevel="1" collapsed="1">
      <c r="A37" s="20" t="s">
        <v>14</v>
      </c>
      <c r="B37" s="4" t="s">
        <v>82</v>
      </c>
      <c r="C37" s="20" t="s">
        <v>47</v>
      </c>
      <c r="D37" s="20" t="s">
        <v>399</v>
      </c>
      <c r="E37" s="20" t="s">
        <v>556</v>
      </c>
      <c r="F37" s="20" t="s">
        <v>14</v>
      </c>
      <c r="G37" s="20">
        <f>IF(AND(G40="Updating the previous stock by independent measurement of change"),G43,IF(AND(G40="Estimation by modelling of tree growth and stand development"),G57))</f>
        <v>1</v>
      </c>
      <c r="H37" s="20" t="s">
        <v>47</v>
      </c>
      <c r="I37" s="20" t="s">
        <v>47</v>
      </c>
    </row>
    <row r="38" spans="1:9" outlineLevel="1" collapsed="1">
      <c r="A38" s="20" t="s">
        <v>11</v>
      </c>
      <c r="B38" s="20" t="s">
        <v>82</v>
      </c>
      <c r="C38" s="20" t="s">
        <v>47</v>
      </c>
      <c r="D38" s="20"/>
      <c r="E38" s="20" t="s">
        <v>440</v>
      </c>
      <c r="F38" s="20" t="s">
        <v>14</v>
      </c>
      <c r="G38" s="20">
        <v>1</v>
      </c>
      <c r="H38" s="20" t="s">
        <v>47</v>
      </c>
      <c r="I38" s="20" t="s">
        <v>47</v>
      </c>
    </row>
    <row r="39" spans="1:9">
      <c r="A39" s="18" t="s">
        <v>11</v>
      </c>
      <c r="B39" s="10" t="s">
        <v>557</v>
      </c>
      <c r="C39" s="18" t="s">
        <v>47</v>
      </c>
      <c r="D39" s="18"/>
      <c r="E39" s="18" t="s">
        <v>442</v>
      </c>
      <c r="F39" s="18" t="s">
        <v>14</v>
      </c>
      <c r="G39" s="18" t="s">
        <v>47</v>
      </c>
      <c r="H39" s="18" t="s">
        <v>47</v>
      </c>
      <c r="I39" s="18" t="s">
        <v>47</v>
      </c>
    </row>
    <row r="40" spans="1:9" ht="30" outlineLevel="1" collapsed="1">
      <c r="A40" s="20" t="s">
        <v>11</v>
      </c>
      <c r="B40" s="20" t="s">
        <v>17</v>
      </c>
      <c r="C40" s="27" t="s">
        <v>558</v>
      </c>
      <c r="D40" s="20"/>
      <c r="E40" s="20" t="s">
        <v>444</v>
      </c>
      <c r="F40" s="20" t="s">
        <v>14</v>
      </c>
      <c r="G40" s="20" t="s">
        <v>447</v>
      </c>
      <c r="H40" s="20" t="s">
        <v>47</v>
      </c>
      <c r="I40" s="20" t="s">
        <v>47</v>
      </c>
    </row>
    <row r="41" spans="1:9" outlineLevel="1">
      <c r="A41" s="22" t="s">
        <v>14</v>
      </c>
      <c r="B41" s="23" t="s">
        <v>559</v>
      </c>
      <c r="C41" s="22" t="s">
        <v>47</v>
      </c>
      <c r="D41" s="22" t="b">
        <f>EXACT(G40,"Updating the previous stock by independent measurement of change")</f>
        <v>1</v>
      </c>
      <c r="E41" s="22" t="s">
        <v>447</v>
      </c>
      <c r="F41" s="22" t="s">
        <v>14</v>
      </c>
      <c r="G41" s="22" t="s">
        <v>47</v>
      </c>
      <c r="H41" s="22" t="s">
        <v>47</v>
      </c>
      <c r="I41" s="22" t="s">
        <v>47</v>
      </c>
    </row>
    <row r="42" spans="1:9" outlineLevel="2" collapsed="1">
      <c r="A42" s="20" t="s">
        <v>14</v>
      </c>
      <c r="B42" s="4" t="s">
        <v>82</v>
      </c>
      <c r="C42" s="20" t="s">
        <v>47</v>
      </c>
      <c r="D42" s="20" t="s">
        <v>399</v>
      </c>
      <c r="E42" s="20" t="s">
        <v>560</v>
      </c>
      <c r="F42" s="20" t="s">
        <v>14</v>
      </c>
      <c r="G42" s="20" t="e">
        <f>E43+E44</f>
        <v>#VALUE!</v>
      </c>
      <c r="H42" s="20" t="s">
        <v>47</v>
      </c>
      <c r="I42" s="20" t="s">
        <v>47</v>
      </c>
    </row>
    <row r="43" spans="1:9" ht="30" outlineLevel="2" collapsed="1">
      <c r="A43" s="20" t="s">
        <v>11</v>
      </c>
      <c r="B43" s="20" t="s">
        <v>82</v>
      </c>
      <c r="C43" s="20" t="s">
        <v>47</v>
      </c>
      <c r="D43" s="20"/>
      <c r="E43" s="20" t="s">
        <v>561</v>
      </c>
      <c r="F43" s="20" t="s">
        <v>14</v>
      </c>
      <c r="G43" s="20">
        <v>1</v>
      </c>
      <c r="H43" s="20" t="s">
        <v>47</v>
      </c>
      <c r="I43" s="20" t="s">
        <v>47</v>
      </c>
    </row>
    <row r="44" spans="1:9" ht="30" outlineLevel="2" collapsed="1">
      <c r="A44" s="20" t="s">
        <v>11</v>
      </c>
      <c r="B44" s="20" t="s">
        <v>82</v>
      </c>
      <c r="C44" s="20" t="s">
        <v>47</v>
      </c>
      <c r="D44" s="20"/>
      <c r="E44" s="20" t="s">
        <v>562</v>
      </c>
      <c r="F44" s="20" t="s">
        <v>14</v>
      </c>
      <c r="G44" s="20">
        <v>1</v>
      </c>
      <c r="H44" s="20" t="s">
        <v>47</v>
      </c>
      <c r="I44" s="20" t="s">
        <v>47</v>
      </c>
    </row>
    <row r="45" spans="1:9" outlineLevel="2" collapsed="1">
      <c r="A45" s="20" t="s">
        <v>11</v>
      </c>
      <c r="B45" s="20" t="s">
        <v>82</v>
      </c>
      <c r="C45" s="20" t="s">
        <v>47</v>
      </c>
      <c r="D45" s="20"/>
      <c r="E45" s="20" t="s">
        <v>548</v>
      </c>
      <c r="F45" s="20" t="s">
        <v>14</v>
      </c>
      <c r="G45" s="20"/>
      <c r="H45" s="20" t="s">
        <v>47</v>
      </c>
      <c r="I45" s="20" t="s">
        <v>47</v>
      </c>
    </row>
    <row r="46" spans="1:9" ht="30" outlineLevel="2" collapsed="1">
      <c r="A46" s="20" t="s">
        <v>14</v>
      </c>
      <c r="B46" s="4" t="s">
        <v>82</v>
      </c>
      <c r="C46" s="20" t="s">
        <v>47</v>
      </c>
      <c r="D46" s="20" t="s">
        <v>399</v>
      </c>
      <c r="E46" s="20" t="s">
        <v>563</v>
      </c>
      <c r="F46" s="20" t="s">
        <v>14</v>
      </c>
      <c r="G46" s="20" t="e">
        <f>(SQRT((G47*G43)^2+(G45*G44)^2))/G42</f>
        <v>#VALUE!</v>
      </c>
      <c r="H46" s="20" t="s">
        <v>47</v>
      </c>
      <c r="I46" s="20" t="s">
        <v>47</v>
      </c>
    </row>
    <row r="47" spans="1:9" ht="30" outlineLevel="2" collapsed="1">
      <c r="A47" s="20" t="s">
        <v>11</v>
      </c>
      <c r="B47" s="20" t="s">
        <v>82</v>
      </c>
      <c r="C47" s="20" t="s">
        <v>47</v>
      </c>
      <c r="D47" s="20"/>
      <c r="E47" s="20" t="s">
        <v>564</v>
      </c>
      <c r="F47" s="20" t="s">
        <v>14</v>
      </c>
      <c r="G47" s="20">
        <v>1</v>
      </c>
      <c r="H47" s="20" t="s">
        <v>47</v>
      </c>
      <c r="I47" s="20" t="s">
        <v>47</v>
      </c>
    </row>
    <row r="48" spans="1:9" outlineLevel="1">
      <c r="A48" s="22" t="s">
        <v>14</v>
      </c>
      <c r="B48" s="23" t="s">
        <v>565</v>
      </c>
      <c r="C48" s="22"/>
      <c r="D48" s="22" t="b">
        <f>EXACT(G40,"Estimation by modelling of tree growth and stand development")</f>
        <v>0</v>
      </c>
      <c r="E48" s="22" t="s">
        <v>445</v>
      </c>
      <c r="F48" s="22" t="s">
        <v>14</v>
      </c>
      <c r="G48" s="22"/>
      <c r="H48" s="22"/>
      <c r="I48" s="22"/>
    </row>
    <row r="49" spans="1:9" ht="60" outlineLevel="2">
      <c r="A49" s="20" t="s">
        <v>14</v>
      </c>
      <c r="B49" s="20" t="s">
        <v>44</v>
      </c>
      <c r="C49" s="20"/>
      <c r="D49" s="20"/>
      <c r="E49" s="20" t="s">
        <v>455</v>
      </c>
      <c r="F49" s="20" t="s">
        <v>14</v>
      </c>
      <c r="G49" s="20"/>
      <c r="H49" s="20"/>
      <c r="I49" s="20"/>
    </row>
    <row r="50" spans="1:9" ht="75" outlineLevel="2">
      <c r="A50" s="20" t="s">
        <v>14</v>
      </c>
      <c r="B50" s="20" t="s">
        <v>44</v>
      </c>
      <c r="C50" s="20"/>
      <c r="D50" s="20"/>
      <c r="E50" s="20" t="s">
        <v>456</v>
      </c>
      <c r="F50" s="20" t="s">
        <v>14</v>
      </c>
      <c r="G50" s="20"/>
      <c r="H50" s="20"/>
      <c r="I50" s="20"/>
    </row>
    <row r="51" spans="1:9" ht="60" outlineLevel="2">
      <c r="A51" s="20" t="s">
        <v>14</v>
      </c>
      <c r="B51" s="20" t="s">
        <v>44</v>
      </c>
      <c r="C51" s="20"/>
      <c r="D51" s="20"/>
      <c r="E51" s="20" t="s">
        <v>457</v>
      </c>
      <c r="F51" s="20" t="s">
        <v>14</v>
      </c>
      <c r="G51" s="20"/>
      <c r="H51" s="20"/>
      <c r="I51" s="20"/>
    </row>
    <row r="52" spans="1:9" ht="60" outlineLevel="2">
      <c r="A52" s="20" t="s">
        <v>14</v>
      </c>
      <c r="B52" s="20" t="s">
        <v>44</v>
      </c>
      <c r="C52" s="20"/>
      <c r="D52" s="20"/>
      <c r="E52" s="20" t="s">
        <v>458</v>
      </c>
      <c r="F52" s="20" t="s">
        <v>14</v>
      </c>
      <c r="G52" s="20"/>
      <c r="H52" s="20"/>
      <c r="I52" s="20"/>
    </row>
    <row r="53" spans="1:9" ht="135" outlineLevel="2">
      <c r="A53" s="20" t="s">
        <v>11</v>
      </c>
      <c r="B53" s="20" t="s">
        <v>17</v>
      </c>
      <c r="C53" s="27" t="s">
        <v>566</v>
      </c>
      <c r="D53" s="20"/>
      <c r="E53" s="4" t="s">
        <v>460</v>
      </c>
      <c r="F53" s="20" t="s">
        <v>14</v>
      </c>
      <c r="G53" s="20" t="s">
        <v>11</v>
      </c>
      <c r="H53" s="20"/>
      <c r="I53" s="20"/>
    </row>
    <row r="54" spans="1:9" ht="30" outlineLevel="2">
      <c r="A54" s="20" t="s">
        <v>14</v>
      </c>
      <c r="B54" s="20" t="s">
        <v>44</v>
      </c>
      <c r="C54" s="20"/>
      <c r="D54" s="20" t="b">
        <f>EXACT(G53,"No")</f>
        <v>0</v>
      </c>
      <c r="E54" s="20" t="s">
        <v>461</v>
      </c>
      <c r="F54" s="20" t="s">
        <v>14</v>
      </c>
      <c r="G54" s="20"/>
      <c r="H54" s="20"/>
      <c r="I54" s="20"/>
    </row>
    <row r="55" spans="1:9" outlineLevel="2">
      <c r="A55" s="22" t="s">
        <v>14</v>
      </c>
      <c r="B55" s="23" t="s">
        <v>567</v>
      </c>
      <c r="C55" s="22"/>
      <c r="D55" s="22" t="b">
        <f>EXACT(G53,"Yes")</f>
        <v>1</v>
      </c>
      <c r="E55" s="22" t="s">
        <v>568</v>
      </c>
      <c r="F55" s="22" t="s">
        <v>14</v>
      </c>
      <c r="G55" s="22"/>
      <c r="H55" s="22"/>
      <c r="I55" s="22"/>
    </row>
    <row r="56" spans="1:9" ht="30" outlineLevel="3">
      <c r="A56" s="20" t="s">
        <v>11</v>
      </c>
      <c r="B56" s="20" t="s">
        <v>82</v>
      </c>
      <c r="C56" s="20"/>
      <c r="D56" s="20"/>
      <c r="E56" s="20" t="s">
        <v>464</v>
      </c>
      <c r="F56" s="20" t="s">
        <v>14</v>
      </c>
      <c r="G56" s="20"/>
      <c r="H56" s="20"/>
      <c r="I56" s="20"/>
    </row>
    <row r="57" spans="1:9" outlineLevel="3">
      <c r="A57" s="20" t="s">
        <v>11</v>
      </c>
      <c r="B57" s="20" t="s">
        <v>82</v>
      </c>
      <c r="C57" s="20"/>
      <c r="D57" s="20"/>
      <c r="E57" s="20" t="s">
        <v>465</v>
      </c>
      <c r="F57" s="20" t="s">
        <v>14</v>
      </c>
      <c r="G57" s="20"/>
      <c r="H57" s="20"/>
      <c r="I57" s="20"/>
    </row>
    <row r="58" spans="1:9" outlineLevel="3">
      <c r="A58" s="20" t="s">
        <v>11</v>
      </c>
      <c r="B58" s="20" t="s">
        <v>82</v>
      </c>
      <c r="C58" s="20"/>
      <c r="D58" s="20"/>
      <c r="E58" s="20" t="s">
        <v>466</v>
      </c>
      <c r="F58" s="20" t="s">
        <v>14</v>
      </c>
      <c r="G58" s="20"/>
      <c r="H58" s="20"/>
      <c r="I58" s="20"/>
    </row>
    <row r="59" spans="1:9" outlineLevel="1">
      <c r="A59" s="22" t="s">
        <v>14</v>
      </c>
      <c r="B59" s="23" t="s">
        <v>475</v>
      </c>
      <c r="C59" s="22" t="s">
        <v>47</v>
      </c>
      <c r="D59" s="22" t="b">
        <f>EXACT(G40,"Measurement of sample plots")</f>
        <v>0</v>
      </c>
      <c r="E59" s="22" t="s">
        <v>475</v>
      </c>
      <c r="F59" s="22" t="s">
        <v>14</v>
      </c>
      <c r="G59" s="22" t="s">
        <v>47</v>
      </c>
      <c r="H59" s="22" t="s">
        <v>47</v>
      </c>
      <c r="I59" s="22" t="s">
        <v>47</v>
      </c>
    </row>
    <row r="60" spans="1:9" ht="30" outlineLevel="2" collapsed="1">
      <c r="A60" s="20" t="s">
        <v>11</v>
      </c>
      <c r="B60" s="20" t="s">
        <v>17</v>
      </c>
      <c r="C60" s="21" t="s">
        <v>476</v>
      </c>
      <c r="D60" s="20"/>
      <c r="E60" s="20" t="s">
        <v>477</v>
      </c>
      <c r="F60" s="20" t="s">
        <v>14</v>
      </c>
      <c r="G60" s="20" t="s">
        <v>478</v>
      </c>
      <c r="H60" s="20" t="s">
        <v>47</v>
      </c>
      <c r="I60" s="20" t="s">
        <v>47</v>
      </c>
    </row>
    <row r="61" spans="1:9" outlineLevel="2">
      <c r="A61" s="22" t="s">
        <v>14</v>
      </c>
      <c r="B61" s="23" t="s">
        <v>478</v>
      </c>
      <c r="C61" s="22" t="s">
        <v>47</v>
      </c>
      <c r="D61" s="22" t="b">
        <f>EXACT(G60,"Stratified random sampling")</f>
        <v>1</v>
      </c>
      <c r="E61" s="22" t="s">
        <v>478</v>
      </c>
      <c r="F61" s="22" t="s">
        <v>14</v>
      </c>
      <c r="G61" s="22" t="s">
        <v>47</v>
      </c>
      <c r="H61" s="22" t="s">
        <v>47</v>
      </c>
      <c r="I61" s="22" t="s">
        <v>47</v>
      </c>
    </row>
    <row r="62" spans="1:9" ht="30" outlineLevel="3" collapsed="1">
      <c r="A62" s="20" t="s">
        <v>14</v>
      </c>
      <c r="B62" s="4" t="s">
        <v>82</v>
      </c>
      <c r="C62" s="20" t="s">
        <v>47</v>
      </c>
      <c r="D62" s="20" t="s">
        <v>399</v>
      </c>
      <c r="E62" s="20" t="s">
        <v>479</v>
      </c>
      <c r="F62" s="20" t="s">
        <v>14</v>
      </c>
      <c r="G62" s="20">
        <f>44/12*G63*G64</f>
        <v>3.6666666666666665</v>
      </c>
      <c r="H62" s="20" t="s">
        <v>47</v>
      </c>
      <c r="I62" s="20" t="s">
        <v>47</v>
      </c>
    </row>
    <row r="63" spans="1:9" outlineLevel="3" collapsed="1">
      <c r="A63" s="20" t="s">
        <v>11</v>
      </c>
      <c r="B63" s="20" t="s">
        <v>82</v>
      </c>
      <c r="C63" s="20" t="s">
        <v>47</v>
      </c>
      <c r="D63" s="20"/>
      <c r="E63" s="20" t="s">
        <v>405</v>
      </c>
      <c r="F63" s="20" t="s">
        <v>14</v>
      </c>
      <c r="G63" s="20">
        <v>1</v>
      </c>
      <c r="H63" s="20" t="s">
        <v>47</v>
      </c>
      <c r="I63" s="20" t="s">
        <v>47</v>
      </c>
    </row>
    <row r="64" spans="1:9" ht="30" outlineLevel="3" collapsed="1">
      <c r="A64" s="20" t="s">
        <v>14</v>
      </c>
      <c r="B64" s="4" t="s">
        <v>82</v>
      </c>
      <c r="C64" s="20" t="s">
        <v>47</v>
      </c>
      <c r="D64" s="20" t="s">
        <v>399</v>
      </c>
      <c r="E64" s="20" t="s">
        <v>480</v>
      </c>
      <c r="F64" s="20" t="s">
        <v>14</v>
      </c>
      <c r="G64" s="20">
        <f>G65*G66</f>
        <v>1</v>
      </c>
      <c r="H64" s="20" t="s">
        <v>47</v>
      </c>
      <c r="I64" s="20" t="s">
        <v>47</v>
      </c>
    </row>
    <row r="65" spans="1:9" ht="30" outlineLevel="3" collapsed="1">
      <c r="A65" s="20" t="s">
        <v>11</v>
      </c>
      <c r="B65" s="20" t="s">
        <v>82</v>
      </c>
      <c r="C65" s="20" t="s">
        <v>47</v>
      </c>
      <c r="D65" s="20"/>
      <c r="E65" s="20" t="s">
        <v>481</v>
      </c>
      <c r="F65" s="20" t="s">
        <v>14</v>
      </c>
      <c r="G65" s="20">
        <v>1</v>
      </c>
      <c r="H65" s="20" t="s">
        <v>47</v>
      </c>
      <c r="I65" s="20" t="s">
        <v>47</v>
      </c>
    </row>
    <row r="66" spans="1:9" ht="30" outlineLevel="3" collapsed="1">
      <c r="A66" s="20" t="s">
        <v>14</v>
      </c>
      <c r="B66" s="4" t="s">
        <v>82</v>
      </c>
      <c r="C66" s="20" t="s">
        <v>47</v>
      </c>
      <c r="D66" s="20" t="s">
        <v>399</v>
      </c>
      <c r="E66" s="20" t="s">
        <v>482</v>
      </c>
      <c r="F66" s="20" t="s">
        <v>14</v>
      </c>
      <c r="G66" s="20">
        <f>SUM((G71*G70))</f>
        <v>1</v>
      </c>
      <c r="H66" s="20" t="s">
        <v>47</v>
      </c>
      <c r="I66" s="20" t="s">
        <v>47</v>
      </c>
    </row>
    <row r="67" spans="1:9" outlineLevel="3" collapsed="1">
      <c r="A67" s="20" t="s">
        <v>11</v>
      </c>
      <c r="B67" s="20" t="s">
        <v>82</v>
      </c>
      <c r="C67" s="20" t="s">
        <v>47</v>
      </c>
      <c r="D67" s="20"/>
      <c r="E67" s="20" t="s">
        <v>569</v>
      </c>
      <c r="F67" s="20" t="s">
        <v>14</v>
      </c>
      <c r="G67" s="20">
        <v>1</v>
      </c>
      <c r="H67" s="20" t="s">
        <v>47</v>
      </c>
      <c r="I67" s="20" t="s">
        <v>47</v>
      </c>
    </row>
    <row r="68" spans="1:9" ht="30" outlineLevel="3" collapsed="1">
      <c r="A68" s="20" t="s">
        <v>11</v>
      </c>
      <c r="B68" s="20" t="s">
        <v>82</v>
      </c>
      <c r="C68" s="20" t="s">
        <v>47</v>
      </c>
      <c r="D68" s="20"/>
      <c r="E68" s="20" t="s">
        <v>484</v>
      </c>
      <c r="F68" s="20" t="s">
        <v>14</v>
      </c>
      <c r="G68" s="20">
        <v>1</v>
      </c>
      <c r="H68" s="20" t="s">
        <v>47</v>
      </c>
      <c r="I68" s="20" t="s">
        <v>47</v>
      </c>
    </row>
    <row r="69" spans="1:9" outlineLevel="3">
      <c r="A69" s="22" t="s">
        <v>11</v>
      </c>
      <c r="B69" s="23" t="s">
        <v>485</v>
      </c>
      <c r="C69" s="22" t="s">
        <v>47</v>
      </c>
      <c r="D69" s="22"/>
      <c r="E69" s="22" t="s">
        <v>486</v>
      </c>
      <c r="F69" s="22" t="s">
        <v>11</v>
      </c>
      <c r="G69" s="22" t="s">
        <v>47</v>
      </c>
      <c r="H69" s="22" t="s">
        <v>47</v>
      </c>
      <c r="I69" s="22" t="s">
        <v>47</v>
      </c>
    </row>
    <row r="70" spans="1:9" s="25" customFormat="1" ht="30" outlineLevel="4" collapsed="1">
      <c r="A70" s="24" t="s">
        <v>14</v>
      </c>
      <c r="B70" s="29" t="s">
        <v>82</v>
      </c>
      <c r="C70" s="24" t="s">
        <v>47</v>
      </c>
      <c r="D70" s="24" t="s">
        <v>399</v>
      </c>
      <c r="E70" s="24" t="s">
        <v>487</v>
      </c>
      <c r="F70" s="24" t="s">
        <v>14</v>
      </c>
      <c r="G70" s="24">
        <f>(SUM(G75))/G73</f>
        <v>1</v>
      </c>
      <c r="H70" s="24" t="s">
        <v>47</v>
      </c>
      <c r="I70" s="24" t="s">
        <v>47</v>
      </c>
    </row>
    <row r="71" spans="1:9" ht="30" outlineLevel="4" collapsed="1">
      <c r="A71" s="20" t="s">
        <v>11</v>
      </c>
      <c r="B71" s="20" t="s">
        <v>82</v>
      </c>
      <c r="C71" s="20" t="s">
        <v>47</v>
      </c>
      <c r="D71" s="20"/>
      <c r="E71" s="20" t="s">
        <v>488</v>
      </c>
      <c r="F71" s="20" t="s">
        <v>14</v>
      </c>
      <c r="G71" s="20">
        <v>1</v>
      </c>
      <c r="H71" s="20" t="s">
        <v>47</v>
      </c>
      <c r="I71" s="20" t="s">
        <v>47</v>
      </c>
    </row>
    <row r="72" spans="1:9" ht="30" outlineLevel="4" collapsed="1">
      <c r="A72" s="20" t="s">
        <v>11</v>
      </c>
      <c r="B72" s="20" t="s">
        <v>82</v>
      </c>
      <c r="C72" s="20" t="s">
        <v>47</v>
      </c>
      <c r="D72" s="20"/>
      <c r="E72" s="20" t="s">
        <v>489</v>
      </c>
      <c r="F72" s="20" t="s">
        <v>14</v>
      </c>
      <c r="G72" s="20">
        <v>1</v>
      </c>
      <c r="H72" s="20" t="s">
        <v>47</v>
      </c>
      <c r="I72" s="20" t="s">
        <v>47</v>
      </c>
    </row>
    <row r="73" spans="1:9" outlineLevel="4" collapsed="1">
      <c r="A73" s="20" t="s">
        <v>11</v>
      </c>
      <c r="B73" s="20" t="s">
        <v>82</v>
      </c>
      <c r="C73" s="20" t="s">
        <v>47</v>
      </c>
      <c r="D73" s="20"/>
      <c r="E73" s="20" t="s">
        <v>490</v>
      </c>
      <c r="F73" s="20" t="s">
        <v>14</v>
      </c>
      <c r="G73" s="20">
        <v>1</v>
      </c>
      <c r="H73" s="20" t="s">
        <v>47</v>
      </c>
      <c r="I73" s="20" t="s">
        <v>47</v>
      </c>
    </row>
    <row r="74" spans="1:9" outlineLevel="4">
      <c r="A74" s="22" t="s">
        <v>11</v>
      </c>
      <c r="B74" s="23" t="s">
        <v>491</v>
      </c>
      <c r="C74" s="22"/>
      <c r="D74" s="22"/>
      <c r="E74" s="22" t="s">
        <v>492</v>
      </c>
      <c r="F74" s="22" t="s">
        <v>11</v>
      </c>
      <c r="G74" s="22"/>
      <c r="H74" s="22"/>
      <c r="I74" s="22"/>
    </row>
    <row r="75" spans="1:9" s="25" customFormat="1" ht="30" outlineLevel="5" collapsed="1">
      <c r="A75" s="24" t="s">
        <v>11</v>
      </c>
      <c r="B75" s="24" t="s">
        <v>82</v>
      </c>
      <c r="C75" s="24" t="s">
        <v>47</v>
      </c>
      <c r="D75" s="24"/>
      <c r="E75" s="24" t="s">
        <v>493</v>
      </c>
      <c r="F75" s="24" t="s">
        <v>14</v>
      </c>
      <c r="G75" s="24">
        <v>1</v>
      </c>
      <c r="H75" s="24" t="s">
        <v>47</v>
      </c>
      <c r="I75" s="24" t="s">
        <v>47</v>
      </c>
    </row>
    <row r="76" spans="1:9" outlineLevel="2">
      <c r="A76" s="22" t="s">
        <v>14</v>
      </c>
      <c r="B76" s="23" t="s">
        <v>494</v>
      </c>
      <c r="C76" s="22" t="s">
        <v>47</v>
      </c>
      <c r="D76" s="22" t="b">
        <f>NOT(EXACT(G60,"Stratified random sampling"))</f>
        <v>0</v>
      </c>
      <c r="E76" s="22" t="s">
        <v>494</v>
      </c>
      <c r="F76" s="22" t="s">
        <v>14</v>
      </c>
      <c r="G76" s="22" t="s">
        <v>47</v>
      </c>
      <c r="H76" s="22" t="s">
        <v>47</v>
      </c>
      <c r="I76" s="22" t="s">
        <v>47</v>
      </c>
    </row>
    <row r="77" spans="1:9" ht="30" outlineLevel="3" collapsed="1">
      <c r="A77" s="20" t="s">
        <v>11</v>
      </c>
      <c r="B77" s="20" t="s">
        <v>82</v>
      </c>
      <c r="C77" s="20" t="s">
        <v>47</v>
      </c>
      <c r="D77" s="20"/>
      <c r="E77" s="20" t="s">
        <v>479</v>
      </c>
      <c r="F77" s="20" t="s">
        <v>14</v>
      </c>
      <c r="G77" s="20">
        <v>1</v>
      </c>
      <c r="H77" s="20" t="s">
        <v>47</v>
      </c>
      <c r="I77" s="20" t="s">
        <v>47</v>
      </c>
    </row>
    <row r="78" spans="1:9" outlineLevel="3" collapsed="1">
      <c r="A78" s="20" t="s">
        <v>11</v>
      </c>
      <c r="B78" s="20" t="s">
        <v>82</v>
      </c>
      <c r="C78" s="20" t="s">
        <v>47</v>
      </c>
      <c r="D78" s="20"/>
      <c r="E78" s="20" t="s">
        <v>405</v>
      </c>
      <c r="F78" s="20" t="s">
        <v>14</v>
      </c>
      <c r="G78" s="20">
        <v>1</v>
      </c>
      <c r="H78" s="20" t="s">
        <v>47</v>
      </c>
      <c r="I78" s="20" t="s">
        <v>47</v>
      </c>
    </row>
    <row r="79" spans="1:9" ht="30" outlineLevel="3" collapsed="1">
      <c r="A79" s="20" t="s">
        <v>11</v>
      </c>
      <c r="B79" s="20" t="s">
        <v>82</v>
      </c>
      <c r="C79" s="20" t="s">
        <v>47</v>
      </c>
      <c r="D79" s="20"/>
      <c r="E79" s="20" t="s">
        <v>480</v>
      </c>
      <c r="F79" s="20" t="s">
        <v>14</v>
      </c>
      <c r="G79" s="20">
        <v>1</v>
      </c>
      <c r="H79" s="20" t="s">
        <v>47</v>
      </c>
      <c r="I79" s="20" t="s">
        <v>47</v>
      </c>
    </row>
    <row r="80" spans="1:9" ht="30" outlineLevel="3" collapsed="1">
      <c r="A80" s="20" t="s">
        <v>11</v>
      </c>
      <c r="B80" s="20" t="s">
        <v>82</v>
      </c>
      <c r="C80" s="20" t="s">
        <v>47</v>
      </c>
      <c r="D80" s="20"/>
      <c r="E80" s="20" t="s">
        <v>481</v>
      </c>
      <c r="F80" s="20" t="s">
        <v>14</v>
      </c>
      <c r="G80" s="20">
        <v>1</v>
      </c>
      <c r="H80" s="20" t="s">
        <v>47</v>
      </c>
      <c r="I80" s="20" t="s">
        <v>47</v>
      </c>
    </row>
    <row r="81" spans="1:9" ht="30" outlineLevel="3" collapsed="1">
      <c r="A81" s="20" t="s">
        <v>11</v>
      </c>
      <c r="B81" s="20" t="s">
        <v>82</v>
      </c>
      <c r="C81" s="20" t="s">
        <v>47</v>
      </c>
      <c r="D81" s="20"/>
      <c r="E81" s="20" t="s">
        <v>482</v>
      </c>
      <c r="F81" s="20" t="s">
        <v>14</v>
      </c>
      <c r="G81" s="20">
        <v>1</v>
      </c>
      <c r="H81" s="20" t="s">
        <v>47</v>
      </c>
      <c r="I81" s="20" t="s">
        <v>47</v>
      </c>
    </row>
    <row r="82" spans="1:9" outlineLevel="3" collapsed="1">
      <c r="A82" s="20" t="s">
        <v>11</v>
      </c>
      <c r="B82" s="20" t="s">
        <v>82</v>
      </c>
      <c r="C82" s="20" t="s">
        <v>47</v>
      </c>
      <c r="D82" s="20"/>
      <c r="E82" s="20" t="s">
        <v>569</v>
      </c>
      <c r="F82" s="20" t="s">
        <v>14</v>
      </c>
      <c r="G82" s="20">
        <v>1</v>
      </c>
      <c r="H82" s="20" t="s">
        <v>47</v>
      </c>
      <c r="I82" s="20" t="s">
        <v>47</v>
      </c>
    </row>
    <row r="83" spans="1:9" ht="30" outlineLevel="3" collapsed="1">
      <c r="A83" s="20" t="s">
        <v>11</v>
      </c>
      <c r="B83" s="20" t="s">
        <v>82</v>
      </c>
      <c r="C83" s="20" t="s">
        <v>47</v>
      </c>
      <c r="D83" s="20"/>
      <c r="E83" s="20" t="s">
        <v>570</v>
      </c>
      <c r="F83" s="20" t="s">
        <v>14</v>
      </c>
      <c r="G83" s="20">
        <v>1</v>
      </c>
      <c r="H83" s="20" t="s">
        <v>47</v>
      </c>
      <c r="I83" s="20" t="s">
        <v>47</v>
      </c>
    </row>
    <row r="84" spans="1:9" outlineLevel="3">
      <c r="A84" s="22" t="s">
        <v>11</v>
      </c>
      <c r="B84" s="23" t="s">
        <v>495</v>
      </c>
      <c r="C84" s="22" t="s">
        <v>47</v>
      </c>
      <c r="D84" s="22"/>
      <c r="E84" s="22" t="s">
        <v>486</v>
      </c>
      <c r="F84" s="22" t="s">
        <v>11</v>
      </c>
      <c r="G84" s="22" t="s">
        <v>47</v>
      </c>
      <c r="H84" s="22" t="s">
        <v>47</v>
      </c>
      <c r="I84" s="22" t="s">
        <v>47</v>
      </c>
    </row>
    <row r="85" spans="1:9" ht="30" outlineLevel="4" collapsed="1">
      <c r="A85" s="20" t="s">
        <v>14</v>
      </c>
      <c r="B85" s="4" t="s">
        <v>82</v>
      </c>
      <c r="C85" s="20" t="s">
        <v>47</v>
      </c>
      <c r="D85" s="20" t="s">
        <v>399</v>
      </c>
      <c r="E85" s="20" t="s">
        <v>487</v>
      </c>
      <c r="F85" s="20" t="s">
        <v>14</v>
      </c>
      <c r="G85" s="20">
        <f>(SUM(G94)/G86)+G87*(G88-G89)</f>
        <v>1</v>
      </c>
      <c r="H85" s="20" t="s">
        <v>47</v>
      </c>
      <c r="I85" s="20" t="s">
        <v>47</v>
      </c>
    </row>
    <row r="86" spans="1:9" outlineLevel="4" collapsed="1">
      <c r="A86" s="20" t="s">
        <v>11</v>
      </c>
      <c r="B86" s="20" t="s">
        <v>82</v>
      </c>
      <c r="C86" s="20" t="s">
        <v>47</v>
      </c>
      <c r="D86" s="20"/>
      <c r="E86" s="20" t="s">
        <v>496</v>
      </c>
      <c r="F86" s="20" t="s">
        <v>14</v>
      </c>
      <c r="G86" s="20">
        <v>1</v>
      </c>
      <c r="H86" s="20" t="s">
        <v>47</v>
      </c>
      <c r="I86" s="20" t="s">
        <v>47</v>
      </c>
    </row>
    <row r="87" spans="1:9" ht="30" outlineLevel="4" collapsed="1">
      <c r="A87" s="20" t="s">
        <v>11</v>
      </c>
      <c r="B87" s="20" t="s">
        <v>82</v>
      </c>
      <c r="C87" s="20" t="s">
        <v>47</v>
      </c>
      <c r="D87" s="20"/>
      <c r="E87" s="20" t="s">
        <v>497</v>
      </c>
      <c r="F87" s="20" t="s">
        <v>14</v>
      </c>
      <c r="G87" s="20">
        <v>1</v>
      </c>
      <c r="H87" s="20" t="s">
        <v>47</v>
      </c>
      <c r="I87" s="20" t="s">
        <v>47</v>
      </c>
    </row>
    <row r="88" spans="1:9" ht="30" outlineLevel="4" collapsed="1">
      <c r="A88" s="20" t="s">
        <v>11</v>
      </c>
      <c r="B88" s="20" t="s">
        <v>82</v>
      </c>
      <c r="C88" s="20" t="s">
        <v>47</v>
      </c>
      <c r="D88" s="20"/>
      <c r="E88" s="20" t="s">
        <v>498</v>
      </c>
      <c r="F88" s="20" t="s">
        <v>14</v>
      </c>
      <c r="G88" s="20">
        <v>1</v>
      </c>
      <c r="H88" s="20" t="s">
        <v>47</v>
      </c>
      <c r="I88" s="20" t="s">
        <v>47</v>
      </c>
    </row>
    <row r="89" spans="1:9" ht="30" outlineLevel="4" collapsed="1">
      <c r="A89" s="20" t="s">
        <v>11</v>
      </c>
      <c r="B89" s="20" t="s">
        <v>82</v>
      </c>
      <c r="C89" s="20" t="s">
        <v>47</v>
      </c>
      <c r="D89" s="20"/>
      <c r="E89" s="20" t="s">
        <v>499</v>
      </c>
      <c r="F89" s="20" t="s">
        <v>14</v>
      </c>
      <c r="G89" s="20">
        <v>1</v>
      </c>
      <c r="H89" s="20" t="s">
        <v>47</v>
      </c>
      <c r="I89" s="20" t="s">
        <v>47</v>
      </c>
    </row>
    <row r="90" spans="1:9" ht="30" outlineLevel="4" collapsed="1">
      <c r="A90" s="20" t="s">
        <v>11</v>
      </c>
      <c r="B90" s="20" t="s">
        <v>82</v>
      </c>
      <c r="C90" s="20" t="s">
        <v>47</v>
      </c>
      <c r="D90" s="20"/>
      <c r="E90" s="20" t="s">
        <v>500</v>
      </c>
      <c r="F90" s="20" t="s">
        <v>14</v>
      </c>
      <c r="G90" s="20">
        <v>1</v>
      </c>
      <c r="H90" s="20" t="s">
        <v>47</v>
      </c>
      <c r="I90" s="20" t="s">
        <v>47</v>
      </c>
    </row>
    <row r="91" spans="1:9" ht="30" outlineLevel="4" collapsed="1">
      <c r="A91" s="20" t="s">
        <v>11</v>
      </c>
      <c r="B91" s="20" t="s">
        <v>82</v>
      </c>
      <c r="C91" s="20" t="s">
        <v>47</v>
      </c>
      <c r="D91" s="20"/>
      <c r="E91" s="20" t="s">
        <v>501</v>
      </c>
      <c r="F91" s="20" t="s">
        <v>14</v>
      </c>
      <c r="G91" s="20">
        <v>1</v>
      </c>
      <c r="H91" s="20" t="s">
        <v>47</v>
      </c>
      <c r="I91" s="20" t="s">
        <v>47</v>
      </c>
    </row>
    <row r="92" spans="1:9" ht="45" outlineLevel="4" collapsed="1">
      <c r="A92" s="20" t="s">
        <v>11</v>
      </c>
      <c r="B92" s="20" t="s">
        <v>82</v>
      </c>
      <c r="C92" s="20" t="s">
        <v>47</v>
      </c>
      <c r="D92" s="20"/>
      <c r="E92" s="20" t="s">
        <v>502</v>
      </c>
      <c r="F92" s="20" t="s">
        <v>14</v>
      </c>
      <c r="G92" s="20">
        <v>1</v>
      </c>
      <c r="H92" s="20" t="s">
        <v>47</v>
      </c>
      <c r="I92" s="20" t="s">
        <v>47</v>
      </c>
    </row>
    <row r="93" spans="1:9" outlineLevel="4">
      <c r="A93" s="22" t="s">
        <v>11</v>
      </c>
      <c r="B93" s="23" t="s">
        <v>491</v>
      </c>
      <c r="C93" s="22"/>
      <c r="D93" s="22"/>
      <c r="E93" s="22" t="s">
        <v>492</v>
      </c>
      <c r="F93" s="22" t="s">
        <v>11</v>
      </c>
      <c r="G93" s="22"/>
      <c r="H93" s="22"/>
      <c r="I93" s="22"/>
    </row>
    <row r="94" spans="1:9" s="25" customFormat="1" ht="30" outlineLevel="5" collapsed="1">
      <c r="A94" s="24" t="s">
        <v>11</v>
      </c>
      <c r="B94" s="24" t="s">
        <v>82</v>
      </c>
      <c r="C94" s="24" t="s">
        <v>47</v>
      </c>
      <c r="D94" s="24"/>
      <c r="E94" s="24" t="s">
        <v>493</v>
      </c>
      <c r="F94" s="24" t="s">
        <v>14</v>
      </c>
      <c r="G94" s="24">
        <v>1</v>
      </c>
      <c r="H94" s="24" t="s">
        <v>47</v>
      </c>
      <c r="I94" s="24" t="s">
        <v>47</v>
      </c>
    </row>
    <row r="95" spans="1:9" outlineLevel="1" collapsed="1">
      <c r="A95" s="20" t="s">
        <v>11</v>
      </c>
      <c r="B95" s="20" t="s">
        <v>503</v>
      </c>
      <c r="C95" s="20" t="s">
        <v>47</v>
      </c>
      <c r="D95" s="20"/>
      <c r="E95" s="4" t="s">
        <v>504</v>
      </c>
      <c r="F95" s="20" t="s">
        <v>14</v>
      </c>
      <c r="G95" s="20" t="s">
        <v>505</v>
      </c>
      <c r="H95" s="20" t="s">
        <v>47</v>
      </c>
      <c r="I95" s="20" t="s">
        <v>47</v>
      </c>
    </row>
    <row r="96" spans="1:9" ht="29.25" customHeight="1">
      <c r="A96" s="18" t="s">
        <v>14</v>
      </c>
      <c r="B96" s="3" t="s">
        <v>82</v>
      </c>
      <c r="C96" s="10"/>
      <c r="D96" s="18" t="s">
        <v>399</v>
      </c>
      <c r="E96" s="18" t="s">
        <v>571</v>
      </c>
      <c r="F96" s="18" t="s">
        <v>14</v>
      </c>
      <c r="G96" s="18" t="e">
        <f>IF(G40="Updating the previous stock by independent measurement of change",G42,IF(G40="Estimation by modelling of tree growth and stand development",G56,IF(AND(G40="Measurement of sample plots",G60="Stratified random sampling"),G62,IF(AND(G40="Measurement of sample plots",G60="Double sampling"),G77))))</f>
        <v>#VALUE!</v>
      </c>
      <c r="H96" s="18"/>
      <c r="I96" s="18"/>
    </row>
    <row r="97" spans="1:9" ht="29.25" customHeight="1">
      <c r="A97" s="18" t="s">
        <v>14</v>
      </c>
      <c r="B97" s="3" t="s">
        <v>82</v>
      </c>
      <c r="C97" s="10"/>
      <c r="D97" s="18" t="s">
        <v>399</v>
      </c>
      <c r="E97" s="18" t="s">
        <v>572</v>
      </c>
      <c r="F97" s="18" t="s">
        <v>14</v>
      </c>
      <c r="G97" s="18">
        <f>IF(AND(G5="Estimating change in carbon stock in trees between two points in time",G7="no-decrease"),0,IF(AND(G5="Estimating change in carbon stock in trees between two points in time",G7="Direct estimation of change by re-measurement of sample plots"),G12,IF(AND(G5="Estimating change in carbon stock in trees between two points in time",G7="Difference of two independent stock estimations"),G32,IF(AND(G5="Estimating change in carbon stock in trees in a year"),G35))))</f>
        <v>0</v>
      </c>
      <c r="H97" s="18"/>
      <c r="I97" s="18"/>
    </row>
    <row r="98" spans="1:9" ht="29.25" customHeight="1">
      <c r="A98" s="18" t="s">
        <v>11</v>
      </c>
      <c r="B98" s="18" t="s">
        <v>17</v>
      </c>
      <c r="C98" s="10" t="s">
        <v>573</v>
      </c>
      <c r="D98" s="18"/>
      <c r="E98" s="3" t="s">
        <v>509</v>
      </c>
      <c r="F98" s="3" t="s">
        <v>14</v>
      </c>
      <c r="G98" s="18" t="s">
        <v>523</v>
      </c>
      <c r="H98" s="18"/>
      <c r="I98" s="18"/>
    </row>
    <row r="99" spans="1:9">
      <c r="A99" s="18" t="s">
        <v>11</v>
      </c>
      <c r="B99" s="10" t="s">
        <v>574</v>
      </c>
      <c r="C99" s="18" t="s">
        <v>47</v>
      </c>
      <c r="D99" s="18" t="b">
        <f>EXACT(G98,"Estimating change in carbon stock in shrubs between two points in time")</f>
        <v>0</v>
      </c>
      <c r="E99" s="18" t="s">
        <v>512</v>
      </c>
      <c r="F99" s="18" t="s">
        <v>14</v>
      </c>
      <c r="G99" s="18" t="s">
        <v>47</v>
      </c>
      <c r="H99" s="18" t="s">
        <v>47</v>
      </c>
      <c r="I99" s="18" t="s">
        <v>47</v>
      </c>
    </row>
    <row r="100" spans="1:9" ht="60" outlineLevel="1">
      <c r="A100" s="18" t="s">
        <v>11</v>
      </c>
      <c r="B100" s="18" t="s">
        <v>17</v>
      </c>
      <c r="C100" s="10" t="s">
        <v>575</v>
      </c>
      <c r="D100" s="18"/>
      <c r="E100" s="18" t="s">
        <v>514</v>
      </c>
      <c r="F100" s="18" t="s">
        <v>14</v>
      </c>
      <c r="G100" s="18" t="s">
        <v>14</v>
      </c>
      <c r="H100" s="18" t="s">
        <v>47</v>
      </c>
      <c r="I100" s="18" t="s">
        <v>47</v>
      </c>
    </row>
    <row r="101" spans="1:9" outlineLevel="1">
      <c r="A101" s="18" t="s">
        <v>14</v>
      </c>
      <c r="B101" s="10" t="s">
        <v>515</v>
      </c>
      <c r="C101" s="19"/>
      <c r="D101" s="18" t="b">
        <f>EXACT(G100,"Yes")</f>
        <v>0</v>
      </c>
      <c r="E101" s="18" t="s">
        <v>393</v>
      </c>
      <c r="F101" s="18" t="s">
        <v>14</v>
      </c>
      <c r="G101" s="18"/>
      <c r="H101" s="18"/>
      <c r="I101" s="18"/>
    </row>
    <row r="102" spans="1:9" ht="165" outlineLevel="2" collapsed="1">
      <c r="A102" s="20" t="s">
        <v>14</v>
      </c>
      <c r="B102" s="20" t="s">
        <v>44</v>
      </c>
      <c r="C102" s="20"/>
      <c r="D102" s="20"/>
      <c r="E102" s="20" t="s">
        <v>516</v>
      </c>
      <c r="F102" s="20"/>
      <c r="G102" s="20"/>
      <c r="H102" s="20"/>
      <c r="I102" s="20"/>
    </row>
    <row r="103" spans="1:9" ht="60" outlineLevel="2" collapsed="1">
      <c r="A103" s="20" t="s">
        <v>11</v>
      </c>
      <c r="B103" s="20" t="s">
        <v>17</v>
      </c>
      <c r="C103" s="27" t="s">
        <v>517</v>
      </c>
      <c r="D103" s="20"/>
      <c r="E103" s="20" t="s">
        <v>518</v>
      </c>
      <c r="F103" s="20"/>
      <c r="G103" s="20"/>
      <c r="H103" s="20"/>
      <c r="I103" s="20"/>
    </row>
    <row r="104" spans="1:9" ht="30" outlineLevel="1" collapsed="1">
      <c r="A104" s="20" t="s">
        <v>14</v>
      </c>
      <c r="B104" s="4" t="s">
        <v>82</v>
      </c>
      <c r="C104" s="20" t="s">
        <v>47</v>
      </c>
      <c r="D104" s="20" t="s">
        <v>399</v>
      </c>
      <c r="E104" s="20" t="s">
        <v>576</v>
      </c>
      <c r="F104" s="20" t="s">
        <v>14</v>
      </c>
      <c r="G104" s="20" t="e">
        <f>IF(AND(#REF!="No"),E105-E106,0)</f>
        <v>#REF!</v>
      </c>
      <c r="H104" s="20" t="s">
        <v>47</v>
      </c>
      <c r="I104" s="20" t="s">
        <v>47</v>
      </c>
    </row>
    <row r="105" spans="1:9" ht="30" outlineLevel="1" collapsed="1">
      <c r="A105" s="20" t="s">
        <v>11</v>
      </c>
      <c r="B105" s="20" t="s">
        <v>82</v>
      </c>
      <c r="C105" s="20" t="s">
        <v>47</v>
      </c>
      <c r="D105" s="20"/>
      <c r="E105" s="20" t="s">
        <v>577</v>
      </c>
      <c r="F105" s="20" t="s">
        <v>14</v>
      </c>
      <c r="G105" s="20">
        <v>1</v>
      </c>
      <c r="H105" s="20" t="s">
        <v>47</v>
      </c>
      <c r="I105" s="20" t="s">
        <v>47</v>
      </c>
    </row>
    <row r="106" spans="1:9" ht="30" outlineLevel="1" collapsed="1">
      <c r="A106" s="20" t="s">
        <v>11</v>
      </c>
      <c r="B106" s="20" t="s">
        <v>82</v>
      </c>
      <c r="C106" s="20" t="s">
        <v>47</v>
      </c>
      <c r="D106" s="20"/>
      <c r="E106" s="20" t="s">
        <v>578</v>
      </c>
      <c r="F106" s="20" t="s">
        <v>14</v>
      </c>
      <c r="G106" s="20">
        <v>1</v>
      </c>
      <c r="H106" s="20" t="s">
        <v>47</v>
      </c>
      <c r="I106" s="20" t="s">
        <v>47</v>
      </c>
    </row>
    <row r="107" spans="1:9">
      <c r="A107" s="18" t="s">
        <v>11</v>
      </c>
      <c r="B107" s="10" t="s">
        <v>579</v>
      </c>
      <c r="C107" s="18" t="s">
        <v>47</v>
      </c>
      <c r="D107" s="18" t="b">
        <f>EXACT(G98,"Estimating change in carbon stock in shrubs in a year")</f>
        <v>1</v>
      </c>
      <c r="E107" s="18" t="s">
        <v>523</v>
      </c>
      <c r="F107" s="18" t="s">
        <v>14</v>
      </c>
      <c r="G107" s="18" t="s">
        <v>47</v>
      </c>
      <c r="H107" s="18" t="s">
        <v>47</v>
      </c>
      <c r="I107" s="18" t="s">
        <v>47</v>
      </c>
    </row>
    <row r="108" spans="1:9" ht="30" outlineLevel="1" collapsed="1">
      <c r="A108" s="20" t="s">
        <v>14</v>
      </c>
      <c r="B108" s="4" t="s">
        <v>82</v>
      </c>
      <c r="C108" s="20" t="s">
        <v>47</v>
      </c>
      <c r="D108" s="20" t="s">
        <v>399</v>
      </c>
      <c r="E108" s="20" t="s">
        <v>580</v>
      </c>
      <c r="F108" s="20" t="s">
        <v>14</v>
      </c>
      <c r="G108" s="20">
        <f>(G109-G110/G111)*1</f>
        <v>0</v>
      </c>
      <c r="H108" s="20" t="s">
        <v>47</v>
      </c>
      <c r="I108" s="20" t="s">
        <v>47</v>
      </c>
    </row>
    <row r="109" spans="1:9" outlineLevel="1" collapsed="1">
      <c r="A109" s="20" t="s">
        <v>11</v>
      </c>
      <c r="B109" s="20" t="s">
        <v>82</v>
      </c>
      <c r="C109" s="20" t="s">
        <v>47</v>
      </c>
      <c r="D109" s="20"/>
      <c r="E109" s="20" t="s">
        <v>581</v>
      </c>
      <c r="F109" s="20" t="s">
        <v>14</v>
      </c>
      <c r="G109" s="20">
        <v>1</v>
      </c>
      <c r="H109" s="20" t="s">
        <v>47</v>
      </c>
      <c r="I109" s="20" t="s">
        <v>47</v>
      </c>
    </row>
    <row r="110" spans="1:9" outlineLevel="1" collapsed="1">
      <c r="A110" s="20" t="s">
        <v>11</v>
      </c>
      <c r="B110" s="20" t="s">
        <v>82</v>
      </c>
      <c r="C110" s="20" t="s">
        <v>47</v>
      </c>
      <c r="D110" s="20"/>
      <c r="E110" s="20" t="s">
        <v>582</v>
      </c>
      <c r="F110" s="20" t="s">
        <v>14</v>
      </c>
      <c r="G110" s="20">
        <v>1</v>
      </c>
      <c r="H110" s="20" t="s">
        <v>47</v>
      </c>
      <c r="I110" s="20" t="s">
        <v>47</v>
      </c>
    </row>
    <row r="111" spans="1:9" ht="30" outlineLevel="1" collapsed="1">
      <c r="A111" s="20" t="s">
        <v>11</v>
      </c>
      <c r="B111" s="20" t="s">
        <v>82</v>
      </c>
      <c r="C111" s="20" t="s">
        <v>47</v>
      </c>
      <c r="D111" s="20"/>
      <c r="E111" s="20" t="s">
        <v>527</v>
      </c>
      <c r="F111" s="20" t="s">
        <v>14</v>
      </c>
      <c r="G111" s="20">
        <v>1</v>
      </c>
      <c r="H111" s="20" t="s">
        <v>47</v>
      </c>
      <c r="I111" s="20" t="s">
        <v>47</v>
      </c>
    </row>
    <row r="112" spans="1:9">
      <c r="A112" s="18" t="s">
        <v>11</v>
      </c>
      <c r="B112" s="10" t="s">
        <v>583</v>
      </c>
      <c r="C112" s="18" t="s">
        <v>47</v>
      </c>
      <c r="D112" s="18"/>
      <c r="E112" s="18" t="s">
        <v>584</v>
      </c>
      <c r="F112" s="18" t="s">
        <v>11</v>
      </c>
      <c r="G112" s="18" t="s">
        <v>47</v>
      </c>
      <c r="H112" s="18" t="s">
        <v>47</v>
      </c>
      <c r="I112" s="18" t="s">
        <v>47</v>
      </c>
    </row>
    <row r="113" spans="1:9" ht="30" outlineLevel="1" collapsed="1">
      <c r="A113" s="20" t="s">
        <v>14</v>
      </c>
      <c r="B113" s="4" t="s">
        <v>82</v>
      </c>
      <c r="C113" s="20" t="s">
        <v>47</v>
      </c>
      <c r="D113" s="20" t="s">
        <v>399</v>
      </c>
      <c r="E113" s="20" t="s">
        <v>585</v>
      </c>
      <c r="F113" s="20" t="s">
        <v>14</v>
      </c>
      <c r="G113" s="20">
        <f>44/12*G114*(1+G115)*SUM((G120*G121))</f>
        <v>7.333333333333333</v>
      </c>
      <c r="H113" s="20" t="s">
        <v>47</v>
      </c>
      <c r="I113" s="20" t="s">
        <v>47</v>
      </c>
    </row>
    <row r="114" spans="1:9" outlineLevel="1" collapsed="1">
      <c r="A114" s="20" t="s">
        <v>11</v>
      </c>
      <c r="B114" s="20" t="s">
        <v>82</v>
      </c>
      <c r="C114" s="20" t="s">
        <v>47</v>
      </c>
      <c r="D114" s="20"/>
      <c r="E114" s="20" t="s">
        <v>531</v>
      </c>
      <c r="F114" s="20" t="s">
        <v>14</v>
      </c>
      <c r="G114" s="20">
        <v>1</v>
      </c>
      <c r="H114" s="20" t="s">
        <v>47</v>
      </c>
      <c r="I114" s="20" t="s">
        <v>47</v>
      </c>
    </row>
    <row r="115" spans="1:9" outlineLevel="1" collapsed="1">
      <c r="A115" s="20" t="s">
        <v>11</v>
      </c>
      <c r="B115" s="20" t="s">
        <v>82</v>
      </c>
      <c r="C115" s="20" t="s">
        <v>47</v>
      </c>
      <c r="D115" s="20"/>
      <c r="E115" s="20" t="s">
        <v>532</v>
      </c>
      <c r="F115" s="20" t="s">
        <v>14</v>
      </c>
      <c r="G115" s="20">
        <v>1</v>
      </c>
      <c r="H115" s="20" t="s">
        <v>47</v>
      </c>
      <c r="I115" s="20" t="s">
        <v>47</v>
      </c>
    </row>
    <row r="116" spans="1:9" outlineLevel="1">
      <c r="A116" s="22" t="s">
        <v>11</v>
      </c>
      <c r="B116" s="23" t="s">
        <v>533</v>
      </c>
      <c r="C116" s="22" t="s">
        <v>47</v>
      </c>
      <c r="D116" s="22"/>
      <c r="E116" s="22" t="s">
        <v>534</v>
      </c>
      <c r="F116" s="22" t="s">
        <v>11</v>
      </c>
      <c r="G116" s="22" t="s">
        <v>47</v>
      </c>
      <c r="H116" s="22" t="s">
        <v>47</v>
      </c>
      <c r="I116" s="22" t="s">
        <v>47</v>
      </c>
    </row>
    <row r="117" spans="1:9" ht="30" outlineLevel="2" collapsed="1">
      <c r="A117" s="20" t="s">
        <v>11</v>
      </c>
      <c r="B117" s="20" t="s">
        <v>82</v>
      </c>
      <c r="C117" s="20" t="s">
        <v>47</v>
      </c>
      <c r="D117" s="20"/>
      <c r="E117" s="20" t="s">
        <v>535</v>
      </c>
      <c r="F117" s="20" t="s">
        <v>14</v>
      </c>
      <c r="G117" s="20">
        <v>1</v>
      </c>
      <c r="H117" s="20" t="s">
        <v>47</v>
      </c>
      <c r="I117" s="20" t="s">
        <v>47</v>
      </c>
    </row>
    <row r="118" spans="1:9" ht="30" outlineLevel="2" collapsed="1">
      <c r="A118" s="20" t="s">
        <v>11</v>
      </c>
      <c r="B118" s="20" t="s">
        <v>82</v>
      </c>
      <c r="C118" s="20" t="s">
        <v>47</v>
      </c>
      <c r="D118" s="20"/>
      <c r="E118" s="20" t="s">
        <v>536</v>
      </c>
      <c r="F118" s="20" t="s">
        <v>14</v>
      </c>
      <c r="G118" s="20">
        <v>1</v>
      </c>
      <c r="H118" s="20" t="s">
        <v>47</v>
      </c>
      <c r="I118" s="20" t="s">
        <v>47</v>
      </c>
    </row>
    <row r="119" spans="1:9" ht="30" outlineLevel="2" collapsed="1">
      <c r="A119" s="20" t="s">
        <v>11</v>
      </c>
      <c r="B119" s="20" t="s">
        <v>82</v>
      </c>
      <c r="C119" s="20" t="s">
        <v>47</v>
      </c>
      <c r="D119" s="20"/>
      <c r="E119" s="20" t="s">
        <v>537</v>
      </c>
      <c r="F119" s="20" t="s">
        <v>14</v>
      </c>
      <c r="G119" s="20">
        <v>1</v>
      </c>
      <c r="H119" s="20" t="s">
        <v>47</v>
      </c>
      <c r="I119" s="20" t="s">
        <v>47</v>
      </c>
    </row>
    <row r="120" spans="1:9" ht="30" outlineLevel="2" collapsed="1">
      <c r="A120" s="20" t="s">
        <v>11</v>
      </c>
      <c r="B120" s="20" t="s">
        <v>82</v>
      </c>
      <c r="C120" s="20" t="s">
        <v>47</v>
      </c>
      <c r="D120" s="20"/>
      <c r="E120" s="20" t="s">
        <v>538</v>
      </c>
      <c r="F120" s="20" t="s">
        <v>14</v>
      </c>
      <c r="G120" s="20">
        <v>1</v>
      </c>
      <c r="H120" s="20" t="s">
        <v>47</v>
      </c>
      <c r="I120" s="20" t="s">
        <v>47</v>
      </c>
    </row>
    <row r="121" spans="1:9" ht="30" outlineLevel="2" collapsed="1">
      <c r="A121" s="20" t="s">
        <v>14</v>
      </c>
      <c r="B121" s="4" t="s">
        <v>82</v>
      </c>
      <c r="C121" s="20" t="s">
        <v>47</v>
      </c>
      <c r="D121" s="20" t="s">
        <v>399</v>
      </c>
      <c r="E121" s="20" t="s">
        <v>539</v>
      </c>
      <c r="F121" s="20" t="s">
        <v>14</v>
      </c>
      <c r="G121" s="20">
        <f>G117*G118*G119</f>
        <v>1</v>
      </c>
      <c r="H121" s="20" t="s">
        <v>47</v>
      </c>
      <c r="I121" s="20" t="s">
        <v>47</v>
      </c>
    </row>
    <row r="122" spans="1:9" ht="29.25" customHeight="1">
      <c r="A122" s="18" t="s">
        <v>14</v>
      </c>
      <c r="B122" s="3" t="s">
        <v>82</v>
      </c>
      <c r="C122" s="10"/>
      <c r="D122" s="18" t="s">
        <v>399</v>
      </c>
      <c r="E122" s="18" t="s">
        <v>586</v>
      </c>
      <c r="F122" s="18" t="s">
        <v>14</v>
      </c>
      <c r="G122" s="18">
        <f>G113</f>
        <v>7.333333333333333</v>
      </c>
      <c r="H122" s="18"/>
      <c r="I122" s="18"/>
    </row>
    <row r="123" spans="1:9" ht="29.25" customHeight="1">
      <c r="A123" s="18" t="s">
        <v>14</v>
      </c>
      <c r="B123" s="3" t="s">
        <v>82</v>
      </c>
      <c r="C123" s="10"/>
      <c r="D123" s="18" t="s">
        <v>399</v>
      </c>
      <c r="E123" s="18" t="s">
        <v>587</v>
      </c>
      <c r="F123" s="18" t="s">
        <v>14</v>
      </c>
      <c r="G123" s="18">
        <f>IF(AND(G98="Estimating change in carbon stock in shrubs between two points in time",G100="Yes"),0,IF(AND(G98="Estimating change in carbon stock in shrubs between two points in time"),G104,IF(AND(G98="Estimating change in carbon stock in shrubs in a year"),G108)))</f>
        <v>0</v>
      </c>
      <c r="H123" s="18"/>
      <c r="I123" s="1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2">
    <dataValidation type="list" allowBlank="1" sqref="G10 G103 G100" xr:uid="{03139C2B-6977-48C9-B644-59C43749F440}">
      <formula1>"Yes,No"</formula1>
    </dataValidation>
    <dataValidation type="list" allowBlank="1" showInputMessage="1" showErrorMessage="1" sqref="G53:G58" xr:uid="{3F8838B6-79C6-4BA1-9957-0BEE0977C198}">
      <formula1>"Yes,No"</formula1>
    </dataValidation>
  </dataValidations>
  <hyperlinks>
    <hyperlink ref="C60" location="#'Which sampling design w (enum)'!A3" display="Which sampling design w (enum)" xr:uid="{3BB79932-F5EE-4864-BE56-9906CBD4DE69}"/>
    <hyperlink ref="C40" location="'Which method did you 2 (enum)'!A1" display="'Which method did you 2 (enum)" xr:uid="{71C6EC2F-A2E1-4CED-BF80-9AC18D5FEAF3}"/>
    <hyperlink ref="B11" location="'Direct Estimating Changes via S'!A1" display="'Direct Estimating Changes via S" xr:uid="{1A428174-B691-4B04-A0D0-79A7AA2C989E}"/>
    <hyperlink ref="B19" location="'Mean Change In Tree Biomass Per'!A1" display="'Mean Change In Tree Biomass Per" xr:uid="{6EA2FC83-76C9-4081-91A8-3F4E7645B425}"/>
    <hyperlink ref="B24" location="'Change in Tree Biomass per Hect'!A1" display="'Change in Tree Biomass per Hect" xr:uid="{719E363D-F832-4A95-A255-A92FE4803234}"/>
    <hyperlink ref="B26" location="'Difference of Two Independent S'!A1" display="'Difference of Two Independent S" xr:uid="{51BDCEB9-07F3-4730-ACE3-B50D6DA7E6D0}"/>
    <hyperlink ref="B55" location="'Proj-Carbon stock in trees at a'!A1" display="'Proj-Carbon stock in trees at a" xr:uid="{2F8B29A6-208A-4E61-8515-85AB6CCD20B7}"/>
    <hyperlink ref="B48" location="'Proj-Estimation by modelling of'!A1" display="'Proj-Estimation by modelling of" xr:uid="{0FBAD5AD-1444-4063-9C48-65DE414E02A8}"/>
    <hyperlink ref="B59" location="'Measurement of sample plots'!A1" display="'Measurement of sample plots" xr:uid="{D65DAAA4-36B7-4C49-820F-EB52B203FAC8}"/>
    <hyperlink ref="B61" location="'Stratified random sampling'!A1" display="'Stratified random sampling" xr:uid="{12F1231F-DCBF-4B82-AA2B-B698E866A6C3}"/>
    <hyperlink ref="B69" location="'Mean tree biomass per hectare w'!A1" display="'Mean tree biomass per hectare w" xr:uid="{9DACBF4B-7A36-49E9-944B-2AB8E635E073}"/>
    <hyperlink ref="B74" location="'Tree Biomass per Hectare in Plo'!A1" display="'Tree Biomass per Hectare in Plo" xr:uid="{991C061F-094B-494C-9721-C972CE0C1F34}"/>
    <hyperlink ref="B76" location="'Double sampling'!A1" display="'Double sampling" xr:uid="{1C5CF697-C933-4BCD-91EA-D79B57D56A1F}"/>
    <hyperlink ref="B84" location="'Double Mean tree biomass per he'!A1" display="'Double Mean tree biomass per he" xr:uid="{429EABD0-F44B-4034-8CE5-9DED10D928E5}"/>
    <hyperlink ref="B93" location="'Tree Biomass per Hectare in Plo'!A1" display="'Tree Biomass per Hectare in Plo" xr:uid="{D15CB11C-488E-4E9C-8973-B29EFB9A34A8}"/>
    <hyperlink ref="B41" location="'Proj-Updating the previous stoc'!A1" display="'Proj-Updating the previous stoc" xr:uid="{EEA95EDC-A5A1-4054-B862-254A04C8FB4C}"/>
    <hyperlink ref="B39" location="'Proj-Determination of Estimatin'!A1" display="'Proj-Determination of Estimatin" xr:uid="{3CC4D3B0-E976-4F29-899A-3EAC78A88158}"/>
    <hyperlink ref="B99" location="'Proj-Estimating Shrub Carbon St'!A1" display="'Proj-Estimating Shrub Carbon St" xr:uid="{4CAE0815-872F-4214-A2BF-CB67BBCB68D2}"/>
    <hyperlink ref="B107" location="'Proj-Estimating change in carbo'!A1" display="'Proj-Estimating change in carbo" xr:uid="{CFA93160-A1F2-4203-9108-02A658F1981F}"/>
    <hyperlink ref="B112" location="'Proj-Estimating carbon stock in'!A1" display="'Proj-Estimating carbon stock in" xr:uid="{0B1DD4E7-A913-43EB-89EE-319583191E92}"/>
    <hyperlink ref="B116" location="'Shrub biomass per hectare in sh'!A1" display="'Shrub biomass per hectare in sh" xr:uid="{0D1EEFC8-6273-46A1-8440-1BC401DB84CF}"/>
    <hyperlink ref="B8" location="'Tree Demonstration of “no-d'!A1" display="'Tree Demonstration of “no-d" xr:uid="{383DB6F2-2617-4F78-8F80-FA452440C4FC}"/>
    <hyperlink ref="C7" location="'Which method did yous (enum)'!A1" display="'Which method did yous (enum)" xr:uid="{BB598E9F-9DB2-4D6D-95FE-968FDD2F2E52}"/>
    <hyperlink ref="B6" location="'PROJ-Estimating change in car'!A1" display="'PROJ-Estimating change in car" xr:uid="{50529E7E-35F9-44BD-8394-48EA1D020F5B}"/>
    <hyperlink ref="B101" location="'Shrub Demonstration of “n'!A1" display="'Shrub Demonstration of “n" xr:uid="{13936C00-6EDE-42DA-AC89-94B0D4F444DF}"/>
    <hyperlink ref="C5" location="'Which method did you pro(enum)'!A1" display="'Which method did you pro(enum)" xr:uid="{92EDF412-2281-4D42-8245-D541D613E5C3}"/>
    <hyperlink ref="B34" location="'Proj-Estimating Change in Carb'!A1" display="'Proj-Estimating Change in Carb" xr:uid="{FA9DFFC7-EC09-47F4-ACA9-FAD642915A5F}"/>
    <hyperlink ref="C98" location="'Which method did  pro (enum)'!A1" display="'Which method did  pro (enum)" xr:uid="{42226E6A-B709-4B3F-95B8-EDC7AE14112C}"/>
    <hyperlink ref="C100" location="'Will you be applying  pr (enum)'!A1" display="'Will you be applying  pr (enum)" xr:uid="{69E665D6-7ED6-4912-8F19-4DEF796B1612}"/>
    <hyperlink ref="C103" location="'If all three conditi (enum)'!A1" display="'If all three conditi (enum)" xr:uid="{D15203E8-2C53-44E4-A072-48E30EAF4BBA}"/>
    <hyperlink ref="C53" location="'Does your project apply  (enum)'!A1" display="'Does your project apply  (enum)" xr:uid="{93EFB17F-D60F-4945-9BB9-27AB1F1D71FD}"/>
    <hyperlink ref="C10" location="'If all three conditi tree(enum)'!A1" display="'If all three conditi tree(enum)" xr:uid="{5037607B-7D2B-4C40-9E1D-64F10DBBF58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0">
        <x14:dataValidation type="list" allowBlank="1" xr:uid="{7914B9B3-A971-41DE-A594-4D0D6335547C}">
          <x14:formula1>
            <xm:f>'Which method did you 2 (enum)'!$A$3:$A$5</xm:f>
          </x14:formula1>
          <xm:sqref>G40</xm:sqref>
        </x14:dataValidation>
        <x14:dataValidation type="list" allowBlank="1" showInputMessage="1" showErrorMessage="1" xr:uid="{9B774BAE-B40F-4F7D-8B07-5AFEF714F0A1}">
          <x14:formula1>
            <xm:f>'Which method did you u (enum)'!$A$3:$A$4</xm:f>
          </x14:formula1>
          <xm:sqref>G5:G6</xm:sqref>
        </x14:dataValidation>
        <x14:dataValidation type="list" allowBlank="1" xr:uid="{4C2A75EC-8257-40FC-ADD8-8F8D2F438FEF}">
          <x14:formula1>
            <xm:f>'Which method did yous (enum)'!$A$3:$A$5</xm:f>
          </x14:formula1>
          <xm:sqref>G7</xm:sqref>
        </x14:dataValidation>
        <x14:dataValidation type="list" allowBlank="1" showInputMessage="1" showErrorMessage="1" xr:uid="{5C95EE14-A2DD-4A7A-B108-25A69B5AF157}">
          <x14:formula1>
            <xm:f>'Which method did you (enum)'!$A$3:$A$4</xm:f>
          </x14:formula1>
          <xm:sqref>G98</xm:sqref>
        </x14:dataValidation>
        <x14:dataValidation type="list" allowBlank="1" xr:uid="{32614A3B-738D-470A-B517-38592166D0EB}">
          <x14:formula1>
            <xm:f>'Which method did you us (enum)'!C114:C117</xm:f>
          </x14:formula1>
          <xm:sqref>H100:I102</xm:sqref>
        </x14:dataValidation>
        <x14:dataValidation type="list" allowBlank="1" xr:uid="{8289605A-C421-4943-BF78-0E323F2CF6B2}">
          <x14:formula1>
            <xm:f>'Which method did you us (enum)'!C116:C119</xm:f>
          </x14:formula1>
          <xm:sqref>H103:I103</xm:sqref>
        </x14:dataValidation>
        <x14:dataValidation type="list" allowBlank="1" xr:uid="{6506697F-536B-43A5-8C97-9C29CAFAB4A9}">
          <x14:formula1>
            <xm:f>'Which sampling design w (enum)'!B3:B4</xm:f>
          </x14:formula1>
          <xm:sqref>G60:I60</xm:sqref>
        </x14:dataValidation>
        <x14:dataValidation type="list" allowBlank="1" xr:uid="{148BFA00-34AB-43B1-BE4C-A7A5792739B6}">
          <x14:formula1>
            <xm:f>'Which method did you 1 (enum)'!C3:C6</xm:f>
          </x14:formula1>
          <xm:sqref>H40:I40</xm:sqref>
        </x14:dataValidation>
        <x14:dataValidation type="list" allowBlank="1" xr:uid="{23CE38DE-FCB4-4CE9-BE3F-55FDAA971F21}">
          <x14:formula1>
            <xm:f>'Which method did you us (enum)'!C3:C6</xm:f>
          </x14:formula1>
          <xm:sqref>H7:I9</xm:sqref>
        </x14:dataValidation>
        <x14:dataValidation type="list" allowBlank="1" xr:uid="{9F53E971-696E-41BD-B2D9-D801D73C19DE}">
          <x14:formula1>
            <xm:f>'Which method did you us (enum)'!C5:C8</xm:f>
          </x14:formula1>
          <xm:sqref>H10:I10</xm:sqref>
        </x14:dataValidation>
      </x14:dataValidations>
    </ext>
  </extLst>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A325-E921-4F7A-9339-E1CD57879B01}">
  <sheetPr codeName="Sheet115">
    <tabColor rgb="FF7030A0"/>
    <outlinePr summaryBelow="0" summaryRight="0"/>
  </sheetPr>
  <dimension ref="A1:I262"/>
  <sheetViews>
    <sheetView topLeftCell="A18" workbookViewId="0">
      <selection sqref="A1:I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5" t="s">
        <v>770</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0" t="s">
        <v>546</v>
      </c>
      <c r="D5" s="18"/>
      <c r="E5" s="18" t="s">
        <v>390</v>
      </c>
      <c r="F5" s="18" t="s">
        <v>14</v>
      </c>
      <c r="G5" s="18" t="s">
        <v>391</v>
      </c>
      <c r="H5" s="18" t="s">
        <v>47</v>
      </c>
      <c r="I5" s="18" t="s">
        <v>47</v>
      </c>
    </row>
    <row r="6" spans="1:9">
      <c r="A6" s="18" t="s">
        <v>14</v>
      </c>
      <c r="B6" s="10" t="s">
        <v>392</v>
      </c>
      <c r="C6" s="19"/>
      <c r="D6" s="18" t="b">
        <f>EXACT(G5,"no-decrease")</f>
        <v>1</v>
      </c>
      <c r="E6" s="18" t="s">
        <v>393</v>
      </c>
      <c r="F6" s="3" t="s">
        <v>14</v>
      </c>
      <c r="G6" s="18"/>
      <c r="H6" s="18"/>
      <c r="I6" s="18"/>
    </row>
    <row r="7" spans="1:9" ht="165" outlineLevel="1" collapsed="1">
      <c r="A7" s="20" t="s">
        <v>14</v>
      </c>
      <c r="B7" s="20" t="s">
        <v>44</v>
      </c>
      <c r="C7" s="20"/>
      <c r="D7" s="20"/>
      <c r="E7" s="20" t="s">
        <v>394</v>
      </c>
      <c r="F7" s="4" t="s">
        <v>14</v>
      </c>
      <c r="G7" s="20"/>
      <c r="H7" s="20"/>
      <c r="I7" s="20"/>
    </row>
    <row r="8" spans="1:9" ht="60" outlineLevel="1" collapsed="1">
      <c r="A8" s="20" t="s">
        <v>11</v>
      </c>
      <c r="B8" s="20" t="s">
        <v>17</v>
      </c>
      <c r="C8" s="27" t="s">
        <v>395</v>
      </c>
      <c r="D8" s="20"/>
      <c r="E8" s="20" t="s">
        <v>396</v>
      </c>
      <c r="F8" s="4" t="s">
        <v>14</v>
      </c>
      <c r="G8" s="20"/>
      <c r="H8" s="20"/>
      <c r="I8" s="20"/>
    </row>
    <row r="9" spans="1:9">
      <c r="A9" s="18" t="s">
        <v>14</v>
      </c>
      <c r="B9" s="10" t="s">
        <v>410</v>
      </c>
      <c r="C9" s="18" t="s">
        <v>47</v>
      </c>
      <c r="D9" s="18" t="b">
        <f>EXACT(G5,"Direct estimation of change by re-measurement of sample plots")</f>
        <v>0</v>
      </c>
      <c r="E9" s="18" t="s">
        <v>547</v>
      </c>
      <c r="F9" s="18" t="s">
        <v>14</v>
      </c>
      <c r="G9" s="18" t="s">
        <v>47</v>
      </c>
      <c r="H9" s="18" t="s">
        <v>47</v>
      </c>
      <c r="I9" s="18" t="s">
        <v>47</v>
      </c>
    </row>
    <row r="10" spans="1:9" outlineLevel="1" collapsed="1">
      <c r="A10" s="20" t="s">
        <v>14</v>
      </c>
      <c r="B10" s="4" t="s">
        <v>82</v>
      </c>
      <c r="C10" s="20" t="s">
        <v>47</v>
      </c>
      <c r="D10" s="20" t="s">
        <v>399</v>
      </c>
      <c r="E10" s="20" t="s">
        <v>412</v>
      </c>
      <c r="F10" s="20" t="s">
        <v>14</v>
      </c>
      <c r="G10" s="20">
        <f>44/12*G11*G12</f>
        <v>3.6666666666666665</v>
      </c>
      <c r="H10" s="20" t="s">
        <v>47</v>
      </c>
      <c r="I10" s="20" t="s">
        <v>47</v>
      </c>
    </row>
    <row r="11" spans="1:9" outlineLevel="1" collapsed="1">
      <c r="A11" s="20" t="s">
        <v>11</v>
      </c>
      <c r="B11" s="20" t="s">
        <v>82</v>
      </c>
      <c r="C11" s="20" t="s">
        <v>47</v>
      </c>
      <c r="D11" s="20"/>
      <c r="E11" s="20" t="s">
        <v>405</v>
      </c>
      <c r="F11" s="20" t="s">
        <v>14</v>
      </c>
      <c r="G11" s="20">
        <v>1</v>
      </c>
      <c r="H11" s="20" t="s">
        <v>47</v>
      </c>
      <c r="I11" s="20" t="s">
        <v>47</v>
      </c>
    </row>
    <row r="12" spans="1:9" ht="30" outlineLevel="1" collapsed="1">
      <c r="A12" s="20" t="s">
        <v>14</v>
      </c>
      <c r="B12" s="4" t="s">
        <v>82</v>
      </c>
      <c r="C12" s="20" t="s">
        <v>47</v>
      </c>
      <c r="D12" s="20" t="s">
        <v>399</v>
      </c>
      <c r="E12" s="20" t="s">
        <v>413</v>
      </c>
      <c r="F12" s="20" t="s">
        <v>14</v>
      </c>
      <c r="G12" s="20">
        <f>G14*G13</f>
        <v>1</v>
      </c>
      <c r="H12" s="20" t="s">
        <v>47</v>
      </c>
      <c r="I12" s="20" t="s">
        <v>47</v>
      </c>
    </row>
    <row r="13" spans="1:9" ht="30" outlineLevel="1" collapsed="1">
      <c r="A13" s="20" t="s">
        <v>14</v>
      </c>
      <c r="B13" s="4" t="s">
        <v>82</v>
      </c>
      <c r="C13" s="20" t="s">
        <v>47</v>
      </c>
      <c r="D13" s="20" t="s">
        <v>399</v>
      </c>
      <c r="E13" s="20" t="s">
        <v>414</v>
      </c>
      <c r="F13" s="20" t="s">
        <v>14</v>
      </c>
      <c r="G13" s="20">
        <f>SUM((G19*G18))</f>
        <v>1</v>
      </c>
      <c r="H13" s="20" t="s">
        <v>47</v>
      </c>
      <c r="I13" s="20" t="s">
        <v>47</v>
      </c>
    </row>
    <row r="14" spans="1:9" outlineLevel="1" collapsed="1">
      <c r="A14" s="20" t="s">
        <v>11</v>
      </c>
      <c r="B14" s="20" t="s">
        <v>82</v>
      </c>
      <c r="C14" s="20" t="s">
        <v>47</v>
      </c>
      <c r="D14" s="20"/>
      <c r="E14" s="20" t="s">
        <v>415</v>
      </c>
      <c r="F14" s="20" t="s">
        <v>14</v>
      </c>
      <c r="G14" s="20">
        <v>1</v>
      </c>
      <c r="H14" s="20" t="s">
        <v>47</v>
      </c>
      <c r="I14" s="20" t="s">
        <v>47</v>
      </c>
    </row>
    <row r="15" spans="1:9" outlineLevel="1" collapsed="1">
      <c r="A15" s="20" t="s">
        <v>11</v>
      </c>
      <c r="B15" s="20" t="s">
        <v>82</v>
      </c>
      <c r="C15" s="20" t="s">
        <v>47</v>
      </c>
      <c r="D15" s="20"/>
      <c r="E15" s="20" t="s">
        <v>548</v>
      </c>
      <c r="F15" s="20" t="s">
        <v>14</v>
      </c>
      <c r="G15" s="20">
        <v>1</v>
      </c>
      <c r="H15" s="20" t="s">
        <v>47</v>
      </c>
      <c r="I15" s="20" t="s">
        <v>47</v>
      </c>
    </row>
    <row r="16" spans="1:9" outlineLevel="1" collapsed="1">
      <c r="A16" s="20" t="s">
        <v>11</v>
      </c>
      <c r="B16" s="20" t="s">
        <v>82</v>
      </c>
      <c r="C16" s="20" t="s">
        <v>47</v>
      </c>
      <c r="D16" s="20"/>
      <c r="E16" s="20" t="s">
        <v>417</v>
      </c>
      <c r="F16" s="20" t="s">
        <v>14</v>
      </c>
      <c r="G16" s="20">
        <v>1</v>
      </c>
      <c r="H16" s="20" t="s">
        <v>47</v>
      </c>
      <c r="I16" s="20" t="s">
        <v>47</v>
      </c>
    </row>
    <row r="17" spans="1:9" ht="30" outlineLevel="1">
      <c r="A17" s="22" t="s">
        <v>11</v>
      </c>
      <c r="B17" s="23" t="s">
        <v>418</v>
      </c>
      <c r="C17" s="22" t="s">
        <v>47</v>
      </c>
      <c r="D17" s="22"/>
      <c r="E17" s="22" t="s">
        <v>419</v>
      </c>
      <c r="F17" s="22" t="s">
        <v>11</v>
      </c>
      <c r="G17" s="22" t="s">
        <v>47</v>
      </c>
      <c r="H17" s="22" t="s">
        <v>47</v>
      </c>
      <c r="I17" s="22" t="s">
        <v>47</v>
      </c>
    </row>
    <row r="18" spans="1:9" ht="30" outlineLevel="2" collapsed="1">
      <c r="A18" s="20" t="s">
        <v>14</v>
      </c>
      <c r="B18" s="4" t="s">
        <v>82</v>
      </c>
      <c r="C18" s="20" t="s">
        <v>47</v>
      </c>
      <c r="D18" s="20" t="s">
        <v>399</v>
      </c>
      <c r="E18" s="20" t="s">
        <v>420</v>
      </c>
      <c r="F18" s="20" t="s">
        <v>14</v>
      </c>
      <c r="G18" s="20">
        <f>(SUM(G23))/G21</f>
        <v>1</v>
      </c>
      <c r="H18" s="20" t="s">
        <v>47</v>
      </c>
      <c r="I18" s="20" t="s">
        <v>47</v>
      </c>
    </row>
    <row r="19" spans="1:9" ht="30" outlineLevel="2" collapsed="1">
      <c r="A19" s="20" t="s">
        <v>11</v>
      </c>
      <c r="B19" s="20" t="s">
        <v>82</v>
      </c>
      <c r="C19" s="20" t="s">
        <v>47</v>
      </c>
      <c r="D19" s="20"/>
      <c r="E19" s="20" t="s">
        <v>421</v>
      </c>
      <c r="F19" s="20" t="s">
        <v>14</v>
      </c>
      <c r="G19" s="20">
        <v>1</v>
      </c>
      <c r="H19" s="20" t="s">
        <v>47</v>
      </c>
      <c r="I19" s="20" t="s">
        <v>47</v>
      </c>
    </row>
    <row r="20" spans="1:9" ht="30" outlineLevel="2" collapsed="1">
      <c r="A20" s="20" t="s">
        <v>11</v>
      </c>
      <c r="B20" s="20" t="s">
        <v>82</v>
      </c>
      <c r="C20" s="20" t="s">
        <v>47</v>
      </c>
      <c r="D20" s="20"/>
      <c r="E20" s="20" t="s">
        <v>422</v>
      </c>
      <c r="F20" s="20" t="s">
        <v>14</v>
      </c>
      <c r="G20" s="20">
        <v>1</v>
      </c>
      <c r="H20" s="20" t="s">
        <v>47</v>
      </c>
      <c r="I20" s="20" t="s">
        <v>47</v>
      </c>
    </row>
    <row r="21" spans="1:9" ht="30" outlineLevel="2" collapsed="1">
      <c r="A21" s="20" t="s">
        <v>11</v>
      </c>
      <c r="B21" s="20" t="s">
        <v>82</v>
      </c>
      <c r="C21" s="20" t="s">
        <v>47</v>
      </c>
      <c r="D21" s="20"/>
      <c r="E21" s="20" t="s">
        <v>423</v>
      </c>
      <c r="F21" s="20" t="s">
        <v>14</v>
      </c>
      <c r="G21" s="20">
        <v>1</v>
      </c>
      <c r="H21" s="20" t="s">
        <v>47</v>
      </c>
      <c r="I21" s="20" t="s">
        <v>47</v>
      </c>
    </row>
    <row r="22" spans="1:9" outlineLevel="2">
      <c r="A22" s="22" t="s">
        <v>11</v>
      </c>
      <c r="B22" s="23" t="s">
        <v>424</v>
      </c>
      <c r="C22" s="22"/>
      <c r="D22" s="22"/>
      <c r="E22" s="22" t="s">
        <v>425</v>
      </c>
      <c r="F22" s="22" t="s">
        <v>11</v>
      </c>
      <c r="G22" s="22"/>
      <c r="H22" s="22"/>
      <c r="I22" s="22"/>
    </row>
    <row r="23" spans="1:9" s="25" customFormat="1" ht="30" outlineLevel="3" collapsed="1">
      <c r="A23" s="24" t="s">
        <v>11</v>
      </c>
      <c r="B23" s="24" t="s">
        <v>82</v>
      </c>
      <c r="C23" s="24" t="s">
        <v>47</v>
      </c>
      <c r="D23" s="24"/>
      <c r="E23" s="24" t="s">
        <v>426</v>
      </c>
      <c r="F23" s="24" t="s">
        <v>14</v>
      </c>
      <c r="G23" s="24">
        <v>1</v>
      </c>
      <c r="H23" s="24" t="s">
        <v>47</v>
      </c>
      <c r="I23" s="24" t="s">
        <v>47</v>
      </c>
    </row>
    <row r="24" spans="1:9">
      <c r="A24" s="18" t="s">
        <v>14</v>
      </c>
      <c r="B24" s="10" t="s">
        <v>427</v>
      </c>
      <c r="C24" s="18" t="s">
        <v>47</v>
      </c>
      <c r="D24" s="18" t="b">
        <f>EXACT(G5,"Difference of two independent stock estimations")</f>
        <v>0</v>
      </c>
      <c r="E24" s="18" t="s">
        <v>549</v>
      </c>
      <c r="F24" s="18" t="s">
        <v>14</v>
      </c>
      <c r="G24" s="18" t="s">
        <v>47</v>
      </c>
      <c r="H24" s="18" t="s">
        <v>47</v>
      </c>
      <c r="I24" s="18" t="s">
        <v>47</v>
      </c>
    </row>
    <row r="25" spans="1:9" outlineLevel="1" collapsed="1">
      <c r="A25" s="20" t="s">
        <v>11</v>
      </c>
      <c r="B25" s="20" t="s">
        <v>82</v>
      </c>
      <c r="C25" s="20" t="s">
        <v>47</v>
      </c>
      <c r="D25" s="20"/>
      <c r="E25" s="20" t="s">
        <v>429</v>
      </c>
      <c r="F25" s="20" t="s">
        <v>14</v>
      </c>
      <c r="G25" s="20">
        <v>1</v>
      </c>
      <c r="H25" s="20" t="s">
        <v>47</v>
      </c>
      <c r="I25" s="20" t="s">
        <v>47</v>
      </c>
    </row>
    <row r="26" spans="1:9" outlineLevel="1" collapsed="1">
      <c r="A26" s="20" t="s">
        <v>11</v>
      </c>
      <c r="B26" s="20" t="s">
        <v>82</v>
      </c>
      <c r="C26" s="20" t="s">
        <v>47</v>
      </c>
      <c r="D26" s="20"/>
      <c r="E26" s="20" t="s">
        <v>430</v>
      </c>
      <c r="F26" s="20" t="s">
        <v>14</v>
      </c>
      <c r="G26" s="20">
        <v>1</v>
      </c>
      <c r="H26" s="20" t="s">
        <v>47</v>
      </c>
      <c r="I26" s="20" t="s">
        <v>47</v>
      </c>
    </row>
    <row r="27" spans="1:9" outlineLevel="1" collapsed="1">
      <c r="A27" s="20" t="s">
        <v>11</v>
      </c>
      <c r="B27" s="20" t="s">
        <v>82</v>
      </c>
      <c r="C27" s="20" t="s">
        <v>47</v>
      </c>
      <c r="D27" s="20"/>
      <c r="E27" s="20" t="s">
        <v>431</v>
      </c>
      <c r="F27" s="20" t="s">
        <v>14</v>
      </c>
      <c r="G27" s="20">
        <v>1</v>
      </c>
      <c r="H27" s="20" t="s">
        <v>47</v>
      </c>
      <c r="I27" s="20" t="s">
        <v>47</v>
      </c>
    </row>
    <row r="28" spans="1:9" outlineLevel="1" collapsed="1">
      <c r="A28" s="20" t="s">
        <v>11</v>
      </c>
      <c r="B28" s="20" t="s">
        <v>82</v>
      </c>
      <c r="C28" s="20" t="s">
        <v>47</v>
      </c>
      <c r="D28" s="20"/>
      <c r="E28" s="20" t="s">
        <v>432</v>
      </c>
      <c r="F28" s="20" t="s">
        <v>14</v>
      </c>
      <c r="G28" s="20">
        <v>1</v>
      </c>
      <c r="H28" s="20" t="s">
        <v>47</v>
      </c>
      <c r="I28" s="20" t="s">
        <v>47</v>
      </c>
    </row>
    <row r="29" spans="1:9" ht="30" outlineLevel="1" collapsed="1">
      <c r="A29" s="20" t="s">
        <v>14</v>
      </c>
      <c r="B29" s="4" t="s">
        <v>82</v>
      </c>
      <c r="C29" s="20" t="s">
        <v>47</v>
      </c>
      <c r="D29" s="20" t="s">
        <v>399</v>
      </c>
      <c r="E29" s="24" t="s">
        <v>550</v>
      </c>
      <c r="F29" s="20" t="s">
        <v>14</v>
      </c>
      <c r="G29" s="20" t="e">
        <f>(SQRT((G27*G25)^2+(G28*G26)^2))/G30</f>
        <v>#DIV/0!</v>
      </c>
      <c r="H29" s="20" t="s">
        <v>47</v>
      </c>
      <c r="I29" s="20" t="s">
        <v>47</v>
      </c>
    </row>
    <row r="30" spans="1:9" outlineLevel="1" collapsed="1">
      <c r="A30" s="20" t="s">
        <v>14</v>
      </c>
      <c r="B30" s="4" t="s">
        <v>82</v>
      </c>
      <c r="C30" s="20" t="s">
        <v>47</v>
      </c>
      <c r="D30" s="20" t="s">
        <v>399</v>
      </c>
      <c r="E30" s="20" t="s">
        <v>551</v>
      </c>
      <c r="F30" s="20" t="s">
        <v>14</v>
      </c>
      <c r="G30" s="20">
        <f>G26-G25</f>
        <v>0</v>
      </c>
      <c r="H30" s="20" t="s">
        <v>47</v>
      </c>
      <c r="I30" s="20" t="s">
        <v>47</v>
      </c>
    </row>
    <row r="31" spans="1:9" outlineLevel="1" collapsed="1">
      <c r="A31" s="20" t="s">
        <v>11</v>
      </c>
      <c r="B31" s="20" t="s">
        <v>82</v>
      </c>
      <c r="C31" s="20" t="s">
        <v>47</v>
      </c>
      <c r="D31" s="20"/>
      <c r="E31" s="20" t="s">
        <v>552</v>
      </c>
      <c r="F31" s="20" t="s">
        <v>14</v>
      </c>
      <c r="G31" s="26">
        <v>7.0000000000000007E-2</v>
      </c>
      <c r="H31" s="20" t="s">
        <v>47</v>
      </c>
      <c r="I31" s="20" t="s">
        <v>47</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xr:uid="{B515CBF0-8614-4A1F-BE1F-0F318B5E4B3D}">
      <formula1>"Yes,No"</formula1>
    </dataValidation>
  </dataValidations>
  <hyperlinks>
    <hyperlink ref="B9" location="'Direct Estimating Changes via S'!A1" display="'Direct Estimating Changes via S" xr:uid="{D0F97006-A536-4F19-9826-A30F7586C105}"/>
    <hyperlink ref="B17" location="'Mean Change In Tree Biomass Per'!A1" display="'Mean Change In Tree Biomass Per" xr:uid="{18C65335-3023-48D6-8051-006B1D3103A4}"/>
    <hyperlink ref="B22" location="'Change in Tree Biomass per Hect'!A1" display="'Change in Tree Biomass per Hect" xr:uid="{8594B4B9-8447-4892-A2C2-48962B4E4C54}"/>
    <hyperlink ref="B24" location="'Difference of Two Independent S'!A1" display="'Difference of Two Independent S" xr:uid="{2A3FBEB0-D2E2-4685-9B33-517EE549CA70}"/>
    <hyperlink ref="B6" location="'Tree Demonstration of “no-d'!A1" display="'Tree Demonstration of “no-d" xr:uid="{A61B3D31-9704-40A4-AB48-24CA7305DEDE}"/>
    <hyperlink ref="C5" location="'Which method did yous (enum)'!A1" display="'Which method did yous (enum)" xr:uid="{FA1C3C7B-EDD2-4808-BE5A-D6FB7459ACCA}"/>
    <hyperlink ref="C8" location="'If all three conditi tree(enum)'!A1" display="'If all three conditi tree(enum)" xr:uid="{15ADDEC7-4AD4-488E-965C-31CADFDA3861}"/>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4">
        <x14:dataValidation type="list" allowBlank="1" xr:uid="{3C598DA7-5294-4C76-B930-49F59BD2B014}">
          <x14:formula1>
            <xm:f>'Which method did yous (enum)'!$A$3:$A$5</xm:f>
          </x14:formula1>
          <xm:sqref>G5</xm:sqref>
        </x14:dataValidation>
        <x14:dataValidation type="list" allowBlank="1" xr:uid="{8B4A4140-3F3C-4C2A-812B-CA34F1CCD3C5}">
          <x14:formula1>
            <xm:f>'Which method did you us (enum)'!C5:C8</xm:f>
          </x14:formula1>
          <xm:sqref>H8:I8</xm:sqref>
        </x14:dataValidation>
        <x14:dataValidation type="list" allowBlank="1" xr:uid="{6875FB1A-414C-49D4-9461-F271987EDBCD}">
          <x14:formula1>
            <xm:f>'Which method did you us (enum)'!C4:C7</xm:f>
          </x14:formula1>
          <xm:sqref>H6:I7</xm:sqref>
        </x14:dataValidation>
        <x14:dataValidation type="list" allowBlank="1" xr:uid="{F67E1737-7C69-42E3-82B6-C3BA4E5F6208}">
          <x14:formula1>
            <xm:f>'Which method did you us (enum)'!C1:C4</xm:f>
          </x14:formula1>
          <xm:sqref>H5:I5</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8049-2E1F-4532-A1FD-CD737BFDDB1A}">
  <sheetPr codeName="Sheet11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771</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44</v>
      </c>
      <c r="C5" s="19"/>
      <c r="D5" s="18"/>
      <c r="E5" s="18" t="s">
        <v>394</v>
      </c>
      <c r="F5" s="3" t="s">
        <v>14</v>
      </c>
      <c r="G5" s="18"/>
      <c r="H5" s="18"/>
      <c r="I5" s="18"/>
    </row>
    <row r="6" spans="1:9" ht="29.25" customHeight="1">
      <c r="A6" s="18" t="s">
        <v>11</v>
      </c>
      <c r="B6" s="18" t="s">
        <v>17</v>
      </c>
      <c r="C6" s="10" t="s">
        <v>395</v>
      </c>
      <c r="D6" s="18"/>
      <c r="E6" s="18" t="s">
        <v>396</v>
      </c>
      <c r="F6" s="3" t="s">
        <v>14</v>
      </c>
      <c r="G6" s="18"/>
      <c r="H6" s="18"/>
      <c r="I6"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6" xr:uid="{15917F22-B334-44F7-9521-C43903EE07DC}">
      <formula1>"Yes,No"</formula1>
    </dataValidation>
  </dataValidations>
  <hyperlinks>
    <hyperlink ref="C6" location="'If all three conditi tree(enum)'!A1" display="'If all three conditi tree(enum)" xr:uid="{A405DFF8-954D-408D-AE9B-1BB6ED3D35E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FBE77EED-2A42-417C-A5DC-68D9941ED819}">
          <x14:formula1>
            <xm:f>'Which method did you us (enum)'!D5:D8</xm:f>
          </x14:formula1>
          <xm:sqref>H6:I6</xm:sqref>
        </x14:dataValidation>
        <x14:dataValidation type="list" allowBlank="1" xr:uid="{A6715785-AB95-462A-A107-E754A241755B}">
          <x14:formula1>
            <xm:f>'Which method did you us (enum)'!D5:D8</xm:f>
          </x14:formula1>
          <xm:sqref>H5:I5</xm:sqref>
        </x14:dataValidation>
      </x14:dataValidations>
    </ext>
  </extLst>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DA0E-A8F9-4ADD-ADBB-7011EE7124E7}">
  <sheetPr codeName="Sheet117">
    <tabColor rgb="FF7030A0"/>
    <outlinePr summaryBelow="0" summaryRight="0"/>
  </sheetPr>
  <dimension ref="A1:I262"/>
  <sheetViews>
    <sheetView workbookViewId="0">
      <selection sqref="A1:I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5" t="s">
        <v>547</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412</v>
      </c>
      <c r="F5" s="18" t="s">
        <v>14</v>
      </c>
      <c r="G5" s="18">
        <f>44/12*G6*G7</f>
        <v>3.6666666666666665</v>
      </c>
      <c r="H5" s="18" t="s">
        <v>47</v>
      </c>
      <c r="I5" s="18" t="s">
        <v>47</v>
      </c>
    </row>
    <row r="6" spans="1:9" ht="29.25" customHeight="1">
      <c r="A6" s="18" t="s">
        <v>11</v>
      </c>
      <c r="B6" s="18" t="s">
        <v>82</v>
      </c>
      <c r="C6" s="19" t="s">
        <v>47</v>
      </c>
      <c r="D6" s="18"/>
      <c r="E6" s="18" t="s">
        <v>405</v>
      </c>
      <c r="F6" s="18" t="s">
        <v>14</v>
      </c>
      <c r="G6" s="18">
        <v>1</v>
      </c>
      <c r="H6" s="18" t="s">
        <v>47</v>
      </c>
      <c r="I6" s="18" t="s">
        <v>47</v>
      </c>
    </row>
    <row r="7" spans="1:9" ht="29.25" customHeight="1">
      <c r="A7" s="18" t="s">
        <v>14</v>
      </c>
      <c r="B7" s="3" t="s">
        <v>82</v>
      </c>
      <c r="C7" s="19" t="s">
        <v>47</v>
      </c>
      <c r="D7" s="18" t="s">
        <v>399</v>
      </c>
      <c r="E7" s="18" t="s">
        <v>413</v>
      </c>
      <c r="F7" s="18" t="s">
        <v>14</v>
      </c>
      <c r="G7" s="18">
        <f>G9*G8</f>
        <v>1</v>
      </c>
      <c r="H7" s="18" t="s">
        <v>47</v>
      </c>
      <c r="I7" s="18" t="s">
        <v>47</v>
      </c>
    </row>
    <row r="8" spans="1:9" ht="29.25" customHeight="1">
      <c r="A8" s="18" t="s">
        <v>14</v>
      </c>
      <c r="B8" s="3" t="s">
        <v>82</v>
      </c>
      <c r="C8" s="19" t="s">
        <v>47</v>
      </c>
      <c r="D8" s="18" t="s">
        <v>399</v>
      </c>
      <c r="E8" s="18" t="s">
        <v>414</v>
      </c>
      <c r="F8" s="18" t="s">
        <v>14</v>
      </c>
      <c r="G8" s="18">
        <f>SUM((G14*G13))</f>
        <v>1</v>
      </c>
      <c r="H8" s="18" t="s">
        <v>47</v>
      </c>
      <c r="I8" s="18" t="s">
        <v>47</v>
      </c>
    </row>
    <row r="9" spans="1:9" ht="29.25" customHeight="1">
      <c r="A9" s="18" t="s">
        <v>11</v>
      </c>
      <c r="B9" s="18" t="s">
        <v>82</v>
      </c>
      <c r="C9" s="19" t="s">
        <v>47</v>
      </c>
      <c r="D9" s="18"/>
      <c r="E9" s="18" t="s">
        <v>415</v>
      </c>
      <c r="F9" s="18" t="s">
        <v>14</v>
      </c>
      <c r="G9" s="18">
        <v>1</v>
      </c>
      <c r="H9" s="18" t="s">
        <v>47</v>
      </c>
      <c r="I9" s="18" t="s">
        <v>47</v>
      </c>
    </row>
    <row r="10" spans="1:9" ht="29.25" customHeight="1">
      <c r="A10" s="18" t="s">
        <v>11</v>
      </c>
      <c r="B10" s="18" t="s">
        <v>82</v>
      </c>
      <c r="C10" s="19" t="s">
        <v>47</v>
      </c>
      <c r="D10" s="18"/>
      <c r="E10" s="18" t="s">
        <v>548</v>
      </c>
      <c r="F10" s="18" t="s">
        <v>14</v>
      </c>
      <c r="G10" s="18">
        <v>1</v>
      </c>
      <c r="H10" s="18" t="s">
        <v>47</v>
      </c>
      <c r="I10" s="18" t="s">
        <v>47</v>
      </c>
    </row>
    <row r="11" spans="1:9" ht="29.25" customHeight="1">
      <c r="A11" s="18" t="s">
        <v>11</v>
      </c>
      <c r="B11" s="18" t="s">
        <v>82</v>
      </c>
      <c r="C11" s="19" t="s">
        <v>47</v>
      </c>
      <c r="D11" s="18"/>
      <c r="E11" s="18" t="s">
        <v>417</v>
      </c>
      <c r="F11" s="18" t="s">
        <v>14</v>
      </c>
      <c r="G11" s="18">
        <v>1</v>
      </c>
      <c r="H11" s="18" t="s">
        <v>47</v>
      </c>
      <c r="I11" s="18" t="s">
        <v>47</v>
      </c>
    </row>
    <row r="12" spans="1:9" ht="30">
      <c r="A12" s="22" t="s">
        <v>11</v>
      </c>
      <c r="B12" s="23" t="s">
        <v>418</v>
      </c>
      <c r="C12" s="22" t="s">
        <v>47</v>
      </c>
      <c r="D12" s="22"/>
      <c r="E12" s="22" t="s">
        <v>419</v>
      </c>
      <c r="F12" s="22" t="s">
        <v>11</v>
      </c>
      <c r="G12" s="22" t="s">
        <v>47</v>
      </c>
      <c r="H12" s="22" t="s">
        <v>47</v>
      </c>
      <c r="I12" s="22" t="s">
        <v>47</v>
      </c>
    </row>
    <row r="13" spans="1:9" ht="30" outlineLevel="1" collapsed="1">
      <c r="A13" s="20" t="s">
        <v>14</v>
      </c>
      <c r="B13" s="4" t="s">
        <v>82</v>
      </c>
      <c r="C13" s="20" t="s">
        <v>47</v>
      </c>
      <c r="D13" s="20" t="s">
        <v>399</v>
      </c>
      <c r="E13" s="20" t="s">
        <v>420</v>
      </c>
      <c r="F13" s="20" t="s">
        <v>14</v>
      </c>
      <c r="G13" s="20">
        <f>(SUM(G18))/G16</f>
        <v>1</v>
      </c>
      <c r="H13" s="20" t="s">
        <v>47</v>
      </c>
      <c r="I13" s="20" t="s">
        <v>47</v>
      </c>
    </row>
    <row r="14" spans="1:9" ht="30" outlineLevel="1" collapsed="1">
      <c r="A14" s="20" t="s">
        <v>11</v>
      </c>
      <c r="B14" s="20" t="s">
        <v>82</v>
      </c>
      <c r="C14" s="20" t="s">
        <v>47</v>
      </c>
      <c r="D14" s="20"/>
      <c r="E14" s="20" t="s">
        <v>421</v>
      </c>
      <c r="F14" s="20" t="s">
        <v>14</v>
      </c>
      <c r="G14" s="20">
        <v>1</v>
      </c>
      <c r="H14" s="20" t="s">
        <v>47</v>
      </c>
      <c r="I14" s="20" t="s">
        <v>47</v>
      </c>
    </row>
    <row r="15" spans="1:9" ht="30" outlineLevel="1" collapsed="1">
      <c r="A15" s="20" t="s">
        <v>11</v>
      </c>
      <c r="B15" s="20" t="s">
        <v>82</v>
      </c>
      <c r="C15" s="20" t="s">
        <v>47</v>
      </c>
      <c r="D15" s="20"/>
      <c r="E15" s="20" t="s">
        <v>422</v>
      </c>
      <c r="F15" s="20" t="s">
        <v>14</v>
      </c>
      <c r="G15" s="20">
        <v>1</v>
      </c>
      <c r="H15" s="20" t="s">
        <v>47</v>
      </c>
      <c r="I15" s="20" t="s">
        <v>47</v>
      </c>
    </row>
    <row r="16" spans="1:9" ht="30" outlineLevel="1" collapsed="1">
      <c r="A16" s="20" t="s">
        <v>11</v>
      </c>
      <c r="B16" s="20" t="s">
        <v>82</v>
      </c>
      <c r="C16" s="20" t="s">
        <v>47</v>
      </c>
      <c r="D16" s="20"/>
      <c r="E16" s="20" t="s">
        <v>423</v>
      </c>
      <c r="F16" s="20" t="s">
        <v>14</v>
      </c>
      <c r="G16" s="20">
        <v>1</v>
      </c>
      <c r="H16" s="20" t="s">
        <v>47</v>
      </c>
      <c r="I16" s="20" t="s">
        <v>47</v>
      </c>
    </row>
    <row r="17" spans="1:9" outlineLevel="1">
      <c r="A17" s="22" t="s">
        <v>11</v>
      </c>
      <c r="B17" s="23" t="s">
        <v>424</v>
      </c>
      <c r="C17" s="22"/>
      <c r="D17" s="22"/>
      <c r="E17" s="22" t="s">
        <v>425</v>
      </c>
      <c r="F17" s="22" t="s">
        <v>11</v>
      </c>
      <c r="G17" s="22"/>
      <c r="H17" s="22"/>
      <c r="I17" s="22"/>
    </row>
    <row r="18" spans="1:9" s="25" customFormat="1" ht="30" outlineLevel="2" collapsed="1">
      <c r="A18" s="24" t="s">
        <v>11</v>
      </c>
      <c r="B18" s="24" t="s">
        <v>82</v>
      </c>
      <c r="C18" s="24" t="s">
        <v>47</v>
      </c>
      <c r="D18" s="24"/>
      <c r="E18" s="24" t="s">
        <v>426</v>
      </c>
      <c r="F18" s="24" t="s">
        <v>14</v>
      </c>
      <c r="G18" s="24">
        <v>1</v>
      </c>
      <c r="H18" s="24" t="s">
        <v>47</v>
      </c>
      <c r="I18" s="24" t="s">
        <v>47</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7" location="'Change in Tree Biomass per Hect'!A1" display="'Change in Tree Biomass per Hect" xr:uid="{F563B16B-73DB-48CA-8689-DC2DB3F7379E}"/>
    <hyperlink ref="B12" location="'Mean Change In Tree Biomass Per'!A1" display="'Mean Change In Tree Biomass Per" xr:uid="{1A3D11D2-4D2D-4D7B-80BF-8F48362DC7E2}"/>
  </hyperlinks>
  <pageMargins left="0.7" right="0.7" top="0.75" bottom="0.75" header="0.3" footer="0.3"/>
  <pageSetup orientation="portrait" horizontalDpi="4294967295" verticalDpi="4294967295"/>
  <legacy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E2BF-F1D8-4CD2-B43A-2BD91BCAC60E}">
  <sheetPr codeName="Sheet118">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419</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420</v>
      </c>
      <c r="F5" s="18" t="s">
        <v>14</v>
      </c>
      <c r="G5" s="18">
        <f>(SUM(G10))/G8</f>
        <v>1</v>
      </c>
      <c r="H5" s="18" t="s">
        <v>47</v>
      </c>
      <c r="I5" s="18" t="s">
        <v>47</v>
      </c>
    </row>
    <row r="6" spans="1:9" ht="29.25" customHeight="1">
      <c r="A6" s="18" t="s">
        <v>11</v>
      </c>
      <c r="B6" s="18" t="s">
        <v>82</v>
      </c>
      <c r="C6" s="19" t="s">
        <v>47</v>
      </c>
      <c r="D6" s="18"/>
      <c r="E6" s="18" t="s">
        <v>421</v>
      </c>
      <c r="F6" s="18" t="s">
        <v>14</v>
      </c>
      <c r="G6" s="18">
        <v>1</v>
      </c>
      <c r="H6" s="18" t="s">
        <v>47</v>
      </c>
      <c r="I6" s="18" t="s">
        <v>47</v>
      </c>
    </row>
    <row r="7" spans="1:9" ht="29.25" customHeight="1">
      <c r="A7" s="18" t="s">
        <v>11</v>
      </c>
      <c r="B7" s="18" t="s">
        <v>82</v>
      </c>
      <c r="C7" s="19" t="s">
        <v>47</v>
      </c>
      <c r="D7" s="18"/>
      <c r="E7" s="18" t="s">
        <v>422</v>
      </c>
      <c r="F7" s="18" t="s">
        <v>14</v>
      </c>
      <c r="G7" s="18">
        <v>1</v>
      </c>
      <c r="H7" s="18" t="s">
        <v>47</v>
      </c>
      <c r="I7" s="18" t="s">
        <v>47</v>
      </c>
    </row>
    <row r="8" spans="1:9" ht="29.25" customHeight="1">
      <c r="A8" s="18" t="s">
        <v>11</v>
      </c>
      <c r="B8" s="18" t="s">
        <v>82</v>
      </c>
      <c r="C8" s="19" t="s">
        <v>47</v>
      </c>
      <c r="D8" s="18"/>
      <c r="E8" s="18" t="s">
        <v>423</v>
      </c>
      <c r="F8" s="18" t="s">
        <v>14</v>
      </c>
      <c r="G8" s="18">
        <v>1</v>
      </c>
      <c r="H8" s="18" t="s">
        <v>47</v>
      </c>
      <c r="I8" s="18" t="s">
        <v>47</v>
      </c>
    </row>
    <row r="9" spans="1:9">
      <c r="A9" s="22" t="s">
        <v>11</v>
      </c>
      <c r="B9" s="23" t="s">
        <v>424</v>
      </c>
      <c r="C9" s="22"/>
      <c r="D9" s="22"/>
      <c r="E9" s="22" t="s">
        <v>425</v>
      </c>
      <c r="F9" s="22" t="s">
        <v>11</v>
      </c>
      <c r="G9" s="22"/>
      <c r="H9" s="22"/>
      <c r="I9" s="22"/>
    </row>
    <row r="10" spans="1:9" s="25" customFormat="1" ht="30" outlineLevel="1" collapsed="1">
      <c r="A10" s="24" t="s">
        <v>11</v>
      </c>
      <c r="B10" s="24" t="s">
        <v>82</v>
      </c>
      <c r="C10" s="24" t="s">
        <v>47</v>
      </c>
      <c r="D10" s="24"/>
      <c r="E10" s="24" t="s">
        <v>426</v>
      </c>
      <c r="F10" s="24" t="s">
        <v>14</v>
      </c>
      <c r="G10" s="24">
        <v>1</v>
      </c>
      <c r="H10" s="24" t="s">
        <v>47</v>
      </c>
      <c r="I10" s="24"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9" location="'Change in Tree Biomass per Hect'!A1" display="'Change in Tree Biomass per Hect" xr:uid="{21D16CDD-9341-41E9-9CD0-A05F1B6F9388}"/>
  </hyperlinks>
  <pageMargins left="0.7" right="0.7" top="0.75" bottom="0.75" header="0.3" footer="0.3"/>
  <pageSetup orientation="portrait" horizontalDpi="4294967295" verticalDpi="4294967295"/>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95530-2B1D-47A4-AC0A-157692C8F5D3}">
  <sheetPr codeName="Sheet11">
    <outlinePr summaryBelow="0" summaryRight="0"/>
  </sheetPr>
  <dimension ref="A1:G16"/>
  <sheetViews>
    <sheetView workbookViewId="0">
      <selection activeCell="B2" sqref="B2:G2"/>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2" t="s">
        <v>649</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650</v>
      </c>
      <c r="C5" s="10"/>
      <c r="D5" s="3"/>
      <c r="E5" s="3" t="s">
        <v>651</v>
      </c>
      <c r="F5" s="3" t="s">
        <v>11</v>
      </c>
      <c r="G5" s="3"/>
    </row>
    <row r="6" spans="1:7" outlineLevel="1">
      <c r="A6" s="3" t="s">
        <v>11</v>
      </c>
      <c r="B6" s="3" t="s">
        <v>82</v>
      </c>
      <c r="C6" s="10"/>
      <c r="D6" s="3"/>
      <c r="E6" s="3" t="s">
        <v>132</v>
      </c>
      <c r="F6" s="3" t="s">
        <v>14</v>
      </c>
      <c r="G6" s="3">
        <v>0</v>
      </c>
    </row>
    <row r="7" spans="1:7" outlineLevel="1">
      <c r="A7" s="3" t="s">
        <v>11</v>
      </c>
      <c r="B7" s="9" t="s">
        <v>652</v>
      </c>
      <c r="C7" s="10"/>
      <c r="D7" s="3"/>
      <c r="E7" s="3" t="s">
        <v>653</v>
      </c>
      <c r="F7" s="3" t="s">
        <v>11</v>
      </c>
      <c r="G7" s="3"/>
    </row>
    <row r="8" spans="1:7" outlineLevel="2">
      <c r="A8" s="3" t="s">
        <v>11</v>
      </c>
      <c r="B8" s="3" t="s">
        <v>46</v>
      </c>
      <c r="C8" s="10"/>
      <c r="D8" s="3"/>
      <c r="E8" s="3" t="s">
        <v>136</v>
      </c>
      <c r="F8" s="3" t="s">
        <v>14</v>
      </c>
      <c r="G8" s="3" t="s">
        <v>654</v>
      </c>
    </row>
    <row r="9" spans="1:7" outlineLevel="2">
      <c r="A9" s="3" t="s">
        <v>11</v>
      </c>
      <c r="B9" s="9" t="s">
        <v>655</v>
      </c>
      <c r="C9" s="10"/>
      <c r="D9" s="3"/>
      <c r="E9" s="3" t="s">
        <v>656</v>
      </c>
      <c r="F9" s="3" t="s">
        <v>11</v>
      </c>
      <c r="G9" s="3"/>
    </row>
    <row r="10" spans="1:7" outlineLevel="3">
      <c r="A10" s="3" t="s">
        <v>11</v>
      </c>
      <c r="B10" s="3" t="s">
        <v>46</v>
      </c>
      <c r="C10" s="10"/>
      <c r="D10" s="3"/>
      <c r="E10" s="3" t="s">
        <v>657</v>
      </c>
      <c r="F10" s="3" t="s">
        <v>14</v>
      </c>
      <c r="G10" s="3" t="s">
        <v>658</v>
      </c>
    </row>
    <row r="11" spans="1:7" outlineLevel="3">
      <c r="A11" s="3" t="s">
        <v>11</v>
      </c>
      <c r="B11" s="3" t="s">
        <v>46</v>
      </c>
      <c r="C11" s="10"/>
      <c r="D11" s="3"/>
      <c r="E11" s="3" t="s">
        <v>659</v>
      </c>
      <c r="F11" s="3" t="s">
        <v>14</v>
      </c>
      <c r="G11" s="3">
        <v>4157.8260525207797</v>
      </c>
    </row>
    <row r="12" spans="1:7" outlineLevel="3" collapsed="1">
      <c r="A12" s="3" t="s">
        <v>11</v>
      </c>
      <c r="B12" s="3" t="s">
        <v>46</v>
      </c>
      <c r="C12" s="10"/>
      <c r="D12" s="3"/>
      <c r="E12" s="3" t="s">
        <v>660</v>
      </c>
      <c r="F12" s="3" t="s">
        <v>14</v>
      </c>
      <c r="G12" s="3">
        <v>44.561717168448801</v>
      </c>
    </row>
    <row r="13" spans="1:7" outlineLevel="3">
      <c r="A13" s="3" t="s">
        <v>11</v>
      </c>
      <c r="B13" s="3" t="s">
        <v>46</v>
      </c>
      <c r="C13" s="10"/>
      <c r="D13" s="3"/>
      <c r="E13" s="3" t="s">
        <v>88</v>
      </c>
      <c r="F13" s="3" t="s">
        <v>14</v>
      </c>
      <c r="G13" s="3" t="s">
        <v>89</v>
      </c>
    </row>
    <row r="14" spans="1:7" outlineLevel="3">
      <c r="A14" s="3" t="s">
        <v>11</v>
      </c>
      <c r="B14" s="3" t="s">
        <v>46</v>
      </c>
      <c r="C14" s="10"/>
      <c r="D14" s="3"/>
      <c r="E14" s="3" t="s">
        <v>661</v>
      </c>
      <c r="F14" s="3" t="s">
        <v>14</v>
      </c>
      <c r="G14" s="3" t="s">
        <v>662</v>
      </c>
    </row>
    <row r="15" spans="1:7" outlineLevel="3">
      <c r="A15" s="3" t="s">
        <v>11</v>
      </c>
      <c r="B15" s="3" t="s">
        <v>46</v>
      </c>
      <c r="C15" s="10"/>
      <c r="D15" s="3"/>
      <c r="E15" s="3" t="s">
        <v>663</v>
      </c>
      <c r="F15" s="3" t="s">
        <v>14</v>
      </c>
      <c r="G15" s="3">
        <v>20003</v>
      </c>
    </row>
    <row r="16" spans="1:7" outlineLevel="1">
      <c r="A16" s="3" t="s">
        <v>14</v>
      </c>
      <c r="B16" s="3" t="s">
        <v>82</v>
      </c>
      <c r="C16" s="10"/>
      <c r="D16" s="3" t="s">
        <v>48</v>
      </c>
      <c r="E16" s="3" t="s">
        <v>664</v>
      </c>
      <c r="F16" s="3" t="s">
        <v>14</v>
      </c>
      <c r="G16" s="3">
        <f>AVERAGE(G12)</f>
        <v>44.561717168448801</v>
      </c>
    </row>
  </sheetData>
  <mergeCells count="3">
    <mergeCell ref="A1:G1"/>
    <mergeCell ref="B2:G2"/>
    <mergeCell ref="B3:G3"/>
  </mergeCells>
  <dataValidations disablePrompts="1" count="3">
    <dataValidation type="list" allowBlank="1" showInputMessage="1" showErrorMessage="1" sqref="A6:A9 F6:F9 A11:A16 F11:F16" xr:uid="{A251A73D-F93F-436F-9FB2-D8F047522DAE}">
      <formula1>"Yes,No"</formula1>
    </dataValidation>
    <dataValidation allowBlank="1" showInputMessage="1" showErrorMessage="1" sqref="G6:G9 G11:G16" xr:uid="{CC6F0C9E-4232-42F8-9458-F1AF641794C5}"/>
    <dataValidation type="list" allowBlank="1" showInputMessage="1" showErrorMessage="1" sqref="B3:G3" xr:uid="{A9EB087B-B5F2-4829-9819-3DBFE87D35EC}">
      <formula1>"Verifiable Credentials,Encrypted Verifiable Credential,Sub-Schema"</formula1>
    </dataValidation>
  </dataValidations>
  <hyperlinks>
    <hyperlink ref="B5" location="ESM_Interpolation_Year_t!A1" display="ESM_Interpolation_Year_t" xr:uid="{B23221EF-A43C-4B93-A42D-6856C1621859}"/>
    <hyperlink ref="B7" location="ESM_Interpolation_StratumID!A1" display="ESM_Interpolation_StratumID" xr:uid="{8ED02F6E-808A-4BD7-9BEC-5E64880640FA}"/>
    <hyperlink ref="B9" location="ESM_Interpolation_ProfileID!A1" display="ESM_Interpolation_ProfileID" xr:uid="{DBE933C4-621E-4C15-8EE3-B8DB79E0F74F}"/>
  </hyperlinks>
  <pageMargins left="0.7" right="0.7" top="0.75" bottom="0.75" header="0.3" footer="0.3"/>
  <pageSetup orientation="portrait" horizontalDpi="4294967295" verticalDpi="4294967295"/>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D1A3-9561-4BD1-88C2-942EBEC0F6A7}">
  <sheetPr codeName="Sheet119">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425</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t="s">
        <v>47</v>
      </c>
      <c r="D5" s="18"/>
      <c r="E5" s="18" t="s">
        <v>426</v>
      </c>
      <c r="F5" s="18" t="s">
        <v>14</v>
      </c>
      <c r="G5" s="18">
        <v>1</v>
      </c>
      <c r="H5" s="18" t="s">
        <v>47</v>
      </c>
      <c r="I5"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5CA0-AF9B-4AD1-AE9B-23B68C970D6E}">
  <sheetPr codeName="Sheet120">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549</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t="s">
        <v>47</v>
      </c>
      <c r="D5" s="18"/>
      <c r="E5" s="18" t="s">
        <v>429</v>
      </c>
      <c r="F5" s="18" t="s">
        <v>14</v>
      </c>
      <c r="G5" s="18">
        <v>1</v>
      </c>
      <c r="H5" s="18" t="s">
        <v>47</v>
      </c>
      <c r="I5" s="18" t="s">
        <v>47</v>
      </c>
    </row>
    <row r="6" spans="1:9" ht="29.25" customHeight="1">
      <c r="A6" s="18" t="s">
        <v>11</v>
      </c>
      <c r="B6" s="18" t="s">
        <v>82</v>
      </c>
      <c r="C6" s="19" t="s">
        <v>47</v>
      </c>
      <c r="D6" s="18"/>
      <c r="E6" s="18" t="s">
        <v>430</v>
      </c>
      <c r="F6" s="18" t="s">
        <v>14</v>
      </c>
      <c r="G6" s="18">
        <v>1</v>
      </c>
      <c r="H6" s="18" t="s">
        <v>47</v>
      </c>
      <c r="I6" s="18" t="s">
        <v>47</v>
      </c>
    </row>
    <row r="7" spans="1:9" ht="29.25" customHeight="1">
      <c r="A7" s="18" t="s">
        <v>11</v>
      </c>
      <c r="B7" s="18" t="s">
        <v>82</v>
      </c>
      <c r="C7" s="19" t="s">
        <v>47</v>
      </c>
      <c r="D7" s="18"/>
      <c r="E7" s="18" t="s">
        <v>431</v>
      </c>
      <c r="F7" s="18" t="s">
        <v>14</v>
      </c>
      <c r="G7" s="18">
        <v>1</v>
      </c>
      <c r="H7" s="18" t="s">
        <v>47</v>
      </c>
      <c r="I7" s="18" t="s">
        <v>47</v>
      </c>
    </row>
    <row r="8" spans="1:9" ht="29.25" customHeight="1">
      <c r="A8" s="18" t="s">
        <v>11</v>
      </c>
      <c r="B8" s="18" t="s">
        <v>82</v>
      </c>
      <c r="C8" s="19" t="s">
        <v>47</v>
      </c>
      <c r="D8" s="18"/>
      <c r="E8" s="18" t="s">
        <v>432</v>
      </c>
      <c r="F8" s="18" t="s">
        <v>14</v>
      </c>
      <c r="G8" s="18">
        <v>1</v>
      </c>
      <c r="H8" s="18" t="s">
        <v>47</v>
      </c>
      <c r="I8" s="18" t="s">
        <v>47</v>
      </c>
    </row>
    <row r="9" spans="1:9" ht="29.25" customHeight="1">
      <c r="A9" s="18" t="s">
        <v>14</v>
      </c>
      <c r="B9" s="3" t="s">
        <v>82</v>
      </c>
      <c r="C9" s="19" t="s">
        <v>47</v>
      </c>
      <c r="D9" s="18" t="s">
        <v>399</v>
      </c>
      <c r="E9" s="18" t="s">
        <v>550</v>
      </c>
      <c r="F9" s="18" t="s">
        <v>14</v>
      </c>
      <c r="G9" s="18" t="e">
        <f>(SQRT((G7*G5)^2+(G8*G6)^2))/G10</f>
        <v>#DIV/0!</v>
      </c>
      <c r="H9" s="18" t="s">
        <v>47</v>
      </c>
      <c r="I9" s="18" t="s">
        <v>47</v>
      </c>
    </row>
    <row r="10" spans="1:9" ht="29.25" customHeight="1">
      <c r="A10" s="18" t="s">
        <v>14</v>
      </c>
      <c r="B10" s="3" t="s">
        <v>82</v>
      </c>
      <c r="C10" s="19" t="s">
        <v>47</v>
      </c>
      <c r="D10" s="18" t="s">
        <v>399</v>
      </c>
      <c r="E10" s="18" t="s">
        <v>551</v>
      </c>
      <c r="F10" s="18" t="s">
        <v>14</v>
      </c>
      <c r="G10" s="18">
        <f>G6-G5</f>
        <v>0</v>
      </c>
      <c r="H10" s="18" t="s">
        <v>47</v>
      </c>
      <c r="I10" s="18" t="s">
        <v>47</v>
      </c>
    </row>
    <row r="11" spans="1:9" ht="29.25" customHeight="1">
      <c r="A11" s="18" t="s">
        <v>11</v>
      </c>
      <c r="B11" s="18" t="s">
        <v>82</v>
      </c>
      <c r="C11" s="19" t="s">
        <v>47</v>
      </c>
      <c r="D11" s="18"/>
      <c r="E11" s="18" t="s">
        <v>552</v>
      </c>
      <c r="F11" s="18" t="s">
        <v>14</v>
      </c>
      <c r="G11" s="18">
        <v>7.0000000000000007E-2</v>
      </c>
      <c r="H11" s="18" t="s">
        <v>47</v>
      </c>
      <c r="I11"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971D-0548-4991-91F7-3860FBDD8EA9}">
  <sheetPr codeName="Sheet121">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772</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554</v>
      </c>
      <c r="F5" s="18" t="s">
        <v>14</v>
      </c>
      <c r="G5" s="18" t="e">
        <f>(G6-G7/G8)*1</f>
        <v>#REF!</v>
      </c>
      <c r="H5" s="18" t="s">
        <v>47</v>
      </c>
      <c r="I5" s="18" t="s">
        <v>47</v>
      </c>
    </row>
    <row r="6" spans="1:9" ht="29.25" customHeight="1">
      <c r="A6" s="18" t="s">
        <v>11</v>
      </c>
      <c r="B6" s="18" t="s">
        <v>82</v>
      </c>
      <c r="C6" s="19" t="s">
        <v>47</v>
      </c>
      <c r="D6" s="18"/>
      <c r="E6" s="18" t="s">
        <v>555</v>
      </c>
      <c r="F6" s="18" t="s">
        <v>14</v>
      </c>
      <c r="G6" s="18">
        <v>1</v>
      </c>
      <c r="H6" s="18" t="s">
        <v>47</v>
      </c>
      <c r="I6" s="18" t="s">
        <v>47</v>
      </c>
    </row>
    <row r="7" spans="1:9" ht="29.25" customHeight="1">
      <c r="A7" s="18" t="s">
        <v>14</v>
      </c>
      <c r="B7" s="3" t="s">
        <v>82</v>
      </c>
      <c r="C7" s="19" t="s">
        <v>47</v>
      </c>
      <c r="D7" s="18" t="s">
        <v>399</v>
      </c>
      <c r="E7" s="18" t="s">
        <v>556</v>
      </c>
      <c r="F7" s="18" t="s">
        <v>14</v>
      </c>
      <c r="G7" s="18" t="e">
        <f>IF(AND(#REF!="Updating the previous stock by independent measurement of change"),#REF!,IF(AND(#REF!="Estimation by modelling of tree growth and stand development"),#REF!))</f>
        <v>#REF!</v>
      </c>
      <c r="H7" s="18" t="s">
        <v>47</v>
      </c>
      <c r="I7" s="18" t="s">
        <v>47</v>
      </c>
    </row>
    <row r="8" spans="1:9" ht="29.25" customHeight="1">
      <c r="A8" s="18" t="s">
        <v>11</v>
      </c>
      <c r="B8" s="18" t="s">
        <v>82</v>
      </c>
      <c r="C8" s="19" t="s">
        <v>47</v>
      </c>
      <c r="D8" s="18"/>
      <c r="E8" s="18" t="s">
        <v>440</v>
      </c>
      <c r="F8" s="18" t="s">
        <v>14</v>
      </c>
      <c r="G8" s="18">
        <v>1</v>
      </c>
      <c r="H8" s="18" t="s">
        <v>47</v>
      </c>
      <c r="I8"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2BE6-743A-44A4-B1F3-5F3F0E0EB11E}">
  <sheetPr codeName="Sheet122">
    <tabColor rgb="FF7030A0"/>
    <outlinePr summaryBelow="0" summaryRight="0"/>
  </sheetPr>
  <dimension ref="A1:I262"/>
  <sheetViews>
    <sheetView topLeftCell="A32" workbookViewId="0">
      <selection activeCell="C241" sqref="C241"/>
    </sheetView>
  </sheetViews>
  <sheetFormatPr defaultRowHeight="15" outlineLevelRow="4"/>
  <cols>
    <col min="1" max="1" width="20" customWidth="1"/>
    <col min="2" max="2" width="40" customWidth="1"/>
    <col min="3" max="4" width="20" customWidth="1"/>
    <col min="5" max="5" width="70" customWidth="1"/>
    <col min="6" max="6" width="30" customWidth="1"/>
    <col min="7" max="9" width="50" customWidth="1"/>
  </cols>
  <sheetData>
    <row r="1" spans="1:9" ht="18.75">
      <c r="A1" s="32" t="s">
        <v>773</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9" t="s">
        <v>558</v>
      </c>
      <c r="D5" s="18"/>
      <c r="E5" s="18" t="s">
        <v>444</v>
      </c>
      <c r="F5" s="18" t="s">
        <v>14</v>
      </c>
      <c r="G5" s="18" t="s">
        <v>447</v>
      </c>
      <c r="H5" s="18" t="s">
        <v>47</v>
      </c>
      <c r="I5" s="18" t="s">
        <v>47</v>
      </c>
    </row>
    <row r="6" spans="1:9">
      <c r="A6" s="22" t="s">
        <v>14</v>
      </c>
      <c r="B6" s="23" t="s">
        <v>559</v>
      </c>
      <c r="C6" s="22" t="s">
        <v>47</v>
      </c>
      <c r="D6" s="22" t="b">
        <f>EXACT(G5,"Updating the previous stock by independent measurement of change")</f>
        <v>1</v>
      </c>
      <c r="E6" s="22" t="s">
        <v>447</v>
      </c>
      <c r="F6" s="22" t="s">
        <v>14</v>
      </c>
      <c r="G6" s="22" t="s">
        <v>47</v>
      </c>
      <c r="H6" s="22" t="s">
        <v>47</v>
      </c>
      <c r="I6" s="22" t="s">
        <v>47</v>
      </c>
    </row>
    <row r="7" spans="1:9" outlineLevel="1" collapsed="1">
      <c r="A7" s="20" t="s">
        <v>14</v>
      </c>
      <c r="B7" s="4" t="s">
        <v>82</v>
      </c>
      <c r="C7" s="20" t="s">
        <v>47</v>
      </c>
      <c r="D7" s="20" t="s">
        <v>399</v>
      </c>
      <c r="E7" s="20" t="s">
        <v>560</v>
      </c>
      <c r="F7" s="20" t="s">
        <v>14</v>
      </c>
      <c r="G7" s="20" t="e">
        <f>E8+E9</f>
        <v>#VALUE!</v>
      </c>
      <c r="H7" s="20" t="s">
        <v>47</v>
      </c>
      <c r="I7" s="20" t="s">
        <v>47</v>
      </c>
    </row>
    <row r="8" spans="1:9" ht="30" outlineLevel="1" collapsed="1">
      <c r="A8" s="20" t="s">
        <v>11</v>
      </c>
      <c r="B8" s="20" t="s">
        <v>82</v>
      </c>
      <c r="C8" s="20" t="s">
        <v>47</v>
      </c>
      <c r="D8" s="20"/>
      <c r="E8" s="20" t="s">
        <v>561</v>
      </c>
      <c r="F8" s="20" t="s">
        <v>14</v>
      </c>
      <c r="G8" s="20">
        <v>1</v>
      </c>
      <c r="H8" s="20" t="s">
        <v>47</v>
      </c>
      <c r="I8" s="20" t="s">
        <v>47</v>
      </c>
    </row>
    <row r="9" spans="1:9" ht="30" outlineLevel="1" collapsed="1">
      <c r="A9" s="20" t="s">
        <v>11</v>
      </c>
      <c r="B9" s="20" t="s">
        <v>82</v>
      </c>
      <c r="C9" s="20" t="s">
        <v>47</v>
      </c>
      <c r="D9" s="20"/>
      <c r="E9" s="20" t="s">
        <v>562</v>
      </c>
      <c r="F9" s="20" t="s">
        <v>14</v>
      </c>
      <c r="G9" s="20">
        <v>1</v>
      </c>
      <c r="H9" s="20" t="s">
        <v>47</v>
      </c>
      <c r="I9" s="20" t="s">
        <v>47</v>
      </c>
    </row>
    <row r="10" spans="1:9" outlineLevel="1" collapsed="1">
      <c r="A10" s="20" t="s">
        <v>11</v>
      </c>
      <c r="B10" s="20" t="s">
        <v>82</v>
      </c>
      <c r="C10" s="20" t="s">
        <v>47</v>
      </c>
      <c r="D10" s="20"/>
      <c r="E10" s="20" t="s">
        <v>548</v>
      </c>
      <c r="F10" s="20" t="s">
        <v>14</v>
      </c>
      <c r="G10" s="20"/>
      <c r="H10" s="20" t="s">
        <v>47</v>
      </c>
      <c r="I10" s="20" t="s">
        <v>47</v>
      </c>
    </row>
    <row r="11" spans="1:9" ht="30" outlineLevel="1" collapsed="1">
      <c r="A11" s="20" t="s">
        <v>14</v>
      </c>
      <c r="B11" s="4" t="s">
        <v>82</v>
      </c>
      <c r="C11" s="20" t="s">
        <v>47</v>
      </c>
      <c r="D11" s="20" t="s">
        <v>399</v>
      </c>
      <c r="E11" s="20" t="s">
        <v>563</v>
      </c>
      <c r="F11" s="20" t="s">
        <v>14</v>
      </c>
      <c r="G11" s="20" t="e">
        <f>(SQRT((G12*G8)^2+(G10*G9)^2))/G7</f>
        <v>#VALUE!</v>
      </c>
      <c r="H11" s="20" t="s">
        <v>47</v>
      </c>
      <c r="I11" s="20" t="s">
        <v>47</v>
      </c>
    </row>
    <row r="12" spans="1:9" ht="30" outlineLevel="1" collapsed="1">
      <c r="A12" s="20" t="s">
        <v>11</v>
      </c>
      <c r="B12" s="20" t="s">
        <v>82</v>
      </c>
      <c r="C12" s="20" t="s">
        <v>47</v>
      </c>
      <c r="D12" s="20"/>
      <c r="E12" s="20" t="s">
        <v>564</v>
      </c>
      <c r="F12" s="20" t="s">
        <v>14</v>
      </c>
      <c r="G12" s="20">
        <v>1</v>
      </c>
      <c r="H12" s="20" t="s">
        <v>47</v>
      </c>
      <c r="I12" s="20" t="s">
        <v>47</v>
      </c>
    </row>
    <row r="13" spans="1:9">
      <c r="A13" s="22" t="s">
        <v>14</v>
      </c>
      <c r="B13" s="23" t="s">
        <v>565</v>
      </c>
      <c r="C13" s="22"/>
      <c r="D13" s="22" t="b">
        <f>EXACT(G5,"Estimation by modelling of tree growth and stand development")</f>
        <v>0</v>
      </c>
      <c r="E13" s="22" t="s">
        <v>445</v>
      </c>
      <c r="F13" s="22" t="s">
        <v>14</v>
      </c>
      <c r="G13" s="22"/>
      <c r="H13" s="22"/>
      <c r="I13" s="22"/>
    </row>
    <row r="14" spans="1:9" ht="60" outlineLevel="1">
      <c r="A14" s="20" t="s">
        <v>14</v>
      </c>
      <c r="B14" s="20" t="s">
        <v>44</v>
      </c>
      <c r="C14" s="20"/>
      <c r="D14" s="20"/>
      <c r="E14" s="20" t="s">
        <v>455</v>
      </c>
      <c r="F14" s="20" t="s">
        <v>14</v>
      </c>
      <c r="G14" s="20"/>
      <c r="H14" s="20"/>
      <c r="I14" s="20"/>
    </row>
    <row r="15" spans="1:9" ht="75" outlineLevel="1">
      <c r="A15" s="20" t="s">
        <v>14</v>
      </c>
      <c r="B15" s="20" t="s">
        <v>44</v>
      </c>
      <c r="C15" s="20"/>
      <c r="D15" s="20"/>
      <c r="E15" s="20" t="s">
        <v>456</v>
      </c>
      <c r="F15" s="20" t="s">
        <v>14</v>
      </c>
      <c r="G15" s="20"/>
      <c r="H15" s="20"/>
      <c r="I15" s="20"/>
    </row>
    <row r="16" spans="1:9" ht="60" outlineLevel="1">
      <c r="A16" s="20" t="s">
        <v>14</v>
      </c>
      <c r="B16" s="20" t="s">
        <v>44</v>
      </c>
      <c r="C16" s="20"/>
      <c r="D16" s="20"/>
      <c r="E16" s="20" t="s">
        <v>457</v>
      </c>
      <c r="F16" s="20" t="s">
        <v>14</v>
      </c>
      <c r="G16" s="20"/>
      <c r="H16" s="20"/>
      <c r="I16" s="20"/>
    </row>
    <row r="17" spans="1:9" ht="60" outlineLevel="1">
      <c r="A17" s="20" t="s">
        <v>14</v>
      </c>
      <c r="B17" s="20" t="s">
        <v>44</v>
      </c>
      <c r="C17" s="20"/>
      <c r="D17" s="20"/>
      <c r="E17" s="20" t="s">
        <v>458</v>
      </c>
      <c r="F17" s="20" t="s">
        <v>14</v>
      </c>
      <c r="G17" s="20"/>
      <c r="H17" s="20"/>
      <c r="I17" s="20"/>
    </row>
    <row r="18" spans="1:9" ht="135" outlineLevel="1">
      <c r="A18" s="20" t="s">
        <v>11</v>
      </c>
      <c r="B18" s="20" t="s">
        <v>17</v>
      </c>
      <c r="C18" s="21" t="s">
        <v>566</v>
      </c>
      <c r="D18" s="20"/>
      <c r="E18" s="20" t="s">
        <v>460</v>
      </c>
      <c r="F18" s="20" t="s">
        <v>14</v>
      </c>
      <c r="G18" s="20" t="s">
        <v>11</v>
      </c>
      <c r="H18" s="20"/>
      <c r="I18" s="20"/>
    </row>
    <row r="19" spans="1:9" ht="30" outlineLevel="1">
      <c r="A19" s="20" t="s">
        <v>14</v>
      </c>
      <c r="B19" s="20" t="s">
        <v>44</v>
      </c>
      <c r="C19" s="20"/>
      <c r="D19" s="20" t="b">
        <f>EXACT(G18,"No")</f>
        <v>0</v>
      </c>
      <c r="E19" s="20" t="s">
        <v>461</v>
      </c>
      <c r="F19" s="20" t="s">
        <v>14</v>
      </c>
      <c r="G19" s="20"/>
      <c r="H19" s="20"/>
      <c r="I19" s="20"/>
    </row>
    <row r="20" spans="1:9" outlineLevel="1">
      <c r="A20" s="22" t="s">
        <v>14</v>
      </c>
      <c r="B20" s="23" t="s">
        <v>567</v>
      </c>
      <c r="C20" s="22"/>
      <c r="D20" s="22" t="b">
        <f>EXACT(G18,"Yes")</f>
        <v>1</v>
      </c>
      <c r="E20" s="22" t="s">
        <v>568</v>
      </c>
      <c r="F20" s="22" t="s">
        <v>14</v>
      </c>
      <c r="G20" s="22"/>
      <c r="H20" s="22"/>
      <c r="I20" s="22"/>
    </row>
    <row r="21" spans="1:9" outlineLevel="2">
      <c r="A21" s="20" t="s">
        <v>11</v>
      </c>
      <c r="B21" s="20" t="s">
        <v>82</v>
      </c>
      <c r="C21" s="20"/>
      <c r="D21" s="20"/>
      <c r="E21" s="20" t="s">
        <v>465</v>
      </c>
      <c r="F21" s="20" t="s">
        <v>14</v>
      </c>
      <c r="G21" s="20"/>
      <c r="H21" s="20"/>
      <c r="I21" s="20"/>
    </row>
    <row r="22" spans="1:9" outlineLevel="2">
      <c r="A22" s="20" t="s">
        <v>11</v>
      </c>
      <c r="B22" s="20" t="s">
        <v>82</v>
      </c>
      <c r="C22" s="20"/>
      <c r="D22" s="20"/>
      <c r="E22" s="20" t="s">
        <v>466</v>
      </c>
      <c r="F22" s="20" t="s">
        <v>14</v>
      </c>
      <c r="G22" s="20"/>
      <c r="H22" s="20"/>
      <c r="I22" s="20"/>
    </row>
    <row r="23" spans="1:9">
      <c r="A23" s="22" t="s">
        <v>14</v>
      </c>
      <c r="B23" s="23" t="s">
        <v>475</v>
      </c>
      <c r="C23" s="22" t="s">
        <v>47</v>
      </c>
      <c r="D23" s="22" t="b">
        <f>EXACT(G5,"Measurement of sample plots")</f>
        <v>0</v>
      </c>
      <c r="E23" s="22" t="s">
        <v>475</v>
      </c>
      <c r="F23" s="22" t="s">
        <v>14</v>
      </c>
      <c r="G23" s="22" t="s">
        <v>47</v>
      </c>
      <c r="H23" s="22" t="s">
        <v>47</v>
      </c>
      <c r="I23" s="22" t="s">
        <v>47</v>
      </c>
    </row>
    <row r="24" spans="1:9" ht="30" outlineLevel="1" collapsed="1">
      <c r="A24" s="20" t="s">
        <v>11</v>
      </c>
      <c r="B24" s="20" t="s">
        <v>17</v>
      </c>
      <c r="C24" s="21" t="s">
        <v>476</v>
      </c>
      <c r="D24" s="20"/>
      <c r="E24" s="20" t="s">
        <v>477</v>
      </c>
      <c r="F24" s="20" t="s">
        <v>14</v>
      </c>
      <c r="G24" s="20" t="s">
        <v>478</v>
      </c>
      <c r="H24" s="20" t="s">
        <v>47</v>
      </c>
      <c r="I24" s="20" t="s">
        <v>47</v>
      </c>
    </row>
    <row r="25" spans="1:9" outlineLevel="1">
      <c r="A25" s="22" t="s">
        <v>14</v>
      </c>
      <c r="B25" s="23" t="s">
        <v>478</v>
      </c>
      <c r="C25" s="22" t="s">
        <v>47</v>
      </c>
      <c r="D25" s="22" t="b">
        <f>EXACT(G24,"Stratified random sampling")</f>
        <v>1</v>
      </c>
      <c r="E25" s="22" t="s">
        <v>478</v>
      </c>
      <c r="F25" s="22" t="s">
        <v>14</v>
      </c>
      <c r="G25" s="22" t="s">
        <v>47</v>
      </c>
      <c r="H25" s="22" t="s">
        <v>47</v>
      </c>
      <c r="I25" s="22" t="s">
        <v>47</v>
      </c>
    </row>
    <row r="26" spans="1:9" ht="30" outlineLevel="2" collapsed="1">
      <c r="A26" s="20" t="s">
        <v>14</v>
      </c>
      <c r="B26" s="4" t="s">
        <v>82</v>
      </c>
      <c r="C26" s="20" t="s">
        <v>47</v>
      </c>
      <c r="D26" s="20" t="s">
        <v>399</v>
      </c>
      <c r="E26" s="20" t="s">
        <v>479</v>
      </c>
      <c r="F26" s="20" t="s">
        <v>14</v>
      </c>
      <c r="G26" s="20">
        <f>44/12*G27*G28</f>
        <v>3.6666666666666665</v>
      </c>
      <c r="H26" s="20" t="s">
        <v>47</v>
      </c>
      <c r="I26" s="20" t="s">
        <v>47</v>
      </c>
    </row>
    <row r="27" spans="1:9" outlineLevel="2" collapsed="1">
      <c r="A27" s="20" t="s">
        <v>11</v>
      </c>
      <c r="B27" s="20" t="s">
        <v>82</v>
      </c>
      <c r="C27" s="20" t="s">
        <v>47</v>
      </c>
      <c r="D27" s="20"/>
      <c r="E27" s="20" t="s">
        <v>405</v>
      </c>
      <c r="F27" s="20" t="s">
        <v>14</v>
      </c>
      <c r="G27" s="20">
        <v>1</v>
      </c>
      <c r="H27" s="20" t="s">
        <v>47</v>
      </c>
      <c r="I27" s="20" t="s">
        <v>47</v>
      </c>
    </row>
    <row r="28" spans="1:9" ht="30" outlineLevel="2" collapsed="1">
      <c r="A28" s="20" t="s">
        <v>14</v>
      </c>
      <c r="B28" s="4" t="s">
        <v>82</v>
      </c>
      <c r="C28" s="20" t="s">
        <v>47</v>
      </c>
      <c r="D28" s="20" t="s">
        <v>399</v>
      </c>
      <c r="E28" s="20" t="s">
        <v>480</v>
      </c>
      <c r="F28" s="20" t="s">
        <v>14</v>
      </c>
      <c r="G28" s="20">
        <f>G29*G30</f>
        <v>1</v>
      </c>
      <c r="H28" s="20" t="s">
        <v>47</v>
      </c>
      <c r="I28" s="20" t="s">
        <v>47</v>
      </c>
    </row>
    <row r="29" spans="1:9" ht="30" outlineLevel="2" collapsed="1">
      <c r="A29" s="20" t="s">
        <v>11</v>
      </c>
      <c r="B29" s="20" t="s">
        <v>82</v>
      </c>
      <c r="C29" s="20" t="s">
        <v>47</v>
      </c>
      <c r="D29" s="20"/>
      <c r="E29" s="20" t="s">
        <v>481</v>
      </c>
      <c r="F29" s="20" t="s">
        <v>14</v>
      </c>
      <c r="G29" s="20">
        <v>1</v>
      </c>
      <c r="H29" s="20" t="s">
        <v>47</v>
      </c>
      <c r="I29" s="20" t="s">
        <v>47</v>
      </c>
    </row>
    <row r="30" spans="1:9" ht="30" outlineLevel="2" collapsed="1">
      <c r="A30" s="20" t="s">
        <v>14</v>
      </c>
      <c r="B30" s="4" t="s">
        <v>82</v>
      </c>
      <c r="C30" s="20" t="s">
        <v>47</v>
      </c>
      <c r="D30" s="20" t="s">
        <v>399</v>
      </c>
      <c r="E30" s="20" t="s">
        <v>482</v>
      </c>
      <c r="F30" s="20" t="s">
        <v>14</v>
      </c>
      <c r="G30" s="20">
        <f>SUM((G35*G34))</f>
        <v>1</v>
      </c>
      <c r="H30" s="20" t="s">
        <v>47</v>
      </c>
      <c r="I30" s="20" t="s">
        <v>47</v>
      </c>
    </row>
    <row r="31" spans="1:9" outlineLevel="2" collapsed="1">
      <c r="A31" s="20" t="s">
        <v>11</v>
      </c>
      <c r="B31" s="20" t="s">
        <v>82</v>
      </c>
      <c r="C31" s="20" t="s">
        <v>47</v>
      </c>
      <c r="D31" s="20"/>
      <c r="E31" s="20" t="s">
        <v>569</v>
      </c>
      <c r="F31" s="20" t="s">
        <v>14</v>
      </c>
      <c r="G31" s="20">
        <v>1</v>
      </c>
      <c r="H31" s="20" t="s">
        <v>47</v>
      </c>
      <c r="I31" s="20" t="s">
        <v>47</v>
      </c>
    </row>
    <row r="32" spans="1:9" ht="30" outlineLevel="2" collapsed="1">
      <c r="A32" s="20" t="s">
        <v>11</v>
      </c>
      <c r="B32" s="20" t="s">
        <v>82</v>
      </c>
      <c r="C32" s="20" t="s">
        <v>47</v>
      </c>
      <c r="D32" s="20"/>
      <c r="E32" s="20" t="s">
        <v>484</v>
      </c>
      <c r="F32" s="20" t="s">
        <v>14</v>
      </c>
      <c r="G32" s="20">
        <v>1</v>
      </c>
      <c r="H32" s="20" t="s">
        <v>47</v>
      </c>
      <c r="I32" s="20" t="s">
        <v>47</v>
      </c>
    </row>
    <row r="33" spans="1:9" outlineLevel="2">
      <c r="A33" s="22" t="s">
        <v>11</v>
      </c>
      <c r="B33" s="23" t="s">
        <v>485</v>
      </c>
      <c r="C33" s="22" t="s">
        <v>47</v>
      </c>
      <c r="D33" s="22"/>
      <c r="E33" s="22" t="s">
        <v>486</v>
      </c>
      <c r="F33" s="22" t="s">
        <v>11</v>
      </c>
      <c r="G33" s="22" t="s">
        <v>47</v>
      </c>
      <c r="H33" s="22" t="s">
        <v>47</v>
      </c>
      <c r="I33" s="22" t="s">
        <v>47</v>
      </c>
    </row>
    <row r="34" spans="1:9" s="25" customFormat="1" ht="30" outlineLevel="3" collapsed="1">
      <c r="A34" s="24" t="s">
        <v>14</v>
      </c>
      <c r="B34" s="29" t="s">
        <v>82</v>
      </c>
      <c r="C34" s="24" t="s">
        <v>47</v>
      </c>
      <c r="D34" s="24" t="s">
        <v>399</v>
      </c>
      <c r="E34" s="24" t="s">
        <v>487</v>
      </c>
      <c r="F34" s="24" t="s">
        <v>14</v>
      </c>
      <c r="G34" s="24">
        <f>(SUM(G39))/G37</f>
        <v>1</v>
      </c>
      <c r="H34" s="24" t="s">
        <v>47</v>
      </c>
      <c r="I34" s="24" t="s">
        <v>47</v>
      </c>
    </row>
    <row r="35" spans="1:9" ht="30" outlineLevel="3" collapsed="1">
      <c r="A35" s="20" t="s">
        <v>11</v>
      </c>
      <c r="B35" s="20" t="s">
        <v>82</v>
      </c>
      <c r="C35" s="20" t="s">
        <v>47</v>
      </c>
      <c r="D35" s="20"/>
      <c r="E35" s="20" t="s">
        <v>488</v>
      </c>
      <c r="F35" s="20" t="s">
        <v>14</v>
      </c>
      <c r="G35" s="20">
        <v>1</v>
      </c>
      <c r="H35" s="20" t="s">
        <v>47</v>
      </c>
      <c r="I35" s="20" t="s">
        <v>47</v>
      </c>
    </row>
    <row r="36" spans="1:9" ht="30" outlineLevel="3" collapsed="1">
      <c r="A36" s="20" t="s">
        <v>11</v>
      </c>
      <c r="B36" s="20" t="s">
        <v>82</v>
      </c>
      <c r="C36" s="20" t="s">
        <v>47</v>
      </c>
      <c r="D36" s="20"/>
      <c r="E36" s="20" t="s">
        <v>489</v>
      </c>
      <c r="F36" s="20" t="s">
        <v>14</v>
      </c>
      <c r="G36" s="20">
        <v>1</v>
      </c>
      <c r="H36" s="20" t="s">
        <v>47</v>
      </c>
      <c r="I36" s="20" t="s">
        <v>47</v>
      </c>
    </row>
    <row r="37" spans="1:9" outlineLevel="3" collapsed="1">
      <c r="A37" s="20" t="s">
        <v>11</v>
      </c>
      <c r="B37" s="20" t="s">
        <v>82</v>
      </c>
      <c r="C37" s="20" t="s">
        <v>47</v>
      </c>
      <c r="D37" s="20"/>
      <c r="E37" s="20" t="s">
        <v>490</v>
      </c>
      <c r="F37" s="20" t="s">
        <v>14</v>
      </c>
      <c r="G37" s="20">
        <v>1</v>
      </c>
      <c r="H37" s="20" t="s">
        <v>47</v>
      </c>
      <c r="I37" s="20" t="s">
        <v>47</v>
      </c>
    </row>
    <row r="38" spans="1:9" outlineLevel="3">
      <c r="A38" s="22" t="s">
        <v>11</v>
      </c>
      <c r="B38" s="23" t="s">
        <v>491</v>
      </c>
      <c r="C38" s="22"/>
      <c r="D38" s="22"/>
      <c r="E38" s="22" t="s">
        <v>492</v>
      </c>
      <c r="F38" s="22" t="s">
        <v>11</v>
      </c>
      <c r="G38" s="22"/>
      <c r="H38" s="22"/>
      <c r="I38" s="22"/>
    </row>
    <row r="39" spans="1:9" s="25" customFormat="1" ht="30" outlineLevel="4" collapsed="1">
      <c r="A39" s="24" t="s">
        <v>11</v>
      </c>
      <c r="B39" s="24" t="s">
        <v>82</v>
      </c>
      <c r="C39" s="24" t="s">
        <v>47</v>
      </c>
      <c r="D39" s="24"/>
      <c r="E39" s="24" t="s">
        <v>493</v>
      </c>
      <c r="F39" s="24" t="s">
        <v>14</v>
      </c>
      <c r="G39" s="24">
        <v>1</v>
      </c>
      <c r="H39" s="24" t="s">
        <v>47</v>
      </c>
      <c r="I39" s="24" t="s">
        <v>47</v>
      </c>
    </row>
    <row r="40" spans="1:9" outlineLevel="1">
      <c r="A40" s="22" t="s">
        <v>14</v>
      </c>
      <c r="B40" s="23" t="s">
        <v>494</v>
      </c>
      <c r="C40" s="22" t="s">
        <v>47</v>
      </c>
      <c r="D40" s="22" t="b">
        <f>NOT(EXACT(G24,"Stratified random sampling"))</f>
        <v>0</v>
      </c>
      <c r="E40" s="22" t="s">
        <v>494</v>
      </c>
      <c r="F40" s="22" t="s">
        <v>14</v>
      </c>
      <c r="G40" s="22" t="s">
        <v>47</v>
      </c>
      <c r="H40" s="22" t="s">
        <v>47</v>
      </c>
      <c r="I40" s="22" t="s">
        <v>47</v>
      </c>
    </row>
    <row r="41" spans="1:9" ht="30" outlineLevel="2" collapsed="1">
      <c r="A41" s="20" t="s">
        <v>11</v>
      </c>
      <c r="B41" s="20" t="s">
        <v>82</v>
      </c>
      <c r="C41" s="20" t="s">
        <v>47</v>
      </c>
      <c r="D41" s="20"/>
      <c r="E41" s="20" t="s">
        <v>479</v>
      </c>
      <c r="F41" s="20" t="s">
        <v>14</v>
      </c>
      <c r="G41" s="20">
        <v>1</v>
      </c>
      <c r="H41" s="20" t="s">
        <v>47</v>
      </c>
      <c r="I41" s="20" t="s">
        <v>47</v>
      </c>
    </row>
    <row r="42" spans="1:9" outlineLevel="2" collapsed="1">
      <c r="A42" s="20" t="s">
        <v>11</v>
      </c>
      <c r="B42" s="20" t="s">
        <v>82</v>
      </c>
      <c r="C42" s="20" t="s">
        <v>47</v>
      </c>
      <c r="D42" s="20"/>
      <c r="E42" s="20" t="s">
        <v>405</v>
      </c>
      <c r="F42" s="20" t="s">
        <v>14</v>
      </c>
      <c r="G42" s="20">
        <v>1</v>
      </c>
      <c r="H42" s="20" t="s">
        <v>47</v>
      </c>
      <c r="I42" s="20" t="s">
        <v>47</v>
      </c>
    </row>
    <row r="43" spans="1:9" ht="30" outlineLevel="2" collapsed="1">
      <c r="A43" s="20" t="s">
        <v>11</v>
      </c>
      <c r="B43" s="20" t="s">
        <v>82</v>
      </c>
      <c r="C43" s="20" t="s">
        <v>47</v>
      </c>
      <c r="D43" s="20"/>
      <c r="E43" s="20" t="s">
        <v>480</v>
      </c>
      <c r="F43" s="20" t="s">
        <v>14</v>
      </c>
      <c r="G43" s="20">
        <v>1</v>
      </c>
      <c r="H43" s="20" t="s">
        <v>47</v>
      </c>
      <c r="I43" s="20" t="s">
        <v>47</v>
      </c>
    </row>
    <row r="44" spans="1:9" ht="30" outlineLevel="2" collapsed="1">
      <c r="A44" s="20" t="s">
        <v>11</v>
      </c>
      <c r="B44" s="20" t="s">
        <v>82</v>
      </c>
      <c r="C44" s="20" t="s">
        <v>47</v>
      </c>
      <c r="D44" s="20"/>
      <c r="E44" s="20" t="s">
        <v>481</v>
      </c>
      <c r="F44" s="20" t="s">
        <v>14</v>
      </c>
      <c r="G44" s="20">
        <v>1</v>
      </c>
      <c r="H44" s="20" t="s">
        <v>47</v>
      </c>
      <c r="I44" s="20" t="s">
        <v>47</v>
      </c>
    </row>
    <row r="45" spans="1:9" ht="30" outlineLevel="2" collapsed="1">
      <c r="A45" s="20" t="s">
        <v>11</v>
      </c>
      <c r="B45" s="20" t="s">
        <v>82</v>
      </c>
      <c r="C45" s="20" t="s">
        <v>47</v>
      </c>
      <c r="D45" s="20"/>
      <c r="E45" s="20" t="s">
        <v>482</v>
      </c>
      <c r="F45" s="20" t="s">
        <v>14</v>
      </c>
      <c r="G45" s="20">
        <v>1</v>
      </c>
      <c r="H45" s="20" t="s">
        <v>47</v>
      </c>
      <c r="I45" s="20" t="s">
        <v>47</v>
      </c>
    </row>
    <row r="46" spans="1:9" outlineLevel="2" collapsed="1">
      <c r="A46" s="20" t="s">
        <v>11</v>
      </c>
      <c r="B46" s="20" t="s">
        <v>82</v>
      </c>
      <c r="C46" s="20" t="s">
        <v>47</v>
      </c>
      <c r="D46" s="20"/>
      <c r="E46" s="20" t="s">
        <v>569</v>
      </c>
      <c r="F46" s="20" t="s">
        <v>14</v>
      </c>
      <c r="G46" s="20">
        <v>1</v>
      </c>
      <c r="H46" s="20" t="s">
        <v>47</v>
      </c>
      <c r="I46" s="20" t="s">
        <v>47</v>
      </c>
    </row>
    <row r="47" spans="1:9" ht="30" outlineLevel="2" collapsed="1">
      <c r="A47" s="20" t="s">
        <v>11</v>
      </c>
      <c r="B47" s="20" t="s">
        <v>82</v>
      </c>
      <c r="C47" s="20" t="s">
        <v>47</v>
      </c>
      <c r="D47" s="20"/>
      <c r="E47" s="20" t="s">
        <v>570</v>
      </c>
      <c r="F47" s="20" t="s">
        <v>14</v>
      </c>
      <c r="G47" s="20">
        <v>1</v>
      </c>
      <c r="H47" s="20" t="s">
        <v>47</v>
      </c>
      <c r="I47" s="20" t="s">
        <v>47</v>
      </c>
    </row>
    <row r="48" spans="1:9" outlineLevel="2">
      <c r="A48" s="22" t="s">
        <v>11</v>
      </c>
      <c r="B48" s="23" t="s">
        <v>495</v>
      </c>
      <c r="C48" s="22" t="s">
        <v>47</v>
      </c>
      <c r="D48" s="22"/>
      <c r="E48" s="22" t="s">
        <v>486</v>
      </c>
      <c r="F48" s="22" t="s">
        <v>11</v>
      </c>
      <c r="G48" s="22" t="s">
        <v>47</v>
      </c>
      <c r="H48" s="22" t="s">
        <v>47</v>
      </c>
      <c r="I48" s="22" t="s">
        <v>47</v>
      </c>
    </row>
    <row r="49" spans="1:9" ht="30" outlineLevel="3" collapsed="1">
      <c r="A49" s="20" t="s">
        <v>14</v>
      </c>
      <c r="B49" s="4" t="s">
        <v>82</v>
      </c>
      <c r="C49" s="20" t="s">
        <v>47</v>
      </c>
      <c r="D49" s="20" t="s">
        <v>399</v>
      </c>
      <c r="E49" s="20" t="s">
        <v>487</v>
      </c>
      <c r="F49" s="20" t="s">
        <v>14</v>
      </c>
      <c r="G49" s="20">
        <f>(SUM(G58)/G50)+G51*(G52-G53)</f>
        <v>1</v>
      </c>
      <c r="H49" s="20" t="s">
        <v>47</v>
      </c>
      <c r="I49" s="20" t="s">
        <v>47</v>
      </c>
    </row>
    <row r="50" spans="1:9" outlineLevel="3" collapsed="1">
      <c r="A50" s="20" t="s">
        <v>11</v>
      </c>
      <c r="B50" s="20" t="s">
        <v>82</v>
      </c>
      <c r="C50" s="20" t="s">
        <v>47</v>
      </c>
      <c r="D50" s="20"/>
      <c r="E50" s="20" t="s">
        <v>496</v>
      </c>
      <c r="F50" s="20" t="s">
        <v>14</v>
      </c>
      <c r="G50" s="20">
        <v>1</v>
      </c>
      <c r="H50" s="20" t="s">
        <v>47</v>
      </c>
      <c r="I50" s="20" t="s">
        <v>47</v>
      </c>
    </row>
    <row r="51" spans="1:9" ht="30" outlineLevel="3" collapsed="1">
      <c r="A51" s="20" t="s">
        <v>11</v>
      </c>
      <c r="B51" s="20" t="s">
        <v>82</v>
      </c>
      <c r="C51" s="20" t="s">
        <v>47</v>
      </c>
      <c r="D51" s="20"/>
      <c r="E51" s="20" t="s">
        <v>497</v>
      </c>
      <c r="F51" s="20" t="s">
        <v>14</v>
      </c>
      <c r="G51" s="20">
        <v>1</v>
      </c>
      <c r="H51" s="20" t="s">
        <v>47</v>
      </c>
      <c r="I51" s="20" t="s">
        <v>47</v>
      </c>
    </row>
    <row r="52" spans="1:9" ht="30" outlineLevel="3" collapsed="1">
      <c r="A52" s="20" t="s">
        <v>11</v>
      </c>
      <c r="B52" s="20" t="s">
        <v>82</v>
      </c>
      <c r="C52" s="20" t="s">
        <v>47</v>
      </c>
      <c r="D52" s="20"/>
      <c r="E52" s="20" t="s">
        <v>498</v>
      </c>
      <c r="F52" s="20" t="s">
        <v>14</v>
      </c>
      <c r="G52" s="20">
        <v>1</v>
      </c>
      <c r="H52" s="20" t="s">
        <v>47</v>
      </c>
      <c r="I52" s="20" t="s">
        <v>47</v>
      </c>
    </row>
    <row r="53" spans="1:9" ht="30" outlineLevel="3" collapsed="1">
      <c r="A53" s="20" t="s">
        <v>11</v>
      </c>
      <c r="B53" s="20" t="s">
        <v>82</v>
      </c>
      <c r="C53" s="20" t="s">
        <v>47</v>
      </c>
      <c r="D53" s="20"/>
      <c r="E53" s="20" t="s">
        <v>499</v>
      </c>
      <c r="F53" s="20" t="s">
        <v>14</v>
      </c>
      <c r="G53" s="20">
        <v>1</v>
      </c>
      <c r="H53" s="20" t="s">
        <v>47</v>
      </c>
      <c r="I53" s="20" t="s">
        <v>47</v>
      </c>
    </row>
    <row r="54" spans="1:9" ht="30" outlineLevel="3" collapsed="1">
      <c r="A54" s="20" t="s">
        <v>11</v>
      </c>
      <c r="B54" s="20" t="s">
        <v>82</v>
      </c>
      <c r="C54" s="20" t="s">
        <v>47</v>
      </c>
      <c r="D54" s="20"/>
      <c r="E54" s="20" t="s">
        <v>500</v>
      </c>
      <c r="F54" s="20" t="s">
        <v>14</v>
      </c>
      <c r="G54" s="20">
        <v>1</v>
      </c>
      <c r="H54" s="20" t="s">
        <v>47</v>
      </c>
      <c r="I54" s="20" t="s">
        <v>47</v>
      </c>
    </row>
    <row r="55" spans="1:9" ht="30" outlineLevel="3" collapsed="1">
      <c r="A55" s="20" t="s">
        <v>11</v>
      </c>
      <c r="B55" s="20" t="s">
        <v>82</v>
      </c>
      <c r="C55" s="20" t="s">
        <v>47</v>
      </c>
      <c r="D55" s="20"/>
      <c r="E55" s="20" t="s">
        <v>501</v>
      </c>
      <c r="F55" s="20" t="s">
        <v>14</v>
      </c>
      <c r="G55" s="20">
        <v>1</v>
      </c>
      <c r="H55" s="20" t="s">
        <v>47</v>
      </c>
      <c r="I55" s="20" t="s">
        <v>47</v>
      </c>
    </row>
    <row r="56" spans="1:9" ht="45" outlineLevel="3" collapsed="1">
      <c r="A56" s="20" t="s">
        <v>11</v>
      </c>
      <c r="B56" s="20" t="s">
        <v>82</v>
      </c>
      <c r="C56" s="20" t="s">
        <v>47</v>
      </c>
      <c r="D56" s="20"/>
      <c r="E56" s="20" t="s">
        <v>502</v>
      </c>
      <c r="F56" s="20" t="s">
        <v>14</v>
      </c>
      <c r="G56" s="20">
        <v>1</v>
      </c>
      <c r="H56" s="20" t="s">
        <v>47</v>
      </c>
      <c r="I56" s="20" t="s">
        <v>47</v>
      </c>
    </row>
    <row r="57" spans="1:9" outlineLevel="3">
      <c r="A57" s="22" t="s">
        <v>11</v>
      </c>
      <c r="B57" s="23" t="s">
        <v>491</v>
      </c>
      <c r="C57" s="22"/>
      <c r="D57" s="22"/>
      <c r="E57" s="22" t="s">
        <v>492</v>
      </c>
      <c r="F57" s="22" t="s">
        <v>11</v>
      </c>
      <c r="G57" s="22"/>
      <c r="H57" s="22"/>
      <c r="I57" s="22"/>
    </row>
    <row r="58" spans="1:9" s="25" customFormat="1" ht="30" outlineLevel="4" collapsed="1">
      <c r="A58" s="24" t="s">
        <v>11</v>
      </c>
      <c r="B58" s="24" t="s">
        <v>82</v>
      </c>
      <c r="C58" s="24" t="s">
        <v>47</v>
      </c>
      <c r="D58" s="24"/>
      <c r="E58" s="24" t="s">
        <v>493</v>
      </c>
      <c r="F58" s="24" t="s">
        <v>14</v>
      </c>
      <c r="G58" s="24">
        <v>1</v>
      </c>
      <c r="H58" s="24" t="s">
        <v>47</v>
      </c>
      <c r="I58" s="24" t="s">
        <v>47</v>
      </c>
    </row>
    <row r="59" spans="1:9" ht="29.25" customHeight="1">
      <c r="A59" s="18" t="s">
        <v>11</v>
      </c>
      <c r="B59" s="18" t="s">
        <v>503</v>
      </c>
      <c r="C59" s="19" t="s">
        <v>47</v>
      </c>
      <c r="D59" s="18"/>
      <c r="E59" s="3" t="s">
        <v>504</v>
      </c>
      <c r="F59" s="18" t="s">
        <v>14</v>
      </c>
      <c r="G59" s="18" t="s">
        <v>505</v>
      </c>
      <c r="H59" s="18" t="s">
        <v>47</v>
      </c>
      <c r="I59" s="18" t="s">
        <v>47</v>
      </c>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18:G22" xr:uid="{63560AAF-AFB7-4177-9256-FA3410F272D7}">
      <formula1>"Yes,No"</formula1>
    </dataValidation>
  </dataValidations>
  <hyperlinks>
    <hyperlink ref="C24" location="#'Which sampling design w (enum)'!A3" display="Which sampling design w (enum)" xr:uid="{B341A099-1EDC-4BAB-98CB-2D3AAEB6D1EB}"/>
    <hyperlink ref="C5" location="'Which method did you 2 (enum)'!A1" display="'Which method did you 2 (enum)" xr:uid="{2FE47E05-9402-4412-B8E6-D267992D86F8}"/>
    <hyperlink ref="B6" location="'Proj-Updating the previous stoc'!A1" display="'Proj-Updating the previous stoc" xr:uid="{6E2104CF-CBE5-4A3A-86ED-280ECF2DA6A2}"/>
    <hyperlink ref="B13" location="'Proj-Estimation by modelling of'!A1" display="'Proj-Estimation by modelling of" xr:uid="{9CFA684B-1F79-4E75-8169-3DEF94DC4495}"/>
    <hyperlink ref="B20" location="'Proj-Carbon stock in trees at a'!A1" display="'Proj-Carbon stock in trees at a" xr:uid="{5A22D9E1-932D-4477-B28E-50485BD818EE}"/>
    <hyperlink ref="B40" location="'Double sampling'!A1" display="'Double sampling" xr:uid="{9C93FE6D-5264-4F4D-A847-23CE1B27F920}"/>
    <hyperlink ref="B33" location="'Mean tree biomass per hectare w'!A1" display="'Mean tree biomass per hectare w" xr:uid="{00C9EF36-7CE6-4A45-BE4F-F3B412B8CEA3}"/>
    <hyperlink ref="B38" location="'Tree Biomass per Hectare in Plo'!A1" display="'Tree Biomass per Hectare in Plo" xr:uid="{AC98ECA1-3C32-4458-9791-3E43F005EF75}"/>
    <hyperlink ref="B25" location="'Stratified random sampling'!A1" display="'Stratified random sampling" xr:uid="{59C180E0-FBF3-46AE-8BCD-E6DAAFE72539}"/>
    <hyperlink ref="B23" location="'Measurement of sample plots'!A1" display="'Measurement of sample plots" xr:uid="{89B8CE15-3681-4C5D-9A58-71D01D873CC5}"/>
    <hyperlink ref="B57" location="'Tree Biomass per Hectare in Plo'!A1" display="'Tree Biomass per Hectare in Plo" xr:uid="{E5C552EC-E7A8-4550-9EC7-090AB3A85370}"/>
    <hyperlink ref="B48" location="'Double Mean tree biomass per he'!A1" display="'Double Mean tree biomass per he" xr:uid="{CE3A45A7-76D5-4676-904E-53FE00E416F4}"/>
    <hyperlink ref="C18" location="'Does your project apply  (enum)'!A1" display="'Does your project apply  (enum)" xr:uid="{DF82C77F-7242-4448-8C5F-ED590F51E80F}"/>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3">
        <x14:dataValidation type="list" allowBlank="1" xr:uid="{743197EF-D253-4678-887C-CC8DD72C711D}">
          <x14:formula1>
            <xm:f>'Which method did you 2 (enum)'!$A$3:$A$5</xm:f>
          </x14:formula1>
          <xm:sqref>G5</xm:sqref>
        </x14:dataValidation>
        <x14:dataValidation type="list" allowBlank="1" xr:uid="{4E084726-9B7D-4193-BF3B-A227EC768AA9}">
          <x14:formula1>
            <xm:f>'Which method did you 1 (enum)'!C3:C6</xm:f>
          </x14:formula1>
          <xm:sqref>H5:I5</xm:sqref>
        </x14:dataValidation>
        <x14:dataValidation type="list" allowBlank="1" xr:uid="{B230C4F6-9235-442F-823B-D813A2D5B990}">
          <x14:formula1>
            <xm:f>'Which sampling design w (enum)'!B3:B4</xm:f>
          </x14:formula1>
          <xm:sqref>G24:I24</xm:sqref>
        </x14:dataValidation>
      </x14:dataValidations>
    </ext>
  </extLst>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889A-02AA-4939-B071-D722C463FD95}">
  <sheetPr codeName="Sheet123">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774</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560</v>
      </c>
      <c r="F5" s="18" t="s">
        <v>14</v>
      </c>
      <c r="G5" s="18" t="e">
        <f>E6+E7</f>
        <v>#VALUE!</v>
      </c>
      <c r="H5" s="18" t="s">
        <v>47</v>
      </c>
      <c r="I5" s="18" t="s">
        <v>47</v>
      </c>
    </row>
    <row r="6" spans="1:9" ht="29.25" customHeight="1">
      <c r="A6" s="18" t="s">
        <v>11</v>
      </c>
      <c r="B6" s="18" t="s">
        <v>82</v>
      </c>
      <c r="C6" s="19" t="s">
        <v>47</v>
      </c>
      <c r="D6" s="18"/>
      <c r="E6" s="18" t="s">
        <v>561</v>
      </c>
      <c r="F6" s="18" t="s">
        <v>14</v>
      </c>
      <c r="G6" s="18">
        <v>1</v>
      </c>
      <c r="H6" s="18" t="s">
        <v>47</v>
      </c>
      <c r="I6" s="18" t="s">
        <v>47</v>
      </c>
    </row>
    <row r="7" spans="1:9" ht="29.25" customHeight="1">
      <c r="A7" s="18" t="s">
        <v>11</v>
      </c>
      <c r="B7" s="18" t="s">
        <v>82</v>
      </c>
      <c r="C7" s="19" t="s">
        <v>47</v>
      </c>
      <c r="D7" s="18"/>
      <c r="E7" s="18" t="s">
        <v>562</v>
      </c>
      <c r="F7" s="18" t="s">
        <v>14</v>
      </c>
      <c r="G7" s="18">
        <v>1</v>
      </c>
      <c r="H7" s="18" t="s">
        <v>47</v>
      </c>
      <c r="I7" s="18" t="s">
        <v>47</v>
      </c>
    </row>
    <row r="8" spans="1:9" ht="29.25" customHeight="1">
      <c r="A8" s="18" t="s">
        <v>11</v>
      </c>
      <c r="B8" s="18" t="s">
        <v>82</v>
      </c>
      <c r="C8" s="19" t="s">
        <v>47</v>
      </c>
      <c r="D8" s="18"/>
      <c r="E8" s="18" t="s">
        <v>548</v>
      </c>
      <c r="F8" s="18" t="s">
        <v>14</v>
      </c>
      <c r="G8" s="18"/>
      <c r="H8" s="18" t="s">
        <v>47</v>
      </c>
      <c r="I8" s="18" t="s">
        <v>47</v>
      </c>
    </row>
    <row r="9" spans="1:9" ht="29.25" customHeight="1">
      <c r="A9" s="18" t="s">
        <v>14</v>
      </c>
      <c r="B9" s="3" t="s">
        <v>82</v>
      </c>
      <c r="C9" s="19" t="s">
        <v>47</v>
      </c>
      <c r="D9" s="18" t="s">
        <v>399</v>
      </c>
      <c r="E9" s="18" t="s">
        <v>563</v>
      </c>
      <c r="F9" s="18" t="s">
        <v>14</v>
      </c>
      <c r="G9" s="18" t="e">
        <f>(SQRT((G10*G6)^2+(G8*G7)^2))/G5</f>
        <v>#VALUE!</v>
      </c>
      <c r="H9" s="18" t="s">
        <v>47</v>
      </c>
      <c r="I9" s="18" t="s">
        <v>47</v>
      </c>
    </row>
    <row r="10" spans="1:9" ht="29.25" customHeight="1">
      <c r="A10" s="18" t="s">
        <v>11</v>
      </c>
      <c r="B10" s="18" t="s">
        <v>82</v>
      </c>
      <c r="C10" s="19" t="s">
        <v>47</v>
      </c>
      <c r="D10" s="18"/>
      <c r="E10" s="18" t="s">
        <v>564</v>
      </c>
      <c r="F10" s="18" t="s">
        <v>14</v>
      </c>
      <c r="G10" s="18">
        <v>1</v>
      </c>
      <c r="H10" s="18" t="s">
        <v>47</v>
      </c>
      <c r="I10"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570D-3FDC-47AE-BBCB-078FF7314C1E}">
  <sheetPr codeName="Sheet124">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2" t="s">
        <v>775</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44</v>
      </c>
      <c r="C5" s="19"/>
      <c r="D5" s="18"/>
      <c r="E5" s="18" t="s">
        <v>455</v>
      </c>
      <c r="F5" s="18" t="s">
        <v>14</v>
      </c>
      <c r="G5" s="18"/>
      <c r="H5" s="18"/>
      <c r="I5" s="18"/>
    </row>
    <row r="6" spans="1:9" ht="29.25" customHeight="1">
      <c r="A6" s="18" t="s">
        <v>14</v>
      </c>
      <c r="B6" s="18" t="s">
        <v>44</v>
      </c>
      <c r="C6" s="19"/>
      <c r="D6" s="18"/>
      <c r="E6" s="18" t="s">
        <v>456</v>
      </c>
      <c r="F6" s="18" t="s">
        <v>14</v>
      </c>
      <c r="G6" s="18"/>
      <c r="H6" s="18"/>
      <c r="I6" s="18"/>
    </row>
    <row r="7" spans="1:9" ht="29.25" customHeight="1">
      <c r="A7" s="18" t="s">
        <v>14</v>
      </c>
      <c r="B7" s="18" t="s">
        <v>44</v>
      </c>
      <c r="C7" s="19"/>
      <c r="D7" s="18"/>
      <c r="E7" s="18" t="s">
        <v>457</v>
      </c>
      <c r="F7" s="18" t="s">
        <v>14</v>
      </c>
      <c r="G7" s="18"/>
      <c r="H7" s="18"/>
      <c r="I7" s="18"/>
    </row>
    <row r="8" spans="1:9" ht="29.25" customHeight="1">
      <c r="A8" s="18" t="s">
        <v>14</v>
      </c>
      <c r="B8" s="18" t="s">
        <v>44</v>
      </c>
      <c r="C8" s="19"/>
      <c r="D8" s="18"/>
      <c r="E8" s="18" t="s">
        <v>458</v>
      </c>
      <c r="F8" s="18" t="s">
        <v>14</v>
      </c>
      <c r="G8" s="18"/>
      <c r="H8" s="18"/>
      <c r="I8" s="18"/>
    </row>
    <row r="9" spans="1:9" ht="135">
      <c r="A9" s="18" t="s">
        <v>11</v>
      </c>
      <c r="B9" s="18" t="s">
        <v>17</v>
      </c>
      <c r="C9" s="10" t="s">
        <v>566</v>
      </c>
      <c r="D9" s="18"/>
      <c r="E9" s="3" t="s">
        <v>460</v>
      </c>
      <c r="F9" s="18" t="s">
        <v>14</v>
      </c>
      <c r="G9" s="18" t="s">
        <v>11</v>
      </c>
      <c r="H9" s="18"/>
      <c r="I9" s="18"/>
    </row>
    <row r="10" spans="1:9" ht="29.25" customHeight="1">
      <c r="A10" s="18" t="s">
        <v>14</v>
      </c>
      <c r="B10" s="18" t="s">
        <v>44</v>
      </c>
      <c r="C10" s="19"/>
      <c r="D10" s="18" t="b">
        <f>EXACT(G9,"No")</f>
        <v>0</v>
      </c>
      <c r="E10" s="18" t="s">
        <v>461</v>
      </c>
      <c r="F10" s="18" t="s">
        <v>14</v>
      </c>
      <c r="G10" s="18"/>
      <c r="H10" s="18"/>
      <c r="I10" s="18"/>
    </row>
    <row r="11" spans="1:9">
      <c r="A11" s="22" t="s">
        <v>14</v>
      </c>
      <c r="B11" s="23" t="s">
        <v>567</v>
      </c>
      <c r="C11" s="22"/>
      <c r="D11" s="22" t="b">
        <f>EXACT(G9,"Yes")</f>
        <v>1</v>
      </c>
      <c r="E11" s="22" t="s">
        <v>568</v>
      </c>
      <c r="F11" s="22" t="s">
        <v>14</v>
      </c>
      <c r="G11" s="22"/>
      <c r="H11" s="22"/>
      <c r="I11" s="22"/>
    </row>
    <row r="12" spans="1:9" outlineLevel="1">
      <c r="A12" s="20" t="s">
        <v>11</v>
      </c>
      <c r="B12" s="20" t="s">
        <v>82</v>
      </c>
      <c r="C12" s="20"/>
      <c r="D12" s="20"/>
      <c r="E12" s="20" t="s">
        <v>465</v>
      </c>
      <c r="F12" s="20" t="s">
        <v>14</v>
      </c>
      <c r="G12" s="20"/>
      <c r="H12" s="20"/>
      <c r="I12" s="20"/>
    </row>
    <row r="13" spans="1:9" outlineLevel="1">
      <c r="A13" s="20" t="s">
        <v>11</v>
      </c>
      <c r="B13" s="20" t="s">
        <v>82</v>
      </c>
      <c r="C13" s="20"/>
      <c r="D13" s="20"/>
      <c r="E13" s="20" t="s">
        <v>466</v>
      </c>
      <c r="F13" s="20" t="s">
        <v>14</v>
      </c>
      <c r="G13" s="20"/>
      <c r="H13" s="20"/>
      <c r="I13" s="2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9:G13" xr:uid="{E7FA15F7-25A3-4371-A25A-A647F2006D47}">
      <formula1>"Yes,No"</formula1>
    </dataValidation>
  </dataValidations>
  <hyperlinks>
    <hyperlink ref="B11" location="'Proj-Carbon stock in trees at a'!A1" display="'Proj-Carbon stock in trees at a" xr:uid="{28F9D967-B14E-43E4-AB5E-7A0B4EF9DDBF}"/>
    <hyperlink ref="C9" location="'Does your project apply  (enum)'!A1" display="'Does your project apply  (enum)" xr:uid="{9FE941BD-7CB8-471E-9CA0-92A5AF47CB9B}"/>
  </hyperlinks>
  <pageMargins left="0.7" right="0.7" top="0.75" bottom="0.75" header="0.3" footer="0.3"/>
  <pageSetup orientation="portrait" horizontalDpi="4294967295" verticalDpi="429496729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2B95-A38F-4572-BA62-4F5D7B5EF2CF}">
  <sheetPr codeName="Sheet125">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568</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c r="D5" s="18"/>
      <c r="E5" s="18" t="s">
        <v>464</v>
      </c>
      <c r="F5" s="18" t="s">
        <v>14</v>
      </c>
      <c r="G5" s="18"/>
      <c r="H5" s="18"/>
      <c r="I5" s="18"/>
    </row>
    <row r="6" spans="1:9" ht="29.25" customHeight="1">
      <c r="A6" s="18" t="s">
        <v>11</v>
      </c>
      <c r="B6" s="18" t="s">
        <v>82</v>
      </c>
      <c r="C6" s="19"/>
      <c r="D6" s="18"/>
      <c r="E6" s="18" t="s">
        <v>465</v>
      </c>
      <c r="F6" s="18" t="s">
        <v>14</v>
      </c>
      <c r="G6" s="18"/>
      <c r="H6" s="18"/>
      <c r="I6" s="18"/>
    </row>
    <row r="7" spans="1:9" ht="29.25" customHeight="1">
      <c r="A7" s="18" t="s">
        <v>11</v>
      </c>
      <c r="B7" s="18" t="s">
        <v>82</v>
      </c>
      <c r="C7" s="19"/>
      <c r="D7" s="18"/>
      <c r="E7" s="18" t="s">
        <v>466</v>
      </c>
      <c r="F7" s="18" t="s">
        <v>14</v>
      </c>
      <c r="G7" s="18"/>
      <c r="H7" s="18"/>
      <c r="I7"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5:G7" xr:uid="{6E9B8AC7-9016-4986-A28D-CAA69A9BDF2A}">
      <formula1>"Yes,No"</formula1>
    </dataValidation>
  </dataValidations>
  <pageMargins left="0.7" right="0.7" top="0.75" bottom="0.75" header="0.3" footer="0.3"/>
  <pageSetup orientation="portrait" horizontalDpi="4294967295" verticalDpi="4294967295"/>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1330-6282-46C5-B438-C363F750F2E1}">
  <sheetPr codeName="Sheet126">
    <tabColor rgb="FF7030A0"/>
    <outlinePr summaryBelow="0" summaryRight="0"/>
  </sheetPr>
  <dimension ref="A1:I262"/>
  <sheetViews>
    <sheetView topLeftCell="A30" workbookViewId="0">
      <selection sqref="A1:I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5" t="s">
        <v>475</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17</v>
      </c>
      <c r="C5" s="19" t="s">
        <v>476</v>
      </c>
      <c r="D5" s="18"/>
      <c r="E5" s="18" t="s">
        <v>477</v>
      </c>
      <c r="F5" s="18" t="s">
        <v>14</v>
      </c>
      <c r="G5" s="18" t="s">
        <v>478</v>
      </c>
      <c r="H5" s="18" t="s">
        <v>47</v>
      </c>
      <c r="I5" s="18" t="s">
        <v>47</v>
      </c>
    </row>
    <row r="6" spans="1:9">
      <c r="A6" s="22" t="s">
        <v>14</v>
      </c>
      <c r="B6" s="23" t="s">
        <v>478</v>
      </c>
      <c r="C6" s="22" t="s">
        <v>47</v>
      </c>
      <c r="D6" s="22" t="b">
        <f>EXACT(G5,"Stratified random sampling")</f>
        <v>1</v>
      </c>
      <c r="E6" s="22" t="s">
        <v>478</v>
      </c>
      <c r="F6" s="22" t="s">
        <v>14</v>
      </c>
      <c r="G6" s="22" t="s">
        <v>47</v>
      </c>
      <c r="H6" s="22" t="s">
        <v>47</v>
      </c>
      <c r="I6" s="22" t="s">
        <v>47</v>
      </c>
    </row>
    <row r="7" spans="1:9" ht="30" outlineLevel="1" collapsed="1">
      <c r="A7" s="20" t="s">
        <v>14</v>
      </c>
      <c r="B7" s="4" t="s">
        <v>82</v>
      </c>
      <c r="C7" s="20" t="s">
        <v>47</v>
      </c>
      <c r="D7" s="20" t="s">
        <v>399</v>
      </c>
      <c r="E7" s="20" t="s">
        <v>479</v>
      </c>
      <c r="F7" s="20" t="s">
        <v>14</v>
      </c>
      <c r="G7" s="20">
        <f>44/12*G8*G9</f>
        <v>3.6666666666666665</v>
      </c>
      <c r="H7" s="20" t="s">
        <v>47</v>
      </c>
      <c r="I7" s="20" t="s">
        <v>47</v>
      </c>
    </row>
    <row r="8" spans="1:9" outlineLevel="1" collapsed="1">
      <c r="A8" s="20" t="s">
        <v>11</v>
      </c>
      <c r="B8" s="20" t="s">
        <v>82</v>
      </c>
      <c r="C8" s="20" t="s">
        <v>47</v>
      </c>
      <c r="D8" s="20"/>
      <c r="E8" s="20" t="s">
        <v>405</v>
      </c>
      <c r="F8" s="20" t="s">
        <v>14</v>
      </c>
      <c r="G8" s="20">
        <v>1</v>
      </c>
      <c r="H8" s="20" t="s">
        <v>47</v>
      </c>
      <c r="I8" s="20" t="s">
        <v>47</v>
      </c>
    </row>
    <row r="9" spans="1:9" ht="30" outlineLevel="1" collapsed="1">
      <c r="A9" s="20" t="s">
        <v>14</v>
      </c>
      <c r="B9" s="4" t="s">
        <v>82</v>
      </c>
      <c r="C9" s="20" t="s">
        <v>47</v>
      </c>
      <c r="D9" s="20" t="s">
        <v>399</v>
      </c>
      <c r="E9" s="20" t="s">
        <v>480</v>
      </c>
      <c r="F9" s="20" t="s">
        <v>14</v>
      </c>
      <c r="G9" s="20">
        <f>G10*G11</f>
        <v>1</v>
      </c>
      <c r="H9" s="20" t="s">
        <v>47</v>
      </c>
      <c r="I9" s="20" t="s">
        <v>47</v>
      </c>
    </row>
    <row r="10" spans="1:9" ht="30" outlineLevel="1" collapsed="1">
      <c r="A10" s="20" t="s">
        <v>11</v>
      </c>
      <c r="B10" s="20" t="s">
        <v>82</v>
      </c>
      <c r="C10" s="20" t="s">
        <v>47</v>
      </c>
      <c r="D10" s="20"/>
      <c r="E10" s="20" t="s">
        <v>481</v>
      </c>
      <c r="F10" s="20" t="s">
        <v>14</v>
      </c>
      <c r="G10" s="20">
        <v>1</v>
      </c>
      <c r="H10" s="20" t="s">
        <v>47</v>
      </c>
      <c r="I10" s="20" t="s">
        <v>47</v>
      </c>
    </row>
    <row r="11" spans="1:9" ht="30" outlineLevel="1" collapsed="1">
      <c r="A11" s="20" t="s">
        <v>14</v>
      </c>
      <c r="B11" s="4" t="s">
        <v>82</v>
      </c>
      <c r="C11" s="20" t="s">
        <v>47</v>
      </c>
      <c r="D11" s="20" t="s">
        <v>399</v>
      </c>
      <c r="E11" s="20" t="s">
        <v>482</v>
      </c>
      <c r="F11" s="20" t="s">
        <v>14</v>
      </c>
      <c r="G11" s="20">
        <f>SUM((G16*G15))</f>
        <v>1</v>
      </c>
      <c r="H11" s="20" t="s">
        <v>47</v>
      </c>
      <c r="I11" s="20" t="s">
        <v>47</v>
      </c>
    </row>
    <row r="12" spans="1:9" outlineLevel="1" collapsed="1">
      <c r="A12" s="20" t="s">
        <v>11</v>
      </c>
      <c r="B12" s="20" t="s">
        <v>82</v>
      </c>
      <c r="C12" s="20" t="s">
        <v>47</v>
      </c>
      <c r="D12" s="20"/>
      <c r="E12" s="20" t="s">
        <v>569</v>
      </c>
      <c r="F12" s="20" t="s">
        <v>14</v>
      </c>
      <c r="G12" s="20">
        <v>1</v>
      </c>
      <c r="H12" s="20" t="s">
        <v>47</v>
      </c>
      <c r="I12" s="20" t="s">
        <v>47</v>
      </c>
    </row>
    <row r="13" spans="1:9" ht="30" outlineLevel="1" collapsed="1">
      <c r="A13" s="20" t="s">
        <v>11</v>
      </c>
      <c r="B13" s="20" t="s">
        <v>82</v>
      </c>
      <c r="C13" s="20" t="s">
        <v>47</v>
      </c>
      <c r="D13" s="20"/>
      <c r="E13" s="20" t="s">
        <v>484</v>
      </c>
      <c r="F13" s="20" t="s">
        <v>14</v>
      </c>
      <c r="G13" s="20">
        <v>1</v>
      </c>
      <c r="H13" s="20" t="s">
        <v>47</v>
      </c>
      <c r="I13" s="20" t="s">
        <v>47</v>
      </c>
    </row>
    <row r="14" spans="1:9" outlineLevel="1">
      <c r="A14" s="22" t="s">
        <v>11</v>
      </c>
      <c r="B14" s="23" t="s">
        <v>485</v>
      </c>
      <c r="C14" s="22" t="s">
        <v>47</v>
      </c>
      <c r="D14" s="22"/>
      <c r="E14" s="22" t="s">
        <v>486</v>
      </c>
      <c r="F14" s="22" t="s">
        <v>11</v>
      </c>
      <c r="G14" s="22" t="s">
        <v>47</v>
      </c>
      <c r="H14" s="22" t="s">
        <v>47</v>
      </c>
      <c r="I14" s="22" t="s">
        <v>47</v>
      </c>
    </row>
    <row r="15" spans="1:9" s="25" customFormat="1" ht="30" outlineLevel="2" collapsed="1">
      <c r="A15" s="24" t="s">
        <v>14</v>
      </c>
      <c r="B15" s="29" t="s">
        <v>82</v>
      </c>
      <c r="C15" s="24" t="s">
        <v>47</v>
      </c>
      <c r="D15" s="24" t="s">
        <v>399</v>
      </c>
      <c r="E15" s="24" t="s">
        <v>487</v>
      </c>
      <c r="F15" s="24" t="s">
        <v>14</v>
      </c>
      <c r="G15" s="24">
        <f>(SUM(G20))/G18</f>
        <v>1</v>
      </c>
      <c r="H15" s="24" t="s">
        <v>47</v>
      </c>
      <c r="I15" s="24" t="s">
        <v>47</v>
      </c>
    </row>
    <row r="16" spans="1:9" ht="30" outlineLevel="2" collapsed="1">
      <c r="A16" s="20" t="s">
        <v>11</v>
      </c>
      <c r="B16" s="20" t="s">
        <v>82</v>
      </c>
      <c r="C16" s="20" t="s">
        <v>47</v>
      </c>
      <c r="D16" s="20"/>
      <c r="E16" s="20" t="s">
        <v>488</v>
      </c>
      <c r="F16" s="20" t="s">
        <v>14</v>
      </c>
      <c r="G16" s="20">
        <v>1</v>
      </c>
      <c r="H16" s="20" t="s">
        <v>47</v>
      </c>
      <c r="I16" s="20" t="s">
        <v>47</v>
      </c>
    </row>
    <row r="17" spans="1:9" ht="30" outlineLevel="2" collapsed="1">
      <c r="A17" s="20" t="s">
        <v>11</v>
      </c>
      <c r="B17" s="20" t="s">
        <v>82</v>
      </c>
      <c r="C17" s="20" t="s">
        <v>47</v>
      </c>
      <c r="D17" s="20"/>
      <c r="E17" s="20" t="s">
        <v>489</v>
      </c>
      <c r="F17" s="20" t="s">
        <v>14</v>
      </c>
      <c r="G17" s="20">
        <v>1</v>
      </c>
      <c r="H17" s="20" t="s">
        <v>47</v>
      </c>
      <c r="I17" s="20" t="s">
        <v>47</v>
      </c>
    </row>
    <row r="18" spans="1:9" outlineLevel="2" collapsed="1">
      <c r="A18" s="20" t="s">
        <v>11</v>
      </c>
      <c r="B18" s="20" t="s">
        <v>82</v>
      </c>
      <c r="C18" s="20" t="s">
        <v>47</v>
      </c>
      <c r="D18" s="20"/>
      <c r="E18" s="20" t="s">
        <v>490</v>
      </c>
      <c r="F18" s="20" t="s">
        <v>14</v>
      </c>
      <c r="G18" s="20">
        <v>1</v>
      </c>
      <c r="H18" s="20" t="s">
        <v>47</v>
      </c>
      <c r="I18" s="20" t="s">
        <v>47</v>
      </c>
    </row>
    <row r="19" spans="1:9" outlineLevel="2">
      <c r="A19" s="22" t="s">
        <v>11</v>
      </c>
      <c r="B19" s="23" t="s">
        <v>491</v>
      </c>
      <c r="C19" s="22"/>
      <c r="D19" s="22"/>
      <c r="E19" s="22" t="s">
        <v>492</v>
      </c>
      <c r="F19" s="22" t="s">
        <v>11</v>
      </c>
      <c r="G19" s="22"/>
      <c r="H19" s="22"/>
      <c r="I19" s="22"/>
    </row>
    <row r="20" spans="1:9" s="25" customFormat="1" ht="30" outlineLevel="3" collapsed="1">
      <c r="A20" s="24" t="s">
        <v>11</v>
      </c>
      <c r="B20" s="24" t="s">
        <v>82</v>
      </c>
      <c r="C20" s="24" t="s">
        <v>47</v>
      </c>
      <c r="D20" s="24"/>
      <c r="E20" s="24" t="s">
        <v>493</v>
      </c>
      <c r="F20" s="24" t="s">
        <v>14</v>
      </c>
      <c r="G20" s="24">
        <v>1</v>
      </c>
      <c r="H20" s="24" t="s">
        <v>47</v>
      </c>
      <c r="I20" s="24" t="s">
        <v>47</v>
      </c>
    </row>
    <row r="21" spans="1:9">
      <c r="A21" s="22" t="s">
        <v>14</v>
      </c>
      <c r="B21" s="23" t="s">
        <v>494</v>
      </c>
      <c r="C21" s="22" t="s">
        <v>47</v>
      </c>
      <c r="D21" s="22" t="b">
        <f>NOT(EXACT(G5,"Stratified random sampling"))</f>
        <v>0</v>
      </c>
      <c r="E21" s="22" t="s">
        <v>494</v>
      </c>
      <c r="F21" s="22" t="s">
        <v>14</v>
      </c>
      <c r="G21" s="22" t="s">
        <v>47</v>
      </c>
      <c r="H21" s="22" t="s">
        <v>47</v>
      </c>
      <c r="I21" s="22" t="s">
        <v>47</v>
      </c>
    </row>
    <row r="22" spans="1:9" ht="30" outlineLevel="1" collapsed="1">
      <c r="A22" s="20" t="s">
        <v>11</v>
      </c>
      <c r="B22" s="20" t="s">
        <v>82</v>
      </c>
      <c r="C22" s="20" t="s">
        <v>47</v>
      </c>
      <c r="D22" s="20"/>
      <c r="E22" s="20" t="s">
        <v>479</v>
      </c>
      <c r="F22" s="20" t="s">
        <v>14</v>
      </c>
      <c r="G22" s="20">
        <v>1</v>
      </c>
      <c r="H22" s="20" t="s">
        <v>47</v>
      </c>
      <c r="I22" s="20" t="s">
        <v>47</v>
      </c>
    </row>
    <row r="23" spans="1:9" outlineLevel="1" collapsed="1">
      <c r="A23" s="20" t="s">
        <v>11</v>
      </c>
      <c r="B23" s="20" t="s">
        <v>82</v>
      </c>
      <c r="C23" s="20" t="s">
        <v>47</v>
      </c>
      <c r="D23" s="20"/>
      <c r="E23" s="20" t="s">
        <v>405</v>
      </c>
      <c r="F23" s="20" t="s">
        <v>14</v>
      </c>
      <c r="G23" s="20">
        <v>1</v>
      </c>
      <c r="H23" s="20" t="s">
        <v>47</v>
      </c>
      <c r="I23" s="20" t="s">
        <v>47</v>
      </c>
    </row>
    <row r="24" spans="1:9" ht="30" outlineLevel="1" collapsed="1">
      <c r="A24" s="20" t="s">
        <v>11</v>
      </c>
      <c r="B24" s="20" t="s">
        <v>82</v>
      </c>
      <c r="C24" s="20" t="s">
        <v>47</v>
      </c>
      <c r="D24" s="20"/>
      <c r="E24" s="20" t="s">
        <v>480</v>
      </c>
      <c r="F24" s="20" t="s">
        <v>14</v>
      </c>
      <c r="G24" s="20">
        <v>1</v>
      </c>
      <c r="H24" s="20" t="s">
        <v>47</v>
      </c>
      <c r="I24" s="20" t="s">
        <v>47</v>
      </c>
    </row>
    <row r="25" spans="1:9" ht="30" outlineLevel="1" collapsed="1">
      <c r="A25" s="20" t="s">
        <v>11</v>
      </c>
      <c r="B25" s="20" t="s">
        <v>82</v>
      </c>
      <c r="C25" s="20" t="s">
        <v>47</v>
      </c>
      <c r="D25" s="20"/>
      <c r="E25" s="20" t="s">
        <v>481</v>
      </c>
      <c r="F25" s="20" t="s">
        <v>14</v>
      </c>
      <c r="G25" s="20">
        <v>1</v>
      </c>
      <c r="H25" s="20" t="s">
        <v>47</v>
      </c>
      <c r="I25" s="20" t="s">
        <v>47</v>
      </c>
    </row>
    <row r="26" spans="1:9" ht="30" outlineLevel="1" collapsed="1">
      <c r="A26" s="20" t="s">
        <v>11</v>
      </c>
      <c r="B26" s="20" t="s">
        <v>82</v>
      </c>
      <c r="C26" s="20" t="s">
        <v>47</v>
      </c>
      <c r="D26" s="20"/>
      <c r="E26" s="20" t="s">
        <v>482</v>
      </c>
      <c r="F26" s="20" t="s">
        <v>14</v>
      </c>
      <c r="G26" s="20">
        <v>1</v>
      </c>
      <c r="H26" s="20" t="s">
        <v>47</v>
      </c>
      <c r="I26" s="20" t="s">
        <v>47</v>
      </c>
    </row>
    <row r="27" spans="1:9" outlineLevel="1" collapsed="1">
      <c r="A27" s="20" t="s">
        <v>11</v>
      </c>
      <c r="B27" s="20" t="s">
        <v>82</v>
      </c>
      <c r="C27" s="20" t="s">
        <v>47</v>
      </c>
      <c r="D27" s="20"/>
      <c r="E27" s="20" t="s">
        <v>569</v>
      </c>
      <c r="F27" s="20" t="s">
        <v>14</v>
      </c>
      <c r="G27" s="20">
        <v>1</v>
      </c>
      <c r="H27" s="20" t="s">
        <v>47</v>
      </c>
      <c r="I27" s="20" t="s">
        <v>47</v>
      </c>
    </row>
    <row r="28" spans="1:9" ht="30" outlineLevel="1" collapsed="1">
      <c r="A28" s="20" t="s">
        <v>11</v>
      </c>
      <c r="B28" s="20" t="s">
        <v>82</v>
      </c>
      <c r="C28" s="20" t="s">
        <v>47</v>
      </c>
      <c r="D28" s="20"/>
      <c r="E28" s="20" t="s">
        <v>570</v>
      </c>
      <c r="F28" s="20" t="s">
        <v>14</v>
      </c>
      <c r="G28" s="20">
        <v>1</v>
      </c>
      <c r="H28" s="20" t="s">
        <v>47</v>
      </c>
      <c r="I28" s="20" t="s">
        <v>47</v>
      </c>
    </row>
    <row r="29" spans="1:9" outlineLevel="1">
      <c r="A29" s="22" t="s">
        <v>11</v>
      </c>
      <c r="B29" s="23" t="s">
        <v>495</v>
      </c>
      <c r="C29" s="22" t="s">
        <v>47</v>
      </c>
      <c r="D29" s="22"/>
      <c r="E29" s="22" t="s">
        <v>486</v>
      </c>
      <c r="F29" s="22" t="s">
        <v>11</v>
      </c>
      <c r="G29" s="22" t="s">
        <v>47</v>
      </c>
      <c r="H29" s="22" t="s">
        <v>47</v>
      </c>
      <c r="I29" s="22" t="s">
        <v>47</v>
      </c>
    </row>
    <row r="30" spans="1:9" ht="30" outlineLevel="2" collapsed="1">
      <c r="A30" s="20" t="s">
        <v>14</v>
      </c>
      <c r="B30" s="4" t="s">
        <v>82</v>
      </c>
      <c r="C30" s="20" t="s">
        <v>47</v>
      </c>
      <c r="D30" s="20" t="s">
        <v>399</v>
      </c>
      <c r="E30" s="20" t="s">
        <v>487</v>
      </c>
      <c r="F30" s="20" t="s">
        <v>14</v>
      </c>
      <c r="G30" s="20">
        <f>(SUM(G39)/G31)+G32*(G33-G34)</f>
        <v>1</v>
      </c>
      <c r="H30" s="20" t="s">
        <v>47</v>
      </c>
      <c r="I30" s="20" t="s">
        <v>47</v>
      </c>
    </row>
    <row r="31" spans="1:9" outlineLevel="2" collapsed="1">
      <c r="A31" s="20" t="s">
        <v>11</v>
      </c>
      <c r="B31" s="20" t="s">
        <v>82</v>
      </c>
      <c r="C31" s="20" t="s">
        <v>47</v>
      </c>
      <c r="D31" s="20"/>
      <c r="E31" s="20" t="s">
        <v>496</v>
      </c>
      <c r="F31" s="20" t="s">
        <v>14</v>
      </c>
      <c r="G31" s="20">
        <v>1</v>
      </c>
      <c r="H31" s="20" t="s">
        <v>47</v>
      </c>
      <c r="I31" s="20" t="s">
        <v>47</v>
      </c>
    </row>
    <row r="32" spans="1:9" ht="30" outlineLevel="2" collapsed="1">
      <c r="A32" s="20" t="s">
        <v>11</v>
      </c>
      <c r="B32" s="20" t="s">
        <v>82</v>
      </c>
      <c r="C32" s="20" t="s">
        <v>47</v>
      </c>
      <c r="D32" s="20"/>
      <c r="E32" s="20" t="s">
        <v>497</v>
      </c>
      <c r="F32" s="20" t="s">
        <v>14</v>
      </c>
      <c r="G32" s="20">
        <v>1</v>
      </c>
      <c r="H32" s="20" t="s">
        <v>47</v>
      </c>
      <c r="I32" s="20" t="s">
        <v>47</v>
      </c>
    </row>
    <row r="33" spans="1:9" ht="30" outlineLevel="2" collapsed="1">
      <c r="A33" s="20" t="s">
        <v>11</v>
      </c>
      <c r="B33" s="20" t="s">
        <v>82</v>
      </c>
      <c r="C33" s="20" t="s">
        <v>47</v>
      </c>
      <c r="D33" s="20"/>
      <c r="E33" s="20" t="s">
        <v>498</v>
      </c>
      <c r="F33" s="20" t="s">
        <v>14</v>
      </c>
      <c r="G33" s="20">
        <v>1</v>
      </c>
      <c r="H33" s="20" t="s">
        <v>47</v>
      </c>
      <c r="I33" s="20" t="s">
        <v>47</v>
      </c>
    </row>
    <row r="34" spans="1:9" ht="30" outlineLevel="2" collapsed="1">
      <c r="A34" s="20" t="s">
        <v>11</v>
      </c>
      <c r="B34" s="20" t="s">
        <v>82</v>
      </c>
      <c r="C34" s="20" t="s">
        <v>47</v>
      </c>
      <c r="D34" s="20"/>
      <c r="E34" s="20" t="s">
        <v>499</v>
      </c>
      <c r="F34" s="20" t="s">
        <v>14</v>
      </c>
      <c r="G34" s="20">
        <v>1</v>
      </c>
      <c r="H34" s="20" t="s">
        <v>47</v>
      </c>
      <c r="I34" s="20" t="s">
        <v>47</v>
      </c>
    </row>
    <row r="35" spans="1:9" ht="30" outlineLevel="2" collapsed="1">
      <c r="A35" s="20" t="s">
        <v>11</v>
      </c>
      <c r="B35" s="20" t="s">
        <v>82</v>
      </c>
      <c r="C35" s="20" t="s">
        <v>47</v>
      </c>
      <c r="D35" s="20"/>
      <c r="E35" s="20" t="s">
        <v>500</v>
      </c>
      <c r="F35" s="20" t="s">
        <v>14</v>
      </c>
      <c r="G35" s="20">
        <v>1</v>
      </c>
      <c r="H35" s="20" t="s">
        <v>47</v>
      </c>
      <c r="I35" s="20" t="s">
        <v>47</v>
      </c>
    </row>
    <row r="36" spans="1:9" ht="30" outlineLevel="2" collapsed="1">
      <c r="A36" s="20" t="s">
        <v>11</v>
      </c>
      <c r="B36" s="20" t="s">
        <v>82</v>
      </c>
      <c r="C36" s="20" t="s">
        <v>47</v>
      </c>
      <c r="D36" s="20"/>
      <c r="E36" s="20" t="s">
        <v>501</v>
      </c>
      <c r="F36" s="20" t="s">
        <v>14</v>
      </c>
      <c r="G36" s="20">
        <v>1</v>
      </c>
      <c r="H36" s="20" t="s">
        <v>47</v>
      </c>
      <c r="I36" s="20" t="s">
        <v>47</v>
      </c>
    </row>
    <row r="37" spans="1:9" ht="45" outlineLevel="2" collapsed="1">
      <c r="A37" s="20" t="s">
        <v>11</v>
      </c>
      <c r="B37" s="20" t="s">
        <v>82</v>
      </c>
      <c r="C37" s="20" t="s">
        <v>47</v>
      </c>
      <c r="D37" s="20"/>
      <c r="E37" s="20" t="s">
        <v>502</v>
      </c>
      <c r="F37" s="20" t="s">
        <v>14</v>
      </c>
      <c r="G37" s="20">
        <v>1</v>
      </c>
      <c r="H37" s="20" t="s">
        <v>47</v>
      </c>
      <c r="I37" s="20" t="s">
        <v>47</v>
      </c>
    </row>
    <row r="38" spans="1:9" outlineLevel="2">
      <c r="A38" s="22" t="s">
        <v>11</v>
      </c>
      <c r="B38" s="23" t="s">
        <v>491</v>
      </c>
      <c r="C38" s="22"/>
      <c r="D38" s="22"/>
      <c r="E38" s="22" t="s">
        <v>492</v>
      </c>
      <c r="F38" s="22" t="s">
        <v>11</v>
      </c>
      <c r="G38" s="22"/>
      <c r="H38" s="22"/>
      <c r="I38" s="22"/>
    </row>
    <row r="39" spans="1:9" s="25" customFormat="1" ht="30" outlineLevel="3" collapsed="1">
      <c r="A39" s="24" t="s">
        <v>11</v>
      </c>
      <c r="B39" s="24" t="s">
        <v>82</v>
      </c>
      <c r="C39" s="24" t="s">
        <v>47</v>
      </c>
      <c r="D39" s="24"/>
      <c r="E39" s="24" t="s">
        <v>493</v>
      </c>
      <c r="F39" s="24" t="s">
        <v>14</v>
      </c>
      <c r="G39" s="24">
        <v>1</v>
      </c>
      <c r="H39" s="24" t="s">
        <v>47</v>
      </c>
      <c r="I39" s="24" t="s">
        <v>47</v>
      </c>
    </row>
    <row r="40" spans="1:9" ht="29.25" customHeight="1">
      <c r="A40" s="18" t="s">
        <v>11</v>
      </c>
      <c r="B40" s="18" t="s">
        <v>503</v>
      </c>
      <c r="C40" s="19" t="s">
        <v>47</v>
      </c>
      <c r="D40" s="18"/>
      <c r="E40" s="18" t="s">
        <v>776</v>
      </c>
      <c r="F40" s="18" t="s">
        <v>14</v>
      </c>
      <c r="G40" s="18" t="s">
        <v>505</v>
      </c>
      <c r="H40" s="18" t="s">
        <v>47</v>
      </c>
      <c r="I40" s="18" t="s">
        <v>47</v>
      </c>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C5" location="#'Which sampling design w (enum)'!A3" display="Which sampling design w (enum)" xr:uid="{F3F19ACB-BDA4-4268-A392-31A65D81CC03}"/>
    <hyperlink ref="B6" location="'Stratified random sampling'!A1" display="'Stratified random sampling" xr:uid="{60DFB98F-1D50-46DB-B6FD-139C89E78CCF}"/>
    <hyperlink ref="B14" location="'Mean tree biomass per hectare w'!A1" display="'Mean tree biomass per hectare w" xr:uid="{C2C47870-38B3-41A5-B204-F5EEB4DD8CF7}"/>
    <hyperlink ref="B19" location="'Tree Biomass per Hectare in Plo'!A1" display="'Tree Biomass per Hectare in Plo" xr:uid="{0C2EDADE-8776-446A-8A11-EB2C6704E127}"/>
    <hyperlink ref="B21" location="'Double sampling'!A1" display="'Double sampling" xr:uid="{3827A163-0D9B-43F9-9273-72A22ED3AB3F}"/>
    <hyperlink ref="B29" location="'Double Mean tree biomass per he'!A1" display="'Double Mean tree biomass per he" xr:uid="{A29AD84C-A593-4A30-A493-D92B319C4C2F}"/>
    <hyperlink ref="B38" location="'Tree Biomass per Hectare in Plo'!A1" display="'Tree Biomass per Hectare in Plo" xr:uid="{117B1270-6F4C-4681-B547-CF56BBFE87AC}"/>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
        <x14:dataValidation type="list" allowBlank="1" xr:uid="{389D26BD-1E00-4002-B0E0-5ED8D022268F}">
          <x14:formula1>
            <xm:f>'Which sampling design w (enum)'!B3:B4</xm:f>
          </x14:formula1>
          <xm:sqref>G5:I5</xm:sqref>
        </x14:dataValidation>
      </x14:dataValidations>
    </ext>
  </extLst>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0002-C366-40D2-90E4-BE8D34E75CE9}">
  <sheetPr codeName="Sheet127">
    <tabColor rgb="FF7030A0"/>
    <outlinePr summaryBelow="0" summaryRight="0"/>
  </sheetPr>
  <dimension ref="A1:I262"/>
  <sheetViews>
    <sheetView workbookViewId="0">
      <selection activeCell="C241" sqref="C24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5" t="s">
        <v>478</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479</v>
      </c>
      <c r="F5" s="18" t="s">
        <v>14</v>
      </c>
      <c r="G5" s="18">
        <f>44/12*G6*G7</f>
        <v>3.6666666666666665</v>
      </c>
      <c r="H5" s="18" t="s">
        <v>47</v>
      </c>
      <c r="I5" s="18" t="s">
        <v>47</v>
      </c>
    </row>
    <row r="6" spans="1:9" ht="29.25" customHeight="1">
      <c r="A6" s="18" t="s">
        <v>11</v>
      </c>
      <c r="B6" s="18" t="s">
        <v>82</v>
      </c>
      <c r="C6" s="19" t="s">
        <v>47</v>
      </c>
      <c r="D6" s="18"/>
      <c r="E6" s="18" t="s">
        <v>405</v>
      </c>
      <c r="F6" s="18" t="s">
        <v>14</v>
      </c>
      <c r="G6" s="18">
        <v>1</v>
      </c>
      <c r="H6" s="18" t="s">
        <v>47</v>
      </c>
      <c r="I6" s="18" t="s">
        <v>47</v>
      </c>
    </row>
    <row r="7" spans="1:9" ht="29.25" customHeight="1">
      <c r="A7" s="18" t="s">
        <v>14</v>
      </c>
      <c r="B7" s="3" t="s">
        <v>82</v>
      </c>
      <c r="C7" s="19" t="s">
        <v>47</v>
      </c>
      <c r="D7" s="18" t="s">
        <v>399</v>
      </c>
      <c r="E7" s="18" t="s">
        <v>480</v>
      </c>
      <c r="F7" s="18" t="s">
        <v>14</v>
      </c>
      <c r="G7" s="18">
        <f>G8*G9</f>
        <v>1</v>
      </c>
      <c r="H7" s="18" t="s">
        <v>47</v>
      </c>
      <c r="I7" s="18" t="s">
        <v>47</v>
      </c>
    </row>
    <row r="8" spans="1:9" ht="29.25" customHeight="1">
      <c r="A8" s="18" t="s">
        <v>11</v>
      </c>
      <c r="B8" s="18" t="s">
        <v>82</v>
      </c>
      <c r="C8" s="19" t="s">
        <v>47</v>
      </c>
      <c r="D8" s="18"/>
      <c r="E8" s="18" t="s">
        <v>481</v>
      </c>
      <c r="F8" s="18" t="s">
        <v>14</v>
      </c>
      <c r="G8" s="18">
        <v>1</v>
      </c>
      <c r="H8" s="18" t="s">
        <v>47</v>
      </c>
      <c r="I8" s="18" t="s">
        <v>47</v>
      </c>
    </row>
    <row r="9" spans="1:9" ht="29.25" customHeight="1">
      <c r="A9" s="18" t="s">
        <v>14</v>
      </c>
      <c r="B9" s="3" t="s">
        <v>82</v>
      </c>
      <c r="C9" s="19" t="s">
        <v>47</v>
      </c>
      <c r="D9" s="18" t="s">
        <v>399</v>
      </c>
      <c r="E9" s="18" t="s">
        <v>482</v>
      </c>
      <c r="F9" s="18" t="s">
        <v>14</v>
      </c>
      <c r="G9" s="18">
        <f>SUM((G14*G13))</f>
        <v>1</v>
      </c>
      <c r="H9" s="18" t="s">
        <v>47</v>
      </c>
      <c r="I9" s="18" t="s">
        <v>47</v>
      </c>
    </row>
    <row r="10" spans="1:9" ht="29.25" customHeight="1">
      <c r="A10" s="18" t="s">
        <v>11</v>
      </c>
      <c r="B10" s="18" t="s">
        <v>82</v>
      </c>
      <c r="C10" s="19" t="s">
        <v>47</v>
      </c>
      <c r="D10" s="18"/>
      <c r="E10" s="18" t="s">
        <v>569</v>
      </c>
      <c r="F10" s="18" t="s">
        <v>14</v>
      </c>
      <c r="G10" s="18">
        <v>1</v>
      </c>
      <c r="H10" s="18" t="s">
        <v>47</v>
      </c>
      <c r="I10" s="18" t="s">
        <v>47</v>
      </c>
    </row>
    <row r="11" spans="1:9" ht="29.25" customHeight="1">
      <c r="A11" s="18" t="s">
        <v>11</v>
      </c>
      <c r="B11" s="18" t="s">
        <v>82</v>
      </c>
      <c r="C11" s="19" t="s">
        <v>47</v>
      </c>
      <c r="D11" s="18"/>
      <c r="E11" s="18" t="s">
        <v>484</v>
      </c>
      <c r="F11" s="18" t="s">
        <v>14</v>
      </c>
      <c r="G11" s="18">
        <v>1</v>
      </c>
      <c r="H11" s="18" t="s">
        <v>47</v>
      </c>
      <c r="I11" s="18" t="s">
        <v>47</v>
      </c>
    </row>
    <row r="12" spans="1:9">
      <c r="A12" s="22" t="s">
        <v>11</v>
      </c>
      <c r="B12" s="23" t="s">
        <v>485</v>
      </c>
      <c r="C12" s="22" t="s">
        <v>47</v>
      </c>
      <c r="D12" s="22"/>
      <c r="E12" s="22" t="s">
        <v>486</v>
      </c>
      <c r="F12" s="22" t="s">
        <v>11</v>
      </c>
      <c r="G12" s="22" t="s">
        <v>47</v>
      </c>
      <c r="H12" s="22" t="s">
        <v>47</v>
      </c>
      <c r="I12" s="22" t="s">
        <v>47</v>
      </c>
    </row>
    <row r="13" spans="1:9" s="25" customFormat="1" ht="30" outlineLevel="1" collapsed="1">
      <c r="A13" s="24" t="s">
        <v>14</v>
      </c>
      <c r="B13" s="29" t="s">
        <v>82</v>
      </c>
      <c r="C13" s="24" t="s">
        <v>47</v>
      </c>
      <c r="D13" s="24" t="s">
        <v>399</v>
      </c>
      <c r="E13" s="24" t="s">
        <v>487</v>
      </c>
      <c r="F13" s="24" t="s">
        <v>14</v>
      </c>
      <c r="G13" s="24">
        <f>(SUM(G18))/G16</f>
        <v>1</v>
      </c>
      <c r="H13" s="24" t="s">
        <v>47</v>
      </c>
      <c r="I13" s="24" t="s">
        <v>47</v>
      </c>
    </row>
    <row r="14" spans="1:9" ht="30" outlineLevel="1" collapsed="1">
      <c r="A14" s="20" t="s">
        <v>11</v>
      </c>
      <c r="B14" s="20" t="s">
        <v>82</v>
      </c>
      <c r="C14" s="20" t="s">
        <v>47</v>
      </c>
      <c r="D14" s="20"/>
      <c r="E14" s="20" t="s">
        <v>488</v>
      </c>
      <c r="F14" s="20" t="s">
        <v>14</v>
      </c>
      <c r="G14" s="20">
        <v>1</v>
      </c>
      <c r="H14" s="20" t="s">
        <v>47</v>
      </c>
      <c r="I14" s="20" t="s">
        <v>47</v>
      </c>
    </row>
    <row r="15" spans="1:9" ht="30" outlineLevel="1" collapsed="1">
      <c r="A15" s="20" t="s">
        <v>11</v>
      </c>
      <c r="B15" s="20" t="s">
        <v>82</v>
      </c>
      <c r="C15" s="20" t="s">
        <v>47</v>
      </c>
      <c r="D15" s="20"/>
      <c r="E15" s="20" t="s">
        <v>489</v>
      </c>
      <c r="F15" s="20" t="s">
        <v>14</v>
      </c>
      <c r="G15" s="20">
        <v>1</v>
      </c>
      <c r="H15" s="20" t="s">
        <v>47</v>
      </c>
      <c r="I15" s="20" t="s">
        <v>47</v>
      </c>
    </row>
    <row r="16" spans="1:9" outlineLevel="1" collapsed="1">
      <c r="A16" s="20" t="s">
        <v>11</v>
      </c>
      <c r="B16" s="20" t="s">
        <v>82</v>
      </c>
      <c r="C16" s="20" t="s">
        <v>47</v>
      </c>
      <c r="D16" s="20"/>
      <c r="E16" s="20" t="s">
        <v>490</v>
      </c>
      <c r="F16" s="20" t="s">
        <v>14</v>
      </c>
      <c r="G16" s="20">
        <v>1</v>
      </c>
      <c r="H16" s="20" t="s">
        <v>47</v>
      </c>
      <c r="I16" s="20" t="s">
        <v>47</v>
      </c>
    </row>
    <row r="17" spans="1:9" outlineLevel="1">
      <c r="A17" s="22" t="s">
        <v>11</v>
      </c>
      <c r="B17" s="23" t="s">
        <v>491</v>
      </c>
      <c r="C17" s="22"/>
      <c r="D17" s="22"/>
      <c r="E17" s="22" t="s">
        <v>492</v>
      </c>
      <c r="F17" s="22" t="s">
        <v>11</v>
      </c>
      <c r="G17" s="22"/>
      <c r="H17" s="22"/>
      <c r="I17" s="22"/>
    </row>
    <row r="18" spans="1:9" s="25" customFormat="1" ht="30" outlineLevel="2" collapsed="1">
      <c r="A18" s="24" t="s">
        <v>11</v>
      </c>
      <c r="B18" s="24" t="s">
        <v>82</v>
      </c>
      <c r="C18" s="24" t="s">
        <v>47</v>
      </c>
      <c r="D18" s="24"/>
      <c r="E18" s="24" t="s">
        <v>493</v>
      </c>
      <c r="F18" s="24" t="s">
        <v>14</v>
      </c>
      <c r="G18" s="24">
        <v>1</v>
      </c>
      <c r="H18" s="24" t="s">
        <v>47</v>
      </c>
      <c r="I18" s="24" t="s">
        <v>47</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7" location="'Tree Biomass per Hectare in Plo'!A1" display="'Tree Biomass per Hectare in Plo" xr:uid="{CB01147E-3647-4440-BB0A-3CBA7B1840DD}"/>
    <hyperlink ref="B12" location="'Mean tree biomass per hectare w'!A1" display="'Mean tree biomass per hectare w" xr:uid="{69E7FD52-A0A5-4334-98F2-C6C39C82E162}"/>
  </hyperlinks>
  <pageMargins left="0.7" right="0.7" top="0.75" bottom="0.75" header="0.3" footer="0.3"/>
  <pageSetup orientation="portrait" horizontalDpi="4294967295" verticalDpi="4294967295"/>
  <legacyDrawing r:id="rId1"/>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60E-BB37-4A3F-B70C-152C01307F4C}">
  <sheetPr codeName="Sheet128">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486</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487</v>
      </c>
      <c r="F5" s="18" t="s">
        <v>14</v>
      </c>
      <c r="G5" s="18">
        <f>(SUM(G10))/G8</f>
        <v>1</v>
      </c>
      <c r="H5" s="18" t="s">
        <v>47</v>
      </c>
      <c r="I5" s="18" t="s">
        <v>47</v>
      </c>
    </row>
    <row r="6" spans="1:9" ht="29.25" customHeight="1">
      <c r="A6" s="18" t="s">
        <v>11</v>
      </c>
      <c r="B6" s="18" t="s">
        <v>82</v>
      </c>
      <c r="C6" s="19" t="s">
        <v>47</v>
      </c>
      <c r="D6" s="18"/>
      <c r="E6" s="18" t="s">
        <v>488</v>
      </c>
      <c r="F6" s="18" t="s">
        <v>14</v>
      </c>
      <c r="G6" s="18">
        <v>1</v>
      </c>
      <c r="H6" s="18" t="s">
        <v>47</v>
      </c>
      <c r="I6" s="18" t="s">
        <v>47</v>
      </c>
    </row>
    <row r="7" spans="1:9" ht="29.25" customHeight="1">
      <c r="A7" s="18" t="s">
        <v>11</v>
      </c>
      <c r="B7" s="18" t="s">
        <v>82</v>
      </c>
      <c r="C7" s="19" t="s">
        <v>47</v>
      </c>
      <c r="D7" s="18"/>
      <c r="E7" s="18" t="s">
        <v>489</v>
      </c>
      <c r="F7" s="18" t="s">
        <v>14</v>
      </c>
      <c r="G7" s="18">
        <v>1</v>
      </c>
      <c r="H7" s="18" t="s">
        <v>47</v>
      </c>
      <c r="I7" s="18" t="s">
        <v>47</v>
      </c>
    </row>
    <row r="8" spans="1:9" ht="29.25" customHeight="1">
      <c r="A8" s="18" t="s">
        <v>11</v>
      </c>
      <c r="B8" s="18" t="s">
        <v>82</v>
      </c>
      <c r="C8" s="19" t="s">
        <v>47</v>
      </c>
      <c r="D8" s="18"/>
      <c r="E8" s="18" t="s">
        <v>490</v>
      </c>
      <c r="F8" s="18" t="s">
        <v>14</v>
      </c>
      <c r="G8" s="18">
        <v>1</v>
      </c>
      <c r="H8" s="18" t="s">
        <v>47</v>
      </c>
      <c r="I8" s="18" t="s">
        <v>47</v>
      </c>
    </row>
    <row r="9" spans="1:9">
      <c r="A9" s="22" t="s">
        <v>11</v>
      </c>
      <c r="B9" s="23" t="s">
        <v>491</v>
      </c>
      <c r="C9" s="22"/>
      <c r="D9" s="22"/>
      <c r="E9" s="22" t="s">
        <v>492</v>
      </c>
      <c r="F9" s="22" t="s">
        <v>11</v>
      </c>
      <c r="G9" s="22"/>
      <c r="H9" s="22"/>
      <c r="I9" s="22"/>
    </row>
    <row r="10" spans="1:9" s="25" customFormat="1" ht="30" outlineLevel="1" collapsed="1">
      <c r="A10" s="24" t="s">
        <v>11</v>
      </c>
      <c r="B10" s="24" t="s">
        <v>82</v>
      </c>
      <c r="C10" s="24" t="s">
        <v>47</v>
      </c>
      <c r="D10" s="24"/>
      <c r="E10" s="24" t="s">
        <v>493</v>
      </c>
      <c r="F10" s="24" t="s">
        <v>14</v>
      </c>
      <c r="G10" s="24">
        <v>1</v>
      </c>
      <c r="H10" s="24" t="s">
        <v>47</v>
      </c>
      <c r="I10" s="24"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9" location="'Tree Biomass per Hectare in Plo'!A1" display="'Tree Biomass per Hectare in Plo" xr:uid="{D2CF475D-DB1C-4979-A469-CB02D35A14F4}"/>
  </hyperlinks>
  <pageMargins left="0.7" right="0.7" top="0.75" bottom="0.75" header="0.3" footer="0.3"/>
  <pageSetup orientation="portrait" horizontalDpi="4294967295" verticalDpi="4294967295"/>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BBAE-1C51-4409-9DBD-50361726C474}">
  <sheetPr codeName="Sheet12">
    <outlinePr summaryBelow="0" summaryRight="0"/>
  </sheetPr>
  <dimension ref="A1:G15"/>
  <sheetViews>
    <sheetView workbookViewId="0">
      <selection activeCell="B2" sqref="B2:G2"/>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651</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82</v>
      </c>
      <c r="C5" s="10"/>
      <c r="D5" s="3"/>
      <c r="E5" s="3" t="s">
        <v>132</v>
      </c>
      <c r="F5" s="3" t="s">
        <v>14</v>
      </c>
      <c r="G5" s="3">
        <v>0</v>
      </c>
    </row>
    <row r="6" spans="1:7">
      <c r="A6" s="3" t="s">
        <v>11</v>
      </c>
      <c r="B6" s="9" t="s">
        <v>652</v>
      </c>
      <c r="C6" s="10"/>
      <c r="D6" s="3"/>
      <c r="E6" s="3" t="s">
        <v>653</v>
      </c>
      <c r="F6" s="3" t="s">
        <v>11</v>
      </c>
      <c r="G6" s="3"/>
    </row>
    <row r="7" spans="1:7" outlineLevel="1">
      <c r="A7" s="3" t="s">
        <v>11</v>
      </c>
      <c r="B7" s="3" t="s">
        <v>46</v>
      </c>
      <c r="C7" s="10"/>
      <c r="D7" s="3"/>
      <c r="E7" s="3" t="s">
        <v>136</v>
      </c>
      <c r="F7" s="3" t="s">
        <v>14</v>
      </c>
      <c r="G7" s="3" t="s">
        <v>654</v>
      </c>
    </row>
    <row r="8" spans="1:7" outlineLevel="1">
      <c r="A8" s="3" t="s">
        <v>11</v>
      </c>
      <c r="B8" s="9" t="s">
        <v>655</v>
      </c>
      <c r="C8" s="10"/>
      <c r="D8" s="3"/>
      <c r="E8" s="3" t="s">
        <v>656</v>
      </c>
      <c r="F8" s="3" t="s">
        <v>11</v>
      </c>
      <c r="G8" s="3"/>
    </row>
    <row r="9" spans="1:7" outlineLevel="2">
      <c r="A9" s="3" t="s">
        <v>11</v>
      </c>
      <c r="B9" s="3" t="s">
        <v>46</v>
      </c>
      <c r="C9" s="10"/>
      <c r="D9" s="3"/>
      <c r="E9" s="3" t="s">
        <v>657</v>
      </c>
      <c r="F9" s="3" t="s">
        <v>14</v>
      </c>
      <c r="G9" s="3" t="s">
        <v>658</v>
      </c>
    </row>
    <row r="10" spans="1:7" outlineLevel="2">
      <c r="A10" s="3" t="s">
        <v>11</v>
      </c>
      <c r="B10" s="3" t="s">
        <v>46</v>
      </c>
      <c r="C10" s="10"/>
      <c r="D10" s="3"/>
      <c r="E10" s="3" t="s">
        <v>659</v>
      </c>
      <c r="F10" s="3" t="s">
        <v>14</v>
      </c>
      <c r="G10" s="3">
        <v>4157.8260525207797</v>
      </c>
    </row>
    <row r="11" spans="1:7" outlineLevel="2" collapsed="1">
      <c r="A11" s="3" t="s">
        <v>11</v>
      </c>
      <c r="B11" s="3" t="s">
        <v>46</v>
      </c>
      <c r="C11" s="10"/>
      <c r="D11" s="3"/>
      <c r="E11" s="3" t="s">
        <v>660</v>
      </c>
      <c r="F11" s="3" t="s">
        <v>14</v>
      </c>
      <c r="G11" s="3">
        <v>44.561717168448801</v>
      </c>
    </row>
    <row r="12" spans="1:7" outlineLevel="2">
      <c r="A12" s="3" t="s">
        <v>11</v>
      </c>
      <c r="B12" s="3" t="s">
        <v>46</v>
      </c>
      <c r="C12" s="10"/>
      <c r="D12" s="3"/>
      <c r="E12" s="3" t="s">
        <v>88</v>
      </c>
      <c r="F12" s="3" t="s">
        <v>14</v>
      </c>
      <c r="G12" s="3" t="s">
        <v>89</v>
      </c>
    </row>
    <row r="13" spans="1:7" outlineLevel="2">
      <c r="A13" s="3" t="s">
        <v>11</v>
      </c>
      <c r="B13" s="3" t="s">
        <v>46</v>
      </c>
      <c r="C13" s="10"/>
      <c r="D13" s="3"/>
      <c r="E13" s="3" t="s">
        <v>661</v>
      </c>
      <c r="F13" s="3" t="s">
        <v>14</v>
      </c>
      <c r="G13" s="3" t="s">
        <v>662</v>
      </c>
    </row>
    <row r="14" spans="1:7" outlineLevel="2">
      <c r="A14" s="3" t="s">
        <v>11</v>
      </c>
      <c r="B14" s="3" t="s">
        <v>46</v>
      </c>
      <c r="C14" s="10"/>
      <c r="D14" s="3"/>
      <c r="E14" s="3" t="s">
        <v>663</v>
      </c>
      <c r="F14" s="3" t="s">
        <v>14</v>
      </c>
      <c r="G14" s="3">
        <v>20003</v>
      </c>
    </row>
    <row r="15" spans="1:7" outlineLevel="1">
      <c r="A15" s="3" t="s">
        <v>14</v>
      </c>
      <c r="B15" s="3" t="s">
        <v>82</v>
      </c>
      <c r="C15" s="10"/>
      <c r="D15" s="3" t="s">
        <v>48</v>
      </c>
      <c r="E15" s="3" t="s">
        <v>664</v>
      </c>
      <c r="F15" s="3" t="s">
        <v>14</v>
      </c>
      <c r="G15" s="3">
        <f>AVERAGE(G11)</f>
        <v>44.561717168448801</v>
      </c>
    </row>
  </sheetData>
  <mergeCells count="3">
    <mergeCell ref="A1:G1"/>
    <mergeCell ref="B2:G2"/>
    <mergeCell ref="B3:G3"/>
  </mergeCells>
  <dataValidations disablePrompts="1" count="3">
    <dataValidation allowBlank="1" showInputMessage="1" showErrorMessage="1" sqref="G5:G8 G10:G15" xr:uid="{4B26BEA5-679B-4D82-9CD5-C6C142BDBA6C}"/>
    <dataValidation type="list" allowBlank="1" showInputMessage="1" showErrorMessage="1" sqref="A5:A8 F5:F8 A10:A15 F10:F15" xr:uid="{B84A5BCD-9CDA-40F0-A5B0-82DAE2BF7EC1}">
      <formula1>"Yes,No"</formula1>
    </dataValidation>
    <dataValidation type="list" allowBlank="1" showInputMessage="1" showErrorMessage="1" sqref="B3:G3" xr:uid="{B3E8A03F-3A4F-4EF2-BAE7-6C8AC87C96DE}">
      <formula1>"Verifiable Credentials,Encrypted Verifiable Credential,Sub-Schema"</formula1>
    </dataValidation>
  </dataValidations>
  <hyperlinks>
    <hyperlink ref="B6" location="ESM_Interpolation_StratumID!A1" display="ESM_Interpolation_StratumID" xr:uid="{83201C43-F88F-4A94-AECA-C09231C03F2E}"/>
    <hyperlink ref="B8" location="ESM_Interpolation_ProfileID!A1" display="ESM_Interpolation_ProfileID" xr:uid="{841624F2-12D4-4198-9663-FE11E7C57D31}"/>
  </hyperlinks>
  <pageMargins left="0.7" right="0.7" top="0.75" bottom="0.75" header="0.3" footer="0.3"/>
  <pageSetup orientation="portrait" horizontalDpi="4294967295" verticalDpi="4294967295"/>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ABA4-D3F6-4F5D-9509-1D5924BDFEB2}">
  <sheetPr codeName="Sheet129">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492</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t="s">
        <v>47</v>
      </c>
      <c r="D5" s="18"/>
      <c r="E5" s="18" t="s">
        <v>493</v>
      </c>
      <c r="F5" s="18" t="s">
        <v>14</v>
      </c>
      <c r="G5" s="18">
        <v>1</v>
      </c>
      <c r="H5" s="18" t="s">
        <v>47</v>
      </c>
      <c r="I5"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D96C-BF1B-4DAB-8C5F-B79DA71B212E}">
  <sheetPr codeName="Sheet130">
    <tabColor rgb="FF7030A0"/>
    <outlinePr summaryBelow="0" summaryRight="0"/>
  </sheetPr>
  <dimension ref="A1:I262"/>
  <sheetViews>
    <sheetView topLeftCell="A13" workbookViewId="0">
      <selection activeCell="C241" sqref="C24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5" t="s">
        <v>494</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t="s">
        <v>47</v>
      </c>
      <c r="D5" s="18"/>
      <c r="E5" s="18" t="s">
        <v>479</v>
      </c>
      <c r="F5" s="18" t="s">
        <v>14</v>
      </c>
      <c r="G5" s="18">
        <v>1</v>
      </c>
      <c r="H5" s="18" t="s">
        <v>47</v>
      </c>
      <c r="I5" s="18" t="s">
        <v>47</v>
      </c>
    </row>
    <row r="6" spans="1:9" ht="29.25" customHeight="1">
      <c r="A6" s="18" t="s">
        <v>11</v>
      </c>
      <c r="B6" s="18" t="s">
        <v>82</v>
      </c>
      <c r="C6" s="19" t="s">
        <v>47</v>
      </c>
      <c r="D6" s="18"/>
      <c r="E6" s="18" t="s">
        <v>405</v>
      </c>
      <c r="F6" s="18" t="s">
        <v>14</v>
      </c>
      <c r="G6" s="18">
        <v>1</v>
      </c>
      <c r="H6" s="18" t="s">
        <v>47</v>
      </c>
      <c r="I6" s="18" t="s">
        <v>47</v>
      </c>
    </row>
    <row r="7" spans="1:9" ht="29.25" customHeight="1">
      <c r="A7" s="18" t="s">
        <v>11</v>
      </c>
      <c r="B7" s="18" t="s">
        <v>82</v>
      </c>
      <c r="C7" s="19" t="s">
        <v>47</v>
      </c>
      <c r="D7" s="18"/>
      <c r="E7" s="18" t="s">
        <v>480</v>
      </c>
      <c r="F7" s="18" t="s">
        <v>14</v>
      </c>
      <c r="G7" s="18">
        <v>1</v>
      </c>
      <c r="H7" s="18" t="s">
        <v>47</v>
      </c>
      <c r="I7" s="18" t="s">
        <v>47</v>
      </c>
    </row>
    <row r="8" spans="1:9" ht="29.25" customHeight="1">
      <c r="A8" s="18" t="s">
        <v>11</v>
      </c>
      <c r="B8" s="18" t="s">
        <v>82</v>
      </c>
      <c r="C8" s="19" t="s">
        <v>47</v>
      </c>
      <c r="D8" s="18"/>
      <c r="E8" s="18" t="s">
        <v>481</v>
      </c>
      <c r="F8" s="18" t="s">
        <v>14</v>
      </c>
      <c r="G8" s="18">
        <v>1</v>
      </c>
      <c r="H8" s="18" t="s">
        <v>47</v>
      </c>
      <c r="I8" s="18" t="s">
        <v>47</v>
      </c>
    </row>
    <row r="9" spans="1:9" ht="29.25" customHeight="1">
      <c r="A9" s="18" t="s">
        <v>11</v>
      </c>
      <c r="B9" s="18" t="s">
        <v>82</v>
      </c>
      <c r="C9" s="19" t="s">
        <v>47</v>
      </c>
      <c r="D9" s="18"/>
      <c r="E9" s="18" t="s">
        <v>482</v>
      </c>
      <c r="F9" s="18" t="s">
        <v>14</v>
      </c>
      <c r="G9" s="18">
        <v>1</v>
      </c>
      <c r="H9" s="18" t="s">
        <v>47</v>
      </c>
      <c r="I9" s="18" t="s">
        <v>47</v>
      </c>
    </row>
    <row r="10" spans="1:9" ht="29.25" customHeight="1">
      <c r="A10" s="18" t="s">
        <v>11</v>
      </c>
      <c r="B10" s="18" t="s">
        <v>82</v>
      </c>
      <c r="C10" s="19" t="s">
        <v>47</v>
      </c>
      <c r="D10" s="18"/>
      <c r="E10" s="18" t="s">
        <v>569</v>
      </c>
      <c r="F10" s="18" t="s">
        <v>14</v>
      </c>
      <c r="G10" s="18">
        <v>1</v>
      </c>
      <c r="H10" s="18" t="s">
        <v>47</v>
      </c>
      <c r="I10" s="18" t="s">
        <v>47</v>
      </c>
    </row>
    <row r="11" spans="1:9" ht="29.25" customHeight="1">
      <c r="A11" s="18" t="s">
        <v>11</v>
      </c>
      <c r="B11" s="18" t="s">
        <v>82</v>
      </c>
      <c r="C11" s="19" t="s">
        <v>47</v>
      </c>
      <c r="D11" s="18"/>
      <c r="E11" s="18" t="s">
        <v>570</v>
      </c>
      <c r="F11" s="18" t="s">
        <v>14</v>
      </c>
      <c r="G11" s="18">
        <v>1</v>
      </c>
      <c r="H11" s="18" t="s">
        <v>47</v>
      </c>
      <c r="I11" s="18" t="s">
        <v>47</v>
      </c>
    </row>
    <row r="12" spans="1:9">
      <c r="A12" s="22" t="s">
        <v>11</v>
      </c>
      <c r="B12" s="23" t="s">
        <v>495</v>
      </c>
      <c r="C12" s="22" t="s">
        <v>47</v>
      </c>
      <c r="D12" s="22"/>
      <c r="E12" s="22" t="s">
        <v>486</v>
      </c>
      <c r="F12" s="22" t="s">
        <v>11</v>
      </c>
      <c r="G12" s="22" t="s">
        <v>47</v>
      </c>
      <c r="H12" s="22" t="s">
        <v>47</v>
      </c>
      <c r="I12" s="22" t="s">
        <v>47</v>
      </c>
    </row>
    <row r="13" spans="1:9" ht="30" outlineLevel="1" collapsed="1">
      <c r="A13" s="20" t="s">
        <v>14</v>
      </c>
      <c r="B13" s="4" t="s">
        <v>82</v>
      </c>
      <c r="C13" s="20" t="s">
        <v>47</v>
      </c>
      <c r="D13" s="20" t="s">
        <v>399</v>
      </c>
      <c r="E13" s="20" t="s">
        <v>487</v>
      </c>
      <c r="F13" s="20" t="s">
        <v>14</v>
      </c>
      <c r="G13" s="20">
        <f>(SUM(G22)/G14)+G15*(G16-G17)</f>
        <v>1</v>
      </c>
      <c r="H13" s="20" t="s">
        <v>47</v>
      </c>
      <c r="I13" s="20" t="s">
        <v>47</v>
      </c>
    </row>
    <row r="14" spans="1:9" outlineLevel="1" collapsed="1">
      <c r="A14" s="20" t="s">
        <v>11</v>
      </c>
      <c r="B14" s="20" t="s">
        <v>82</v>
      </c>
      <c r="C14" s="20" t="s">
        <v>47</v>
      </c>
      <c r="D14" s="20"/>
      <c r="E14" s="20" t="s">
        <v>496</v>
      </c>
      <c r="F14" s="20" t="s">
        <v>14</v>
      </c>
      <c r="G14" s="20">
        <v>1</v>
      </c>
      <c r="H14" s="20" t="s">
        <v>47</v>
      </c>
      <c r="I14" s="20" t="s">
        <v>47</v>
      </c>
    </row>
    <row r="15" spans="1:9" ht="30" outlineLevel="1" collapsed="1">
      <c r="A15" s="20" t="s">
        <v>11</v>
      </c>
      <c r="B15" s="20" t="s">
        <v>82</v>
      </c>
      <c r="C15" s="20" t="s">
        <v>47</v>
      </c>
      <c r="D15" s="20"/>
      <c r="E15" s="20" t="s">
        <v>497</v>
      </c>
      <c r="F15" s="20" t="s">
        <v>14</v>
      </c>
      <c r="G15" s="20">
        <v>1</v>
      </c>
      <c r="H15" s="20" t="s">
        <v>47</v>
      </c>
      <c r="I15" s="20" t="s">
        <v>47</v>
      </c>
    </row>
    <row r="16" spans="1:9" ht="30" outlineLevel="1" collapsed="1">
      <c r="A16" s="20" t="s">
        <v>11</v>
      </c>
      <c r="B16" s="20" t="s">
        <v>82</v>
      </c>
      <c r="C16" s="20" t="s">
        <v>47</v>
      </c>
      <c r="D16" s="20"/>
      <c r="E16" s="20" t="s">
        <v>498</v>
      </c>
      <c r="F16" s="20" t="s">
        <v>14</v>
      </c>
      <c r="G16" s="20">
        <v>1</v>
      </c>
      <c r="H16" s="20" t="s">
        <v>47</v>
      </c>
      <c r="I16" s="20" t="s">
        <v>47</v>
      </c>
    </row>
    <row r="17" spans="1:9" ht="30" outlineLevel="1" collapsed="1">
      <c r="A17" s="20" t="s">
        <v>11</v>
      </c>
      <c r="B17" s="20" t="s">
        <v>82</v>
      </c>
      <c r="C17" s="20" t="s">
        <v>47</v>
      </c>
      <c r="D17" s="20"/>
      <c r="E17" s="20" t="s">
        <v>499</v>
      </c>
      <c r="F17" s="20" t="s">
        <v>14</v>
      </c>
      <c r="G17" s="20">
        <v>1</v>
      </c>
      <c r="H17" s="20" t="s">
        <v>47</v>
      </c>
      <c r="I17" s="20" t="s">
        <v>47</v>
      </c>
    </row>
    <row r="18" spans="1:9" ht="30" outlineLevel="1" collapsed="1">
      <c r="A18" s="20" t="s">
        <v>11</v>
      </c>
      <c r="B18" s="20" t="s">
        <v>82</v>
      </c>
      <c r="C18" s="20" t="s">
        <v>47</v>
      </c>
      <c r="D18" s="20"/>
      <c r="E18" s="20" t="s">
        <v>500</v>
      </c>
      <c r="F18" s="20" t="s">
        <v>14</v>
      </c>
      <c r="G18" s="20">
        <v>1</v>
      </c>
      <c r="H18" s="20" t="s">
        <v>47</v>
      </c>
      <c r="I18" s="20" t="s">
        <v>47</v>
      </c>
    </row>
    <row r="19" spans="1:9" ht="30" outlineLevel="1" collapsed="1">
      <c r="A19" s="20" t="s">
        <v>11</v>
      </c>
      <c r="B19" s="20" t="s">
        <v>82</v>
      </c>
      <c r="C19" s="20" t="s">
        <v>47</v>
      </c>
      <c r="D19" s="20"/>
      <c r="E19" s="20" t="s">
        <v>501</v>
      </c>
      <c r="F19" s="20" t="s">
        <v>14</v>
      </c>
      <c r="G19" s="20">
        <v>1</v>
      </c>
      <c r="H19" s="20" t="s">
        <v>47</v>
      </c>
      <c r="I19" s="20" t="s">
        <v>47</v>
      </c>
    </row>
    <row r="20" spans="1:9" ht="45" outlineLevel="1" collapsed="1">
      <c r="A20" s="20" t="s">
        <v>11</v>
      </c>
      <c r="B20" s="20" t="s">
        <v>82</v>
      </c>
      <c r="C20" s="20" t="s">
        <v>47</v>
      </c>
      <c r="D20" s="20"/>
      <c r="E20" s="20" t="s">
        <v>502</v>
      </c>
      <c r="F20" s="20" t="s">
        <v>14</v>
      </c>
      <c r="G20" s="20">
        <v>1</v>
      </c>
      <c r="H20" s="20" t="s">
        <v>47</v>
      </c>
      <c r="I20" s="20" t="s">
        <v>47</v>
      </c>
    </row>
    <row r="21" spans="1:9" outlineLevel="1">
      <c r="A21" s="22" t="s">
        <v>11</v>
      </c>
      <c r="B21" s="23" t="s">
        <v>491</v>
      </c>
      <c r="C21" s="22"/>
      <c r="D21" s="22"/>
      <c r="E21" s="22" t="s">
        <v>492</v>
      </c>
      <c r="F21" s="22" t="s">
        <v>11</v>
      </c>
      <c r="G21" s="22"/>
      <c r="H21" s="22"/>
      <c r="I21" s="22"/>
    </row>
    <row r="22" spans="1:9" s="25" customFormat="1" ht="30" outlineLevel="2" collapsed="1">
      <c r="A22" s="24" t="s">
        <v>11</v>
      </c>
      <c r="B22" s="24" t="s">
        <v>82</v>
      </c>
      <c r="C22" s="24" t="s">
        <v>47</v>
      </c>
      <c r="D22" s="24"/>
      <c r="E22" s="24" t="s">
        <v>493</v>
      </c>
      <c r="F22" s="24" t="s">
        <v>14</v>
      </c>
      <c r="G22" s="24">
        <v>1</v>
      </c>
      <c r="H22" s="24" t="s">
        <v>47</v>
      </c>
      <c r="I22" s="24" t="s">
        <v>47</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2" location="'Double Mean tree biomass per he'!A1" display="'Double Mean tree biomass per he" xr:uid="{1C8ABBA3-4ECB-46F7-A236-337ACAE350A4}"/>
    <hyperlink ref="B21" location="'Tree Biomass per Hectare in Plo'!A1" display="'Tree Biomass per Hectare in Plo" xr:uid="{187786E7-9525-40E6-B05E-75E987E588D6}"/>
  </hyperlinks>
  <pageMargins left="0.7" right="0.7" top="0.75" bottom="0.75" header="0.3" footer="0.3"/>
  <pageSetup orientation="portrait" horizontalDpi="4294967295" verticalDpi="4294967295"/>
  <legacyDrawing r:id="rId1"/>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E137C-F8AF-4FB2-B712-67692CEBC8B7}">
  <sheetPr codeName="Sheet131">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777</v>
      </c>
      <c r="B1" s="35"/>
      <c r="C1" s="35"/>
      <c r="D1" s="35"/>
      <c r="E1" s="35"/>
      <c r="F1" s="35"/>
      <c r="G1" s="35"/>
      <c r="H1" s="35"/>
      <c r="I1" s="35"/>
    </row>
    <row r="2" spans="1:9" ht="18.75">
      <c r="A2" s="16" t="s">
        <v>1</v>
      </c>
      <c r="B2" s="36"/>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487</v>
      </c>
      <c r="F5" s="18" t="s">
        <v>14</v>
      </c>
      <c r="G5" s="18">
        <f>(SUM(G14)/G6)+G7*(G8-G9)</f>
        <v>1</v>
      </c>
      <c r="H5" s="18" t="s">
        <v>47</v>
      </c>
      <c r="I5" s="18" t="s">
        <v>47</v>
      </c>
    </row>
    <row r="6" spans="1:9" ht="29.25" customHeight="1">
      <c r="A6" s="18" t="s">
        <v>11</v>
      </c>
      <c r="B6" s="18" t="s">
        <v>82</v>
      </c>
      <c r="C6" s="19" t="s">
        <v>47</v>
      </c>
      <c r="D6" s="18"/>
      <c r="E6" s="18" t="s">
        <v>496</v>
      </c>
      <c r="F6" s="18" t="s">
        <v>14</v>
      </c>
      <c r="G6" s="18">
        <v>1</v>
      </c>
      <c r="H6" s="18" t="s">
        <v>47</v>
      </c>
      <c r="I6" s="18" t="s">
        <v>47</v>
      </c>
    </row>
    <row r="7" spans="1:9" ht="29.25" customHeight="1">
      <c r="A7" s="18" t="s">
        <v>11</v>
      </c>
      <c r="B7" s="18" t="s">
        <v>82</v>
      </c>
      <c r="C7" s="19" t="s">
        <v>47</v>
      </c>
      <c r="D7" s="18"/>
      <c r="E7" s="18" t="s">
        <v>497</v>
      </c>
      <c r="F7" s="18" t="s">
        <v>14</v>
      </c>
      <c r="G7" s="18">
        <v>1</v>
      </c>
      <c r="H7" s="18" t="s">
        <v>47</v>
      </c>
      <c r="I7" s="18" t="s">
        <v>47</v>
      </c>
    </row>
    <row r="8" spans="1:9" ht="29.25" customHeight="1">
      <c r="A8" s="18" t="s">
        <v>11</v>
      </c>
      <c r="B8" s="18" t="s">
        <v>82</v>
      </c>
      <c r="C8" s="19" t="s">
        <v>47</v>
      </c>
      <c r="D8" s="18"/>
      <c r="E8" s="18" t="s">
        <v>498</v>
      </c>
      <c r="F8" s="18" t="s">
        <v>14</v>
      </c>
      <c r="G8" s="18">
        <v>1</v>
      </c>
      <c r="H8" s="18" t="s">
        <v>47</v>
      </c>
      <c r="I8" s="18" t="s">
        <v>47</v>
      </c>
    </row>
    <row r="9" spans="1:9" ht="29.25" customHeight="1">
      <c r="A9" s="18" t="s">
        <v>11</v>
      </c>
      <c r="B9" s="18" t="s">
        <v>82</v>
      </c>
      <c r="C9" s="19" t="s">
        <v>47</v>
      </c>
      <c r="D9" s="18"/>
      <c r="E9" s="18" t="s">
        <v>499</v>
      </c>
      <c r="F9" s="18" t="s">
        <v>14</v>
      </c>
      <c r="G9" s="18">
        <v>1</v>
      </c>
      <c r="H9" s="18" t="s">
        <v>47</v>
      </c>
      <c r="I9" s="18" t="s">
        <v>47</v>
      </c>
    </row>
    <row r="10" spans="1:9" ht="29.25" customHeight="1">
      <c r="A10" s="18" t="s">
        <v>11</v>
      </c>
      <c r="B10" s="18" t="s">
        <v>82</v>
      </c>
      <c r="C10" s="19" t="s">
        <v>47</v>
      </c>
      <c r="D10" s="18"/>
      <c r="E10" s="18" t="s">
        <v>500</v>
      </c>
      <c r="F10" s="18" t="s">
        <v>14</v>
      </c>
      <c r="G10" s="18">
        <v>1</v>
      </c>
      <c r="H10" s="18" t="s">
        <v>47</v>
      </c>
      <c r="I10" s="18" t="s">
        <v>47</v>
      </c>
    </row>
    <row r="11" spans="1:9" ht="29.25" customHeight="1">
      <c r="A11" s="18" t="s">
        <v>11</v>
      </c>
      <c r="B11" s="18" t="s">
        <v>82</v>
      </c>
      <c r="C11" s="19" t="s">
        <v>47</v>
      </c>
      <c r="D11" s="18"/>
      <c r="E11" s="18" t="s">
        <v>501</v>
      </c>
      <c r="F11" s="18" t="s">
        <v>14</v>
      </c>
      <c r="G11" s="18">
        <v>1</v>
      </c>
      <c r="H11" s="18" t="s">
        <v>47</v>
      </c>
      <c r="I11" s="18" t="s">
        <v>47</v>
      </c>
    </row>
    <row r="12" spans="1:9" ht="29.25" customHeight="1">
      <c r="A12" s="18" t="s">
        <v>11</v>
      </c>
      <c r="B12" s="18" t="s">
        <v>82</v>
      </c>
      <c r="C12" s="19" t="s">
        <v>47</v>
      </c>
      <c r="D12" s="18"/>
      <c r="E12" s="18" t="s">
        <v>502</v>
      </c>
      <c r="F12" s="18" t="s">
        <v>14</v>
      </c>
      <c r="G12" s="18">
        <v>1</v>
      </c>
      <c r="H12" s="18" t="s">
        <v>47</v>
      </c>
      <c r="I12" s="18" t="s">
        <v>47</v>
      </c>
    </row>
    <row r="13" spans="1:9">
      <c r="A13" s="22" t="s">
        <v>11</v>
      </c>
      <c r="B13" s="23" t="s">
        <v>491</v>
      </c>
      <c r="C13" s="22"/>
      <c r="D13" s="22"/>
      <c r="E13" s="22" t="s">
        <v>492</v>
      </c>
      <c r="F13" s="22" t="s">
        <v>11</v>
      </c>
      <c r="G13" s="22"/>
      <c r="H13" s="22"/>
      <c r="I13" s="22"/>
    </row>
    <row r="14" spans="1:9" s="25" customFormat="1" ht="30" outlineLevel="1" collapsed="1">
      <c r="A14" s="24" t="s">
        <v>11</v>
      </c>
      <c r="B14" s="24" t="s">
        <v>82</v>
      </c>
      <c r="C14" s="24" t="s">
        <v>47</v>
      </c>
      <c r="D14" s="24"/>
      <c r="E14" s="24" t="s">
        <v>493</v>
      </c>
      <c r="F14" s="24" t="s">
        <v>14</v>
      </c>
      <c r="G14" s="24">
        <v>1</v>
      </c>
      <c r="H14" s="24" t="s">
        <v>47</v>
      </c>
      <c r="I14" s="24"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3" location="'Tree Biomass per Hectare in Plo'!A1" display="'Tree Biomass per Hectare in Plo" xr:uid="{7066CC59-BFF8-451E-AC21-79EC085EC8D4}"/>
  </hyperlinks>
  <pageMargins left="0.7" right="0.7" top="0.75" bottom="0.75" header="0.3" footer="0.3"/>
  <pageSetup orientation="portrait" horizontalDpi="4294967295" verticalDpi="4294967295"/>
  <legacyDrawing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9BB3-E56D-4CA5-A73D-D17E9A90F4D2}">
  <sheetPr codeName="Sheet132">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2" t="s">
        <v>778</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18" t="s">
        <v>44</v>
      </c>
      <c r="C5" s="19"/>
      <c r="D5" s="18"/>
      <c r="E5" s="18" t="s">
        <v>516</v>
      </c>
      <c r="F5" s="3" t="s">
        <v>14</v>
      </c>
      <c r="G5" s="18"/>
      <c r="H5" s="18"/>
      <c r="I5" s="18"/>
    </row>
    <row r="6" spans="1:9" ht="29.25" customHeight="1">
      <c r="A6" s="18" t="s">
        <v>11</v>
      </c>
      <c r="B6" s="18" t="s">
        <v>17</v>
      </c>
      <c r="C6" s="10" t="s">
        <v>517</v>
      </c>
      <c r="D6" s="18"/>
      <c r="E6" s="18" t="s">
        <v>518</v>
      </c>
      <c r="F6" s="3" t="s">
        <v>14</v>
      </c>
      <c r="G6" s="18"/>
      <c r="H6" s="18"/>
      <c r="I6"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6" xr:uid="{52EB5BAF-F74E-4D3E-A521-64C5B1A2D832}">
      <formula1>"Yes,No"</formula1>
    </dataValidation>
  </dataValidations>
  <hyperlinks>
    <hyperlink ref="C6" location="'If all three conditi (enum)'!A1" display="'If all three conditi (enum)" xr:uid="{311C0DCC-81E7-4F80-9241-3C72E3054BA9}"/>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575C2D48-2CD6-41DD-9DC4-FAFD782F2CFC}">
          <x14:formula1>
            <xm:f>'Which method did you us (enum)'!C111:C114</xm:f>
          </x14:formula1>
          <xm:sqref>H6:I6</xm:sqref>
        </x14:dataValidation>
        <x14:dataValidation type="list" allowBlank="1" xr:uid="{EF4009B1-D7E9-4872-A103-686C90DAB6A1}">
          <x14:formula1>
            <xm:f>'Which method did you us (enum)'!C111:C114</xm:f>
          </x14:formula1>
          <xm:sqref>H5:I5</xm:sqref>
        </x14:dataValidation>
      </x14:dataValidations>
    </ext>
  </extLst>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D7C5-B013-45F0-9CC3-330D2B1F4A13}">
  <sheetPr codeName="Sheet133">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779</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60">
      <c r="A5" s="18" t="s">
        <v>11</v>
      </c>
      <c r="B5" s="18" t="s">
        <v>17</v>
      </c>
      <c r="C5" s="10" t="s">
        <v>575</v>
      </c>
      <c r="D5" s="18"/>
      <c r="E5" s="18" t="s">
        <v>514</v>
      </c>
      <c r="F5" s="18" t="s">
        <v>14</v>
      </c>
      <c r="G5" s="18" t="s">
        <v>14</v>
      </c>
      <c r="H5" s="18" t="s">
        <v>47</v>
      </c>
      <c r="I5" s="18" t="s">
        <v>47</v>
      </c>
    </row>
    <row r="6" spans="1:9">
      <c r="A6" s="18" t="s">
        <v>14</v>
      </c>
      <c r="B6" s="10" t="s">
        <v>515</v>
      </c>
      <c r="C6" s="19"/>
      <c r="D6" s="18" t="b">
        <f>EXACT(G5,"Yes")</f>
        <v>0</v>
      </c>
      <c r="E6" s="18" t="s">
        <v>393</v>
      </c>
      <c r="F6" s="18" t="s">
        <v>14</v>
      </c>
      <c r="G6" s="18"/>
      <c r="H6" s="18"/>
      <c r="I6" s="18"/>
    </row>
    <row r="7" spans="1:9" ht="165" outlineLevel="1" collapsed="1">
      <c r="A7" s="20" t="s">
        <v>14</v>
      </c>
      <c r="B7" s="20" t="s">
        <v>44</v>
      </c>
      <c r="C7" s="20"/>
      <c r="D7" s="20"/>
      <c r="E7" s="20" t="s">
        <v>516</v>
      </c>
      <c r="F7" s="20"/>
      <c r="G7" s="20"/>
      <c r="H7" s="20"/>
      <c r="I7" s="20"/>
    </row>
    <row r="8" spans="1:9" ht="60" outlineLevel="1" collapsed="1">
      <c r="A8" s="20" t="s">
        <v>11</v>
      </c>
      <c r="B8" s="20" t="s">
        <v>17</v>
      </c>
      <c r="C8" s="27" t="s">
        <v>517</v>
      </c>
      <c r="D8" s="20"/>
      <c r="E8" s="20" t="s">
        <v>518</v>
      </c>
      <c r="F8" s="20"/>
      <c r="G8" s="20"/>
      <c r="H8" s="20"/>
      <c r="I8" s="20"/>
    </row>
    <row r="9" spans="1:9" ht="29.25" customHeight="1">
      <c r="A9" s="18" t="s">
        <v>14</v>
      </c>
      <c r="B9" s="3" t="s">
        <v>82</v>
      </c>
      <c r="C9" s="19" t="s">
        <v>47</v>
      </c>
      <c r="D9" s="18" t="s">
        <v>399</v>
      </c>
      <c r="E9" s="18" t="s">
        <v>576</v>
      </c>
      <c r="F9" s="18" t="s">
        <v>14</v>
      </c>
      <c r="G9" s="18" t="e">
        <f>IF(AND(#REF!="No"),E10-E11,0)</f>
        <v>#REF!</v>
      </c>
      <c r="H9" s="18" t="s">
        <v>47</v>
      </c>
      <c r="I9" s="18" t="s">
        <v>47</v>
      </c>
    </row>
    <row r="10" spans="1:9" ht="29.25" customHeight="1">
      <c r="A10" s="18" t="s">
        <v>11</v>
      </c>
      <c r="B10" s="18" t="s">
        <v>82</v>
      </c>
      <c r="C10" s="19" t="s">
        <v>47</v>
      </c>
      <c r="D10" s="18"/>
      <c r="E10" s="18" t="s">
        <v>577</v>
      </c>
      <c r="F10" s="18" t="s">
        <v>14</v>
      </c>
      <c r="G10" s="18">
        <v>1</v>
      </c>
      <c r="H10" s="18" t="s">
        <v>47</v>
      </c>
      <c r="I10" s="18" t="s">
        <v>47</v>
      </c>
    </row>
    <row r="11" spans="1:9" ht="29.25" customHeight="1">
      <c r="A11" s="18" t="s">
        <v>11</v>
      </c>
      <c r="B11" s="18" t="s">
        <v>82</v>
      </c>
      <c r="C11" s="19" t="s">
        <v>47</v>
      </c>
      <c r="D11" s="18"/>
      <c r="E11" s="18" t="s">
        <v>578</v>
      </c>
      <c r="F11" s="18" t="s">
        <v>14</v>
      </c>
      <c r="G11" s="18">
        <v>1</v>
      </c>
      <c r="H11" s="18" t="s">
        <v>47</v>
      </c>
      <c r="I11"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G5" xr:uid="{18325190-2E05-4573-AF55-F82C90CACB4C}">
      <formula1>"Yes,No"</formula1>
    </dataValidation>
  </dataValidations>
  <hyperlinks>
    <hyperlink ref="B6" location="'Shrub Demonstration of “n'!A1" display="'Shrub Demonstration of “n" xr:uid="{2F43B010-C42F-42EF-830E-EDBA5048630E}"/>
    <hyperlink ref="C5" location="'Will you be applying  pr (enum)'!A1" display="'Will you be applying  pr (enum)" xr:uid="{21109371-5C6C-4305-91D3-67A57057E36B}"/>
    <hyperlink ref="C8" location="'If all three conditi (enum)'!A1" display="'If all three conditi (enum)" xr:uid="{7E5AD28A-ECA6-4D3D-A3E6-3453C629B27A}"/>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
        <x14:dataValidation type="list" allowBlank="1" xr:uid="{53859204-DA0E-407C-89FF-27937D037406}">
          <x14:formula1>
            <xm:f>'Which method did you us (enum)'!C114:C117</xm:f>
          </x14:formula1>
          <xm:sqref>H5:I7</xm:sqref>
        </x14:dataValidation>
        <x14:dataValidation type="list" allowBlank="1" xr:uid="{B3A73642-160A-4CD4-8A57-9CA009ED8E8B}">
          <x14:formula1>
            <xm:f>'Which method did you us (enum)'!C116:C119</xm:f>
          </x14:formula1>
          <xm:sqref>H8:I8</xm:sqref>
        </x14:dataValidation>
      </x14:dataValidations>
    </ext>
  </extLst>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E3F7-F2EF-4713-9BEC-F1D5F1465AEE}">
  <sheetPr codeName="Sheet134">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780</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580</v>
      </c>
      <c r="F5" s="18" t="s">
        <v>14</v>
      </c>
      <c r="G5" s="18">
        <f>(G6-G7/G8)*1</f>
        <v>0</v>
      </c>
      <c r="H5" s="18" t="s">
        <v>47</v>
      </c>
      <c r="I5" s="18" t="s">
        <v>47</v>
      </c>
    </row>
    <row r="6" spans="1:9" ht="29.25" customHeight="1">
      <c r="A6" s="18" t="s">
        <v>11</v>
      </c>
      <c r="B6" s="18" t="s">
        <v>82</v>
      </c>
      <c r="C6" s="19" t="s">
        <v>47</v>
      </c>
      <c r="D6" s="18"/>
      <c r="E6" s="18" t="s">
        <v>581</v>
      </c>
      <c r="F6" s="18" t="s">
        <v>14</v>
      </c>
      <c r="G6" s="18">
        <v>1</v>
      </c>
      <c r="H6" s="18" t="s">
        <v>47</v>
      </c>
      <c r="I6" s="18" t="s">
        <v>47</v>
      </c>
    </row>
    <row r="7" spans="1:9" ht="29.25" customHeight="1">
      <c r="A7" s="18" t="s">
        <v>11</v>
      </c>
      <c r="B7" s="18" t="s">
        <v>82</v>
      </c>
      <c r="C7" s="19" t="s">
        <v>47</v>
      </c>
      <c r="D7" s="18"/>
      <c r="E7" s="18" t="s">
        <v>582</v>
      </c>
      <c r="F7" s="18" t="s">
        <v>14</v>
      </c>
      <c r="G7" s="18">
        <v>1</v>
      </c>
      <c r="H7" s="18" t="s">
        <v>47</v>
      </c>
      <c r="I7" s="18" t="s">
        <v>47</v>
      </c>
    </row>
    <row r="8" spans="1:9" ht="29.25" customHeight="1">
      <c r="A8" s="18" t="s">
        <v>11</v>
      </c>
      <c r="B8" s="18" t="s">
        <v>82</v>
      </c>
      <c r="C8" s="19" t="s">
        <v>47</v>
      </c>
      <c r="D8" s="18"/>
      <c r="E8" s="18" t="s">
        <v>527</v>
      </c>
      <c r="F8" s="18" t="s">
        <v>14</v>
      </c>
      <c r="G8" s="18">
        <v>1</v>
      </c>
      <c r="H8" s="18" t="s">
        <v>47</v>
      </c>
      <c r="I8"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0484-735A-4F99-B893-597BB1929779}">
  <sheetPr codeName="Sheet135">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781</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14</v>
      </c>
      <c r="B5" s="3" t="s">
        <v>82</v>
      </c>
      <c r="C5" s="19" t="s">
        <v>47</v>
      </c>
      <c r="D5" s="18" t="s">
        <v>399</v>
      </c>
      <c r="E5" s="18" t="s">
        <v>585</v>
      </c>
      <c r="F5" s="18" t="s">
        <v>14</v>
      </c>
      <c r="G5" s="18">
        <f>44/12*G6*(1+G7)*SUM((G12*G13))</f>
        <v>7.333333333333333</v>
      </c>
      <c r="H5" s="18" t="s">
        <v>47</v>
      </c>
      <c r="I5" s="18" t="s">
        <v>47</v>
      </c>
    </row>
    <row r="6" spans="1:9" ht="29.25" customHeight="1">
      <c r="A6" s="18" t="s">
        <v>11</v>
      </c>
      <c r="B6" s="18" t="s">
        <v>82</v>
      </c>
      <c r="C6" s="19" t="s">
        <v>47</v>
      </c>
      <c r="D6" s="18"/>
      <c r="E6" s="18" t="s">
        <v>531</v>
      </c>
      <c r="F6" s="18" t="s">
        <v>14</v>
      </c>
      <c r="G6" s="18">
        <v>1</v>
      </c>
      <c r="H6" s="18" t="s">
        <v>47</v>
      </c>
      <c r="I6" s="18" t="s">
        <v>47</v>
      </c>
    </row>
    <row r="7" spans="1:9" ht="29.25" customHeight="1">
      <c r="A7" s="18" t="s">
        <v>11</v>
      </c>
      <c r="B7" s="18" t="s">
        <v>82</v>
      </c>
      <c r="C7" s="19" t="s">
        <v>47</v>
      </c>
      <c r="D7" s="18"/>
      <c r="E7" s="18" t="s">
        <v>532</v>
      </c>
      <c r="F7" s="18" t="s">
        <v>14</v>
      </c>
      <c r="G7" s="18">
        <v>1</v>
      </c>
      <c r="H7" s="18" t="s">
        <v>47</v>
      </c>
      <c r="I7" s="18" t="s">
        <v>47</v>
      </c>
    </row>
    <row r="8" spans="1:9">
      <c r="A8" s="22" t="s">
        <v>11</v>
      </c>
      <c r="B8" s="23" t="s">
        <v>533</v>
      </c>
      <c r="C8" s="22" t="s">
        <v>47</v>
      </c>
      <c r="D8" s="22"/>
      <c r="E8" s="22" t="s">
        <v>534</v>
      </c>
      <c r="F8" s="22" t="s">
        <v>11</v>
      </c>
      <c r="G8" s="22" t="s">
        <v>47</v>
      </c>
      <c r="H8" s="22" t="s">
        <v>47</v>
      </c>
      <c r="I8" s="22" t="s">
        <v>47</v>
      </c>
    </row>
    <row r="9" spans="1:9" ht="30" outlineLevel="1" collapsed="1">
      <c r="A9" s="20" t="s">
        <v>11</v>
      </c>
      <c r="B9" s="20" t="s">
        <v>82</v>
      </c>
      <c r="C9" s="20" t="s">
        <v>47</v>
      </c>
      <c r="D9" s="20"/>
      <c r="E9" s="20" t="s">
        <v>535</v>
      </c>
      <c r="F9" s="20" t="s">
        <v>14</v>
      </c>
      <c r="G9" s="20">
        <v>1</v>
      </c>
      <c r="H9" s="20" t="s">
        <v>47</v>
      </c>
      <c r="I9" s="20" t="s">
        <v>47</v>
      </c>
    </row>
    <row r="10" spans="1:9" ht="30" outlineLevel="1" collapsed="1">
      <c r="A10" s="20" t="s">
        <v>11</v>
      </c>
      <c r="B10" s="20" t="s">
        <v>82</v>
      </c>
      <c r="C10" s="20" t="s">
        <v>47</v>
      </c>
      <c r="D10" s="20"/>
      <c r="E10" s="20" t="s">
        <v>536</v>
      </c>
      <c r="F10" s="20" t="s">
        <v>14</v>
      </c>
      <c r="G10" s="20">
        <v>1</v>
      </c>
      <c r="H10" s="20" t="s">
        <v>47</v>
      </c>
      <c r="I10" s="20" t="s">
        <v>47</v>
      </c>
    </row>
    <row r="11" spans="1:9" ht="30" outlineLevel="1" collapsed="1">
      <c r="A11" s="20" t="s">
        <v>11</v>
      </c>
      <c r="B11" s="20" t="s">
        <v>82</v>
      </c>
      <c r="C11" s="20" t="s">
        <v>47</v>
      </c>
      <c r="D11" s="20"/>
      <c r="E11" s="20" t="s">
        <v>537</v>
      </c>
      <c r="F11" s="20" t="s">
        <v>14</v>
      </c>
      <c r="G11" s="20">
        <v>1</v>
      </c>
      <c r="H11" s="20" t="s">
        <v>47</v>
      </c>
      <c r="I11" s="20" t="s">
        <v>47</v>
      </c>
    </row>
    <row r="12" spans="1:9" ht="30" outlineLevel="1" collapsed="1">
      <c r="A12" s="20" t="s">
        <v>11</v>
      </c>
      <c r="B12" s="20" t="s">
        <v>82</v>
      </c>
      <c r="C12" s="20" t="s">
        <v>47</v>
      </c>
      <c r="D12" s="20"/>
      <c r="E12" s="20" t="s">
        <v>538</v>
      </c>
      <c r="F12" s="20" t="s">
        <v>14</v>
      </c>
      <c r="G12" s="20">
        <v>1</v>
      </c>
      <c r="H12" s="20" t="s">
        <v>47</v>
      </c>
      <c r="I12" s="20" t="s">
        <v>47</v>
      </c>
    </row>
    <row r="13" spans="1:9" ht="30" outlineLevel="1" collapsed="1">
      <c r="A13" s="20" t="s">
        <v>14</v>
      </c>
      <c r="B13" s="4" t="s">
        <v>82</v>
      </c>
      <c r="C13" s="20" t="s">
        <v>47</v>
      </c>
      <c r="D13" s="20" t="s">
        <v>399</v>
      </c>
      <c r="E13" s="20" t="s">
        <v>539</v>
      </c>
      <c r="F13" s="20" t="s">
        <v>14</v>
      </c>
      <c r="G13" s="20">
        <f>G9*G10*G11</f>
        <v>1</v>
      </c>
      <c r="H13" s="20" t="s">
        <v>47</v>
      </c>
      <c r="I13" s="20"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8" location="'Shrub biomass per hectare in sh'!A1" display="'Shrub biomass per hectare in sh" xr:uid="{51DC1072-82DB-4E74-B618-022E66846CF1}"/>
  </hyperlinks>
  <pageMargins left="0.7" right="0.7" top="0.75" bottom="0.75" header="0.3" footer="0.3"/>
  <pageSetup orientation="portrait" horizontalDpi="4294967295" verticalDpi="4294967295"/>
  <legacyDrawing r:id="rId1"/>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4703-3F4D-4388-A25B-28C827FE899F}">
  <sheetPr codeName="Sheet13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534</v>
      </c>
      <c r="B1" s="35"/>
      <c r="C1" s="35"/>
      <c r="D1" s="35"/>
      <c r="E1" s="35"/>
      <c r="F1" s="35"/>
      <c r="G1" s="35"/>
      <c r="H1" s="35"/>
      <c r="I1" s="35"/>
    </row>
    <row r="2" spans="1:9" ht="18.75">
      <c r="A2" s="16" t="s">
        <v>1</v>
      </c>
      <c r="B2" s="36" t="s">
        <v>753</v>
      </c>
      <c r="C2" s="36"/>
      <c r="D2" s="36"/>
      <c r="E2" s="36"/>
      <c r="F2" s="36"/>
      <c r="G2" s="36"/>
      <c r="H2" s="36"/>
      <c r="I2" s="36"/>
    </row>
    <row r="3" spans="1:9" ht="18.75">
      <c r="A3" s="16" t="s">
        <v>2</v>
      </c>
      <c r="B3" s="36" t="s">
        <v>757</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8" t="s">
        <v>82</v>
      </c>
      <c r="C5" s="19" t="s">
        <v>47</v>
      </c>
      <c r="D5" s="18"/>
      <c r="E5" s="18" t="s">
        <v>535</v>
      </c>
      <c r="F5" s="18" t="s">
        <v>14</v>
      </c>
      <c r="G5" s="18">
        <v>1</v>
      </c>
      <c r="H5" s="18" t="s">
        <v>47</v>
      </c>
      <c r="I5" s="18" t="s">
        <v>47</v>
      </c>
    </row>
    <row r="6" spans="1:9" ht="29.25" customHeight="1">
      <c r="A6" s="18" t="s">
        <v>11</v>
      </c>
      <c r="B6" s="18" t="s">
        <v>82</v>
      </c>
      <c r="C6" s="19" t="s">
        <v>47</v>
      </c>
      <c r="D6" s="18"/>
      <c r="E6" s="18" t="s">
        <v>536</v>
      </c>
      <c r="F6" s="18" t="s">
        <v>14</v>
      </c>
      <c r="G6" s="18">
        <v>1</v>
      </c>
      <c r="H6" s="18" t="s">
        <v>47</v>
      </c>
      <c r="I6" s="18" t="s">
        <v>47</v>
      </c>
    </row>
    <row r="7" spans="1:9" ht="29.25" customHeight="1">
      <c r="A7" s="18" t="s">
        <v>11</v>
      </c>
      <c r="B7" s="18" t="s">
        <v>82</v>
      </c>
      <c r="C7" s="19" t="s">
        <v>47</v>
      </c>
      <c r="D7" s="18"/>
      <c r="E7" s="18" t="s">
        <v>537</v>
      </c>
      <c r="F7" s="18" t="s">
        <v>14</v>
      </c>
      <c r="G7" s="18">
        <v>1</v>
      </c>
      <c r="H7" s="18" t="s">
        <v>47</v>
      </c>
      <c r="I7" s="18" t="s">
        <v>47</v>
      </c>
    </row>
    <row r="8" spans="1:9" ht="29.25" customHeight="1">
      <c r="A8" s="18" t="s">
        <v>11</v>
      </c>
      <c r="B8" s="18" t="s">
        <v>82</v>
      </c>
      <c r="C8" s="19" t="s">
        <v>47</v>
      </c>
      <c r="D8" s="18"/>
      <c r="E8" s="18" t="s">
        <v>538</v>
      </c>
      <c r="F8" s="18" t="s">
        <v>14</v>
      </c>
      <c r="G8" s="18">
        <v>1</v>
      </c>
      <c r="H8" s="18" t="s">
        <v>47</v>
      </c>
      <c r="I8" s="18" t="s">
        <v>47</v>
      </c>
    </row>
    <row r="9" spans="1:9" ht="29.25" customHeight="1">
      <c r="A9" s="18" t="s">
        <v>14</v>
      </c>
      <c r="B9" s="3" t="s">
        <v>82</v>
      </c>
      <c r="C9" s="19" t="s">
        <v>47</v>
      </c>
      <c r="D9" s="18" t="s">
        <v>399</v>
      </c>
      <c r="E9" s="18" t="s">
        <v>539</v>
      </c>
      <c r="F9" s="18" t="s">
        <v>14</v>
      </c>
      <c r="G9" s="18">
        <f>G5*G6*G7</f>
        <v>1</v>
      </c>
      <c r="H9" s="18" t="s">
        <v>47</v>
      </c>
      <c r="I9" s="18" t="s">
        <v>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CA61-B0F8-433E-8206-55BD1EDD5C3C}">
  <sheetPr codeName="Sheet137">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388</v>
      </c>
    </row>
    <row r="2" spans="1:2" ht="30.75">
      <c r="A2" s="30" t="s">
        <v>747</v>
      </c>
      <c r="B2" s="31" t="s">
        <v>390</v>
      </c>
    </row>
    <row r="3" spans="1:2" ht="15" customHeight="1">
      <c r="A3" t="s">
        <v>428</v>
      </c>
    </row>
    <row r="4" spans="1:2" ht="15" customHeight="1">
      <c r="A4" t="s">
        <v>782</v>
      </c>
    </row>
    <row r="5" spans="1:2" ht="15" customHeight="1">
      <c r="A5" t="s">
        <v>398</v>
      </c>
    </row>
    <row r="6" spans="1:2">
      <c r="A6" t="s">
        <v>391</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7D3A-3D08-4EC2-BF36-B4969FEF16F3}">
  <sheetPr codeName="Sheet138">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475</v>
      </c>
    </row>
    <row r="2" spans="1:2" ht="45.75">
      <c r="A2" s="30" t="s">
        <v>747</v>
      </c>
      <c r="B2" s="31" t="s">
        <v>477</v>
      </c>
    </row>
    <row r="3" spans="1:2">
      <c r="A3" s="37" t="s">
        <v>478</v>
      </c>
      <c r="B3" s="37"/>
    </row>
    <row r="4" spans="1:2">
      <c r="A4" s="37" t="s">
        <v>494</v>
      </c>
      <c r="B4" s="37"/>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2">
    <mergeCell ref="A3:B3"/>
    <mergeCell ref="A4:B4"/>
  </mergeCell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A590-0512-44B5-8DB2-9C33EB5FB9C3}">
  <sheetPr codeName="Sheet13">
    <outlinePr summaryBelow="0" summaryRight="0"/>
  </sheetPr>
  <dimension ref="A1:G13"/>
  <sheetViews>
    <sheetView workbookViewId="0">
      <selection activeCell="B2" sqref="B2:G2"/>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653</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10"/>
      <c r="D5" s="3"/>
      <c r="E5" s="3" t="s">
        <v>136</v>
      </c>
      <c r="F5" s="3" t="s">
        <v>14</v>
      </c>
      <c r="G5" s="3" t="s">
        <v>654</v>
      </c>
    </row>
    <row r="6" spans="1:7">
      <c r="A6" s="3" t="s">
        <v>11</v>
      </c>
      <c r="B6" s="9" t="s">
        <v>655</v>
      </c>
      <c r="C6" s="10"/>
      <c r="D6" s="3"/>
      <c r="E6" s="3" t="s">
        <v>656</v>
      </c>
      <c r="F6" s="3" t="s">
        <v>11</v>
      </c>
      <c r="G6" s="3"/>
    </row>
    <row r="7" spans="1:7" outlineLevel="1">
      <c r="A7" s="3" t="s">
        <v>11</v>
      </c>
      <c r="B7" s="3" t="s">
        <v>46</v>
      </c>
      <c r="C7" s="10"/>
      <c r="D7" s="3"/>
      <c r="E7" s="3" t="s">
        <v>657</v>
      </c>
      <c r="F7" s="3" t="s">
        <v>14</v>
      </c>
      <c r="G7" s="3" t="s">
        <v>658</v>
      </c>
    </row>
    <row r="8" spans="1:7" outlineLevel="1">
      <c r="A8" s="3" t="s">
        <v>11</v>
      </c>
      <c r="B8" s="3" t="s">
        <v>46</v>
      </c>
      <c r="C8" s="10"/>
      <c r="D8" s="3"/>
      <c r="E8" s="3" t="s">
        <v>659</v>
      </c>
      <c r="F8" s="3" t="s">
        <v>14</v>
      </c>
      <c r="G8" s="3">
        <v>4157.8260525207797</v>
      </c>
    </row>
    <row r="9" spans="1:7" outlineLevel="1" collapsed="1">
      <c r="A9" s="3" t="s">
        <v>11</v>
      </c>
      <c r="B9" s="3" t="s">
        <v>46</v>
      </c>
      <c r="C9" s="10"/>
      <c r="D9" s="3"/>
      <c r="E9" s="3" t="s">
        <v>660</v>
      </c>
      <c r="F9" s="3" t="s">
        <v>14</v>
      </c>
      <c r="G9" s="3">
        <v>44.561717168448801</v>
      </c>
    </row>
    <row r="10" spans="1:7" outlineLevel="1">
      <c r="A10" s="3" t="s">
        <v>11</v>
      </c>
      <c r="B10" s="3" t="s">
        <v>46</v>
      </c>
      <c r="C10" s="10"/>
      <c r="D10" s="3"/>
      <c r="E10" s="3" t="s">
        <v>88</v>
      </c>
      <c r="F10" s="3" t="s">
        <v>14</v>
      </c>
      <c r="G10" s="3" t="s">
        <v>89</v>
      </c>
    </row>
    <row r="11" spans="1:7" outlineLevel="1">
      <c r="A11" s="3" t="s">
        <v>11</v>
      </c>
      <c r="B11" s="3" t="s">
        <v>46</v>
      </c>
      <c r="C11" s="10"/>
      <c r="D11" s="3"/>
      <c r="E11" s="3" t="s">
        <v>661</v>
      </c>
      <c r="F11" s="3" t="s">
        <v>14</v>
      </c>
      <c r="G11" s="3" t="s">
        <v>662</v>
      </c>
    </row>
    <row r="12" spans="1:7" outlineLevel="1">
      <c r="A12" s="3" t="s">
        <v>11</v>
      </c>
      <c r="B12" s="3" t="s">
        <v>46</v>
      </c>
      <c r="C12" s="10"/>
      <c r="D12" s="3"/>
      <c r="E12" s="3" t="s">
        <v>663</v>
      </c>
      <c r="F12" s="3" t="s">
        <v>14</v>
      </c>
      <c r="G12" s="3">
        <v>20003</v>
      </c>
    </row>
    <row r="13" spans="1:7">
      <c r="A13" s="3" t="s">
        <v>14</v>
      </c>
      <c r="B13" s="3" t="s">
        <v>82</v>
      </c>
      <c r="C13" s="10"/>
      <c r="D13" s="3" t="s">
        <v>48</v>
      </c>
      <c r="E13" s="3" t="s">
        <v>664</v>
      </c>
      <c r="F13" s="3" t="s">
        <v>14</v>
      </c>
      <c r="G13" s="3">
        <f>AVERAGE(G9)</f>
        <v>44.561717168448801</v>
      </c>
    </row>
  </sheetData>
  <mergeCells count="3">
    <mergeCell ref="A1:G1"/>
    <mergeCell ref="B2:G2"/>
    <mergeCell ref="B3:G3"/>
  </mergeCells>
  <dataValidations count="3">
    <dataValidation type="list" allowBlank="1" showInputMessage="1" showErrorMessage="1" sqref="A8:A13 F8:F13 A5:A6 F5:F6" xr:uid="{1F51D8F9-FBB9-40D1-9C02-991E18C4EE58}">
      <formula1>"Yes,No"</formula1>
    </dataValidation>
    <dataValidation allowBlank="1" showInputMessage="1" showErrorMessage="1" sqref="G8:G13 G5:G6" xr:uid="{AA28134A-4EF5-4DC6-9E24-ABC61331D809}"/>
    <dataValidation type="list" allowBlank="1" showInputMessage="1" showErrorMessage="1" sqref="B3:G3" xr:uid="{B785CD3C-2EE9-46A3-A814-AA6AAA790F5D}">
      <formula1>"Verifiable Credentials,Encrypted Verifiable Credential,Sub-Schema"</formula1>
    </dataValidation>
  </dataValidations>
  <hyperlinks>
    <hyperlink ref="B6" location="ESM_Interpolation_ProfileID!A1" display="ESM_Interpolation_ProfileID" xr:uid="{83C3AB52-50B0-4E5D-A3B8-5B2A6C2E4158}"/>
  </hyperlinks>
  <pageMargins left="0.7" right="0.7" top="0.75" bottom="0.75" header="0.3" footer="0.3"/>
  <pageSetup orientation="portrait" horizontalDpi="4294967295" verticalDpi="429496729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7A1D-B94A-46DC-BBE0-56775D229F94}">
  <sheetPr codeName="Sheet139">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762</v>
      </c>
    </row>
    <row r="2" spans="1:2" ht="30.75">
      <c r="A2" s="30" t="s">
        <v>747</v>
      </c>
      <c r="B2" s="31" t="s">
        <v>444</v>
      </c>
    </row>
    <row r="3" spans="1:2">
      <c r="A3" t="s">
        <v>475</v>
      </c>
    </row>
    <row r="4" spans="1:2">
      <c r="A4" t="s">
        <v>445</v>
      </c>
    </row>
    <row r="5" spans="1:2">
      <c r="A5" t="s">
        <v>783</v>
      </c>
    </row>
    <row r="6" spans="1:2" ht="15" customHeight="1">
      <c r="A6" t="s">
        <v>447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5FAF-DC86-4F9D-90E4-9CB96466AA56}">
  <sheetPr codeName="Sheet140">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767</v>
      </c>
    </row>
    <row r="2" spans="1:2" ht="90.75">
      <c r="A2" s="30" t="s">
        <v>747</v>
      </c>
      <c r="B2" s="31" t="s">
        <v>514</v>
      </c>
    </row>
    <row r="3" spans="1:2">
      <c r="A3" s="37" t="s">
        <v>11</v>
      </c>
      <c r="B3" s="37"/>
    </row>
    <row r="4" spans="1:2">
      <c r="A4" s="37" t="s">
        <v>14</v>
      </c>
      <c r="B4" s="37"/>
    </row>
    <row r="5" spans="1:2">
      <c r="A5" s="37"/>
      <c r="B5" s="37"/>
    </row>
    <row r="6" spans="1:2">
      <c r="A6" s="37"/>
      <c r="B6" s="37"/>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1572-7615-4E02-A677-E98DD6B32E60}">
  <sheetPr codeName="Sheet141">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773</v>
      </c>
    </row>
    <row r="2" spans="1:2" ht="30.75">
      <c r="A2" s="30" t="s">
        <v>747</v>
      </c>
      <c r="B2" s="31" t="s">
        <v>444</v>
      </c>
    </row>
    <row r="3" spans="1:2">
      <c r="A3" t="s">
        <v>475</v>
      </c>
    </row>
    <row r="4" spans="1:2">
      <c r="A4" t="s">
        <v>445</v>
      </c>
    </row>
    <row r="5" spans="1:2" ht="15" customHeight="1">
      <c r="A5" t="s">
        <v>447</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C612-F671-4DF8-A21B-95732E4940CC}">
  <sheetPr codeName="Sheet142">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383</v>
      </c>
    </row>
    <row r="2" spans="1:2" ht="30.75">
      <c r="A2" s="30" t="s">
        <v>747</v>
      </c>
      <c r="B2" s="31" t="s">
        <v>385</v>
      </c>
    </row>
    <row r="3" spans="1:2">
      <c r="A3" t="s">
        <v>388</v>
      </c>
    </row>
    <row r="4" spans="1:2">
      <c r="A4" t="s">
        <v>386</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0CC0-875C-454C-849A-3322DDB3B5E9}">
  <sheetPr codeName="Sheet143">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383</v>
      </c>
    </row>
    <row r="2" spans="1:2" ht="30.75">
      <c r="A2" s="30" t="s">
        <v>747</v>
      </c>
      <c r="B2" s="7" t="s">
        <v>509</v>
      </c>
    </row>
    <row r="3" spans="1:2">
      <c r="A3" t="s">
        <v>510</v>
      </c>
    </row>
    <row r="4" spans="1:2">
      <c r="A4" t="s">
        <v>523</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854C-0F28-48A7-8D6C-655C0FAB8685}">
  <sheetPr codeName="Sheet144">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778</v>
      </c>
    </row>
    <row r="2" spans="1:2" ht="75.75">
      <c r="A2" s="30" t="s">
        <v>747</v>
      </c>
      <c r="B2" s="7" t="s">
        <v>518</v>
      </c>
    </row>
    <row r="3" spans="1:2">
      <c r="A3" t="s">
        <v>11</v>
      </c>
    </row>
    <row r="4" spans="1:2">
      <c r="A4" t="s">
        <v>14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4615-B4EC-40CF-BCAE-BCA960D642DF}">
  <sheetPr codeName="Sheet145">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770</v>
      </c>
    </row>
    <row r="2" spans="1:2" ht="30.75">
      <c r="A2" s="30" t="s">
        <v>747</v>
      </c>
      <c r="B2" s="31" t="s">
        <v>390</v>
      </c>
    </row>
    <row r="3" spans="1:2" ht="15" customHeight="1">
      <c r="A3" t="s">
        <v>428</v>
      </c>
    </row>
    <row r="4" spans="1:2" ht="15" customHeight="1">
      <c r="A4" t="s">
        <v>782</v>
      </c>
    </row>
    <row r="5" spans="1:2">
      <c r="A5" t="s">
        <v>391</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2951-C11E-4E16-8EA6-F8925EA0364C}">
  <sheetPr codeName="Sheet146">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543</v>
      </c>
    </row>
    <row r="2" spans="1:2" ht="30.75">
      <c r="A2" s="30" t="s">
        <v>747</v>
      </c>
      <c r="B2" s="31" t="s">
        <v>385</v>
      </c>
    </row>
    <row r="3" spans="1:2">
      <c r="A3" t="s">
        <v>388</v>
      </c>
    </row>
    <row r="4" spans="1:2">
      <c r="A4" t="s">
        <v>386</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302F-89AE-4859-8A90-84180DBBEE90}">
  <sheetPr codeName="Sheet147">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31" t="s">
        <v>543</v>
      </c>
    </row>
    <row r="2" spans="1:2" ht="30.75">
      <c r="A2" s="30" t="s">
        <v>747</v>
      </c>
      <c r="B2" s="7" t="s">
        <v>509</v>
      </c>
    </row>
    <row r="3" spans="1:2">
      <c r="A3" t="s">
        <v>510</v>
      </c>
    </row>
    <row r="4" spans="1:2">
      <c r="A4" t="s">
        <v>523</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83FA-0C2F-49DC-9EB3-187B766B1B39}">
  <sheetPr codeName="Sheet148">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31" t="s">
        <v>779</v>
      </c>
    </row>
    <row r="2" spans="1:2" ht="90.75">
      <c r="A2" s="30" t="s">
        <v>747</v>
      </c>
      <c r="B2" s="31" t="s">
        <v>514</v>
      </c>
    </row>
    <row r="3" spans="1:2">
      <c r="A3" s="37" t="s">
        <v>11</v>
      </c>
      <c r="B3" s="37"/>
    </row>
    <row r="4" spans="1:2">
      <c r="A4" s="37" t="s">
        <v>14</v>
      </c>
      <c r="B4" s="37"/>
    </row>
    <row r="5" spans="1:2">
      <c r="A5" s="37"/>
      <c r="B5" s="37"/>
    </row>
    <row r="6" spans="1:2">
      <c r="A6" s="37"/>
      <c r="B6" s="37"/>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0ED-E8E0-406C-9882-C442F62AD770}">
  <sheetPr codeName="Sheet14">
    <outlinePr summaryBelow="0" summaryRight="0"/>
  </sheetPr>
  <dimension ref="A1:G10"/>
  <sheetViews>
    <sheetView workbookViewId="0">
      <selection activeCell="B2" sqref="B2:G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656</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10"/>
      <c r="D5" s="3"/>
      <c r="E5" s="3" t="s">
        <v>657</v>
      </c>
      <c r="F5" s="3" t="s">
        <v>14</v>
      </c>
      <c r="G5" s="3" t="s">
        <v>658</v>
      </c>
    </row>
    <row r="6" spans="1:7">
      <c r="A6" s="3" t="s">
        <v>11</v>
      </c>
      <c r="B6" s="3" t="s">
        <v>46</v>
      </c>
      <c r="C6" s="10"/>
      <c r="D6" s="3"/>
      <c r="E6" s="3" t="s">
        <v>659</v>
      </c>
      <c r="F6" s="3" t="s">
        <v>14</v>
      </c>
      <c r="G6" s="3">
        <v>4157.8260525207797</v>
      </c>
    </row>
    <row r="7" spans="1:7" collapsed="1">
      <c r="A7" s="3" t="s">
        <v>11</v>
      </c>
      <c r="B7" s="3" t="s">
        <v>46</v>
      </c>
      <c r="C7" s="10"/>
      <c r="D7" s="3"/>
      <c r="E7" s="3" t="s">
        <v>660</v>
      </c>
      <c r="F7" s="3" t="s">
        <v>14</v>
      </c>
      <c r="G7" s="3">
        <v>44.561717168448801</v>
      </c>
    </row>
    <row r="8" spans="1:7">
      <c r="A8" s="3" t="s">
        <v>11</v>
      </c>
      <c r="B8" s="3" t="s">
        <v>46</v>
      </c>
      <c r="C8" s="10"/>
      <c r="D8" s="3"/>
      <c r="E8" s="3" t="s">
        <v>88</v>
      </c>
      <c r="F8" s="3" t="s">
        <v>14</v>
      </c>
      <c r="G8" s="3" t="s">
        <v>89</v>
      </c>
    </row>
    <row r="9" spans="1:7">
      <c r="A9" s="3" t="s">
        <v>11</v>
      </c>
      <c r="B9" s="3" t="s">
        <v>46</v>
      </c>
      <c r="C9" s="10"/>
      <c r="D9" s="3"/>
      <c r="E9" s="3" t="s">
        <v>661</v>
      </c>
      <c r="F9" s="3" t="s">
        <v>14</v>
      </c>
      <c r="G9" s="3" t="s">
        <v>662</v>
      </c>
    </row>
    <row r="10" spans="1:7">
      <c r="A10" s="3" t="s">
        <v>11</v>
      </c>
      <c r="B10" s="3" t="s">
        <v>46</v>
      </c>
      <c r="C10" s="10"/>
      <c r="D10" s="3"/>
      <c r="E10" s="3" t="s">
        <v>663</v>
      </c>
      <c r="F10" s="3" t="s">
        <v>14</v>
      </c>
      <c r="G10" s="3">
        <v>20003</v>
      </c>
    </row>
  </sheetData>
  <mergeCells count="3">
    <mergeCell ref="A1:G1"/>
    <mergeCell ref="B2:G2"/>
    <mergeCell ref="B3:G3"/>
  </mergeCells>
  <dataValidations count="3">
    <dataValidation allowBlank="1" showInputMessage="1" showErrorMessage="1" sqref="G6:G10" xr:uid="{B0FEB2FA-C951-448F-B9F1-1470C718BDAE}"/>
    <dataValidation type="list" allowBlank="1" showInputMessage="1" showErrorMessage="1" sqref="A6:A10 F6:F10" xr:uid="{929A92CB-6685-4FF3-8F3D-5DA5971C4FB7}">
      <formula1>"Yes,No"</formula1>
    </dataValidation>
    <dataValidation type="list" allowBlank="1" showInputMessage="1" showErrorMessage="1" sqref="B3:G3" xr:uid="{03793709-8D35-494C-944E-C4B4DD34B70B}">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4040-C500-4ACA-9765-64A2E1EE47F7}">
  <sheetPr codeName="Sheet149">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7" t="s">
        <v>775</v>
      </c>
    </row>
    <row r="2" spans="1:2" ht="195.75">
      <c r="A2" s="30" t="s">
        <v>747</v>
      </c>
      <c r="B2" s="7" t="s">
        <v>460</v>
      </c>
    </row>
    <row r="3" spans="1:2">
      <c r="A3" s="37" t="s">
        <v>11</v>
      </c>
      <c r="B3" s="37"/>
    </row>
    <row r="4" spans="1:2">
      <c r="A4" s="37" t="s">
        <v>14</v>
      </c>
      <c r="B4" s="37"/>
    </row>
    <row r="5" spans="1:2">
      <c r="A5" s="37"/>
      <c r="B5" s="37"/>
    </row>
    <row r="6" spans="1:2">
      <c r="A6" s="37"/>
      <c r="B6" s="37"/>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1E91-6829-40E4-8BFA-BA370F193630}">
  <sheetPr codeName="Sheet150">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749</v>
      </c>
      <c r="B1" s="7" t="s">
        <v>771</v>
      </c>
    </row>
    <row r="2" spans="1:2" ht="75.75">
      <c r="A2" s="30" t="s">
        <v>747</v>
      </c>
      <c r="B2" s="7" t="s">
        <v>396</v>
      </c>
    </row>
    <row r="3" spans="1:2">
      <c r="A3" t="s">
        <v>11</v>
      </c>
    </row>
    <row r="4" spans="1:2">
      <c r="A4" t="s">
        <v>14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71BF-FC5E-4E6D-AF58-474EA7F5DAB8}">
  <sheetPr codeName="Sheet151">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749</v>
      </c>
      <c r="B1" s="7" t="s">
        <v>763</v>
      </c>
    </row>
    <row r="2" spans="1:2" ht="195.75">
      <c r="A2" s="30" t="s">
        <v>747</v>
      </c>
      <c r="B2" s="7" t="s">
        <v>460</v>
      </c>
    </row>
    <row r="3" spans="1:2">
      <c r="A3" s="37" t="s">
        <v>11</v>
      </c>
      <c r="B3" s="37"/>
    </row>
    <row r="4" spans="1:2">
      <c r="A4" s="37" t="s">
        <v>14</v>
      </c>
      <c r="B4" s="37"/>
    </row>
    <row r="5" spans="1:2">
      <c r="A5" s="37"/>
      <c r="B5" s="37"/>
    </row>
    <row r="6" spans="1:2">
      <c r="A6" s="37"/>
      <c r="B6" s="37"/>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C82E-5D80-4CB4-9CAE-6827F595EDC4}">
  <sheetPr codeName="Sheet152">
    <tabColor rgb="FF7030A0"/>
    <outlinePr summaryBelow="0" summaryRight="0"/>
  </sheetPr>
  <dimension ref="A1:I262"/>
  <sheetViews>
    <sheetView topLeftCell="A252" workbookViewId="0">
      <selection activeCell="A5" sqref="A5:XFD262"/>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381</v>
      </c>
      <c r="B1" s="35"/>
      <c r="C1" s="35"/>
      <c r="D1" s="35"/>
      <c r="E1" s="35"/>
      <c r="F1" s="35"/>
      <c r="G1" s="35"/>
      <c r="H1" s="35"/>
      <c r="I1" s="35"/>
    </row>
    <row r="2" spans="1:9" ht="18.75">
      <c r="A2" s="16" t="s">
        <v>1</v>
      </c>
      <c r="B2" s="36" t="s">
        <v>753</v>
      </c>
      <c r="C2" s="36"/>
      <c r="D2" s="36"/>
      <c r="E2" s="36"/>
      <c r="F2" s="36"/>
      <c r="G2" s="36"/>
      <c r="H2" s="36"/>
      <c r="I2" s="36"/>
    </row>
    <row r="3" spans="1:9" ht="18.75">
      <c r="A3" s="16" t="s">
        <v>2</v>
      </c>
      <c r="B3" s="36" t="s">
        <v>3</v>
      </c>
      <c r="C3" s="36"/>
      <c r="D3" s="36"/>
      <c r="E3" s="36"/>
      <c r="F3" s="36"/>
      <c r="G3" s="36"/>
      <c r="H3" s="36"/>
      <c r="I3" s="36"/>
    </row>
    <row r="4" spans="1:9" ht="18.75">
      <c r="A4" s="17" t="s">
        <v>4</v>
      </c>
      <c r="B4" s="17" t="s">
        <v>5</v>
      </c>
      <c r="C4" s="17" t="s">
        <v>6</v>
      </c>
      <c r="D4" s="17" t="s">
        <v>7</v>
      </c>
      <c r="E4" s="17" t="s">
        <v>8</v>
      </c>
      <c r="F4" s="17" t="s">
        <v>9</v>
      </c>
      <c r="G4" s="17" t="s">
        <v>10</v>
      </c>
      <c r="H4" s="17" t="s">
        <v>754</v>
      </c>
      <c r="I4" s="17" t="s">
        <v>755</v>
      </c>
    </row>
    <row r="5" spans="1:9" ht="29.25" customHeight="1">
      <c r="A5" s="18" t="s">
        <v>11</v>
      </c>
      <c r="B5" s="10" t="s">
        <v>382</v>
      </c>
      <c r="C5" s="19"/>
      <c r="D5" s="18"/>
      <c r="E5" s="18" t="s">
        <v>383</v>
      </c>
      <c r="F5" s="18" t="s">
        <v>14</v>
      </c>
      <c r="G5" s="18"/>
      <c r="H5" s="18"/>
      <c r="I5" s="18"/>
    </row>
    <row r="6" spans="1:9" ht="29.25" customHeight="1">
      <c r="A6" s="18" t="s">
        <v>11</v>
      </c>
      <c r="B6" s="18" t="s">
        <v>17</v>
      </c>
      <c r="C6" s="10" t="s">
        <v>384</v>
      </c>
      <c r="D6" s="18"/>
      <c r="E6" s="18" t="s">
        <v>385</v>
      </c>
      <c r="F6" s="3" t="s">
        <v>14</v>
      </c>
      <c r="G6" s="18" t="s">
        <v>386</v>
      </c>
      <c r="H6" s="18"/>
      <c r="I6" s="18"/>
    </row>
    <row r="7" spans="1:9" ht="29.25" customHeight="1">
      <c r="A7" s="3" t="s">
        <v>14</v>
      </c>
      <c r="B7" s="10" t="s">
        <v>387</v>
      </c>
      <c r="C7" s="10"/>
      <c r="D7" s="18" t="b">
        <f>EXACT(G6,"Estimating change in carbon stock in trees between two points in time")</f>
        <v>0</v>
      </c>
      <c r="E7" s="18" t="s">
        <v>388</v>
      </c>
      <c r="F7" s="3" t="s">
        <v>14</v>
      </c>
      <c r="G7" s="18"/>
      <c r="H7" s="18"/>
      <c r="I7" s="18"/>
    </row>
    <row r="8" spans="1:9" ht="29.25" customHeight="1">
      <c r="A8" s="18" t="s">
        <v>11</v>
      </c>
      <c r="B8" s="18" t="s">
        <v>17</v>
      </c>
      <c r="C8" s="19" t="s">
        <v>389</v>
      </c>
      <c r="D8" s="18"/>
      <c r="E8" s="18" t="s">
        <v>390</v>
      </c>
      <c r="F8" s="18" t="s">
        <v>14</v>
      </c>
      <c r="G8" s="18" t="s">
        <v>391</v>
      </c>
      <c r="H8" s="18" t="s">
        <v>47</v>
      </c>
      <c r="I8" s="18" t="s">
        <v>47</v>
      </c>
    </row>
    <row r="9" spans="1:9">
      <c r="A9" s="18" t="s">
        <v>14</v>
      </c>
      <c r="B9" s="10" t="s">
        <v>392</v>
      </c>
      <c r="C9" s="19"/>
      <c r="D9" s="18" t="b">
        <f>EXACT(G8,"no-decrease")</f>
        <v>1</v>
      </c>
      <c r="E9" s="18" t="s">
        <v>393</v>
      </c>
      <c r="F9" s="3" t="s">
        <v>14</v>
      </c>
      <c r="G9" s="18"/>
      <c r="H9" s="18"/>
      <c r="I9" s="18"/>
    </row>
    <row r="10" spans="1:9" ht="165" collapsed="1">
      <c r="A10" s="20" t="s">
        <v>14</v>
      </c>
      <c r="B10" s="20" t="s">
        <v>44</v>
      </c>
      <c r="C10" s="20"/>
      <c r="D10" s="20"/>
      <c r="E10" s="20" t="s">
        <v>394</v>
      </c>
      <c r="F10" s="4" t="s">
        <v>14</v>
      </c>
      <c r="G10" s="20"/>
      <c r="H10" s="20"/>
      <c r="I10" s="20"/>
    </row>
    <row r="11" spans="1:9" ht="60" collapsed="1">
      <c r="A11" s="20" t="s">
        <v>11</v>
      </c>
      <c r="B11" s="20" t="s">
        <v>17</v>
      </c>
      <c r="C11" s="21" t="s">
        <v>395</v>
      </c>
      <c r="D11" s="20"/>
      <c r="E11" s="20" t="s">
        <v>396</v>
      </c>
      <c r="F11" s="4" t="s">
        <v>14</v>
      </c>
      <c r="G11" s="20"/>
      <c r="H11" s="20"/>
      <c r="I11" s="20"/>
    </row>
    <row r="12" spans="1:9">
      <c r="A12" s="18" t="s">
        <v>14</v>
      </c>
      <c r="B12" s="10" t="s">
        <v>397</v>
      </c>
      <c r="C12" s="18" t="s">
        <v>47</v>
      </c>
      <c r="D12" s="18" t="b">
        <f>EXACT(G8,"Estimation by proportionate crown cover")</f>
        <v>0</v>
      </c>
      <c r="E12" s="18" t="s">
        <v>398</v>
      </c>
      <c r="F12" s="18" t="s">
        <v>14</v>
      </c>
      <c r="G12" s="18" t="s">
        <v>47</v>
      </c>
      <c r="H12" s="18" t="s">
        <v>47</v>
      </c>
      <c r="I12" s="18" t="s">
        <v>47</v>
      </c>
    </row>
    <row r="13" spans="1:9" ht="30" collapsed="1">
      <c r="A13" s="20" t="s">
        <v>14</v>
      </c>
      <c r="B13" s="20" t="s">
        <v>82</v>
      </c>
      <c r="C13" s="20" t="s">
        <v>47</v>
      </c>
      <c r="D13" s="20" t="s">
        <v>399</v>
      </c>
      <c r="E13" s="20" t="s">
        <v>400</v>
      </c>
      <c r="F13" s="20" t="s">
        <v>14</v>
      </c>
      <c r="G13" s="20">
        <f>SUM(G15)</f>
        <v>7.333333333333333</v>
      </c>
      <c r="H13" s="20" t="s">
        <v>47</v>
      </c>
      <c r="I13" s="20" t="s">
        <v>47</v>
      </c>
    </row>
    <row r="14" spans="1:9">
      <c r="A14" s="22" t="s">
        <v>11</v>
      </c>
      <c r="B14" s="23" t="s">
        <v>402</v>
      </c>
      <c r="C14" s="22" t="s">
        <v>47</v>
      </c>
      <c r="D14" s="22"/>
      <c r="E14" s="22" t="s">
        <v>403</v>
      </c>
      <c r="F14" s="22" t="s">
        <v>11</v>
      </c>
      <c r="G14" s="22" t="s">
        <v>47</v>
      </c>
      <c r="H14" s="22" t="s">
        <v>47</v>
      </c>
      <c r="I14" s="22" t="s">
        <v>47</v>
      </c>
    </row>
    <row r="15" spans="1:9" ht="30" collapsed="1">
      <c r="A15" s="20" t="s">
        <v>14</v>
      </c>
      <c r="B15" s="20" t="s">
        <v>82</v>
      </c>
      <c r="C15" s="20" t="s">
        <v>47</v>
      </c>
      <c r="D15" s="20" t="s">
        <v>399</v>
      </c>
      <c r="E15" s="20" t="s">
        <v>404</v>
      </c>
      <c r="F15" s="20" t="s">
        <v>14</v>
      </c>
      <c r="G15" s="20">
        <f>44/12*G16*G17*(1+G18)*G19*G20</f>
        <v>7.333333333333333</v>
      </c>
      <c r="H15" s="20" t="s">
        <v>47</v>
      </c>
      <c r="I15" s="20" t="s">
        <v>47</v>
      </c>
    </row>
    <row r="16" spans="1:9" collapsed="1">
      <c r="A16" s="20" t="s">
        <v>11</v>
      </c>
      <c r="B16" s="20" t="s">
        <v>82</v>
      </c>
      <c r="C16" s="20" t="s">
        <v>47</v>
      </c>
      <c r="D16" s="20"/>
      <c r="E16" s="20" t="s">
        <v>405</v>
      </c>
      <c r="F16" s="20" t="s">
        <v>14</v>
      </c>
      <c r="G16" s="20">
        <v>1</v>
      </c>
      <c r="H16" s="20" t="s">
        <v>47</v>
      </c>
      <c r="I16" s="20" t="s">
        <v>47</v>
      </c>
    </row>
    <row r="17" spans="1:9" ht="30" collapsed="1">
      <c r="A17" s="20" t="s">
        <v>11</v>
      </c>
      <c r="B17" s="20" t="s">
        <v>82</v>
      </c>
      <c r="C17" s="20" t="s">
        <v>47</v>
      </c>
      <c r="D17" s="20"/>
      <c r="E17" s="20" t="s">
        <v>406</v>
      </c>
      <c r="F17" s="20" t="s">
        <v>14</v>
      </c>
      <c r="G17" s="20">
        <v>1</v>
      </c>
      <c r="H17" s="20" t="s">
        <v>47</v>
      </c>
      <c r="I17" s="20" t="s">
        <v>47</v>
      </c>
    </row>
    <row r="18" spans="1:9" collapsed="1">
      <c r="A18" s="20" t="s">
        <v>11</v>
      </c>
      <c r="B18" s="20" t="s">
        <v>82</v>
      </c>
      <c r="C18" s="20" t="s">
        <v>47</v>
      </c>
      <c r="D18" s="20"/>
      <c r="E18" s="20" t="s">
        <v>407</v>
      </c>
      <c r="F18" s="20" t="s">
        <v>14</v>
      </c>
      <c r="G18" s="20">
        <v>1</v>
      </c>
      <c r="H18" s="20" t="s">
        <v>47</v>
      </c>
      <c r="I18" s="20" t="s">
        <v>47</v>
      </c>
    </row>
    <row r="19" spans="1:9" ht="30" collapsed="1">
      <c r="A19" s="20" t="s">
        <v>11</v>
      </c>
      <c r="B19" s="20" t="s">
        <v>82</v>
      </c>
      <c r="C19" s="20" t="s">
        <v>47</v>
      </c>
      <c r="D19" s="20"/>
      <c r="E19" s="20" t="s">
        <v>408</v>
      </c>
      <c r="F19" s="20" t="s">
        <v>14</v>
      </c>
      <c r="G19" s="20">
        <v>1</v>
      </c>
      <c r="H19" s="20" t="s">
        <v>47</v>
      </c>
      <c r="I19" s="20" t="s">
        <v>47</v>
      </c>
    </row>
    <row r="20" spans="1:9" ht="30" collapsed="1">
      <c r="A20" s="20" t="s">
        <v>11</v>
      </c>
      <c r="B20" s="20" t="s">
        <v>82</v>
      </c>
      <c r="C20" s="20" t="s">
        <v>47</v>
      </c>
      <c r="D20" s="20"/>
      <c r="E20" s="20" t="s">
        <v>409</v>
      </c>
      <c r="F20" s="20" t="s">
        <v>14</v>
      </c>
      <c r="G20" s="20">
        <v>1</v>
      </c>
      <c r="H20" s="20" t="s">
        <v>47</v>
      </c>
      <c r="I20" s="20" t="s">
        <v>47</v>
      </c>
    </row>
    <row r="21" spans="1:9">
      <c r="A21" s="18" t="s">
        <v>14</v>
      </c>
      <c r="B21" s="10" t="s">
        <v>410</v>
      </c>
      <c r="C21" s="18" t="s">
        <v>47</v>
      </c>
      <c r="D21" s="18" t="b">
        <f>EXACT(G8,"Direct estimation of change by re-measurement of sample plots")</f>
        <v>0</v>
      </c>
      <c r="E21" s="18" t="s">
        <v>411</v>
      </c>
      <c r="F21" s="18" t="s">
        <v>14</v>
      </c>
      <c r="G21" s="18" t="s">
        <v>47</v>
      </c>
      <c r="H21" s="18" t="s">
        <v>47</v>
      </c>
      <c r="I21" s="18" t="s">
        <v>47</v>
      </c>
    </row>
    <row r="22" spans="1:9" collapsed="1">
      <c r="A22" s="20" t="s">
        <v>14</v>
      </c>
      <c r="B22" s="20" t="s">
        <v>82</v>
      </c>
      <c r="C22" s="20" t="s">
        <v>47</v>
      </c>
      <c r="D22" s="20" t="s">
        <v>399</v>
      </c>
      <c r="E22" s="20" t="s">
        <v>412</v>
      </c>
      <c r="F22" s="20" t="s">
        <v>14</v>
      </c>
      <c r="G22" s="20">
        <f>44/12*G23*G24</f>
        <v>3.6666666666666665</v>
      </c>
      <c r="H22" s="20" t="s">
        <v>47</v>
      </c>
      <c r="I22" s="20" t="s">
        <v>47</v>
      </c>
    </row>
    <row r="23" spans="1:9" collapsed="1">
      <c r="A23" s="20" t="s">
        <v>11</v>
      </c>
      <c r="B23" s="20" t="s">
        <v>82</v>
      </c>
      <c r="C23" s="20" t="s">
        <v>47</v>
      </c>
      <c r="D23" s="20"/>
      <c r="E23" s="20" t="s">
        <v>405</v>
      </c>
      <c r="F23" s="20" t="s">
        <v>14</v>
      </c>
      <c r="G23" s="20">
        <v>1</v>
      </c>
      <c r="H23" s="20" t="s">
        <v>47</v>
      </c>
      <c r="I23" s="20" t="s">
        <v>47</v>
      </c>
    </row>
    <row r="24" spans="1:9" ht="30" collapsed="1">
      <c r="A24" s="20" t="s">
        <v>14</v>
      </c>
      <c r="B24" s="20" t="s">
        <v>82</v>
      </c>
      <c r="C24" s="20" t="s">
        <v>47</v>
      </c>
      <c r="D24" s="20" t="s">
        <v>399</v>
      </c>
      <c r="E24" s="20" t="s">
        <v>413</v>
      </c>
      <c r="F24" s="20" t="s">
        <v>14</v>
      </c>
      <c r="G24" s="20">
        <f>G26*G25</f>
        <v>1</v>
      </c>
      <c r="H24" s="20" t="s">
        <v>47</v>
      </c>
      <c r="I24" s="20" t="s">
        <v>47</v>
      </c>
    </row>
    <row r="25" spans="1:9" ht="30" collapsed="1">
      <c r="A25" s="20" t="s">
        <v>14</v>
      </c>
      <c r="B25" s="20" t="s">
        <v>82</v>
      </c>
      <c r="C25" s="20" t="s">
        <v>47</v>
      </c>
      <c r="D25" s="20" t="s">
        <v>399</v>
      </c>
      <c r="E25" s="20" t="s">
        <v>414</v>
      </c>
      <c r="F25" s="20" t="s">
        <v>14</v>
      </c>
      <c r="G25" s="20">
        <f>SUM((G31*G30))</f>
        <v>1</v>
      </c>
      <c r="H25" s="20" t="s">
        <v>47</v>
      </c>
      <c r="I25" s="20" t="s">
        <v>47</v>
      </c>
    </row>
    <row r="26" spans="1:9" collapsed="1">
      <c r="A26" s="20" t="s">
        <v>11</v>
      </c>
      <c r="B26" s="20" t="s">
        <v>82</v>
      </c>
      <c r="C26" s="20" t="s">
        <v>47</v>
      </c>
      <c r="D26" s="20"/>
      <c r="E26" s="20" t="s">
        <v>415</v>
      </c>
      <c r="F26" s="20" t="s">
        <v>14</v>
      </c>
      <c r="G26" s="20">
        <v>1</v>
      </c>
      <c r="H26" s="20" t="s">
        <v>47</v>
      </c>
      <c r="I26" s="20" t="s">
        <v>47</v>
      </c>
    </row>
    <row r="27" spans="1:9" collapsed="1">
      <c r="A27" s="20" t="s">
        <v>11</v>
      </c>
      <c r="B27" s="20" t="s">
        <v>82</v>
      </c>
      <c r="C27" s="20" t="s">
        <v>47</v>
      </c>
      <c r="D27" s="20"/>
      <c r="E27" s="20" t="s">
        <v>416</v>
      </c>
      <c r="F27" s="20" t="s">
        <v>14</v>
      </c>
      <c r="G27" s="20">
        <v>1</v>
      </c>
      <c r="H27" s="20" t="s">
        <v>47</v>
      </c>
      <c r="I27" s="20" t="s">
        <v>47</v>
      </c>
    </row>
    <row r="28" spans="1:9" collapsed="1">
      <c r="A28" s="20" t="s">
        <v>11</v>
      </c>
      <c r="B28" s="20" t="s">
        <v>82</v>
      </c>
      <c r="C28" s="20" t="s">
        <v>47</v>
      </c>
      <c r="D28" s="20"/>
      <c r="E28" s="20" t="s">
        <v>417</v>
      </c>
      <c r="F28" s="20" t="s">
        <v>14</v>
      </c>
      <c r="G28" s="20">
        <v>1</v>
      </c>
      <c r="H28" s="20" t="s">
        <v>47</v>
      </c>
      <c r="I28" s="20" t="s">
        <v>47</v>
      </c>
    </row>
    <row r="29" spans="1:9" ht="30">
      <c r="A29" s="22" t="s">
        <v>11</v>
      </c>
      <c r="B29" s="23" t="s">
        <v>418</v>
      </c>
      <c r="C29" s="22" t="s">
        <v>47</v>
      </c>
      <c r="D29" s="22"/>
      <c r="E29" s="22" t="s">
        <v>419</v>
      </c>
      <c r="F29" s="22" t="s">
        <v>11</v>
      </c>
      <c r="G29" s="22" t="s">
        <v>47</v>
      </c>
      <c r="H29" s="22" t="s">
        <v>47</v>
      </c>
      <c r="I29" s="22" t="s">
        <v>47</v>
      </c>
    </row>
    <row r="30" spans="1:9" ht="30" collapsed="1">
      <c r="A30" s="20" t="s">
        <v>14</v>
      </c>
      <c r="B30" s="20" t="s">
        <v>82</v>
      </c>
      <c r="C30" s="20" t="s">
        <v>47</v>
      </c>
      <c r="D30" s="4" t="s">
        <v>399</v>
      </c>
      <c r="E30" s="20" t="s">
        <v>420</v>
      </c>
      <c r="F30" s="20" t="s">
        <v>14</v>
      </c>
      <c r="G30" s="20">
        <f>(SUM(G35))/G33</f>
        <v>1</v>
      </c>
      <c r="H30" s="20" t="s">
        <v>47</v>
      </c>
      <c r="I30" s="20" t="s">
        <v>47</v>
      </c>
    </row>
    <row r="31" spans="1:9" ht="30" collapsed="1">
      <c r="A31" s="20" t="s">
        <v>11</v>
      </c>
      <c r="B31" s="20" t="s">
        <v>82</v>
      </c>
      <c r="C31" s="20" t="s">
        <v>47</v>
      </c>
      <c r="D31" s="20"/>
      <c r="E31" s="20" t="s">
        <v>421</v>
      </c>
      <c r="F31" s="20" t="s">
        <v>14</v>
      </c>
      <c r="G31" s="20">
        <v>1</v>
      </c>
      <c r="H31" s="20" t="s">
        <v>47</v>
      </c>
      <c r="I31" s="20" t="s">
        <v>47</v>
      </c>
    </row>
    <row r="32" spans="1:9" ht="30" collapsed="1">
      <c r="A32" s="20" t="s">
        <v>11</v>
      </c>
      <c r="B32" s="20" t="s">
        <v>82</v>
      </c>
      <c r="C32" s="20" t="s">
        <v>47</v>
      </c>
      <c r="D32" s="20"/>
      <c r="E32" s="20" t="s">
        <v>422</v>
      </c>
      <c r="F32" s="20" t="s">
        <v>14</v>
      </c>
      <c r="G32" s="20">
        <v>1</v>
      </c>
      <c r="H32" s="20" t="s">
        <v>47</v>
      </c>
      <c r="I32" s="20" t="s">
        <v>47</v>
      </c>
    </row>
    <row r="33" spans="1:9" ht="30" collapsed="1">
      <c r="A33" s="20" t="s">
        <v>11</v>
      </c>
      <c r="B33" s="20" t="s">
        <v>82</v>
      </c>
      <c r="C33" s="20" t="s">
        <v>47</v>
      </c>
      <c r="D33" s="20"/>
      <c r="E33" s="20" t="s">
        <v>423</v>
      </c>
      <c r="F33" s="20" t="s">
        <v>14</v>
      </c>
      <c r="G33" s="20">
        <v>1</v>
      </c>
      <c r="H33" s="20" t="s">
        <v>47</v>
      </c>
      <c r="I33" s="20" t="s">
        <v>47</v>
      </c>
    </row>
    <row r="34" spans="1:9">
      <c r="A34" s="22" t="s">
        <v>11</v>
      </c>
      <c r="B34" s="23" t="s">
        <v>424</v>
      </c>
      <c r="C34" s="22"/>
      <c r="D34" s="22"/>
      <c r="E34" s="22" t="s">
        <v>425</v>
      </c>
      <c r="F34" s="22" t="s">
        <v>11</v>
      </c>
      <c r="G34" s="22"/>
      <c r="H34" s="22"/>
      <c r="I34" s="22"/>
    </row>
    <row r="35" spans="1:9" s="25" customFormat="1" ht="30" collapsed="1">
      <c r="A35" s="24" t="s">
        <v>11</v>
      </c>
      <c r="B35" s="24" t="s">
        <v>82</v>
      </c>
      <c r="C35" s="24" t="s">
        <v>47</v>
      </c>
      <c r="D35" s="24"/>
      <c r="E35" s="24" t="s">
        <v>426</v>
      </c>
      <c r="F35" s="24" t="s">
        <v>14</v>
      </c>
      <c r="G35" s="24">
        <v>1</v>
      </c>
      <c r="H35" s="24" t="s">
        <v>47</v>
      </c>
      <c r="I35" s="24" t="s">
        <v>47</v>
      </c>
    </row>
    <row r="36" spans="1:9">
      <c r="A36" s="18" t="s">
        <v>14</v>
      </c>
      <c r="B36" s="10" t="s">
        <v>427</v>
      </c>
      <c r="C36" s="18" t="s">
        <v>47</v>
      </c>
      <c r="D36" s="18" t="b">
        <f>EXACT(G8,"Difference of two independent stock estimations")</f>
        <v>0</v>
      </c>
      <c r="E36" s="18" t="s">
        <v>428</v>
      </c>
      <c r="F36" s="18" t="s">
        <v>14</v>
      </c>
      <c r="G36" s="18" t="s">
        <v>47</v>
      </c>
      <c r="H36" s="18" t="s">
        <v>47</v>
      </c>
      <c r="I36" s="18" t="s">
        <v>47</v>
      </c>
    </row>
    <row r="37" spans="1:9" collapsed="1">
      <c r="A37" s="20" t="s">
        <v>11</v>
      </c>
      <c r="B37" s="20" t="s">
        <v>82</v>
      </c>
      <c r="C37" s="20" t="s">
        <v>47</v>
      </c>
      <c r="D37" s="20"/>
      <c r="E37" s="20" t="s">
        <v>429</v>
      </c>
      <c r="F37" s="20" t="s">
        <v>14</v>
      </c>
      <c r="G37" s="20">
        <v>1</v>
      </c>
      <c r="H37" s="20" t="s">
        <v>47</v>
      </c>
      <c r="I37" s="20" t="s">
        <v>47</v>
      </c>
    </row>
    <row r="38" spans="1:9" collapsed="1">
      <c r="A38" s="20" t="s">
        <v>11</v>
      </c>
      <c r="B38" s="20" t="s">
        <v>82</v>
      </c>
      <c r="C38" s="20" t="s">
        <v>47</v>
      </c>
      <c r="D38" s="20"/>
      <c r="E38" s="20" t="s">
        <v>430</v>
      </c>
      <c r="F38" s="20" t="s">
        <v>14</v>
      </c>
      <c r="G38" s="20">
        <v>1</v>
      </c>
      <c r="H38" s="20" t="s">
        <v>47</v>
      </c>
      <c r="I38" s="20" t="s">
        <v>47</v>
      </c>
    </row>
    <row r="39" spans="1:9" collapsed="1">
      <c r="A39" s="20" t="s">
        <v>11</v>
      </c>
      <c r="B39" s="20" t="s">
        <v>82</v>
      </c>
      <c r="C39" s="20" t="s">
        <v>47</v>
      </c>
      <c r="D39" s="20"/>
      <c r="E39" s="20" t="s">
        <v>431</v>
      </c>
      <c r="F39" s="20" t="s">
        <v>14</v>
      </c>
      <c r="G39" s="20">
        <v>1</v>
      </c>
      <c r="H39" s="20" t="s">
        <v>47</v>
      </c>
      <c r="I39" s="20" t="s">
        <v>47</v>
      </c>
    </row>
    <row r="40" spans="1:9" collapsed="1">
      <c r="A40" s="20" t="s">
        <v>11</v>
      </c>
      <c r="B40" s="20" t="s">
        <v>82</v>
      </c>
      <c r="C40" s="20" t="s">
        <v>47</v>
      </c>
      <c r="D40" s="20"/>
      <c r="E40" s="20" t="s">
        <v>432</v>
      </c>
      <c r="F40" s="20" t="s">
        <v>14</v>
      </c>
      <c r="G40" s="20">
        <v>1</v>
      </c>
      <c r="H40" s="20" t="s">
        <v>47</v>
      </c>
      <c r="I40" s="20" t="s">
        <v>47</v>
      </c>
    </row>
    <row r="41" spans="1:9" collapsed="1">
      <c r="A41" s="20" t="s">
        <v>14</v>
      </c>
      <c r="B41" s="20" t="s">
        <v>82</v>
      </c>
      <c r="C41" s="20" t="s">
        <v>47</v>
      </c>
      <c r="D41" s="20" t="s">
        <v>399</v>
      </c>
      <c r="E41" s="24" t="s">
        <v>433</v>
      </c>
      <c r="F41" s="20" t="s">
        <v>14</v>
      </c>
      <c r="G41" s="20" t="e">
        <f>(SQRT((G39*G37)^2+(G40*G38)^2))/G42</f>
        <v>#DIV/0!</v>
      </c>
      <c r="H41" s="20" t="s">
        <v>47</v>
      </c>
      <c r="I41" s="20" t="s">
        <v>47</v>
      </c>
    </row>
    <row r="42" spans="1:9" collapsed="1">
      <c r="A42" s="20" t="s">
        <v>14</v>
      </c>
      <c r="B42" s="20" t="s">
        <v>82</v>
      </c>
      <c r="C42" s="20" t="s">
        <v>47</v>
      </c>
      <c r="D42" s="20" t="s">
        <v>399</v>
      </c>
      <c r="E42" s="24" t="s">
        <v>434</v>
      </c>
      <c r="F42" s="20" t="s">
        <v>14</v>
      </c>
      <c r="G42" s="20">
        <f>G38-G37</f>
        <v>0</v>
      </c>
      <c r="H42" s="20" t="s">
        <v>47</v>
      </c>
      <c r="I42" s="20" t="s">
        <v>47</v>
      </c>
    </row>
    <row r="43" spans="1:9" collapsed="1">
      <c r="A43" s="20" t="s">
        <v>11</v>
      </c>
      <c r="B43" s="20" t="s">
        <v>82</v>
      </c>
      <c r="C43" s="20" t="s">
        <v>47</v>
      </c>
      <c r="D43" s="20"/>
      <c r="E43" s="20" t="s">
        <v>435</v>
      </c>
      <c r="F43" s="20" t="s">
        <v>14</v>
      </c>
      <c r="G43" s="26">
        <v>7.0000000000000007E-2</v>
      </c>
      <c r="H43" s="20" t="s">
        <v>47</v>
      </c>
      <c r="I43" s="20" t="s">
        <v>47</v>
      </c>
    </row>
    <row r="44" spans="1:9">
      <c r="A44" s="3" t="s">
        <v>14</v>
      </c>
      <c r="B44" s="10" t="s">
        <v>436</v>
      </c>
      <c r="C44" s="18" t="s">
        <v>47</v>
      </c>
      <c r="D44" s="18" t="b">
        <f>EXACT(G6,"Estimating change in carbon stock in trees in a year")</f>
        <v>1</v>
      </c>
      <c r="E44" s="18" t="s">
        <v>386</v>
      </c>
      <c r="F44" s="18" t="s">
        <v>14</v>
      </c>
      <c r="G44" s="18" t="s">
        <v>47</v>
      </c>
      <c r="H44" s="18" t="s">
        <v>47</v>
      </c>
      <c r="I44" s="18" t="s">
        <v>47</v>
      </c>
    </row>
    <row r="45" spans="1:9" ht="30" collapsed="1">
      <c r="A45" s="20" t="s">
        <v>14</v>
      </c>
      <c r="B45" s="20" t="s">
        <v>82</v>
      </c>
      <c r="C45" s="20" t="s">
        <v>47</v>
      </c>
      <c r="D45" s="20" t="s">
        <v>399</v>
      </c>
      <c r="E45" s="20" t="s">
        <v>437</v>
      </c>
      <c r="F45" s="20" t="s">
        <v>14</v>
      </c>
      <c r="G45" s="20">
        <f>(G46-G47/G48)*1</f>
        <v>1</v>
      </c>
      <c r="H45" s="20" t="s">
        <v>47</v>
      </c>
      <c r="I45" s="20" t="s">
        <v>47</v>
      </c>
    </row>
    <row r="46" spans="1:9" ht="30" collapsed="1">
      <c r="A46" s="20" t="s">
        <v>11</v>
      </c>
      <c r="B46" s="20" t="s">
        <v>82</v>
      </c>
      <c r="C46" s="20" t="s">
        <v>47</v>
      </c>
      <c r="D46" s="20"/>
      <c r="E46" s="20" t="s">
        <v>438</v>
      </c>
      <c r="F46" s="20" t="s">
        <v>14</v>
      </c>
      <c r="G46" s="20">
        <v>1</v>
      </c>
      <c r="H46" s="20" t="s">
        <v>47</v>
      </c>
      <c r="I46" s="20" t="s">
        <v>47</v>
      </c>
    </row>
    <row r="47" spans="1:9" ht="30" collapsed="1">
      <c r="A47" s="20" t="s">
        <v>11</v>
      </c>
      <c r="B47" s="20" t="s">
        <v>82</v>
      </c>
      <c r="C47" s="20" t="s">
        <v>47</v>
      </c>
      <c r="D47" s="20"/>
      <c r="E47" s="20" t="s">
        <v>439</v>
      </c>
      <c r="F47" s="20" t="s">
        <v>14</v>
      </c>
      <c r="G47" s="20"/>
      <c r="H47" s="20" t="s">
        <v>47</v>
      </c>
      <c r="I47" s="20" t="s">
        <v>47</v>
      </c>
    </row>
    <row r="48" spans="1:9" collapsed="1">
      <c r="A48" s="20" t="s">
        <v>11</v>
      </c>
      <c r="B48" s="20" t="s">
        <v>82</v>
      </c>
      <c r="C48" s="20" t="s">
        <v>47</v>
      </c>
      <c r="D48" s="20"/>
      <c r="E48" s="20" t="s">
        <v>440</v>
      </c>
      <c r="F48" s="20" t="s">
        <v>14</v>
      </c>
      <c r="G48" s="20">
        <v>1</v>
      </c>
      <c r="H48" s="20" t="s">
        <v>47</v>
      </c>
      <c r="I48" s="20" t="s">
        <v>47</v>
      </c>
    </row>
    <row r="49" spans="1:9">
      <c r="A49" s="3" t="s">
        <v>11</v>
      </c>
      <c r="B49" s="10" t="s">
        <v>441</v>
      </c>
      <c r="C49" s="18" t="s">
        <v>47</v>
      </c>
      <c r="D49" s="18"/>
      <c r="E49" s="18" t="s">
        <v>442</v>
      </c>
      <c r="F49" s="18" t="s">
        <v>14</v>
      </c>
      <c r="G49" s="18" t="s">
        <v>47</v>
      </c>
      <c r="H49" s="18" t="s">
        <v>47</v>
      </c>
      <c r="I49" s="18" t="s">
        <v>47</v>
      </c>
    </row>
    <row r="50" spans="1:9" ht="30" collapsed="1">
      <c r="A50" s="20" t="s">
        <v>11</v>
      </c>
      <c r="B50" s="20" t="s">
        <v>17</v>
      </c>
      <c r="C50" s="21" t="s">
        <v>443</v>
      </c>
      <c r="D50" s="20"/>
      <c r="E50" s="20" t="s">
        <v>444</v>
      </c>
      <c r="F50" s="20" t="s">
        <v>14</v>
      </c>
      <c r="G50" s="20" t="s">
        <v>445</v>
      </c>
      <c r="H50" s="20" t="s">
        <v>47</v>
      </c>
      <c r="I50" s="20" t="s">
        <v>47</v>
      </c>
    </row>
    <row r="51" spans="1:9">
      <c r="A51" s="22" t="s">
        <v>14</v>
      </c>
      <c r="B51" s="23" t="s">
        <v>446</v>
      </c>
      <c r="C51" s="22" t="s">
        <v>47</v>
      </c>
      <c r="D51" s="22" t="b">
        <f>EXACT(G50,"Updating the previous stock by independent measurement of change")</f>
        <v>0</v>
      </c>
      <c r="E51" s="22" t="s">
        <v>447</v>
      </c>
      <c r="F51" s="22" t="s">
        <v>14</v>
      </c>
      <c r="G51" s="22" t="s">
        <v>47</v>
      </c>
      <c r="H51" s="22" t="s">
        <v>47</v>
      </c>
      <c r="I51" s="22" t="s">
        <v>47</v>
      </c>
    </row>
    <row r="52" spans="1:9" collapsed="1">
      <c r="A52" s="20" t="s">
        <v>14</v>
      </c>
      <c r="B52" s="20" t="s">
        <v>82</v>
      </c>
      <c r="C52" s="20" t="s">
        <v>47</v>
      </c>
      <c r="D52" s="20" t="s">
        <v>399</v>
      </c>
      <c r="E52" s="20" t="s">
        <v>448</v>
      </c>
      <c r="F52" s="20" t="s">
        <v>14</v>
      </c>
      <c r="G52" s="20" t="e">
        <f>E53+E54</f>
        <v>#VALUE!</v>
      </c>
      <c r="H52" s="20" t="s">
        <v>47</v>
      </c>
      <c r="I52" s="20" t="s">
        <v>47</v>
      </c>
    </row>
    <row r="53" spans="1:9" ht="30" collapsed="1">
      <c r="A53" s="20" t="s">
        <v>11</v>
      </c>
      <c r="B53" s="20" t="s">
        <v>82</v>
      </c>
      <c r="C53" s="20" t="s">
        <v>47</v>
      </c>
      <c r="D53" s="20"/>
      <c r="E53" s="20" t="s">
        <v>449</v>
      </c>
      <c r="F53" s="20" t="s">
        <v>14</v>
      </c>
      <c r="G53" s="20">
        <v>1</v>
      </c>
      <c r="H53" s="20" t="s">
        <v>47</v>
      </c>
      <c r="I53" s="20" t="s">
        <v>47</v>
      </c>
    </row>
    <row r="54" spans="1:9" ht="30" collapsed="1">
      <c r="A54" s="20" t="s">
        <v>11</v>
      </c>
      <c r="B54" s="20" t="s">
        <v>82</v>
      </c>
      <c r="C54" s="20" t="s">
        <v>47</v>
      </c>
      <c r="D54" s="20"/>
      <c r="E54" s="20" t="s">
        <v>450</v>
      </c>
      <c r="F54" s="20" t="s">
        <v>14</v>
      </c>
      <c r="G54" s="20">
        <v>1</v>
      </c>
      <c r="H54" s="20" t="s">
        <v>47</v>
      </c>
      <c r="I54" s="20" t="s">
        <v>47</v>
      </c>
    </row>
    <row r="55" spans="1:9" collapsed="1">
      <c r="A55" s="20" t="s">
        <v>11</v>
      </c>
      <c r="B55" s="20" t="s">
        <v>82</v>
      </c>
      <c r="C55" s="20" t="s">
        <v>47</v>
      </c>
      <c r="D55" s="20"/>
      <c r="E55" s="20" t="s">
        <v>451</v>
      </c>
      <c r="F55" s="20" t="s">
        <v>14</v>
      </c>
      <c r="G55" s="20"/>
      <c r="H55" s="20" t="s">
        <v>47</v>
      </c>
      <c r="I55" s="20" t="s">
        <v>47</v>
      </c>
    </row>
    <row r="56" spans="1:9" ht="30" collapsed="1">
      <c r="A56" s="20" t="s">
        <v>14</v>
      </c>
      <c r="B56" s="20" t="s">
        <v>82</v>
      </c>
      <c r="C56" s="20" t="s">
        <v>47</v>
      </c>
      <c r="D56" s="20" t="s">
        <v>399</v>
      </c>
      <c r="E56" s="20" t="s">
        <v>452</v>
      </c>
      <c r="F56" s="20" t="s">
        <v>14</v>
      </c>
      <c r="G56" s="20" t="e">
        <f>(SQRT((G57*G53)^2+(G55*G54)^2))/G52</f>
        <v>#VALUE!</v>
      </c>
      <c r="H56" s="20" t="s">
        <v>47</v>
      </c>
      <c r="I56" s="20" t="s">
        <v>47</v>
      </c>
    </row>
    <row r="57" spans="1:9" ht="30" collapsed="1">
      <c r="A57" s="20" t="s">
        <v>11</v>
      </c>
      <c r="B57" s="20" t="s">
        <v>82</v>
      </c>
      <c r="C57" s="20" t="s">
        <v>47</v>
      </c>
      <c r="D57" s="20"/>
      <c r="E57" s="20" t="s">
        <v>453</v>
      </c>
      <c r="F57" s="20" t="s">
        <v>14</v>
      </c>
      <c r="G57" s="20">
        <v>1</v>
      </c>
      <c r="H57" s="20" t="s">
        <v>47</v>
      </c>
      <c r="I57" s="20" t="s">
        <v>47</v>
      </c>
    </row>
    <row r="58" spans="1:9">
      <c r="A58" s="22" t="s">
        <v>14</v>
      </c>
      <c r="B58" s="23" t="s">
        <v>454</v>
      </c>
      <c r="C58" s="22"/>
      <c r="D58" s="22" t="b">
        <f>EXACT(G50,"Estimation by modelling of tree growth and stand development")</f>
        <v>1</v>
      </c>
      <c r="E58" s="22" t="s">
        <v>445</v>
      </c>
      <c r="F58" s="22" t="s">
        <v>14</v>
      </c>
      <c r="G58" s="22"/>
      <c r="H58" s="22"/>
      <c r="I58" s="22"/>
    </row>
    <row r="59" spans="1:9" ht="60">
      <c r="A59" s="20" t="s">
        <v>14</v>
      </c>
      <c r="B59" s="20" t="s">
        <v>44</v>
      </c>
      <c r="C59" s="20"/>
      <c r="D59" s="20"/>
      <c r="E59" s="20" t="s">
        <v>455</v>
      </c>
      <c r="F59" s="20" t="s">
        <v>14</v>
      </c>
      <c r="G59" s="20"/>
      <c r="H59" s="20"/>
      <c r="I59" s="20"/>
    </row>
    <row r="60" spans="1:9" ht="75">
      <c r="A60" s="20" t="s">
        <v>14</v>
      </c>
      <c r="B60" s="20" t="s">
        <v>44</v>
      </c>
      <c r="C60" s="20"/>
      <c r="D60" s="20"/>
      <c r="E60" s="20" t="s">
        <v>456</v>
      </c>
      <c r="F60" s="20" t="s">
        <v>14</v>
      </c>
      <c r="G60" s="20"/>
      <c r="H60" s="20"/>
      <c r="I60" s="20"/>
    </row>
    <row r="61" spans="1:9" ht="60">
      <c r="A61" s="20" t="s">
        <v>14</v>
      </c>
      <c r="B61" s="20" t="s">
        <v>44</v>
      </c>
      <c r="C61" s="20"/>
      <c r="D61" s="20"/>
      <c r="E61" s="20" t="s">
        <v>457</v>
      </c>
      <c r="F61" s="20" t="s">
        <v>14</v>
      </c>
      <c r="G61" s="20"/>
      <c r="H61" s="20"/>
      <c r="I61" s="20"/>
    </row>
    <row r="62" spans="1:9" ht="60">
      <c r="A62" s="20" t="s">
        <v>14</v>
      </c>
      <c r="B62" s="20" t="s">
        <v>44</v>
      </c>
      <c r="C62" s="20"/>
      <c r="D62" s="20"/>
      <c r="E62" s="20" t="s">
        <v>458</v>
      </c>
      <c r="F62" s="20" t="s">
        <v>14</v>
      </c>
      <c r="G62" s="20"/>
      <c r="H62" s="20"/>
      <c r="I62" s="20"/>
    </row>
    <row r="63" spans="1:9" ht="135">
      <c r="A63" s="20" t="s">
        <v>11</v>
      </c>
      <c r="B63" s="20" t="s">
        <v>17</v>
      </c>
      <c r="C63" s="21" t="s">
        <v>459</v>
      </c>
      <c r="D63" s="20"/>
      <c r="E63" s="20" t="s">
        <v>460</v>
      </c>
      <c r="F63" s="20" t="s">
        <v>14</v>
      </c>
      <c r="G63" s="20" t="s">
        <v>11</v>
      </c>
      <c r="H63" s="20"/>
      <c r="I63" s="20"/>
    </row>
    <row r="64" spans="1:9" ht="30">
      <c r="A64" s="20" t="s">
        <v>14</v>
      </c>
      <c r="B64" s="20" t="s">
        <v>44</v>
      </c>
      <c r="C64" s="20"/>
      <c r="D64" s="20" t="b">
        <f>EXACT(G63,"No")</f>
        <v>0</v>
      </c>
      <c r="E64" s="20" t="s">
        <v>461</v>
      </c>
      <c r="F64" s="20" t="s">
        <v>14</v>
      </c>
      <c r="G64" s="20"/>
      <c r="H64" s="20"/>
      <c r="I64" s="20"/>
    </row>
    <row r="65" spans="1:9">
      <c r="A65" s="22" t="s">
        <v>14</v>
      </c>
      <c r="B65" s="23" t="s">
        <v>462</v>
      </c>
      <c r="C65" s="22"/>
      <c r="D65" s="22" t="b">
        <f>EXACT(G63,"Yes")</f>
        <v>1</v>
      </c>
      <c r="E65" s="22" t="s">
        <v>463</v>
      </c>
      <c r="F65" s="22" t="s">
        <v>14</v>
      </c>
      <c r="G65" s="22"/>
      <c r="H65" s="22"/>
      <c r="I65" s="22"/>
    </row>
    <row r="66" spans="1:9" ht="30">
      <c r="A66" s="20" t="s">
        <v>11</v>
      </c>
      <c r="B66" s="20" t="s">
        <v>82</v>
      </c>
      <c r="C66" s="20"/>
      <c r="D66" s="20"/>
      <c r="E66" s="20" t="s">
        <v>464</v>
      </c>
      <c r="F66" s="20" t="s">
        <v>14</v>
      </c>
      <c r="G66" s="20"/>
      <c r="H66" s="20"/>
      <c r="I66" s="20"/>
    </row>
    <row r="67" spans="1:9">
      <c r="A67" s="20" t="s">
        <v>11</v>
      </c>
      <c r="B67" s="20" t="s">
        <v>82</v>
      </c>
      <c r="C67" s="20"/>
      <c r="D67" s="20"/>
      <c r="E67" s="20" t="s">
        <v>465</v>
      </c>
      <c r="F67" s="20" t="s">
        <v>14</v>
      </c>
      <c r="G67" s="20"/>
      <c r="H67" s="20"/>
      <c r="I67" s="20"/>
    </row>
    <row r="68" spans="1:9">
      <c r="A68" s="20" t="s">
        <v>11</v>
      </c>
      <c r="B68" s="20" t="s">
        <v>82</v>
      </c>
      <c r="C68" s="20"/>
      <c r="D68" s="20"/>
      <c r="E68" s="20" t="s">
        <v>466</v>
      </c>
      <c r="F68" s="20" t="s">
        <v>14</v>
      </c>
      <c r="G68" s="20"/>
      <c r="H68" s="20"/>
      <c r="I68" s="20"/>
    </row>
    <row r="69" spans="1:9">
      <c r="A69" s="22" t="s">
        <v>14</v>
      </c>
      <c r="B69" s="23" t="s">
        <v>467</v>
      </c>
      <c r="C69" s="22" t="s">
        <v>47</v>
      </c>
      <c r="D69" s="22" t="b">
        <f>EXACT(G50,"Proportionate crown cover")</f>
        <v>0</v>
      </c>
      <c r="E69" s="22" t="s">
        <v>468</v>
      </c>
      <c r="F69" s="22" t="s">
        <v>14</v>
      </c>
      <c r="G69" s="22" t="s">
        <v>47</v>
      </c>
      <c r="H69" s="22" t="s">
        <v>47</v>
      </c>
      <c r="I69" s="22" t="s">
        <v>47</v>
      </c>
    </row>
    <row r="70" spans="1:9" ht="30" collapsed="1">
      <c r="A70" s="20" t="s">
        <v>14</v>
      </c>
      <c r="B70" s="20" t="s">
        <v>82</v>
      </c>
      <c r="C70" s="20" t="s">
        <v>47</v>
      </c>
      <c r="D70" s="20" t="s">
        <v>399</v>
      </c>
      <c r="E70" s="20" t="s">
        <v>469</v>
      </c>
      <c r="F70" s="20" t="s">
        <v>14</v>
      </c>
      <c r="G70" s="20">
        <f>SUM(G72)</f>
        <v>7.333333333333333</v>
      </c>
      <c r="H70" s="20" t="s">
        <v>47</v>
      </c>
      <c r="I70" s="20" t="s">
        <v>47</v>
      </c>
    </row>
    <row r="71" spans="1:9">
      <c r="A71" s="22" t="s">
        <v>11</v>
      </c>
      <c r="B71" s="23" t="s">
        <v>470</v>
      </c>
      <c r="C71" s="22" t="s">
        <v>47</v>
      </c>
      <c r="D71" s="22"/>
      <c r="E71" s="22" t="s">
        <v>403</v>
      </c>
      <c r="F71" s="22" t="s">
        <v>11</v>
      </c>
      <c r="G71" s="22" t="s">
        <v>47</v>
      </c>
      <c r="H71" s="22" t="s">
        <v>47</v>
      </c>
      <c r="I71" s="22" t="s">
        <v>47</v>
      </c>
    </row>
    <row r="72" spans="1:9" ht="30" collapsed="1">
      <c r="A72" s="20" t="s">
        <v>14</v>
      </c>
      <c r="B72" s="20" t="s">
        <v>82</v>
      </c>
      <c r="C72" s="20" t="s">
        <v>47</v>
      </c>
      <c r="D72" s="20" t="s">
        <v>399</v>
      </c>
      <c r="E72" s="20" t="s">
        <v>471</v>
      </c>
      <c r="F72" s="20" t="s">
        <v>14</v>
      </c>
      <c r="G72" s="20">
        <f>44/12*G73*G74*(1+G75)*G76*G77</f>
        <v>7.333333333333333</v>
      </c>
      <c r="H72" s="20" t="s">
        <v>47</v>
      </c>
      <c r="I72" s="20" t="s">
        <v>47</v>
      </c>
    </row>
    <row r="73" spans="1:9" collapsed="1">
      <c r="A73" s="20" t="s">
        <v>11</v>
      </c>
      <c r="B73" s="20" t="s">
        <v>82</v>
      </c>
      <c r="C73" s="20" t="s">
        <v>47</v>
      </c>
      <c r="D73" s="20"/>
      <c r="E73" s="20" t="s">
        <v>405</v>
      </c>
      <c r="F73" s="20" t="s">
        <v>14</v>
      </c>
      <c r="G73" s="20">
        <v>1</v>
      </c>
      <c r="H73" s="20" t="s">
        <v>47</v>
      </c>
      <c r="I73" s="20" t="s">
        <v>47</v>
      </c>
    </row>
    <row r="74" spans="1:9" ht="30" collapsed="1">
      <c r="A74" s="20" t="s">
        <v>11</v>
      </c>
      <c r="B74" s="20" t="s">
        <v>82</v>
      </c>
      <c r="C74" s="20" t="s">
        <v>47</v>
      </c>
      <c r="D74" s="20"/>
      <c r="E74" s="20" t="s">
        <v>472</v>
      </c>
      <c r="F74" s="20" t="s">
        <v>14</v>
      </c>
      <c r="G74" s="20">
        <v>1</v>
      </c>
      <c r="H74" s="20" t="s">
        <v>47</v>
      </c>
      <c r="I74" s="20" t="s">
        <v>47</v>
      </c>
    </row>
    <row r="75" spans="1:9" collapsed="1">
      <c r="A75" s="20" t="s">
        <v>11</v>
      </c>
      <c r="B75" s="20" t="s">
        <v>82</v>
      </c>
      <c r="C75" s="20" t="s">
        <v>47</v>
      </c>
      <c r="D75" s="20"/>
      <c r="E75" s="20" t="s">
        <v>407</v>
      </c>
      <c r="F75" s="20" t="s">
        <v>14</v>
      </c>
      <c r="G75" s="20">
        <v>1</v>
      </c>
      <c r="H75" s="20" t="s">
        <v>47</v>
      </c>
      <c r="I75" s="20" t="s">
        <v>47</v>
      </c>
    </row>
    <row r="76" spans="1:9" ht="30" collapsed="1">
      <c r="A76" s="20" t="s">
        <v>11</v>
      </c>
      <c r="B76" s="20" t="s">
        <v>82</v>
      </c>
      <c r="C76" s="20" t="s">
        <v>47</v>
      </c>
      <c r="D76" s="20"/>
      <c r="E76" s="20" t="s">
        <v>473</v>
      </c>
      <c r="F76" s="20" t="s">
        <v>14</v>
      </c>
      <c r="G76" s="20">
        <v>1</v>
      </c>
      <c r="H76" s="20" t="s">
        <v>47</v>
      </c>
      <c r="I76" s="20" t="s">
        <v>47</v>
      </c>
    </row>
    <row r="77" spans="1:9" ht="30" collapsed="1">
      <c r="A77" s="20" t="s">
        <v>11</v>
      </c>
      <c r="B77" s="20" t="s">
        <v>82</v>
      </c>
      <c r="C77" s="20" t="s">
        <v>47</v>
      </c>
      <c r="D77" s="20"/>
      <c r="E77" s="20" t="s">
        <v>474</v>
      </c>
      <c r="F77" s="20" t="s">
        <v>14</v>
      </c>
      <c r="G77" s="20">
        <v>1</v>
      </c>
      <c r="H77" s="20" t="s">
        <v>47</v>
      </c>
      <c r="I77" s="20" t="s">
        <v>47</v>
      </c>
    </row>
    <row r="78" spans="1:9">
      <c r="A78" s="22" t="s">
        <v>14</v>
      </c>
      <c r="B78" s="23" t="s">
        <v>475</v>
      </c>
      <c r="C78" s="22" t="s">
        <v>47</v>
      </c>
      <c r="D78" s="22" t="b">
        <f>EXACT(G50,"Measurement of sample plots")</f>
        <v>0</v>
      </c>
      <c r="E78" s="22" t="s">
        <v>475</v>
      </c>
      <c r="F78" s="22" t="s">
        <v>14</v>
      </c>
      <c r="G78" s="22" t="s">
        <v>47</v>
      </c>
      <c r="H78" s="22" t="s">
        <v>47</v>
      </c>
      <c r="I78" s="22" t="s">
        <v>47</v>
      </c>
    </row>
    <row r="79" spans="1:9" ht="30" collapsed="1">
      <c r="A79" s="20" t="s">
        <v>11</v>
      </c>
      <c r="B79" s="20" t="s">
        <v>17</v>
      </c>
      <c r="C79" s="21" t="s">
        <v>476</v>
      </c>
      <c r="D79" s="20"/>
      <c r="E79" s="20" t="s">
        <v>477</v>
      </c>
      <c r="F79" s="20" t="s">
        <v>14</v>
      </c>
      <c r="G79" s="20" t="s">
        <v>478</v>
      </c>
      <c r="H79" s="20" t="s">
        <v>47</v>
      </c>
      <c r="I79" s="20" t="s">
        <v>47</v>
      </c>
    </row>
    <row r="80" spans="1:9">
      <c r="A80" s="22" t="s">
        <v>14</v>
      </c>
      <c r="B80" s="23" t="s">
        <v>478</v>
      </c>
      <c r="C80" s="22" t="s">
        <v>47</v>
      </c>
      <c r="D80" s="22" t="b">
        <f>EXACT(G79,"Stratified random sampling")</f>
        <v>1</v>
      </c>
      <c r="E80" s="22" t="s">
        <v>478</v>
      </c>
      <c r="F80" s="22" t="s">
        <v>14</v>
      </c>
      <c r="G80" s="22" t="s">
        <v>47</v>
      </c>
      <c r="H80" s="22" t="s">
        <v>47</v>
      </c>
      <c r="I80" s="22" t="s">
        <v>47</v>
      </c>
    </row>
    <row r="81" spans="1:9" ht="30" collapsed="1">
      <c r="A81" s="20" t="s">
        <v>14</v>
      </c>
      <c r="B81" s="20" t="s">
        <v>82</v>
      </c>
      <c r="C81" s="20" t="s">
        <v>47</v>
      </c>
      <c r="D81" s="20" t="s">
        <v>399</v>
      </c>
      <c r="E81" s="20" t="s">
        <v>479</v>
      </c>
      <c r="F81" s="20" t="s">
        <v>14</v>
      </c>
      <c r="G81" s="20">
        <f>44/12*G82*G83</f>
        <v>3.6666666666666665</v>
      </c>
      <c r="H81" s="20" t="s">
        <v>47</v>
      </c>
      <c r="I81" s="20" t="s">
        <v>47</v>
      </c>
    </row>
    <row r="82" spans="1:9" collapsed="1">
      <c r="A82" s="20" t="s">
        <v>11</v>
      </c>
      <c r="B82" s="20" t="s">
        <v>82</v>
      </c>
      <c r="C82" s="20" t="s">
        <v>47</v>
      </c>
      <c r="D82" s="20"/>
      <c r="E82" s="20" t="s">
        <v>405</v>
      </c>
      <c r="F82" s="20" t="s">
        <v>14</v>
      </c>
      <c r="G82" s="20">
        <v>1</v>
      </c>
      <c r="H82" s="20" t="s">
        <v>47</v>
      </c>
      <c r="I82" s="20" t="s">
        <v>47</v>
      </c>
    </row>
    <row r="83" spans="1:9" ht="30" collapsed="1">
      <c r="A83" s="20" t="s">
        <v>14</v>
      </c>
      <c r="B83" s="20" t="s">
        <v>82</v>
      </c>
      <c r="C83" s="20" t="s">
        <v>47</v>
      </c>
      <c r="D83" s="20" t="s">
        <v>399</v>
      </c>
      <c r="E83" s="20" t="s">
        <v>480</v>
      </c>
      <c r="F83" s="20" t="s">
        <v>14</v>
      </c>
      <c r="G83" s="20">
        <f>G84*G85</f>
        <v>1</v>
      </c>
      <c r="H83" s="20" t="s">
        <v>47</v>
      </c>
      <c r="I83" s="20" t="s">
        <v>47</v>
      </c>
    </row>
    <row r="84" spans="1:9" ht="30" collapsed="1">
      <c r="A84" s="20" t="s">
        <v>11</v>
      </c>
      <c r="B84" s="20" t="s">
        <v>82</v>
      </c>
      <c r="C84" s="20" t="s">
        <v>47</v>
      </c>
      <c r="D84" s="20"/>
      <c r="E84" s="20" t="s">
        <v>481</v>
      </c>
      <c r="F84" s="20" t="s">
        <v>14</v>
      </c>
      <c r="G84" s="20">
        <v>1</v>
      </c>
      <c r="H84" s="20" t="s">
        <v>47</v>
      </c>
      <c r="I84" s="20" t="s">
        <v>47</v>
      </c>
    </row>
    <row r="85" spans="1:9" ht="30" collapsed="1">
      <c r="A85" s="20" t="s">
        <v>14</v>
      </c>
      <c r="B85" s="20" t="s">
        <v>82</v>
      </c>
      <c r="C85" s="20" t="s">
        <v>47</v>
      </c>
      <c r="D85" s="20" t="s">
        <v>399</v>
      </c>
      <c r="E85" s="20" t="s">
        <v>482</v>
      </c>
      <c r="F85" s="20" t="s">
        <v>14</v>
      </c>
      <c r="G85" s="20">
        <f>SUM((G90*G89))</f>
        <v>1</v>
      </c>
      <c r="H85" s="20" t="s">
        <v>47</v>
      </c>
      <c r="I85" s="20" t="s">
        <v>47</v>
      </c>
    </row>
    <row r="86" spans="1:9" collapsed="1">
      <c r="A86" s="20" t="s">
        <v>11</v>
      </c>
      <c r="B86" s="20" t="s">
        <v>82</v>
      </c>
      <c r="C86" s="20" t="s">
        <v>47</v>
      </c>
      <c r="D86" s="20"/>
      <c r="E86" s="20" t="s">
        <v>483</v>
      </c>
      <c r="F86" s="20" t="s">
        <v>14</v>
      </c>
      <c r="G86" s="20">
        <v>1</v>
      </c>
      <c r="H86" s="20" t="s">
        <v>47</v>
      </c>
      <c r="I86" s="20" t="s">
        <v>47</v>
      </c>
    </row>
    <row r="87" spans="1:9" ht="30" collapsed="1">
      <c r="A87" s="20" t="s">
        <v>11</v>
      </c>
      <c r="B87" s="20" t="s">
        <v>82</v>
      </c>
      <c r="C87" s="20" t="s">
        <v>47</v>
      </c>
      <c r="D87" s="20"/>
      <c r="E87" s="20" t="s">
        <v>484</v>
      </c>
      <c r="F87" s="20" t="s">
        <v>14</v>
      </c>
      <c r="G87" s="20">
        <v>1</v>
      </c>
      <c r="H87" s="20" t="s">
        <v>47</v>
      </c>
      <c r="I87" s="20" t="s">
        <v>47</v>
      </c>
    </row>
    <row r="88" spans="1:9">
      <c r="A88" s="22" t="s">
        <v>11</v>
      </c>
      <c r="B88" s="23" t="s">
        <v>485</v>
      </c>
      <c r="C88" s="22" t="s">
        <v>47</v>
      </c>
      <c r="D88" s="22"/>
      <c r="E88" s="22" t="s">
        <v>486</v>
      </c>
      <c r="F88" s="22" t="s">
        <v>11</v>
      </c>
      <c r="G88" s="22" t="s">
        <v>47</v>
      </c>
      <c r="H88" s="22" t="s">
        <v>47</v>
      </c>
      <c r="I88" s="22" t="s">
        <v>47</v>
      </c>
    </row>
    <row r="89" spans="1:9" s="25" customFormat="1" ht="30" collapsed="1">
      <c r="A89" s="24" t="s">
        <v>14</v>
      </c>
      <c r="B89" s="24" t="s">
        <v>82</v>
      </c>
      <c r="C89" s="24" t="s">
        <v>47</v>
      </c>
      <c r="D89" s="24" t="s">
        <v>399</v>
      </c>
      <c r="E89" s="24" t="s">
        <v>487</v>
      </c>
      <c r="F89" s="24" t="s">
        <v>14</v>
      </c>
      <c r="G89" s="24">
        <f>(SUM(G94))/G92</f>
        <v>1</v>
      </c>
      <c r="H89" s="24" t="s">
        <v>47</v>
      </c>
      <c r="I89" s="24" t="s">
        <v>47</v>
      </c>
    </row>
    <row r="90" spans="1:9" ht="30" collapsed="1">
      <c r="A90" s="20" t="s">
        <v>11</v>
      </c>
      <c r="B90" s="20" t="s">
        <v>82</v>
      </c>
      <c r="C90" s="20" t="s">
        <v>47</v>
      </c>
      <c r="D90" s="20"/>
      <c r="E90" s="20" t="s">
        <v>488</v>
      </c>
      <c r="F90" s="20" t="s">
        <v>14</v>
      </c>
      <c r="G90" s="20">
        <v>1</v>
      </c>
      <c r="H90" s="20" t="s">
        <v>47</v>
      </c>
      <c r="I90" s="20" t="s">
        <v>47</v>
      </c>
    </row>
    <row r="91" spans="1:9" ht="30" collapsed="1">
      <c r="A91" s="20" t="s">
        <v>11</v>
      </c>
      <c r="B91" s="20" t="s">
        <v>82</v>
      </c>
      <c r="C91" s="20" t="s">
        <v>47</v>
      </c>
      <c r="D91" s="20"/>
      <c r="E91" s="20" t="s">
        <v>489</v>
      </c>
      <c r="F91" s="20" t="s">
        <v>14</v>
      </c>
      <c r="G91" s="20">
        <v>1</v>
      </c>
      <c r="H91" s="20" t="s">
        <v>47</v>
      </c>
      <c r="I91" s="20" t="s">
        <v>47</v>
      </c>
    </row>
    <row r="92" spans="1:9" collapsed="1">
      <c r="A92" s="20" t="s">
        <v>11</v>
      </c>
      <c r="B92" s="20" t="s">
        <v>82</v>
      </c>
      <c r="C92" s="20" t="s">
        <v>47</v>
      </c>
      <c r="D92" s="20"/>
      <c r="E92" s="20" t="s">
        <v>490</v>
      </c>
      <c r="F92" s="20" t="s">
        <v>14</v>
      </c>
      <c r="G92" s="20">
        <v>1</v>
      </c>
      <c r="H92" s="20" t="s">
        <v>47</v>
      </c>
      <c r="I92" s="20" t="s">
        <v>47</v>
      </c>
    </row>
    <row r="93" spans="1:9">
      <c r="A93" s="22" t="s">
        <v>11</v>
      </c>
      <c r="B93" s="23" t="s">
        <v>491</v>
      </c>
      <c r="C93" s="22"/>
      <c r="D93" s="22"/>
      <c r="E93" s="22" t="s">
        <v>492</v>
      </c>
      <c r="F93" s="22" t="s">
        <v>11</v>
      </c>
      <c r="G93" s="22"/>
      <c r="H93" s="22"/>
      <c r="I93" s="22"/>
    </row>
    <row r="94" spans="1:9" s="25" customFormat="1" ht="30" collapsed="1">
      <c r="A94" s="24" t="s">
        <v>11</v>
      </c>
      <c r="B94" s="24" t="s">
        <v>82</v>
      </c>
      <c r="C94" s="24" t="s">
        <v>47</v>
      </c>
      <c r="D94" s="24"/>
      <c r="E94" s="24" t="s">
        <v>493</v>
      </c>
      <c r="F94" s="24" t="s">
        <v>14</v>
      </c>
      <c r="G94" s="24">
        <v>1</v>
      </c>
      <c r="H94" s="24" t="s">
        <v>47</v>
      </c>
      <c r="I94" s="24" t="s">
        <v>47</v>
      </c>
    </row>
    <row r="95" spans="1:9">
      <c r="A95" s="22" t="s">
        <v>14</v>
      </c>
      <c r="B95" s="23" t="s">
        <v>494</v>
      </c>
      <c r="C95" s="22" t="s">
        <v>47</v>
      </c>
      <c r="D95" s="22" t="b">
        <f>NOT(EXACT(G79,"Stratified random sampling"))</f>
        <v>0</v>
      </c>
      <c r="E95" s="22" t="s">
        <v>494</v>
      </c>
      <c r="F95" s="22" t="s">
        <v>14</v>
      </c>
      <c r="G95" s="22" t="s">
        <v>47</v>
      </c>
      <c r="H95" s="22" t="s">
        <v>47</v>
      </c>
      <c r="I95" s="22" t="s">
        <v>47</v>
      </c>
    </row>
    <row r="96" spans="1:9" ht="30" collapsed="1">
      <c r="A96" s="20" t="s">
        <v>11</v>
      </c>
      <c r="B96" s="20" t="s">
        <v>82</v>
      </c>
      <c r="C96" s="20" t="s">
        <v>47</v>
      </c>
      <c r="D96" s="20"/>
      <c r="E96" s="20" t="s">
        <v>479</v>
      </c>
      <c r="F96" s="20" t="s">
        <v>14</v>
      </c>
      <c r="G96" s="20">
        <v>1</v>
      </c>
      <c r="H96" s="20" t="s">
        <v>47</v>
      </c>
      <c r="I96" s="20" t="s">
        <v>47</v>
      </c>
    </row>
    <row r="97" spans="1:9" collapsed="1">
      <c r="A97" s="20" t="s">
        <v>11</v>
      </c>
      <c r="B97" s="20" t="s">
        <v>82</v>
      </c>
      <c r="C97" s="20" t="s">
        <v>47</v>
      </c>
      <c r="D97" s="20"/>
      <c r="E97" s="20" t="s">
        <v>405</v>
      </c>
      <c r="F97" s="20" t="s">
        <v>14</v>
      </c>
      <c r="G97" s="20">
        <v>1</v>
      </c>
      <c r="H97" s="20" t="s">
        <v>47</v>
      </c>
      <c r="I97" s="20" t="s">
        <v>47</v>
      </c>
    </row>
    <row r="98" spans="1:9" ht="30" collapsed="1">
      <c r="A98" s="20" t="s">
        <v>11</v>
      </c>
      <c r="B98" s="20" t="s">
        <v>82</v>
      </c>
      <c r="C98" s="20" t="s">
        <v>47</v>
      </c>
      <c r="D98" s="20"/>
      <c r="E98" s="20" t="s">
        <v>480</v>
      </c>
      <c r="F98" s="20" t="s">
        <v>14</v>
      </c>
      <c r="G98" s="20">
        <v>1</v>
      </c>
      <c r="H98" s="20" t="s">
        <v>47</v>
      </c>
      <c r="I98" s="20" t="s">
        <v>47</v>
      </c>
    </row>
    <row r="99" spans="1:9" ht="30" collapsed="1">
      <c r="A99" s="20" t="s">
        <v>11</v>
      </c>
      <c r="B99" s="20" t="s">
        <v>82</v>
      </c>
      <c r="C99" s="20" t="s">
        <v>47</v>
      </c>
      <c r="D99" s="20"/>
      <c r="E99" s="20" t="s">
        <v>481</v>
      </c>
      <c r="F99" s="20" t="s">
        <v>14</v>
      </c>
      <c r="G99" s="20">
        <v>1</v>
      </c>
      <c r="H99" s="20" t="s">
        <v>47</v>
      </c>
      <c r="I99" s="20" t="s">
        <v>47</v>
      </c>
    </row>
    <row r="100" spans="1:9" ht="30" collapsed="1">
      <c r="A100" s="20" t="s">
        <v>11</v>
      </c>
      <c r="B100" s="20" t="s">
        <v>82</v>
      </c>
      <c r="C100" s="20" t="s">
        <v>47</v>
      </c>
      <c r="D100" s="20"/>
      <c r="E100" s="20" t="s">
        <v>482</v>
      </c>
      <c r="F100" s="20" t="s">
        <v>14</v>
      </c>
      <c r="G100" s="20">
        <v>1</v>
      </c>
      <c r="H100" s="20" t="s">
        <v>47</v>
      </c>
      <c r="I100" s="20" t="s">
        <v>47</v>
      </c>
    </row>
    <row r="101" spans="1:9" collapsed="1">
      <c r="A101" s="20" t="s">
        <v>11</v>
      </c>
      <c r="B101" s="20" t="s">
        <v>82</v>
      </c>
      <c r="C101" s="20" t="s">
        <v>47</v>
      </c>
      <c r="D101" s="20"/>
      <c r="E101" s="20" t="s">
        <v>483</v>
      </c>
      <c r="F101" s="20" t="s">
        <v>14</v>
      </c>
      <c r="G101" s="20">
        <v>1</v>
      </c>
      <c r="H101" s="20" t="s">
        <v>47</v>
      </c>
      <c r="I101" s="20" t="s">
        <v>47</v>
      </c>
    </row>
    <row r="102" spans="1:9" ht="30" collapsed="1">
      <c r="A102" s="20" t="s">
        <v>11</v>
      </c>
      <c r="B102" s="20" t="s">
        <v>82</v>
      </c>
      <c r="C102" s="20" t="s">
        <v>47</v>
      </c>
      <c r="D102" s="20"/>
      <c r="E102" s="20" t="s">
        <v>484</v>
      </c>
      <c r="F102" s="20" t="s">
        <v>14</v>
      </c>
      <c r="G102" s="20">
        <v>1</v>
      </c>
      <c r="H102" s="20" t="s">
        <v>47</v>
      </c>
      <c r="I102" s="20" t="s">
        <v>47</v>
      </c>
    </row>
    <row r="103" spans="1:9">
      <c r="A103" s="22" t="s">
        <v>11</v>
      </c>
      <c r="B103" s="23" t="s">
        <v>495</v>
      </c>
      <c r="C103" s="22" t="s">
        <v>47</v>
      </c>
      <c r="D103" s="22"/>
      <c r="E103" s="22" t="s">
        <v>486</v>
      </c>
      <c r="F103" s="22" t="s">
        <v>11</v>
      </c>
      <c r="G103" s="22" t="s">
        <v>47</v>
      </c>
      <c r="H103" s="22" t="s">
        <v>47</v>
      </c>
      <c r="I103" s="22" t="s">
        <v>47</v>
      </c>
    </row>
    <row r="104" spans="1:9" ht="30" collapsed="1">
      <c r="A104" s="20" t="s">
        <v>14</v>
      </c>
      <c r="B104" s="20" t="s">
        <v>82</v>
      </c>
      <c r="C104" s="20" t="s">
        <v>47</v>
      </c>
      <c r="D104" s="20" t="s">
        <v>399</v>
      </c>
      <c r="E104" s="20" t="s">
        <v>487</v>
      </c>
      <c r="F104" s="20" t="s">
        <v>14</v>
      </c>
      <c r="G104" s="20">
        <f>(SUM(G113)/G105)+G106*(G107-G108)</f>
        <v>1</v>
      </c>
      <c r="H104" s="20" t="s">
        <v>47</v>
      </c>
      <c r="I104" s="20" t="s">
        <v>47</v>
      </c>
    </row>
    <row r="105" spans="1:9" collapsed="1">
      <c r="A105" s="20" t="s">
        <v>11</v>
      </c>
      <c r="B105" s="20" t="s">
        <v>82</v>
      </c>
      <c r="C105" s="20" t="s">
        <v>47</v>
      </c>
      <c r="D105" s="20"/>
      <c r="E105" s="20" t="s">
        <v>496</v>
      </c>
      <c r="F105" s="20" t="s">
        <v>14</v>
      </c>
      <c r="G105" s="20">
        <v>1</v>
      </c>
      <c r="H105" s="20" t="s">
        <v>47</v>
      </c>
      <c r="I105" s="20" t="s">
        <v>47</v>
      </c>
    </row>
    <row r="106" spans="1:9" ht="30" collapsed="1">
      <c r="A106" s="20" t="s">
        <v>11</v>
      </c>
      <c r="B106" s="20" t="s">
        <v>82</v>
      </c>
      <c r="C106" s="20" t="s">
        <v>47</v>
      </c>
      <c r="D106" s="20"/>
      <c r="E106" s="20" t="s">
        <v>497</v>
      </c>
      <c r="F106" s="20" t="s">
        <v>14</v>
      </c>
      <c r="G106" s="20">
        <v>1</v>
      </c>
      <c r="H106" s="20" t="s">
        <v>47</v>
      </c>
      <c r="I106" s="20" t="s">
        <v>47</v>
      </c>
    </row>
    <row r="107" spans="1:9" ht="30" collapsed="1">
      <c r="A107" s="20" t="s">
        <v>11</v>
      </c>
      <c r="B107" s="20" t="s">
        <v>82</v>
      </c>
      <c r="C107" s="20" t="s">
        <v>47</v>
      </c>
      <c r="D107" s="20"/>
      <c r="E107" s="20" t="s">
        <v>498</v>
      </c>
      <c r="F107" s="20" t="s">
        <v>14</v>
      </c>
      <c r="G107" s="20">
        <v>1</v>
      </c>
      <c r="H107" s="20" t="s">
        <v>47</v>
      </c>
      <c r="I107" s="20" t="s">
        <v>47</v>
      </c>
    </row>
    <row r="108" spans="1:9" ht="30" collapsed="1">
      <c r="A108" s="20" t="s">
        <v>11</v>
      </c>
      <c r="B108" s="20" t="s">
        <v>82</v>
      </c>
      <c r="C108" s="20" t="s">
        <v>47</v>
      </c>
      <c r="D108" s="20"/>
      <c r="E108" s="20" t="s">
        <v>499</v>
      </c>
      <c r="F108" s="20" t="s">
        <v>14</v>
      </c>
      <c r="G108" s="20">
        <v>1</v>
      </c>
      <c r="H108" s="20" t="s">
        <v>47</v>
      </c>
      <c r="I108" s="20" t="s">
        <v>47</v>
      </c>
    </row>
    <row r="109" spans="1:9" ht="30" collapsed="1">
      <c r="A109" s="20" t="s">
        <v>11</v>
      </c>
      <c r="B109" s="20" t="s">
        <v>82</v>
      </c>
      <c r="C109" s="20" t="s">
        <v>47</v>
      </c>
      <c r="D109" s="20"/>
      <c r="E109" s="20" t="s">
        <v>500</v>
      </c>
      <c r="F109" s="20" t="s">
        <v>14</v>
      </c>
      <c r="G109" s="20">
        <v>1</v>
      </c>
      <c r="H109" s="20" t="s">
        <v>47</v>
      </c>
      <c r="I109" s="20" t="s">
        <v>47</v>
      </c>
    </row>
    <row r="110" spans="1:9" ht="30" collapsed="1">
      <c r="A110" s="20" t="s">
        <v>11</v>
      </c>
      <c r="B110" s="20" t="s">
        <v>82</v>
      </c>
      <c r="C110" s="20" t="s">
        <v>47</v>
      </c>
      <c r="D110" s="20"/>
      <c r="E110" s="20" t="s">
        <v>501</v>
      </c>
      <c r="F110" s="20" t="s">
        <v>14</v>
      </c>
      <c r="G110" s="20">
        <v>1</v>
      </c>
      <c r="H110" s="20" t="s">
        <v>47</v>
      </c>
      <c r="I110" s="20" t="s">
        <v>47</v>
      </c>
    </row>
    <row r="111" spans="1:9" ht="45" collapsed="1">
      <c r="A111" s="20" t="s">
        <v>11</v>
      </c>
      <c r="B111" s="20" t="s">
        <v>82</v>
      </c>
      <c r="C111" s="20" t="s">
        <v>47</v>
      </c>
      <c r="D111" s="20"/>
      <c r="E111" s="20" t="s">
        <v>502</v>
      </c>
      <c r="F111" s="20" t="s">
        <v>14</v>
      </c>
      <c r="G111" s="20">
        <v>1</v>
      </c>
      <c r="H111" s="20" t="s">
        <v>47</v>
      </c>
      <c r="I111" s="20" t="s">
        <v>47</v>
      </c>
    </row>
    <row r="112" spans="1:9">
      <c r="A112" s="22" t="s">
        <v>11</v>
      </c>
      <c r="B112" s="23" t="s">
        <v>491</v>
      </c>
      <c r="C112" s="22"/>
      <c r="D112" s="22"/>
      <c r="E112" s="22" t="s">
        <v>492</v>
      </c>
      <c r="F112" s="22" t="s">
        <v>11</v>
      </c>
      <c r="G112" s="22"/>
      <c r="H112" s="22"/>
      <c r="I112" s="22"/>
    </row>
    <row r="113" spans="1:9" s="25" customFormat="1" ht="30" collapsed="1">
      <c r="A113" s="24" t="s">
        <v>11</v>
      </c>
      <c r="B113" s="24" t="s">
        <v>82</v>
      </c>
      <c r="C113" s="24" t="s">
        <v>47</v>
      </c>
      <c r="D113" s="24"/>
      <c r="E113" s="24" t="s">
        <v>493</v>
      </c>
      <c r="F113" s="24" t="s">
        <v>14</v>
      </c>
      <c r="G113" s="24">
        <v>1</v>
      </c>
      <c r="H113" s="24" t="s">
        <v>47</v>
      </c>
      <c r="I113" s="24" t="s">
        <v>47</v>
      </c>
    </row>
    <row r="114" spans="1:9" collapsed="1">
      <c r="A114" s="20" t="s">
        <v>11</v>
      </c>
      <c r="B114" s="20" t="s">
        <v>503</v>
      </c>
      <c r="C114" s="20" t="s">
        <v>47</v>
      </c>
      <c r="D114" s="20"/>
      <c r="E114" s="4" t="s">
        <v>504</v>
      </c>
      <c r="F114" s="20" t="s">
        <v>14</v>
      </c>
      <c r="G114" s="20" t="s">
        <v>505</v>
      </c>
      <c r="H114" s="20" t="s">
        <v>47</v>
      </c>
      <c r="I114" s="20" t="s">
        <v>47</v>
      </c>
    </row>
    <row r="115" spans="1:9" ht="29.25" customHeight="1">
      <c r="A115" s="18" t="s">
        <v>14</v>
      </c>
      <c r="B115" s="18" t="s">
        <v>82</v>
      </c>
      <c r="C115" s="10"/>
      <c r="D115" s="18" t="s">
        <v>399</v>
      </c>
      <c r="E115" s="18" t="s">
        <v>506</v>
      </c>
      <c r="F115" s="18" t="s">
        <v>14</v>
      </c>
      <c r="G115" s="18">
        <f>IF(G50="Updating the previous stock by independent measurement of change",G52,IF(G50="Estimation by modelling of tree growth and stand development",G66,IF(G50="Estimation by proportionate crown cover",G70,IF(AND(G50="Measurement of sample plots",G79="Stratified random sampling"),G81,IF(AND(G50="Measurement of sample plots",G79="Double sampling"),G96)))))</f>
        <v>0</v>
      </c>
      <c r="H115" s="18"/>
      <c r="I115" s="18"/>
    </row>
    <row r="116" spans="1:9" ht="29.25" customHeight="1">
      <c r="A116" s="18" t="s">
        <v>14</v>
      </c>
      <c r="B116" s="18" t="s">
        <v>82</v>
      </c>
      <c r="C116" s="10"/>
      <c r="D116" s="18" t="s">
        <v>399</v>
      </c>
      <c r="E116" s="18" t="s">
        <v>507</v>
      </c>
      <c r="F116" s="18" t="s">
        <v>14</v>
      </c>
      <c r="G116" s="18">
        <f>IF(AND(G6="Estimating change in carbon stock in trees between two points in time",G8="no-decrease"),0,IF(AND(G6="Estimating change in carbon stock in trees between two points in time",G8="Estimation by proportionate crown cover"),G13,IF(AND(G6="Estimating change in carbon stock in trees between two points in time",G8="Direct estimation of change by re-measurement of sample plots"),G22,IF(AND(G6="Estimating change in carbon stock in trees between two points in time",G8="Difference of two independent stock estimations"),G42,IF(AND(G6="Estimating change in carbon stock in trees in a year"),G45)))))</f>
        <v>1</v>
      </c>
      <c r="H116" s="18"/>
      <c r="I116" s="18"/>
    </row>
    <row r="117" spans="1:9" ht="29.25" customHeight="1">
      <c r="A117" s="18" t="s">
        <v>11</v>
      </c>
      <c r="B117" s="18" t="s">
        <v>17</v>
      </c>
      <c r="C117" s="10" t="s">
        <v>508</v>
      </c>
      <c r="D117" s="18"/>
      <c r="E117" s="3" t="s">
        <v>509</v>
      </c>
      <c r="F117" s="3" t="s">
        <v>14</v>
      </c>
      <c r="G117" s="18" t="s">
        <v>510</v>
      </c>
      <c r="H117" s="18"/>
      <c r="I117" s="18"/>
    </row>
    <row r="118" spans="1:9">
      <c r="A118" s="18" t="s">
        <v>14</v>
      </c>
      <c r="B118" s="10" t="s">
        <v>511</v>
      </c>
      <c r="C118" s="18" t="s">
        <v>47</v>
      </c>
      <c r="D118" s="18" t="b">
        <f>EXACT(G117,"Estimating change in carbon stock in shrubs between two points in time")</f>
        <v>1</v>
      </c>
      <c r="E118" s="18" t="s">
        <v>512</v>
      </c>
      <c r="F118" s="18" t="s">
        <v>14</v>
      </c>
      <c r="G118" s="18" t="s">
        <v>47</v>
      </c>
      <c r="H118" s="18" t="s">
        <v>47</v>
      </c>
      <c r="I118" s="18" t="s">
        <v>47</v>
      </c>
    </row>
    <row r="119" spans="1:9" ht="29.25" customHeight="1">
      <c r="A119" s="18" t="s">
        <v>11</v>
      </c>
      <c r="B119" s="18" t="s">
        <v>17</v>
      </c>
      <c r="C119" s="10" t="s">
        <v>513</v>
      </c>
      <c r="D119" s="18"/>
      <c r="E119" s="18" t="s">
        <v>514</v>
      </c>
      <c r="F119" s="18" t="s">
        <v>14</v>
      </c>
      <c r="G119" s="18" t="s">
        <v>14</v>
      </c>
      <c r="H119" s="18" t="s">
        <v>47</v>
      </c>
      <c r="I119" s="18" t="s">
        <v>47</v>
      </c>
    </row>
    <row r="120" spans="1:9">
      <c r="A120" s="18" t="s">
        <v>14</v>
      </c>
      <c r="B120" s="10" t="s">
        <v>515</v>
      </c>
      <c r="C120" s="19"/>
      <c r="D120" s="18" t="b">
        <f>EXACT(G119,"Yes")</f>
        <v>0</v>
      </c>
      <c r="E120" s="18" t="s">
        <v>393</v>
      </c>
      <c r="F120" s="3" t="s">
        <v>14</v>
      </c>
      <c r="G120" s="18"/>
      <c r="H120" s="18"/>
      <c r="I120" s="18"/>
    </row>
    <row r="121" spans="1:9" ht="165" collapsed="1">
      <c r="A121" s="20" t="s">
        <v>14</v>
      </c>
      <c r="B121" s="20" t="s">
        <v>44</v>
      </c>
      <c r="C121" s="20"/>
      <c r="D121" s="20"/>
      <c r="E121" s="20" t="s">
        <v>516</v>
      </c>
      <c r="F121" s="4" t="s">
        <v>14</v>
      </c>
      <c r="G121" s="20"/>
      <c r="H121" s="20"/>
      <c r="I121" s="20"/>
    </row>
    <row r="122" spans="1:9" ht="60" collapsed="1">
      <c r="A122" s="20" t="s">
        <v>11</v>
      </c>
      <c r="B122" s="20" t="s">
        <v>17</v>
      </c>
      <c r="C122" s="27" t="s">
        <v>517</v>
      </c>
      <c r="D122" s="20"/>
      <c r="E122" s="20" t="s">
        <v>518</v>
      </c>
      <c r="F122" s="4" t="s">
        <v>14</v>
      </c>
      <c r="G122" s="20" t="s">
        <v>14</v>
      </c>
      <c r="H122" s="20"/>
      <c r="I122" s="20"/>
    </row>
    <row r="123" spans="1:9" ht="30" collapsed="1">
      <c r="A123" s="20" t="s">
        <v>14</v>
      </c>
      <c r="B123" s="20" t="s">
        <v>82</v>
      </c>
      <c r="C123" s="20" t="s">
        <v>47</v>
      </c>
      <c r="D123" s="20" t="s">
        <v>399</v>
      </c>
      <c r="E123" s="20" t="s">
        <v>519</v>
      </c>
      <c r="F123" s="20" t="s">
        <v>14</v>
      </c>
      <c r="G123" s="20" t="e">
        <f>IF(AND(#REF!="No"),E124-E125,0)</f>
        <v>#REF!</v>
      </c>
      <c r="H123" s="20" t="s">
        <v>47</v>
      </c>
      <c r="I123" s="20" t="s">
        <v>47</v>
      </c>
    </row>
    <row r="124" spans="1:9" ht="30" collapsed="1">
      <c r="A124" s="20" t="s">
        <v>11</v>
      </c>
      <c r="B124" s="20" t="s">
        <v>82</v>
      </c>
      <c r="C124" s="20" t="s">
        <v>47</v>
      </c>
      <c r="D124" s="20"/>
      <c r="E124" s="20" t="s">
        <v>520</v>
      </c>
      <c r="F124" s="20" t="s">
        <v>14</v>
      </c>
      <c r="G124" s="20">
        <v>1</v>
      </c>
      <c r="H124" s="20" t="s">
        <v>47</v>
      </c>
      <c r="I124" s="20" t="s">
        <v>47</v>
      </c>
    </row>
    <row r="125" spans="1:9" ht="30" collapsed="1">
      <c r="A125" s="20" t="s">
        <v>11</v>
      </c>
      <c r="B125" s="20" t="s">
        <v>82</v>
      </c>
      <c r="C125" s="20" t="s">
        <v>47</v>
      </c>
      <c r="D125" s="20"/>
      <c r="E125" s="20" t="s">
        <v>521</v>
      </c>
      <c r="F125" s="20" t="s">
        <v>14</v>
      </c>
      <c r="G125" s="20">
        <v>1</v>
      </c>
      <c r="H125" s="20" t="s">
        <v>47</v>
      </c>
      <c r="I125" s="20" t="s">
        <v>47</v>
      </c>
    </row>
    <row r="126" spans="1:9">
      <c r="A126" s="18" t="s">
        <v>14</v>
      </c>
      <c r="B126" s="10" t="s">
        <v>522</v>
      </c>
      <c r="C126" s="18" t="s">
        <v>47</v>
      </c>
      <c r="D126" s="18" t="b">
        <f>EXACT(G117,"Estimating change in carbon stock in shrubs in a year")</f>
        <v>0</v>
      </c>
      <c r="E126" s="18" t="s">
        <v>523</v>
      </c>
      <c r="F126" s="18" t="s">
        <v>14</v>
      </c>
      <c r="G126" s="18" t="s">
        <v>47</v>
      </c>
      <c r="H126" s="18" t="s">
        <v>47</v>
      </c>
      <c r="I126" s="18" t="s">
        <v>47</v>
      </c>
    </row>
    <row r="127" spans="1:9" ht="30" collapsed="1">
      <c r="A127" s="20" t="s">
        <v>14</v>
      </c>
      <c r="B127" s="20" t="s">
        <v>82</v>
      </c>
      <c r="C127" s="20" t="s">
        <v>47</v>
      </c>
      <c r="D127" s="20" t="s">
        <v>399</v>
      </c>
      <c r="E127" s="20" t="s">
        <v>524</v>
      </c>
      <c r="F127" s="20" t="s">
        <v>14</v>
      </c>
      <c r="G127" s="20">
        <f>(G128-G129/G130)*1</f>
        <v>0</v>
      </c>
      <c r="H127" s="20" t="s">
        <v>47</v>
      </c>
      <c r="I127" s="20" t="s">
        <v>47</v>
      </c>
    </row>
    <row r="128" spans="1:9" collapsed="1">
      <c r="A128" s="20" t="s">
        <v>11</v>
      </c>
      <c r="B128" s="20" t="s">
        <v>82</v>
      </c>
      <c r="C128" s="20" t="s">
        <v>47</v>
      </c>
      <c r="D128" s="20"/>
      <c r="E128" s="20" t="s">
        <v>525</v>
      </c>
      <c r="F128" s="20" t="s">
        <v>14</v>
      </c>
      <c r="G128" s="20">
        <v>1</v>
      </c>
      <c r="H128" s="20" t="s">
        <v>47</v>
      </c>
      <c r="I128" s="20" t="s">
        <v>47</v>
      </c>
    </row>
    <row r="129" spans="1:9" collapsed="1">
      <c r="A129" s="20" t="s">
        <v>11</v>
      </c>
      <c r="B129" s="20" t="s">
        <v>82</v>
      </c>
      <c r="C129" s="20" t="s">
        <v>47</v>
      </c>
      <c r="D129" s="20"/>
      <c r="E129" s="20" t="s">
        <v>526</v>
      </c>
      <c r="F129" s="20" t="s">
        <v>14</v>
      </c>
      <c r="G129" s="20">
        <v>1</v>
      </c>
      <c r="H129" s="20" t="s">
        <v>47</v>
      </c>
      <c r="I129" s="20" t="s">
        <v>47</v>
      </c>
    </row>
    <row r="130" spans="1:9" ht="30" collapsed="1">
      <c r="A130" s="20" t="s">
        <v>11</v>
      </c>
      <c r="B130" s="20" t="s">
        <v>82</v>
      </c>
      <c r="C130" s="20" t="s">
        <v>47</v>
      </c>
      <c r="D130" s="20"/>
      <c r="E130" s="20" t="s">
        <v>527</v>
      </c>
      <c r="F130" s="20" t="s">
        <v>14</v>
      </c>
      <c r="G130" s="20">
        <v>1</v>
      </c>
      <c r="H130" s="20" t="s">
        <v>47</v>
      </c>
      <c r="I130" s="20" t="s">
        <v>47</v>
      </c>
    </row>
    <row r="131" spans="1:9">
      <c r="A131" s="18" t="s">
        <v>11</v>
      </c>
      <c r="B131" s="10" t="s">
        <v>528</v>
      </c>
      <c r="C131" s="18" t="s">
        <v>47</v>
      </c>
      <c r="D131" s="18"/>
      <c r="E131" s="18" t="s">
        <v>529</v>
      </c>
      <c r="F131" s="18" t="s">
        <v>11</v>
      </c>
      <c r="G131" s="18" t="s">
        <v>47</v>
      </c>
      <c r="H131" s="18" t="s">
        <v>47</v>
      </c>
      <c r="I131" s="18" t="s">
        <v>47</v>
      </c>
    </row>
    <row r="132" spans="1:9" ht="13.5" customHeight="1" collapsed="1">
      <c r="A132" s="20" t="s">
        <v>14</v>
      </c>
      <c r="B132" s="20" t="s">
        <v>82</v>
      </c>
      <c r="C132" s="20" t="s">
        <v>47</v>
      </c>
      <c r="D132" s="20" t="s">
        <v>399</v>
      </c>
      <c r="E132" s="20" t="s">
        <v>530</v>
      </c>
      <c r="F132" s="20" t="s">
        <v>14</v>
      </c>
      <c r="G132" s="20">
        <f>44/12*G133*(1+G134)*SUM((G139*G140))</f>
        <v>7.333333333333333</v>
      </c>
      <c r="H132" s="20" t="s">
        <v>47</v>
      </c>
      <c r="I132" s="20" t="s">
        <v>47</v>
      </c>
    </row>
    <row r="133" spans="1:9" ht="13.5" customHeight="1" collapsed="1">
      <c r="A133" s="20" t="s">
        <v>11</v>
      </c>
      <c r="B133" s="20" t="s">
        <v>82</v>
      </c>
      <c r="C133" s="20" t="s">
        <v>47</v>
      </c>
      <c r="D133" s="20"/>
      <c r="E133" s="20" t="s">
        <v>531</v>
      </c>
      <c r="F133" s="20" t="s">
        <v>14</v>
      </c>
      <c r="G133" s="20">
        <v>1</v>
      </c>
      <c r="H133" s="20" t="s">
        <v>47</v>
      </c>
      <c r="I133" s="20" t="s">
        <v>47</v>
      </c>
    </row>
    <row r="134" spans="1:9" collapsed="1">
      <c r="A134" s="20" t="s">
        <v>11</v>
      </c>
      <c r="B134" s="20" t="s">
        <v>82</v>
      </c>
      <c r="C134" s="20" t="s">
        <v>47</v>
      </c>
      <c r="D134" s="20"/>
      <c r="E134" s="20" t="s">
        <v>532</v>
      </c>
      <c r="F134" s="20" t="s">
        <v>14</v>
      </c>
      <c r="G134" s="20">
        <v>1</v>
      </c>
      <c r="H134" s="20" t="s">
        <v>47</v>
      </c>
      <c r="I134" s="20" t="s">
        <v>47</v>
      </c>
    </row>
    <row r="135" spans="1:9">
      <c r="A135" s="22" t="s">
        <v>11</v>
      </c>
      <c r="B135" s="23" t="s">
        <v>533</v>
      </c>
      <c r="C135" s="22" t="s">
        <v>47</v>
      </c>
      <c r="D135" s="22"/>
      <c r="E135" s="22" t="s">
        <v>534</v>
      </c>
      <c r="F135" s="22" t="s">
        <v>11</v>
      </c>
      <c r="G135" s="22" t="s">
        <v>47</v>
      </c>
      <c r="H135" s="22" t="s">
        <v>47</v>
      </c>
      <c r="I135" s="22" t="s">
        <v>47</v>
      </c>
    </row>
    <row r="136" spans="1:9" ht="30" collapsed="1">
      <c r="A136" s="20" t="s">
        <v>11</v>
      </c>
      <c r="B136" s="20" t="s">
        <v>82</v>
      </c>
      <c r="C136" s="20" t="s">
        <v>47</v>
      </c>
      <c r="D136" s="20"/>
      <c r="E136" s="20" t="s">
        <v>535</v>
      </c>
      <c r="F136" s="20" t="s">
        <v>14</v>
      </c>
      <c r="G136" s="20">
        <v>1</v>
      </c>
      <c r="H136" s="20" t="s">
        <v>47</v>
      </c>
      <c r="I136" s="20" t="s">
        <v>47</v>
      </c>
    </row>
    <row r="137" spans="1:9" ht="30" collapsed="1">
      <c r="A137" s="20" t="s">
        <v>11</v>
      </c>
      <c r="B137" s="20" t="s">
        <v>82</v>
      </c>
      <c r="C137" s="20" t="s">
        <v>47</v>
      </c>
      <c r="D137" s="20"/>
      <c r="E137" s="20" t="s">
        <v>536</v>
      </c>
      <c r="F137" s="20" t="s">
        <v>14</v>
      </c>
      <c r="G137" s="20">
        <v>1</v>
      </c>
      <c r="H137" s="20" t="s">
        <v>47</v>
      </c>
      <c r="I137" s="20" t="s">
        <v>47</v>
      </c>
    </row>
    <row r="138" spans="1:9" ht="30" collapsed="1">
      <c r="A138" s="20" t="s">
        <v>11</v>
      </c>
      <c r="B138" s="20" t="s">
        <v>82</v>
      </c>
      <c r="C138" s="20" t="s">
        <v>47</v>
      </c>
      <c r="D138" s="20"/>
      <c r="E138" s="20" t="s">
        <v>537</v>
      </c>
      <c r="F138" s="20" t="s">
        <v>14</v>
      </c>
      <c r="G138" s="20">
        <v>1</v>
      </c>
      <c r="H138" s="20" t="s">
        <v>47</v>
      </c>
      <c r="I138" s="20" t="s">
        <v>47</v>
      </c>
    </row>
    <row r="139" spans="1:9" ht="30" collapsed="1">
      <c r="A139" s="20" t="s">
        <v>11</v>
      </c>
      <c r="B139" s="20" t="s">
        <v>82</v>
      </c>
      <c r="C139" s="20" t="s">
        <v>47</v>
      </c>
      <c r="D139" s="20"/>
      <c r="E139" s="20" t="s">
        <v>538</v>
      </c>
      <c r="F139" s="20" t="s">
        <v>14</v>
      </c>
      <c r="G139" s="20">
        <v>1</v>
      </c>
      <c r="H139" s="20" t="s">
        <v>47</v>
      </c>
      <c r="I139" s="20" t="s">
        <v>47</v>
      </c>
    </row>
    <row r="140" spans="1:9" ht="30" collapsed="1">
      <c r="A140" s="20" t="s">
        <v>14</v>
      </c>
      <c r="B140" s="20" t="s">
        <v>82</v>
      </c>
      <c r="C140" s="20" t="s">
        <v>47</v>
      </c>
      <c r="D140" s="20" t="s">
        <v>399</v>
      </c>
      <c r="E140" s="20" t="s">
        <v>539</v>
      </c>
      <c r="F140" s="20" t="s">
        <v>14</v>
      </c>
      <c r="G140" s="20">
        <f>G136*G137*G138</f>
        <v>1</v>
      </c>
      <c r="H140" s="20" t="s">
        <v>47</v>
      </c>
      <c r="I140" s="20" t="s">
        <v>47</v>
      </c>
    </row>
    <row r="141" spans="1:9" ht="29.25" customHeight="1">
      <c r="A141" s="18" t="s">
        <v>14</v>
      </c>
      <c r="B141" s="18" t="s">
        <v>82</v>
      </c>
      <c r="C141" s="10"/>
      <c r="D141" s="18" t="s">
        <v>399</v>
      </c>
      <c r="E141" s="18" t="s">
        <v>540</v>
      </c>
      <c r="F141" s="18" t="s">
        <v>14</v>
      </c>
      <c r="G141" s="18">
        <f>G132</f>
        <v>7.333333333333333</v>
      </c>
      <c r="H141" s="18"/>
      <c r="I141" s="18"/>
    </row>
    <row r="142" spans="1:9" ht="29.25" customHeight="1">
      <c r="A142" s="18" t="s">
        <v>14</v>
      </c>
      <c r="B142" s="18" t="s">
        <v>82</v>
      </c>
      <c r="C142" s="10"/>
      <c r="D142" s="18" t="s">
        <v>399</v>
      </c>
      <c r="E142" s="18" t="s">
        <v>541</v>
      </c>
      <c r="F142" s="18" t="s">
        <v>14</v>
      </c>
      <c r="G142" s="18" t="e">
        <f>IF(AND(G117="Estimating change in carbon stock in shrubs between two points in time",G119="Yes"),0,IF(AND(G117="Estimating change in carbon stock in shrubs between two points in time"),G123,IF(AND(G117="Estimating change in carbon stock in shrubs in a year"),G127)))</f>
        <v>#REF!</v>
      </c>
      <c r="H142" s="18"/>
      <c r="I142" s="18"/>
    </row>
    <row r="143" spans="1:9" ht="29.25" customHeight="1">
      <c r="A143" s="18" t="s">
        <v>11</v>
      </c>
      <c r="B143" s="10" t="s">
        <v>542</v>
      </c>
      <c r="C143" s="19"/>
      <c r="D143" s="18"/>
      <c r="E143" s="18" t="s">
        <v>543</v>
      </c>
      <c r="F143" s="18" t="s">
        <v>14</v>
      </c>
      <c r="G143" s="18"/>
      <c r="H143" s="18"/>
      <c r="I143" s="18"/>
    </row>
    <row r="144" spans="1:9" ht="29.25" customHeight="1">
      <c r="A144" s="18" t="s">
        <v>11</v>
      </c>
      <c r="B144" s="18" t="s">
        <v>17</v>
      </c>
      <c r="C144" s="10" t="s">
        <v>544</v>
      </c>
      <c r="D144" s="18"/>
      <c r="E144" s="18" t="s">
        <v>385</v>
      </c>
      <c r="F144" s="3" t="s">
        <v>14</v>
      </c>
      <c r="G144" s="18" t="s">
        <v>386</v>
      </c>
      <c r="H144" s="18"/>
      <c r="I144" s="18"/>
    </row>
    <row r="145" spans="1:9" ht="29.25" customHeight="1">
      <c r="A145" s="3" t="s">
        <v>14</v>
      </c>
      <c r="B145" s="10" t="s">
        <v>545</v>
      </c>
      <c r="C145" s="10"/>
      <c r="D145" s="18" t="b">
        <f>EXACT(G144,"Estimating change in carbon stock in trees between two points in time")</f>
        <v>0</v>
      </c>
      <c r="E145" s="18" t="s">
        <v>388</v>
      </c>
      <c r="F145" s="3" t="s">
        <v>14</v>
      </c>
      <c r="G145" s="18"/>
      <c r="H145" s="18"/>
      <c r="I145" s="18"/>
    </row>
    <row r="146" spans="1:9" ht="29.25" customHeight="1">
      <c r="A146" s="18" t="s">
        <v>11</v>
      </c>
      <c r="B146" s="18" t="s">
        <v>17</v>
      </c>
      <c r="C146" s="10" t="s">
        <v>546</v>
      </c>
      <c r="D146" s="18"/>
      <c r="E146" s="18" t="s">
        <v>390</v>
      </c>
      <c r="F146" s="18" t="s">
        <v>14</v>
      </c>
      <c r="G146" s="18" t="s">
        <v>391</v>
      </c>
      <c r="H146" s="18" t="s">
        <v>47</v>
      </c>
      <c r="I146" s="18" t="s">
        <v>47</v>
      </c>
    </row>
    <row r="147" spans="1:9">
      <c r="A147" s="18" t="s">
        <v>14</v>
      </c>
      <c r="B147" s="10" t="s">
        <v>392</v>
      </c>
      <c r="C147" s="19"/>
      <c r="D147" s="18" t="b">
        <f>EXACT(G146,"no-decrease")</f>
        <v>1</v>
      </c>
      <c r="E147" s="18" t="s">
        <v>393</v>
      </c>
      <c r="F147" s="3" t="s">
        <v>14</v>
      </c>
      <c r="G147" s="18"/>
      <c r="H147" s="18"/>
      <c r="I147" s="18"/>
    </row>
    <row r="148" spans="1:9" ht="165" collapsed="1">
      <c r="A148" s="20" t="s">
        <v>14</v>
      </c>
      <c r="B148" s="20" t="s">
        <v>44</v>
      </c>
      <c r="C148" s="20"/>
      <c r="D148" s="20"/>
      <c r="E148" s="20" t="s">
        <v>394</v>
      </c>
      <c r="F148" s="4" t="s">
        <v>14</v>
      </c>
      <c r="G148" s="20"/>
      <c r="H148" s="20"/>
      <c r="I148" s="20"/>
    </row>
    <row r="149" spans="1:9" ht="60" collapsed="1">
      <c r="A149" s="20" t="s">
        <v>11</v>
      </c>
      <c r="B149" s="20" t="s">
        <v>17</v>
      </c>
      <c r="C149" s="27" t="s">
        <v>395</v>
      </c>
      <c r="D149" s="20"/>
      <c r="E149" s="20" t="s">
        <v>396</v>
      </c>
      <c r="F149" s="4" t="s">
        <v>14</v>
      </c>
      <c r="G149" s="20"/>
      <c r="H149" s="20"/>
      <c r="I149" s="20"/>
    </row>
    <row r="150" spans="1:9">
      <c r="A150" s="18" t="s">
        <v>14</v>
      </c>
      <c r="B150" s="10" t="s">
        <v>410</v>
      </c>
      <c r="C150" s="18" t="s">
        <v>47</v>
      </c>
      <c r="D150" s="18" t="b">
        <f>EXACT(G146,"Direct estimation of change by re-measurement of sample plots")</f>
        <v>0</v>
      </c>
      <c r="E150" s="18" t="s">
        <v>547</v>
      </c>
      <c r="F150" s="18" t="s">
        <v>14</v>
      </c>
      <c r="G150" s="18" t="s">
        <v>47</v>
      </c>
      <c r="H150" s="18" t="s">
        <v>47</v>
      </c>
      <c r="I150" s="18" t="s">
        <v>47</v>
      </c>
    </row>
    <row r="151" spans="1:9" collapsed="1">
      <c r="A151" s="20" t="s">
        <v>14</v>
      </c>
      <c r="B151" s="20" t="s">
        <v>82</v>
      </c>
      <c r="C151" s="20" t="s">
        <v>47</v>
      </c>
      <c r="D151" s="20" t="s">
        <v>399</v>
      </c>
      <c r="E151" s="20" t="s">
        <v>412</v>
      </c>
      <c r="F151" s="20" t="s">
        <v>14</v>
      </c>
      <c r="G151" s="20">
        <f>44/12*G152*G153</f>
        <v>3.6666666666666665</v>
      </c>
      <c r="H151" s="20" t="s">
        <v>47</v>
      </c>
      <c r="I151" s="20" t="s">
        <v>47</v>
      </c>
    </row>
    <row r="152" spans="1:9" collapsed="1">
      <c r="A152" s="20" t="s">
        <v>11</v>
      </c>
      <c r="B152" s="20" t="s">
        <v>82</v>
      </c>
      <c r="C152" s="20" t="s">
        <v>47</v>
      </c>
      <c r="D152" s="20"/>
      <c r="E152" s="20" t="s">
        <v>405</v>
      </c>
      <c r="F152" s="20" t="s">
        <v>14</v>
      </c>
      <c r="G152" s="20">
        <v>1</v>
      </c>
      <c r="H152" s="20" t="s">
        <v>47</v>
      </c>
      <c r="I152" s="20" t="s">
        <v>47</v>
      </c>
    </row>
    <row r="153" spans="1:9" ht="30" collapsed="1">
      <c r="A153" s="20" t="s">
        <v>14</v>
      </c>
      <c r="B153" s="20" t="s">
        <v>82</v>
      </c>
      <c r="C153" s="20" t="s">
        <v>47</v>
      </c>
      <c r="D153" s="20" t="s">
        <v>399</v>
      </c>
      <c r="E153" s="20" t="s">
        <v>413</v>
      </c>
      <c r="F153" s="20" t="s">
        <v>14</v>
      </c>
      <c r="G153" s="20">
        <f>G155*G154</f>
        <v>1</v>
      </c>
      <c r="H153" s="20" t="s">
        <v>47</v>
      </c>
      <c r="I153" s="20" t="s">
        <v>47</v>
      </c>
    </row>
    <row r="154" spans="1:9" ht="30" collapsed="1">
      <c r="A154" s="20" t="s">
        <v>14</v>
      </c>
      <c r="B154" s="20" t="s">
        <v>82</v>
      </c>
      <c r="C154" s="20" t="s">
        <v>47</v>
      </c>
      <c r="D154" s="20" t="s">
        <v>399</v>
      </c>
      <c r="E154" s="20" t="s">
        <v>414</v>
      </c>
      <c r="F154" s="20" t="s">
        <v>14</v>
      </c>
      <c r="G154" s="20">
        <f>SUM((G160*G159))</f>
        <v>1</v>
      </c>
      <c r="H154" s="20" t="s">
        <v>47</v>
      </c>
      <c r="I154" s="20" t="s">
        <v>47</v>
      </c>
    </row>
    <row r="155" spans="1:9" collapsed="1">
      <c r="A155" s="20" t="s">
        <v>11</v>
      </c>
      <c r="B155" s="20" t="s">
        <v>82</v>
      </c>
      <c r="C155" s="20" t="s">
        <v>47</v>
      </c>
      <c r="D155" s="20"/>
      <c r="E155" s="20" t="s">
        <v>415</v>
      </c>
      <c r="F155" s="20" t="s">
        <v>14</v>
      </c>
      <c r="G155" s="20">
        <v>1</v>
      </c>
      <c r="H155" s="20" t="s">
        <v>47</v>
      </c>
      <c r="I155" s="20" t="s">
        <v>47</v>
      </c>
    </row>
    <row r="156" spans="1:9" collapsed="1">
      <c r="A156" s="20" t="s">
        <v>11</v>
      </c>
      <c r="B156" s="20" t="s">
        <v>82</v>
      </c>
      <c r="C156" s="20" t="s">
        <v>47</v>
      </c>
      <c r="D156" s="20"/>
      <c r="E156" s="20" t="s">
        <v>548</v>
      </c>
      <c r="F156" s="20" t="s">
        <v>14</v>
      </c>
      <c r="G156" s="20">
        <v>1</v>
      </c>
      <c r="H156" s="20" t="s">
        <v>47</v>
      </c>
      <c r="I156" s="20" t="s">
        <v>47</v>
      </c>
    </row>
    <row r="157" spans="1:9" collapsed="1">
      <c r="A157" s="20" t="s">
        <v>11</v>
      </c>
      <c r="B157" s="20" t="s">
        <v>82</v>
      </c>
      <c r="C157" s="20" t="s">
        <v>47</v>
      </c>
      <c r="D157" s="20"/>
      <c r="E157" s="20" t="s">
        <v>417</v>
      </c>
      <c r="F157" s="20" t="s">
        <v>14</v>
      </c>
      <c r="G157" s="20">
        <v>1</v>
      </c>
      <c r="H157" s="20" t="s">
        <v>47</v>
      </c>
      <c r="I157" s="20" t="s">
        <v>47</v>
      </c>
    </row>
    <row r="158" spans="1:9" ht="30">
      <c r="A158" s="22" t="s">
        <v>11</v>
      </c>
      <c r="B158" s="23" t="s">
        <v>418</v>
      </c>
      <c r="C158" s="22" t="s">
        <v>47</v>
      </c>
      <c r="D158" s="22"/>
      <c r="E158" s="22" t="s">
        <v>419</v>
      </c>
      <c r="F158" s="22" t="s">
        <v>11</v>
      </c>
      <c r="G158" s="22" t="s">
        <v>47</v>
      </c>
      <c r="H158" s="22" t="s">
        <v>47</v>
      </c>
      <c r="I158" s="22" t="s">
        <v>47</v>
      </c>
    </row>
    <row r="159" spans="1:9" ht="30" collapsed="1">
      <c r="A159" s="20" t="s">
        <v>14</v>
      </c>
      <c r="B159" s="20" t="s">
        <v>82</v>
      </c>
      <c r="C159" s="20" t="s">
        <v>47</v>
      </c>
      <c r="D159" s="20" t="s">
        <v>399</v>
      </c>
      <c r="E159" s="20" t="s">
        <v>420</v>
      </c>
      <c r="F159" s="20" t="s">
        <v>14</v>
      </c>
      <c r="G159" s="20">
        <f>(SUM(G164))/G162</f>
        <v>1</v>
      </c>
      <c r="H159" s="20" t="s">
        <v>47</v>
      </c>
      <c r="I159" s="20" t="s">
        <v>47</v>
      </c>
    </row>
    <row r="160" spans="1:9" ht="30" collapsed="1">
      <c r="A160" s="20" t="s">
        <v>11</v>
      </c>
      <c r="B160" s="20" t="s">
        <v>82</v>
      </c>
      <c r="C160" s="20" t="s">
        <v>47</v>
      </c>
      <c r="D160" s="20"/>
      <c r="E160" s="20" t="s">
        <v>421</v>
      </c>
      <c r="F160" s="20" t="s">
        <v>14</v>
      </c>
      <c r="G160" s="20">
        <v>1</v>
      </c>
      <c r="H160" s="20" t="s">
        <v>47</v>
      </c>
      <c r="I160" s="20" t="s">
        <v>47</v>
      </c>
    </row>
    <row r="161" spans="1:9" ht="30" collapsed="1">
      <c r="A161" s="20" t="s">
        <v>11</v>
      </c>
      <c r="B161" s="20" t="s">
        <v>82</v>
      </c>
      <c r="C161" s="20" t="s">
        <v>47</v>
      </c>
      <c r="D161" s="20"/>
      <c r="E161" s="20" t="s">
        <v>422</v>
      </c>
      <c r="F161" s="20" t="s">
        <v>14</v>
      </c>
      <c r="G161" s="20">
        <v>1</v>
      </c>
      <c r="H161" s="20" t="s">
        <v>47</v>
      </c>
      <c r="I161" s="20" t="s">
        <v>47</v>
      </c>
    </row>
    <row r="162" spans="1:9" ht="30" collapsed="1">
      <c r="A162" s="20" t="s">
        <v>11</v>
      </c>
      <c r="B162" s="20" t="s">
        <v>82</v>
      </c>
      <c r="C162" s="20" t="s">
        <v>47</v>
      </c>
      <c r="D162" s="20"/>
      <c r="E162" s="20" t="s">
        <v>423</v>
      </c>
      <c r="F162" s="20" t="s">
        <v>14</v>
      </c>
      <c r="G162" s="20">
        <v>1</v>
      </c>
      <c r="H162" s="20" t="s">
        <v>47</v>
      </c>
      <c r="I162" s="20" t="s">
        <v>47</v>
      </c>
    </row>
    <row r="163" spans="1:9">
      <c r="A163" s="22" t="s">
        <v>11</v>
      </c>
      <c r="B163" s="23" t="s">
        <v>424</v>
      </c>
      <c r="C163" s="22"/>
      <c r="D163" s="22"/>
      <c r="E163" s="22" t="s">
        <v>425</v>
      </c>
      <c r="F163" s="22" t="s">
        <v>11</v>
      </c>
      <c r="G163" s="22"/>
      <c r="H163" s="22"/>
      <c r="I163" s="22"/>
    </row>
    <row r="164" spans="1:9" s="25" customFormat="1" ht="30" collapsed="1">
      <c r="A164" s="24" t="s">
        <v>11</v>
      </c>
      <c r="B164" s="24" t="s">
        <v>82</v>
      </c>
      <c r="C164" s="24" t="s">
        <v>47</v>
      </c>
      <c r="D164" s="24"/>
      <c r="E164" s="24" t="s">
        <v>426</v>
      </c>
      <c r="F164" s="24" t="s">
        <v>14</v>
      </c>
      <c r="G164" s="24">
        <v>1</v>
      </c>
      <c r="H164" s="24" t="s">
        <v>47</v>
      </c>
      <c r="I164" s="24" t="s">
        <v>47</v>
      </c>
    </row>
    <row r="165" spans="1:9">
      <c r="A165" s="18" t="s">
        <v>14</v>
      </c>
      <c r="B165" s="10" t="s">
        <v>427</v>
      </c>
      <c r="C165" s="18" t="s">
        <v>47</v>
      </c>
      <c r="D165" s="18" t="b">
        <f>EXACT(G146,"Difference of two independent stock estimations")</f>
        <v>0</v>
      </c>
      <c r="E165" s="18" t="s">
        <v>549</v>
      </c>
      <c r="F165" s="18" t="s">
        <v>14</v>
      </c>
      <c r="G165" s="18" t="s">
        <v>47</v>
      </c>
      <c r="H165" s="18" t="s">
        <v>47</v>
      </c>
      <c r="I165" s="18" t="s">
        <v>47</v>
      </c>
    </row>
    <row r="166" spans="1:9" collapsed="1">
      <c r="A166" s="20" t="s">
        <v>11</v>
      </c>
      <c r="B166" s="20" t="s">
        <v>82</v>
      </c>
      <c r="C166" s="20" t="s">
        <v>47</v>
      </c>
      <c r="D166" s="20"/>
      <c r="E166" s="20" t="s">
        <v>429</v>
      </c>
      <c r="F166" s="20" t="s">
        <v>14</v>
      </c>
      <c r="G166" s="20">
        <v>1</v>
      </c>
      <c r="H166" s="20" t="s">
        <v>47</v>
      </c>
      <c r="I166" s="20" t="s">
        <v>47</v>
      </c>
    </row>
    <row r="167" spans="1:9" collapsed="1">
      <c r="A167" s="20" t="s">
        <v>11</v>
      </c>
      <c r="B167" s="20" t="s">
        <v>82</v>
      </c>
      <c r="C167" s="20" t="s">
        <v>47</v>
      </c>
      <c r="D167" s="20"/>
      <c r="E167" s="20" t="s">
        <v>430</v>
      </c>
      <c r="F167" s="20" t="s">
        <v>14</v>
      </c>
      <c r="G167" s="20">
        <v>1</v>
      </c>
      <c r="H167" s="20" t="s">
        <v>47</v>
      </c>
      <c r="I167" s="20" t="s">
        <v>47</v>
      </c>
    </row>
    <row r="168" spans="1:9" collapsed="1">
      <c r="A168" s="20" t="s">
        <v>11</v>
      </c>
      <c r="B168" s="20" t="s">
        <v>82</v>
      </c>
      <c r="C168" s="20" t="s">
        <v>47</v>
      </c>
      <c r="D168" s="20"/>
      <c r="E168" s="20" t="s">
        <v>431</v>
      </c>
      <c r="F168" s="20" t="s">
        <v>14</v>
      </c>
      <c r="G168" s="20">
        <v>1</v>
      </c>
      <c r="H168" s="20" t="s">
        <v>47</v>
      </c>
      <c r="I168" s="20" t="s">
        <v>47</v>
      </c>
    </row>
    <row r="169" spans="1:9" collapsed="1">
      <c r="A169" s="20" t="s">
        <v>11</v>
      </c>
      <c r="B169" s="20" t="s">
        <v>82</v>
      </c>
      <c r="C169" s="20" t="s">
        <v>47</v>
      </c>
      <c r="D169" s="20"/>
      <c r="E169" s="20" t="s">
        <v>432</v>
      </c>
      <c r="F169" s="20" t="s">
        <v>14</v>
      </c>
      <c r="G169" s="20">
        <v>1</v>
      </c>
      <c r="H169" s="20" t="s">
        <v>47</v>
      </c>
      <c r="I169" s="20" t="s">
        <v>47</v>
      </c>
    </row>
    <row r="170" spans="1:9" ht="30" collapsed="1">
      <c r="A170" s="20" t="s">
        <v>14</v>
      </c>
      <c r="B170" s="20" t="s">
        <v>82</v>
      </c>
      <c r="C170" s="20" t="s">
        <v>47</v>
      </c>
      <c r="D170" s="20" t="s">
        <v>399</v>
      </c>
      <c r="E170" s="24" t="s">
        <v>550</v>
      </c>
      <c r="F170" s="20" t="s">
        <v>14</v>
      </c>
      <c r="G170" s="20" t="e">
        <f>(SQRT((G168*G166)^2+(G169*G167)^2))/G171</f>
        <v>#DIV/0!</v>
      </c>
      <c r="H170" s="20" t="s">
        <v>47</v>
      </c>
      <c r="I170" s="20" t="s">
        <v>47</v>
      </c>
    </row>
    <row r="171" spans="1:9" collapsed="1">
      <c r="A171" s="20" t="s">
        <v>14</v>
      </c>
      <c r="B171" s="20" t="s">
        <v>82</v>
      </c>
      <c r="C171" s="20" t="s">
        <v>47</v>
      </c>
      <c r="D171" s="20" t="s">
        <v>399</v>
      </c>
      <c r="E171" s="20" t="s">
        <v>551</v>
      </c>
      <c r="F171" s="20" t="s">
        <v>14</v>
      </c>
      <c r="G171" s="20">
        <f>G167-G166</f>
        <v>0</v>
      </c>
      <c r="H171" s="20" t="s">
        <v>47</v>
      </c>
      <c r="I171" s="20" t="s">
        <v>47</v>
      </c>
    </row>
    <row r="172" spans="1:9" collapsed="1">
      <c r="A172" s="20" t="s">
        <v>11</v>
      </c>
      <c r="B172" s="20" t="s">
        <v>82</v>
      </c>
      <c r="C172" s="20" t="s">
        <v>47</v>
      </c>
      <c r="D172" s="20"/>
      <c r="E172" s="20" t="s">
        <v>552</v>
      </c>
      <c r="F172" s="20" t="s">
        <v>14</v>
      </c>
      <c r="G172" s="26">
        <v>7.0000000000000007E-2</v>
      </c>
      <c r="H172" s="20" t="s">
        <v>47</v>
      </c>
      <c r="I172" s="20" t="s">
        <v>47</v>
      </c>
    </row>
    <row r="173" spans="1:9">
      <c r="A173" s="18" t="s">
        <v>11</v>
      </c>
      <c r="B173" s="10" t="s">
        <v>553</v>
      </c>
      <c r="C173" s="18" t="s">
        <v>47</v>
      </c>
      <c r="D173" s="18" t="b">
        <f>EXACT(G144,"Estimating change in carbon stock in trees in a year")</f>
        <v>1</v>
      </c>
      <c r="E173" s="18" t="s">
        <v>386</v>
      </c>
      <c r="F173" s="18" t="s">
        <v>14</v>
      </c>
      <c r="G173" s="18" t="s">
        <v>47</v>
      </c>
      <c r="H173" s="18" t="s">
        <v>47</v>
      </c>
      <c r="I173" s="18" t="s">
        <v>47</v>
      </c>
    </row>
    <row r="174" spans="1:9" ht="30" collapsed="1">
      <c r="A174" s="20" t="s">
        <v>14</v>
      </c>
      <c r="B174" s="20" t="s">
        <v>82</v>
      </c>
      <c r="C174" s="20" t="s">
        <v>47</v>
      </c>
      <c r="D174" s="20" t="s">
        <v>399</v>
      </c>
      <c r="E174" s="20" t="s">
        <v>554</v>
      </c>
      <c r="F174" s="20" t="s">
        <v>14</v>
      </c>
      <c r="G174" s="20">
        <f>(G175-G176/G177)*1</f>
        <v>0</v>
      </c>
      <c r="H174" s="20" t="s">
        <v>47</v>
      </c>
      <c r="I174" s="20" t="s">
        <v>47</v>
      </c>
    </row>
    <row r="175" spans="1:9" ht="30" collapsed="1">
      <c r="A175" s="20" t="s">
        <v>11</v>
      </c>
      <c r="B175" s="20" t="s">
        <v>82</v>
      </c>
      <c r="C175" s="20" t="s">
        <v>47</v>
      </c>
      <c r="D175" s="20"/>
      <c r="E175" s="20" t="s">
        <v>555</v>
      </c>
      <c r="F175" s="20" t="s">
        <v>14</v>
      </c>
      <c r="G175" s="20">
        <v>1</v>
      </c>
      <c r="H175" s="20" t="s">
        <v>47</v>
      </c>
      <c r="I175" s="20" t="s">
        <v>47</v>
      </c>
    </row>
    <row r="176" spans="1:9" ht="30" collapsed="1">
      <c r="A176" s="20" t="s">
        <v>14</v>
      </c>
      <c r="B176" s="20" t="s">
        <v>82</v>
      </c>
      <c r="C176" s="20" t="s">
        <v>47</v>
      </c>
      <c r="D176" s="20" t="s">
        <v>399</v>
      </c>
      <c r="E176" s="20" t="s">
        <v>556</v>
      </c>
      <c r="F176" s="20" t="s">
        <v>14</v>
      </c>
      <c r="G176" s="20">
        <f>IF(AND(G179="Updating the previous stock by independent measurement of change"),G182,IF(AND(G179="Estimation by modelling of tree growth and stand development"),G196))</f>
        <v>1</v>
      </c>
      <c r="H176" s="20" t="s">
        <v>47</v>
      </c>
      <c r="I176" s="20" t="s">
        <v>47</v>
      </c>
    </row>
    <row r="177" spans="1:9" collapsed="1">
      <c r="A177" s="20" t="s">
        <v>11</v>
      </c>
      <c r="B177" s="20" t="s">
        <v>82</v>
      </c>
      <c r="C177" s="20" t="s">
        <v>47</v>
      </c>
      <c r="D177" s="20"/>
      <c r="E177" s="20" t="s">
        <v>440</v>
      </c>
      <c r="F177" s="20" t="s">
        <v>14</v>
      </c>
      <c r="G177" s="20">
        <v>1</v>
      </c>
      <c r="H177" s="20" t="s">
        <v>47</v>
      </c>
      <c r="I177" s="20" t="s">
        <v>47</v>
      </c>
    </row>
    <row r="178" spans="1:9">
      <c r="A178" s="18" t="s">
        <v>11</v>
      </c>
      <c r="B178" s="10" t="s">
        <v>557</v>
      </c>
      <c r="C178" s="18" t="s">
        <v>47</v>
      </c>
      <c r="D178" s="18"/>
      <c r="E178" s="18" t="s">
        <v>442</v>
      </c>
      <c r="F178" s="18" t="s">
        <v>14</v>
      </c>
      <c r="G178" s="18" t="s">
        <v>47</v>
      </c>
      <c r="H178" s="18" t="s">
        <v>47</v>
      </c>
      <c r="I178" s="18" t="s">
        <v>47</v>
      </c>
    </row>
    <row r="179" spans="1:9" ht="30" collapsed="1">
      <c r="A179" s="20" t="s">
        <v>11</v>
      </c>
      <c r="B179" s="20" t="s">
        <v>17</v>
      </c>
      <c r="C179" s="27" t="s">
        <v>558</v>
      </c>
      <c r="D179" s="20"/>
      <c r="E179" s="20" t="s">
        <v>444</v>
      </c>
      <c r="F179" s="20" t="s">
        <v>14</v>
      </c>
      <c r="G179" s="20" t="s">
        <v>447</v>
      </c>
      <c r="H179" s="20" t="s">
        <v>47</v>
      </c>
      <c r="I179" s="20" t="s">
        <v>47</v>
      </c>
    </row>
    <row r="180" spans="1:9">
      <c r="A180" s="22" t="s">
        <v>14</v>
      </c>
      <c r="B180" s="23" t="s">
        <v>559</v>
      </c>
      <c r="C180" s="22" t="s">
        <v>47</v>
      </c>
      <c r="D180" s="22" t="b">
        <f>EXACT(G179,"Updating the previous stock by independent measurement of change")</f>
        <v>1</v>
      </c>
      <c r="E180" s="22" t="s">
        <v>447</v>
      </c>
      <c r="F180" s="22" t="s">
        <v>14</v>
      </c>
      <c r="G180" s="22" t="s">
        <v>47</v>
      </c>
      <c r="H180" s="22" t="s">
        <v>47</v>
      </c>
      <c r="I180" s="22" t="s">
        <v>47</v>
      </c>
    </row>
    <row r="181" spans="1:9" collapsed="1">
      <c r="A181" s="20" t="s">
        <v>14</v>
      </c>
      <c r="B181" s="20" t="s">
        <v>82</v>
      </c>
      <c r="C181" s="20" t="s">
        <v>47</v>
      </c>
      <c r="D181" s="20" t="s">
        <v>399</v>
      </c>
      <c r="E181" s="20" t="s">
        <v>560</v>
      </c>
      <c r="F181" s="20" t="s">
        <v>14</v>
      </c>
      <c r="G181" s="20" t="e">
        <f>E182+E183</f>
        <v>#VALUE!</v>
      </c>
      <c r="H181" s="20" t="s">
        <v>47</v>
      </c>
      <c r="I181" s="20" t="s">
        <v>47</v>
      </c>
    </row>
    <row r="182" spans="1:9" ht="30" collapsed="1">
      <c r="A182" s="20" t="s">
        <v>11</v>
      </c>
      <c r="B182" s="20" t="s">
        <v>82</v>
      </c>
      <c r="C182" s="20" t="s">
        <v>47</v>
      </c>
      <c r="D182" s="20"/>
      <c r="E182" s="20" t="s">
        <v>561</v>
      </c>
      <c r="F182" s="20" t="s">
        <v>14</v>
      </c>
      <c r="G182" s="20">
        <v>1</v>
      </c>
      <c r="H182" s="20" t="s">
        <v>47</v>
      </c>
      <c r="I182" s="20" t="s">
        <v>47</v>
      </c>
    </row>
    <row r="183" spans="1:9" ht="30" collapsed="1">
      <c r="A183" s="20" t="s">
        <v>11</v>
      </c>
      <c r="B183" s="20" t="s">
        <v>82</v>
      </c>
      <c r="C183" s="20" t="s">
        <v>47</v>
      </c>
      <c r="D183" s="20"/>
      <c r="E183" s="20" t="s">
        <v>562</v>
      </c>
      <c r="F183" s="20" t="s">
        <v>14</v>
      </c>
      <c r="G183" s="20">
        <v>1</v>
      </c>
      <c r="H183" s="20" t="s">
        <v>47</v>
      </c>
      <c r="I183" s="20" t="s">
        <v>47</v>
      </c>
    </row>
    <row r="184" spans="1:9" collapsed="1">
      <c r="A184" s="20" t="s">
        <v>11</v>
      </c>
      <c r="B184" s="20" t="s">
        <v>82</v>
      </c>
      <c r="C184" s="20" t="s">
        <v>47</v>
      </c>
      <c r="D184" s="20"/>
      <c r="E184" s="20" t="s">
        <v>548</v>
      </c>
      <c r="F184" s="20" t="s">
        <v>14</v>
      </c>
      <c r="G184" s="20"/>
      <c r="H184" s="20" t="s">
        <v>47</v>
      </c>
      <c r="I184" s="20" t="s">
        <v>47</v>
      </c>
    </row>
    <row r="185" spans="1:9" ht="30" collapsed="1">
      <c r="A185" s="20" t="s">
        <v>14</v>
      </c>
      <c r="B185" s="20" t="s">
        <v>82</v>
      </c>
      <c r="C185" s="20" t="s">
        <v>47</v>
      </c>
      <c r="D185" s="20" t="s">
        <v>399</v>
      </c>
      <c r="E185" s="20" t="s">
        <v>563</v>
      </c>
      <c r="F185" s="20" t="s">
        <v>14</v>
      </c>
      <c r="G185" s="20" t="e">
        <f>(SQRT((G186*G182)^2+(G184*G183)^2))/G181</f>
        <v>#VALUE!</v>
      </c>
      <c r="H185" s="20" t="s">
        <v>47</v>
      </c>
      <c r="I185" s="20" t="s">
        <v>47</v>
      </c>
    </row>
    <row r="186" spans="1:9" ht="30" collapsed="1">
      <c r="A186" s="20" t="s">
        <v>11</v>
      </c>
      <c r="B186" s="20" t="s">
        <v>82</v>
      </c>
      <c r="C186" s="20" t="s">
        <v>47</v>
      </c>
      <c r="D186" s="20"/>
      <c r="E186" s="20" t="s">
        <v>564</v>
      </c>
      <c r="F186" s="20" t="s">
        <v>14</v>
      </c>
      <c r="G186" s="20">
        <v>1</v>
      </c>
      <c r="H186" s="20" t="s">
        <v>47</v>
      </c>
      <c r="I186" s="20" t="s">
        <v>47</v>
      </c>
    </row>
    <row r="187" spans="1:9">
      <c r="A187" s="22" t="s">
        <v>14</v>
      </c>
      <c r="B187" s="23" t="s">
        <v>565</v>
      </c>
      <c r="C187" s="22"/>
      <c r="D187" s="22" t="b">
        <f>EXACT(G179,"Estimation by modelling of tree growth and stand development")</f>
        <v>0</v>
      </c>
      <c r="E187" s="22" t="s">
        <v>445</v>
      </c>
      <c r="F187" s="22" t="s">
        <v>14</v>
      </c>
      <c r="G187" s="22"/>
      <c r="H187" s="22"/>
      <c r="I187" s="22"/>
    </row>
    <row r="188" spans="1:9" ht="60">
      <c r="A188" s="20" t="s">
        <v>14</v>
      </c>
      <c r="B188" s="20" t="s">
        <v>44</v>
      </c>
      <c r="C188" s="20"/>
      <c r="D188" s="20"/>
      <c r="E188" s="20" t="s">
        <v>455</v>
      </c>
      <c r="F188" s="20" t="s">
        <v>14</v>
      </c>
      <c r="G188" s="20"/>
      <c r="H188" s="20"/>
      <c r="I188" s="20"/>
    </row>
    <row r="189" spans="1:9" ht="75">
      <c r="A189" s="20" t="s">
        <v>14</v>
      </c>
      <c r="B189" s="20" t="s">
        <v>44</v>
      </c>
      <c r="C189" s="20"/>
      <c r="D189" s="20"/>
      <c r="E189" s="20" t="s">
        <v>456</v>
      </c>
      <c r="F189" s="20" t="s">
        <v>14</v>
      </c>
      <c r="G189" s="20"/>
      <c r="H189" s="20"/>
      <c r="I189" s="20"/>
    </row>
    <row r="190" spans="1:9" ht="60">
      <c r="A190" s="20" t="s">
        <v>14</v>
      </c>
      <c r="B190" s="20" t="s">
        <v>44</v>
      </c>
      <c r="C190" s="20"/>
      <c r="D190" s="20"/>
      <c r="E190" s="20" t="s">
        <v>457</v>
      </c>
      <c r="F190" s="20" t="s">
        <v>14</v>
      </c>
      <c r="G190" s="20"/>
      <c r="H190" s="20"/>
      <c r="I190" s="20"/>
    </row>
    <row r="191" spans="1:9" ht="60">
      <c r="A191" s="20" t="s">
        <v>14</v>
      </c>
      <c r="B191" s="20" t="s">
        <v>44</v>
      </c>
      <c r="C191" s="20"/>
      <c r="D191" s="20"/>
      <c r="E191" s="20" t="s">
        <v>458</v>
      </c>
      <c r="F191" s="20" t="s">
        <v>14</v>
      </c>
      <c r="G191" s="20"/>
      <c r="H191" s="20"/>
      <c r="I191" s="20"/>
    </row>
    <row r="192" spans="1:9" ht="135">
      <c r="A192" s="20" t="s">
        <v>11</v>
      </c>
      <c r="B192" s="20" t="s">
        <v>17</v>
      </c>
      <c r="C192" s="27" t="s">
        <v>566</v>
      </c>
      <c r="D192" s="20"/>
      <c r="E192" s="20" t="s">
        <v>460</v>
      </c>
      <c r="F192" s="20" t="s">
        <v>14</v>
      </c>
      <c r="G192" s="20" t="s">
        <v>11</v>
      </c>
      <c r="H192" s="20"/>
      <c r="I192" s="20"/>
    </row>
    <row r="193" spans="1:9" ht="30">
      <c r="A193" s="20" t="s">
        <v>14</v>
      </c>
      <c r="B193" s="20" t="s">
        <v>44</v>
      </c>
      <c r="C193" s="20"/>
      <c r="D193" s="20" t="b">
        <f>EXACT(G192,"No")</f>
        <v>0</v>
      </c>
      <c r="E193" s="20" t="s">
        <v>461</v>
      </c>
      <c r="F193" s="20" t="s">
        <v>14</v>
      </c>
      <c r="G193" s="20"/>
      <c r="H193" s="20"/>
      <c r="I193" s="20"/>
    </row>
    <row r="194" spans="1:9">
      <c r="A194" s="22" t="s">
        <v>14</v>
      </c>
      <c r="B194" s="23" t="s">
        <v>567</v>
      </c>
      <c r="C194" s="22"/>
      <c r="D194" s="22" t="b">
        <f>EXACT(G192,"Yes")</f>
        <v>1</v>
      </c>
      <c r="E194" s="22" t="s">
        <v>568</v>
      </c>
      <c r="F194" s="22" t="s">
        <v>14</v>
      </c>
      <c r="G194" s="22"/>
      <c r="H194" s="22"/>
      <c r="I194" s="22"/>
    </row>
    <row r="195" spans="1:9" ht="30">
      <c r="A195" s="20" t="s">
        <v>11</v>
      </c>
      <c r="B195" s="20" t="s">
        <v>82</v>
      </c>
      <c r="C195" s="20"/>
      <c r="D195" s="20"/>
      <c r="E195" s="20" t="s">
        <v>464</v>
      </c>
      <c r="F195" s="20" t="s">
        <v>14</v>
      </c>
      <c r="G195" s="20"/>
      <c r="H195" s="20"/>
      <c r="I195" s="20"/>
    </row>
    <row r="196" spans="1:9">
      <c r="A196" s="20" t="s">
        <v>11</v>
      </c>
      <c r="B196" s="20" t="s">
        <v>82</v>
      </c>
      <c r="C196" s="20"/>
      <c r="D196" s="20"/>
      <c r="E196" s="20" t="s">
        <v>465</v>
      </c>
      <c r="F196" s="20" t="s">
        <v>14</v>
      </c>
      <c r="G196" s="20"/>
      <c r="H196" s="20"/>
      <c r="I196" s="20"/>
    </row>
    <row r="197" spans="1:9">
      <c r="A197" s="20" t="s">
        <v>11</v>
      </c>
      <c r="B197" s="20" t="s">
        <v>82</v>
      </c>
      <c r="C197" s="20"/>
      <c r="D197" s="20"/>
      <c r="E197" s="20" t="s">
        <v>466</v>
      </c>
      <c r="F197" s="20" t="s">
        <v>14</v>
      </c>
      <c r="G197" s="20"/>
      <c r="H197" s="20"/>
      <c r="I197" s="20"/>
    </row>
    <row r="198" spans="1:9">
      <c r="A198" s="22" t="s">
        <v>14</v>
      </c>
      <c r="B198" s="23" t="s">
        <v>475</v>
      </c>
      <c r="C198" s="22" t="s">
        <v>47</v>
      </c>
      <c r="D198" s="22" t="b">
        <f>EXACT(G179,"Measurement of sample plots")</f>
        <v>0</v>
      </c>
      <c r="E198" s="22" t="s">
        <v>475</v>
      </c>
      <c r="F198" s="22" t="s">
        <v>14</v>
      </c>
      <c r="G198" s="22" t="s">
        <v>47</v>
      </c>
      <c r="H198" s="22" t="s">
        <v>47</v>
      </c>
      <c r="I198" s="22" t="s">
        <v>47</v>
      </c>
    </row>
    <row r="199" spans="1:9" ht="30" collapsed="1">
      <c r="A199" s="20" t="s">
        <v>11</v>
      </c>
      <c r="B199" s="20" t="s">
        <v>17</v>
      </c>
      <c r="C199" s="21" t="s">
        <v>476</v>
      </c>
      <c r="D199" s="20"/>
      <c r="E199" s="20" t="s">
        <v>477</v>
      </c>
      <c r="F199" s="20" t="s">
        <v>14</v>
      </c>
      <c r="G199" s="20" t="s">
        <v>478</v>
      </c>
      <c r="H199" s="20" t="s">
        <v>47</v>
      </c>
      <c r="I199" s="20" t="s">
        <v>47</v>
      </c>
    </row>
    <row r="200" spans="1:9">
      <c r="A200" s="22" t="s">
        <v>14</v>
      </c>
      <c r="B200" s="23" t="s">
        <v>478</v>
      </c>
      <c r="C200" s="22" t="s">
        <v>47</v>
      </c>
      <c r="D200" s="22" t="b">
        <f>EXACT(G199,"Stratified random sampling")</f>
        <v>1</v>
      </c>
      <c r="E200" s="22" t="s">
        <v>478</v>
      </c>
      <c r="F200" s="22" t="s">
        <v>14</v>
      </c>
      <c r="G200" s="22" t="s">
        <v>47</v>
      </c>
      <c r="H200" s="22" t="s">
        <v>47</v>
      </c>
      <c r="I200" s="22" t="s">
        <v>47</v>
      </c>
    </row>
    <row r="201" spans="1:9" ht="30" collapsed="1">
      <c r="A201" s="20" t="s">
        <v>14</v>
      </c>
      <c r="B201" s="20" t="s">
        <v>82</v>
      </c>
      <c r="C201" s="20" t="s">
        <v>47</v>
      </c>
      <c r="D201" s="20" t="s">
        <v>399</v>
      </c>
      <c r="E201" s="20" t="s">
        <v>479</v>
      </c>
      <c r="F201" s="20" t="s">
        <v>14</v>
      </c>
      <c r="G201" s="20">
        <f>44/12*G202*G203</f>
        <v>3.6666666666666665</v>
      </c>
      <c r="H201" s="20" t="s">
        <v>47</v>
      </c>
      <c r="I201" s="20" t="s">
        <v>47</v>
      </c>
    </row>
    <row r="202" spans="1:9" collapsed="1">
      <c r="A202" s="20" t="s">
        <v>11</v>
      </c>
      <c r="B202" s="20" t="s">
        <v>82</v>
      </c>
      <c r="C202" s="20" t="s">
        <v>47</v>
      </c>
      <c r="D202" s="20"/>
      <c r="E202" s="20" t="s">
        <v>405</v>
      </c>
      <c r="F202" s="20" t="s">
        <v>14</v>
      </c>
      <c r="G202" s="20">
        <v>1</v>
      </c>
      <c r="H202" s="20" t="s">
        <v>47</v>
      </c>
      <c r="I202" s="20" t="s">
        <v>47</v>
      </c>
    </row>
    <row r="203" spans="1:9" ht="30" collapsed="1">
      <c r="A203" s="20" t="s">
        <v>14</v>
      </c>
      <c r="B203" s="20" t="s">
        <v>82</v>
      </c>
      <c r="C203" s="20" t="s">
        <v>47</v>
      </c>
      <c r="D203" s="20" t="s">
        <v>399</v>
      </c>
      <c r="E203" s="20" t="s">
        <v>480</v>
      </c>
      <c r="F203" s="20" t="s">
        <v>14</v>
      </c>
      <c r="G203" s="20">
        <f>G204*G205</f>
        <v>1</v>
      </c>
      <c r="H203" s="20" t="s">
        <v>47</v>
      </c>
      <c r="I203" s="20" t="s">
        <v>47</v>
      </c>
    </row>
    <row r="204" spans="1:9" ht="30" collapsed="1">
      <c r="A204" s="20" t="s">
        <v>11</v>
      </c>
      <c r="B204" s="20" t="s">
        <v>82</v>
      </c>
      <c r="C204" s="20" t="s">
        <v>47</v>
      </c>
      <c r="D204" s="20"/>
      <c r="E204" s="20" t="s">
        <v>481</v>
      </c>
      <c r="F204" s="20" t="s">
        <v>14</v>
      </c>
      <c r="G204" s="20">
        <v>1</v>
      </c>
      <c r="H204" s="20" t="s">
        <v>47</v>
      </c>
      <c r="I204" s="20" t="s">
        <v>47</v>
      </c>
    </row>
    <row r="205" spans="1:9" ht="30" collapsed="1">
      <c r="A205" s="20" t="s">
        <v>14</v>
      </c>
      <c r="B205" s="20" t="s">
        <v>82</v>
      </c>
      <c r="C205" s="20" t="s">
        <v>47</v>
      </c>
      <c r="D205" s="20" t="s">
        <v>399</v>
      </c>
      <c r="E205" s="20" t="s">
        <v>482</v>
      </c>
      <c r="F205" s="20" t="s">
        <v>14</v>
      </c>
      <c r="G205" s="20">
        <f>SUM((G210*G209))</f>
        <v>1</v>
      </c>
      <c r="H205" s="20" t="s">
        <v>47</v>
      </c>
      <c r="I205" s="20" t="s">
        <v>47</v>
      </c>
    </row>
    <row r="206" spans="1:9" collapsed="1">
      <c r="A206" s="20" t="s">
        <v>11</v>
      </c>
      <c r="B206" s="20" t="s">
        <v>82</v>
      </c>
      <c r="C206" s="20" t="s">
        <v>47</v>
      </c>
      <c r="D206" s="20"/>
      <c r="E206" s="20" t="s">
        <v>569</v>
      </c>
      <c r="F206" s="20" t="s">
        <v>14</v>
      </c>
      <c r="G206" s="20">
        <v>1</v>
      </c>
      <c r="H206" s="20" t="s">
        <v>47</v>
      </c>
      <c r="I206" s="20" t="s">
        <v>47</v>
      </c>
    </row>
    <row r="207" spans="1:9" ht="30" collapsed="1">
      <c r="A207" s="20" t="s">
        <v>11</v>
      </c>
      <c r="B207" s="20" t="s">
        <v>82</v>
      </c>
      <c r="C207" s="20" t="s">
        <v>47</v>
      </c>
      <c r="D207" s="20"/>
      <c r="E207" s="20" t="s">
        <v>484</v>
      </c>
      <c r="F207" s="20" t="s">
        <v>14</v>
      </c>
      <c r="G207" s="20">
        <v>1</v>
      </c>
      <c r="H207" s="20" t="s">
        <v>47</v>
      </c>
      <c r="I207" s="20" t="s">
        <v>47</v>
      </c>
    </row>
    <row r="208" spans="1:9">
      <c r="A208" s="22" t="s">
        <v>11</v>
      </c>
      <c r="B208" s="23" t="s">
        <v>485</v>
      </c>
      <c r="C208" s="22" t="s">
        <v>47</v>
      </c>
      <c r="D208" s="22"/>
      <c r="E208" s="22" t="s">
        <v>486</v>
      </c>
      <c r="F208" s="22" t="s">
        <v>11</v>
      </c>
      <c r="G208" s="22" t="s">
        <v>47</v>
      </c>
      <c r="H208" s="22" t="s">
        <v>47</v>
      </c>
      <c r="I208" s="22" t="s">
        <v>47</v>
      </c>
    </row>
    <row r="209" spans="1:9" s="25" customFormat="1" ht="30" collapsed="1">
      <c r="A209" s="24" t="s">
        <v>14</v>
      </c>
      <c r="B209" s="24" t="s">
        <v>82</v>
      </c>
      <c r="C209" s="24" t="s">
        <v>47</v>
      </c>
      <c r="D209" s="24" t="s">
        <v>399</v>
      </c>
      <c r="E209" s="24" t="s">
        <v>487</v>
      </c>
      <c r="F209" s="24" t="s">
        <v>14</v>
      </c>
      <c r="G209" s="24">
        <f>(SUM(G214))/G212</f>
        <v>1</v>
      </c>
      <c r="H209" s="24" t="s">
        <v>47</v>
      </c>
      <c r="I209" s="24" t="s">
        <v>47</v>
      </c>
    </row>
    <row r="210" spans="1:9" ht="30" collapsed="1">
      <c r="A210" s="20" t="s">
        <v>11</v>
      </c>
      <c r="B210" s="20" t="s">
        <v>82</v>
      </c>
      <c r="C210" s="20" t="s">
        <v>47</v>
      </c>
      <c r="D210" s="20"/>
      <c r="E210" s="20" t="s">
        <v>488</v>
      </c>
      <c r="F210" s="20" t="s">
        <v>14</v>
      </c>
      <c r="G210" s="20">
        <v>1</v>
      </c>
      <c r="H210" s="20" t="s">
        <v>47</v>
      </c>
      <c r="I210" s="20" t="s">
        <v>47</v>
      </c>
    </row>
    <row r="211" spans="1:9" ht="30" collapsed="1">
      <c r="A211" s="20" t="s">
        <v>11</v>
      </c>
      <c r="B211" s="20" t="s">
        <v>82</v>
      </c>
      <c r="C211" s="20" t="s">
        <v>47</v>
      </c>
      <c r="D211" s="20"/>
      <c r="E211" s="20" t="s">
        <v>489</v>
      </c>
      <c r="F211" s="20" t="s">
        <v>14</v>
      </c>
      <c r="G211" s="20">
        <v>1</v>
      </c>
      <c r="H211" s="20" t="s">
        <v>47</v>
      </c>
      <c r="I211" s="20" t="s">
        <v>47</v>
      </c>
    </row>
    <row r="212" spans="1:9" collapsed="1">
      <c r="A212" s="20" t="s">
        <v>11</v>
      </c>
      <c r="B212" s="20" t="s">
        <v>82</v>
      </c>
      <c r="C212" s="20" t="s">
        <v>47</v>
      </c>
      <c r="D212" s="20"/>
      <c r="E212" s="20" t="s">
        <v>490</v>
      </c>
      <c r="F212" s="20" t="s">
        <v>14</v>
      </c>
      <c r="G212" s="20">
        <v>1</v>
      </c>
      <c r="H212" s="20" t="s">
        <v>47</v>
      </c>
      <c r="I212" s="20" t="s">
        <v>47</v>
      </c>
    </row>
    <row r="213" spans="1:9">
      <c r="A213" s="22" t="s">
        <v>11</v>
      </c>
      <c r="B213" s="23" t="s">
        <v>491</v>
      </c>
      <c r="C213" s="22"/>
      <c r="D213" s="22"/>
      <c r="E213" s="22" t="s">
        <v>492</v>
      </c>
      <c r="F213" s="22" t="s">
        <v>11</v>
      </c>
      <c r="G213" s="22"/>
      <c r="H213" s="22"/>
      <c r="I213" s="22"/>
    </row>
    <row r="214" spans="1:9" s="25" customFormat="1" ht="30" collapsed="1">
      <c r="A214" s="24" t="s">
        <v>11</v>
      </c>
      <c r="B214" s="24" t="s">
        <v>82</v>
      </c>
      <c r="C214" s="24" t="s">
        <v>47</v>
      </c>
      <c r="D214" s="24"/>
      <c r="E214" s="24" t="s">
        <v>493</v>
      </c>
      <c r="F214" s="24" t="s">
        <v>14</v>
      </c>
      <c r="G214" s="24">
        <v>1</v>
      </c>
      <c r="H214" s="24" t="s">
        <v>47</v>
      </c>
      <c r="I214" s="24" t="s">
        <v>47</v>
      </c>
    </row>
    <row r="215" spans="1:9">
      <c r="A215" s="22" t="s">
        <v>14</v>
      </c>
      <c r="B215" s="23" t="s">
        <v>494</v>
      </c>
      <c r="C215" s="22" t="s">
        <v>47</v>
      </c>
      <c r="D215" s="22" t="b">
        <f>NOT(EXACT(G199,"Stratified random sampling"))</f>
        <v>0</v>
      </c>
      <c r="E215" s="22" t="s">
        <v>494</v>
      </c>
      <c r="F215" s="22" t="s">
        <v>14</v>
      </c>
      <c r="G215" s="22" t="s">
        <v>47</v>
      </c>
      <c r="H215" s="22" t="s">
        <v>47</v>
      </c>
      <c r="I215" s="22" t="s">
        <v>47</v>
      </c>
    </row>
    <row r="216" spans="1:9" ht="30" collapsed="1">
      <c r="A216" s="20" t="s">
        <v>11</v>
      </c>
      <c r="B216" s="20" t="s">
        <v>82</v>
      </c>
      <c r="C216" s="20" t="s">
        <v>47</v>
      </c>
      <c r="D216" s="20"/>
      <c r="E216" s="20" t="s">
        <v>479</v>
      </c>
      <c r="F216" s="20" t="s">
        <v>14</v>
      </c>
      <c r="G216" s="20">
        <v>1</v>
      </c>
      <c r="H216" s="20" t="s">
        <v>47</v>
      </c>
      <c r="I216" s="20" t="s">
        <v>47</v>
      </c>
    </row>
    <row r="217" spans="1:9" collapsed="1">
      <c r="A217" s="20" t="s">
        <v>11</v>
      </c>
      <c r="B217" s="20" t="s">
        <v>82</v>
      </c>
      <c r="C217" s="20" t="s">
        <v>47</v>
      </c>
      <c r="D217" s="20"/>
      <c r="E217" s="20" t="s">
        <v>405</v>
      </c>
      <c r="F217" s="20" t="s">
        <v>14</v>
      </c>
      <c r="G217" s="20">
        <v>1</v>
      </c>
      <c r="H217" s="20" t="s">
        <v>47</v>
      </c>
      <c r="I217" s="20" t="s">
        <v>47</v>
      </c>
    </row>
    <row r="218" spans="1:9" ht="30" collapsed="1">
      <c r="A218" s="20" t="s">
        <v>11</v>
      </c>
      <c r="B218" s="20" t="s">
        <v>82</v>
      </c>
      <c r="C218" s="20" t="s">
        <v>47</v>
      </c>
      <c r="D218" s="20"/>
      <c r="E218" s="20" t="s">
        <v>480</v>
      </c>
      <c r="F218" s="20" t="s">
        <v>14</v>
      </c>
      <c r="G218" s="20">
        <v>1</v>
      </c>
      <c r="H218" s="20" t="s">
        <v>47</v>
      </c>
      <c r="I218" s="20" t="s">
        <v>47</v>
      </c>
    </row>
    <row r="219" spans="1:9" ht="30" collapsed="1">
      <c r="A219" s="20" t="s">
        <v>11</v>
      </c>
      <c r="B219" s="20" t="s">
        <v>82</v>
      </c>
      <c r="C219" s="20" t="s">
        <v>47</v>
      </c>
      <c r="D219" s="20"/>
      <c r="E219" s="20" t="s">
        <v>481</v>
      </c>
      <c r="F219" s="20" t="s">
        <v>14</v>
      </c>
      <c r="G219" s="20">
        <v>1</v>
      </c>
      <c r="H219" s="20" t="s">
        <v>47</v>
      </c>
      <c r="I219" s="20" t="s">
        <v>47</v>
      </c>
    </row>
    <row r="220" spans="1:9" ht="30" collapsed="1">
      <c r="A220" s="20" t="s">
        <v>11</v>
      </c>
      <c r="B220" s="20" t="s">
        <v>82</v>
      </c>
      <c r="C220" s="20" t="s">
        <v>47</v>
      </c>
      <c r="D220" s="20"/>
      <c r="E220" s="20" t="s">
        <v>482</v>
      </c>
      <c r="F220" s="20" t="s">
        <v>14</v>
      </c>
      <c r="G220" s="20">
        <v>1</v>
      </c>
      <c r="H220" s="20" t="s">
        <v>47</v>
      </c>
      <c r="I220" s="20" t="s">
        <v>47</v>
      </c>
    </row>
    <row r="221" spans="1:9" collapsed="1">
      <c r="A221" s="20" t="s">
        <v>11</v>
      </c>
      <c r="B221" s="20" t="s">
        <v>82</v>
      </c>
      <c r="C221" s="20" t="s">
        <v>47</v>
      </c>
      <c r="D221" s="20"/>
      <c r="E221" s="20" t="s">
        <v>569</v>
      </c>
      <c r="F221" s="20" t="s">
        <v>14</v>
      </c>
      <c r="G221" s="20">
        <v>1</v>
      </c>
      <c r="H221" s="20" t="s">
        <v>47</v>
      </c>
      <c r="I221" s="20" t="s">
        <v>47</v>
      </c>
    </row>
    <row r="222" spans="1:9" ht="30" collapsed="1">
      <c r="A222" s="20" t="s">
        <v>11</v>
      </c>
      <c r="B222" s="20" t="s">
        <v>82</v>
      </c>
      <c r="C222" s="20" t="s">
        <v>47</v>
      </c>
      <c r="D222" s="20"/>
      <c r="E222" s="20" t="s">
        <v>570</v>
      </c>
      <c r="F222" s="20" t="s">
        <v>14</v>
      </c>
      <c r="G222" s="20">
        <v>1</v>
      </c>
      <c r="H222" s="20" t="s">
        <v>47</v>
      </c>
      <c r="I222" s="20" t="s">
        <v>47</v>
      </c>
    </row>
    <row r="223" spans="1:9">
      <c r="A223" s="22" t="s">
        <v>11</v>
      </c>
      <c r="B223" s="23" t="s">
        <v>495</v>
      </c>
      <c r="C223" s="22" t="s">
        <v>47</v>
      </c>
      <c r="D223" s="22"/>
      <c r="E223" s="22" t="s">
        <v>486</v>
      </c>
      <c r="F223" s="22" t="s">
        <v>11</v>
      </c>
      <c r="G223" s="22" t="s">
        <v>47</v>
      </c>
      <c r="H223" s="22" t="s">
        <v>47</v>
      </c>
      <c r="I223" s="22" t="s">
        <v>47</v>
      </c>
    </row>
    <row r="224" spans="1:9" ht="30" collapsed="1">
      <c r="A224" s="20" t="s">
        <v>14</v>
      </c>
      <c r="B224" s="20" t="s">
        <v>82</v>
      </c>
      <c r="C224" s="20" t="s">
        <v>47</v>
      </c>
      <c r="D224" s="20" t="s">
        <v>399</v>
      </c>
      <c r="E224" s="20" t="s">
        <v>487</v>
      </c>
      <c r="F224" s="20" t="s">
        <v>14</v>
      </c>
      <c r="G224" s="20">
        <f>(SUM(G233)/G225)+G226*(G227-G228)</f>
        <v>1</v>
      </c>
      <c r="H224" s="20" t="s">
        <v>47</v>
      </c>
      <c r="I224" s="20" t="s">
        <v>47</v>
      </c>
    </row>
    <row r="225" spans="1:9" collapsed="1">
      <c r="A225" s="20" t="s">
        <v>11</v>
      </c>
      <c r="B225" s="20" t="s">
        <v>82</v>
      </c>
      <c r="C225" s="20" t="s">
        <v>47</v>
      </c>
      <c r="D225" s="20"/>
      <c r="E225" s="20" t="s">
        <v>496</v>
      </c>
      <c r="F225" s="20" t="s">
        <v>14</v>
      </c>
      <c r="G225" s="20">
        <v>1</v>
      </c>
      <c r="H225" s="20" t="s">
        <v>47</v>
      </c>
      <c r="I225" s="20" t="s">
        <v>47</v>
      </c>
    </row>
    <row r="226" spans="1:9" ht="30" collapsed="1">
      <c r="A226" s="20" t="s">
        <v>11</v>
      </c>
      <c r="B226" s="20" t="s">
        <v>82</v>
      </c>
      <c r="C226" s="20" t="s">
        <v>47</v>
      </c>
      <c r="D226" s="20"/>
      <c r="E226" s="20" t="s">
        <v>497</v>
      </c>
      <c r="F226" s="20" t="s">
        <v>14</v>
      </c>
      <c r="G226" s="20">
        <v>1</v>
      </c>
      <c r="H226" s="20" t="s">
        <v>47</v>
      </c>
      <c r="I226" s="20" t="s">
        <v>47</v>
      </c>
    </row>
    <row r="227" spans="1:9" ht="30" collapsed="1">
      <c r="A227" s="20" t="s">
        <v>11</v>
      </c>
      <c r="B227" s="20" t="s">
        <v>82</v>
      </c>
      <c r="C227" s="20" t="s">
        <v>47</v>
      </c>
      <c r="D227" s="20"/>
      <c r="E227" s="20" t="s">
        <v>498</v>
      </c>
      <c r="F227" s="20" t="s">
        <v>14</v>
      </c>
      <c r="G227" s="20">
        <v>1</v>
      </c>
      <c r="H227" s="20" t="s">
        <v>47</v>
      </c>
      <c r="I227" s="20" t="s">
        <v>47</v>
      </c>
    </row>
    <row r="228" spans="1:9" ht="30" collapsed="1">
      <c r="A228" s="20" t="s">
        <v>11</v>
      </c>
      <c r="B228" s="20" t="s">
        <v>82</v>
      </c>
      <c r="C228" s="20" t="s">
        <v>47</v>
      </c>
      <c r="D228" s="20"/>
      <c r="E228" s="20" t="s">
        <v>499</v>
      </c>
      <c r="F228" s="20" t="s">
        <v>14</v>
      </c>
      <c r="G228" s="20">
        <v>1</v>
      </c>
      <c r="H228" s="20" t="s">
        <v>47</v>
      </c>
      <c r="I228" s="20" t="s">
        <v>47</v>
      </c>
    </row>
    <row r="229" spans="1:9" ht="30" collapsed="1">
      <c r="A229" s="20" t="s">
        <v>11</v>
      </c>
      <c r="B229" s="20" t="s">
        <v>82</v>
      </c>
      <c r="C229" s="20" t="s">
        <v>47</v>
      </c>
      <c r="D229" s="20"/>
      <c r="E229" s="20" t="s">
        <v>500</v>
      </c>
      <c r="F229" s="20" t="s">
        <v>14</v>
      </c>
      <c r="G229" s="20">
        <v>1</v>
      </c>
      <c r="H229" s="20" t="s">
        <v>47</v>
      </c>
      <c r="I229" s="20" t="s">
        <v>47</v>
      </c>
    </row>
    <row r="230" spans="1:9" ht="30" collapsed="1">
      <c r="A230" s="20" t="s">
        <v>11</v>
      </c>
      <c r="B230" s="20" t="s">
        <v>82</v>
      </c>
      <c r="C230" s="20" t="s">
        <v>47</v>
      </c>
      <c r="D230" s="20"/>
      <c r="E230" s="20" t="s">
        <v>501</v>
      </c>
      <c r="F230" s="20" t="s">
        <v>14</v>
      </c>
      <c r="G230" s="20">
        <v>1</v>
      </c>
      <c r="H230" s="20" t="s">
        <v>47</v>
      </c>
      <c r="I230" s="20" t="s">
        <v>47</v>
      </c>
    </row>
    <row r="231" spans="1:9" ht="45" collapsed="1">
      <c r="A231" s="20" t="s">
        <v>11</v>
      </c>
      <c r="B231" s="20" t="s">
        <v>82</v>
      </c>
      <c r="C231" s="20" t="s">
        <v>47</v>
      </c>
      <c r="D231" s="20"/>
      <c r="E231" s="20" t="s">
        <v>502</v>
      </c>
      <c r="F231" s="20" t="s">
        <v>14</v>
      </c>
      <c r="G231" s="20">
        <v>1</v>
      </c>
      <c r="H231" s="20" t="s">
        <v>47</v>
      </c>
      <c r="I231" s="20" t="s">
        <v>47</v>
      </c>
    </row>
    <row r="232" spans="1:9">
      <c r="A232" s="22" t="s">
        <v>11</v>
      </c>
      <c r="B232" s="23" t="s">
        <v>491</v>
      </c>
      <c r="C232" s="22"/>
      <c r="D232" s="22"/>
      <c r="E232" s="22" t="s">
        <v>492</v>
      </c>
      <c r="F232" s="22" t="s">
        <v>11</v>
      </c>
      <c r="G232" s="22"/>
      <c r="H232" s="22"/>
      <c r="I232" s="22"/>
    </row>
    <row r="233" spans="1:9" s="25" customFormat="1" ht="30" collapsed="1">
      <c r="A233" s="24" t="s">
        <v>11</v>
      </c>
      <c r="B233" s="24" t="s">
        <v>82</v>
      </c>
      <c r="C233" s="24" t="s">
        <v>47</v>
      </c>
      <c r="D233" s="24"/>
      <c r="E233" s="24" t="s">
        <v>493</v>
      </c>
      <c r="F233" s="24" t="s">
        <v>14</v>
      </c>
      <c r="G233" s="24">
        <v>1</v>
      </c>
      <c r="H233" s="24" t="s">
        <v>47</v>
      </c>
      <c r="I233" s="24" t="s">
        <v>47</v>
      </c>
    </row>
    <row r="234" spans="1:9" collapsed="1">
      <c r="A234" s="20" t="s">
        <v>11</v>
      </c>
      <c r="B234" s="20" t="s">
        <v>503</v>
      </c>
      <c r="C234" s="20" t="s">
        <v>47</v>
      </c>
      <c r="D234" s="20"/>
      <c r="E234" s="4" t="s">
        <v>504</v>
      </c>
      <c r="F234" s="20" t="s">
        <v>14</v>
      </c>
      <c r="G234" s="20" t="s">
        <v>505</v>
      </c>
      <c r="H234" s="20" t="s">
        <v>47</v>
      </c>
      <c r="I234" s="20" t="s">
        <v>47</v>
      </c>
    </row>
    <row r="235" spans="1:9" ht="29.25" customHeight="1">
      <c r="A235" s="18" t="s">
        <v>14</v>
      </c>
      <c r="B235" s="18" t="s">
        <v>82</v>
      </c>
      <c r="C235" s="10"/>
      <c r="D235" s="18" t="s">
        <v>399</v>
      </c>
      <c r="E235" s="18" t="s">
        <v>571</v>
      </c>
      <c r="F235" s="18" t="s">
        <v>14</v>
      </c>
      <c r="G235" s="18" t="e">
        <f>IF(G179="Updating the previous stock by independent measurement of change",G181,IF(G179="Estimation by modelling of tree growth and stand development",G195,IF(AND(G179="Measurement of sample plots",G199="Stratified random sampling"),G201,IF(AND(G179="Measurement of sample plots",G199="Double sampling"),G216))))</f>
        <v>#VALUE!</v>
      </c>
      <c r="H235" s="18"/>
      <c r="I235" s="18"/>
    </row>
    <row r="236" spans="1:9" ht="29.25" customHeight="1">
      <c r="A236" s="18" t="s">
        <v>14</v>
      </c>
      <c r="B236" s="18" t="s">
        <v>82</v>
      </c>
      <c r="C236" s="10"/>
      <c r="D236" s="18" t="s">
        <v>399</v>
      </c>
      <c r="E236" s="18" t="s">
        <v>572</v>
      </c>
      <c r="F236" s="18" t="s">
        <v>14</v>
      </c>
      <c r="G236" s="18">
        <f>IF(AND(G144="Estimating change in carbon stock in trees between two points in time",G146="no-decrease"),0,IF(AND(G144="Estimating change in carbon stock in trees between two points in time",G146="Direct estimation of change by re-measurement of sample plots"),G151,IF(AND(G144="Estimating change in carbon stock in trees between two points in time",G146="Difference of two independent stock estimations"),G171,IF(AND(G144="Estimating change in carbon stock in trees in a year"),G174))))</f>
        <v>0</v>
      </c>
      <c r="H236" s="18"/>
      <c r="I236" s="18"/>
    </row>
    <row r="237" spans="1:9" ht="29.25" customHeight="1">
      <c r="A237" s="18" t="s">
        <v>11</v>
      </c>
      <c r="B237" s="18" t="s">
        <v>17</v>
      </c>
      <c r="C237" s="10" t="s">
        <v>573</v>
      </c>
      <c r="D237" s="18"/>
      <c r="E237" s="3" t="s">
        <v>509</v>
      </c>
      <c r="F237" s="3" t="s">
        <v>14</v>
      </c>
      <c r="G237" s="18" t="s">
        <v>523</v>
      </c>
      <c r="H237" s="18"/>
      <c r="I237" s="18"/>
    </row>
    <row r="238" spans="1:9">
      <c r="A238" s="18" t="s">
        <v>11</v>
      </c>
      <c r="B238" s="10" t="s">
        <v>574</v>
      </c>
      <c r="C238" s="18" t="s">
        <v>47</v>
      </c>
      <c r="D238" s="18" t="b">
        <f>EXACT(G237,"Estimating change in carbon stock in shrubs between two points in time")</f>
        <v>0</v>
      </c>
      <c r="E238" s="18" t="s">
        <v>512</v>
      </c>
      <c r="F238" s="18" t="s">
        <v>14</v>
      </c>
      <c r="G238" s="18" t="s">
        <v>47</v>
      </c>
      <c r="H238" s="18" t="s">
        <v>47</v>
      </c>
      <c r="I238" s="18" t="s">
        <v>47</v>
      </c>
    </row>
    <row r="239" spans="1:9" ht="29.25" customHeight="1">
      <c r="A239" s="18" t="s">
        <v>11</v>
      </c>
      <c r="B239" s="18" t="s">
        <v>17</v>
      </c>
      <c r="C239" s="10" t="s">
        <v>575</v>
      </c>
      <c r="D239" s="18"/>
      <c r="E239" s="18" t="s">
        <v>514</v>
      </c>
      <c r="F239" s="18" t="s">
        <v>14</v>
      </c>
      <c r="G239" s="18" t="s">
        <v>14</v>
      </c>
      <c r="H239" s="18" t="s">
        <v>47</v>
      </c>
      <c r="I239" s="18" t="s">
        <v>47</v>
      </c>
    </row>
    <row r="240" spans="1:9">
      <c r="A240" s="18" t="s">
        <v>14</v>
      </c>
      <c r="B240" s="10" t="s">
        <v>515</v>
      </c>
      <c r="C240" s="19"/>
      <c r="D240" s="18" t="b">
        <f>EXACT(G239,"Yes")</f>
        <v>0</v>
      </c>
      <c r="E240" s="18" t="s">
        <v>393</v>
      </c>
      <c r="F240" s="18" t="s">
        <v>14</v>
      </c>
      <c r="G240" s="18"/>
      <c r="H240" s="18"/>
      <c r="I240" s="18"/>
    </row>
    <row r="241" spans="1:9" ht="165" collapsed="1">
      <c r="A241" s="20" t="s">
        <v>14</v>
      </c>
      <c r="B241" s="20" t="s">
        <v>44</v>
      </c>
      <c r="C241" s="20"/>
      <c r="D241" s="20"/>
      <c r="E241" s="20" t="s">
        <v>516</v>
      </c>
      <c r="F241" s="4" t="s">
        <v>14</v>
      </c>
      <c r="G241" s="20"/>
      <c r="H241" s="20"/>
      <c r="I241" s="20"/>
    </row>
    <row r="242" spans="1:9" ht="60" collapsed="1">
      <c r="A242" s="20" t="s">
        <v>11</v>
      </c>
      <c r="B242" s="20" t="s">
        <v>17</v>
      </c>
      <c r="C242" s="21" t="s">
        <v>517</v>
      </c>
      <c r="D242" s="20"/>
      <c r="E242" s="4" t="s">
        <v>518</v>
      </c>
      <c r="F242" s="4" t="s">
        <v>14</v>
      </c>
      <c r="G242" s="20"/>
      <c r="H242" s="20"/>
      <c r="I242" s="20"/>
    </row>
    <row r="243" spans="1:9" ht="30" collapsed="1">
      <c r="A243" s="20" t="s">
        <v>14</v>
      </c>
      <c r="B243" s="20" t="s">
        <v>82</v>
      </c>
      <c r="C243" s="20" t="s">
        <v>47</v>
      </c>
      <c r="D243" s="20" t="s">
        <v>399</v>
      </c>
      <c r="E243" s="20" t="s">
        <v>576</v>
      </c>
      <c r="F243" s="20" t="s">
        <v>14</v>
      </c>
      <c r="G243" s="20" t="e">
        <f>IF(AND(#REF!="No"),E244-E245,0)</f>
        <v>#REF!</v>
      </c>
      <c r="H243" s="20" t="s">
        <v>47</v>
      </c>
      <c r="I243" s="20" t="s">
        <v>47</v>
      </c>
    </row>
    <row r="244" spans="1:9" ht="30" collapsed="1">
      <c r="A244" s="20" t="s">
        <v>11</v>
      </c>
      <c r="B244" s="20" t="s">
        <v>82</v>
      </c>
      <c r="C244" s="20" t="s">
        <v>47</v>
      </c>
      <c r="D244" s="20"/>
      <c r="E244" s="20" t="s">
        <v>577</v>
      </c>
      <c r="F244" s="20" t="s">
        <v>14</v>
      </c>
      <c r="G244" s="20">
        <v>1</v>
      </c>
      <c r="H244" s="20" t="s">
        <v>47</v>
      </c>
      <c r="I244" s="20" t="s">
        <v>47</v>
      </c>
    </row>
    <row r="245" spans="1:9" ht="30" collapsed="1">
      <c r="A245" s="20" t="s">
        <v>11</v>
      </c>
      <c r="B245" s="20" t="s">
        <v>82</v>
      </c>
      <c r="C245" s="20" t="s">
        <v>47</v>
      </c>
      <c r="D245" s="20"/>
      <c r="E245" s="20" t="s">
        <v>578</v>
      </c>
      <c r="F245" s="20" t="s">
        <v>14</v>
      </c>
      <c r="G245" s="20">
        <v>1</v>
      </c>
      <c r="H245" s="20" t="s">
        <v>47</v>
      </c>
      <c r="I245" s="20" t="s">
        <v>47</v>
      </c>
    </row>
    <row r="246" spans="1:9">
      <c r="A246" s="18" t="s">
        <v>11</v>
      </c>
      <c r="B246" s="10" t="s">
        <v>579</v>
      </c>
      <c r="C246" s="18" t="s">
        <v>47</v>
      </c>
      <c r="D246" s="18" t="b">
        <f>EXACT(G237,"Estimating change in carbon stock in shrubs in a year")</f>
        <v>1</v>
      </c>
      <c r="E246" s="18" t="s">
        <v>523</v>
      </c>
      <c r="F246" s="18" t="s">
        <v>14</v>
      </c>
      <c r="G246" s="18" t="s">
        <v>47</v>
      </c>
      <c r="H246" s="18" t="s">
        <v>47</v>
      </c>
      <c r="I246" s="18" t="s">
        <v>47</v>
      </c>
    </row>
    <row r="247" spans="1:9" ht="30" collapsed="1">
      <c r="A247" s="20" t="s">
        <v>14</v>
      </c>
      <c r="B247" s="20" t="s">
        <v>82</v>
      </c>
      <c r="C247" s="20" t="s">
        <v>47</v>
      </c>
      <c r="D247" s="20" t="s">
        <v>399</v>
      </c>
      <c r="E247" s="20" t="s">
        <v>580</v>
      </c>
      <c r="F247" s="20" t="s">
        <v>14</v>
      </c>
      <c r="G247" s="20">
        <f>(G248-G249/G250)*1</f>
        <v>0</v>
      </c>
      <c r="H247" s="20" t="s">
        <v>47</v>
      </c>
      <c r="I247" s="20" t="s">
        <v>47</v>
      </c>
    </row>
    <row r="248" spans="1:9" collapsed="1">
      <c r="A248" s="20" t="s">
        <v>11</v>
      </c>
      <c r="B248" s="20" t="s">
        <v>82</v>
      </c>
      <c r="C248" s="20" t="s">
        <v>47</v>
      </c>
      <c r="D248" s="20"/>
      <c r="E248" s="20" t="s">
        <v>581</v>
      </c>
      <c r="F248" s="20" t="s">
        <v>14</v>
      </c>
      <c r="G248" s="20">
        <v>1</v>
      </c>
      <c r="H248" s="20" t="s">
        <v>47</v>
      </c>
      <c r="I248" s="20" t="s">
        <v>47</v>
      </c>
    </row>
    <row r="249" spans="1:9" collapsed="1">
      <c r="A249" s="20" t="s">
        <v>11</v>
      </c>
      <c r="B249" s="20" t="s">
        <v>82</v>
      </c>
      <c r="C249" s="20" t="s">
        <v>47</v>
      </c>
      <c r="D249" s="20"/>
      <c r="E249" s="20" t="s">
        <v>582</v>
      </c>
      <c r="F249" s="20" t="s">
        <v>14</v>
      </c>
      <c r="G249" s="20">
        <v>1</v>
      </c>
      <c r="H249" s="20" t="s">
        <v>47</v>
      </c>
      <c r="I249" s="20" t="s">
        <v>47</v>
      </c>
    </row>
    <row r="250" spans="1:9" ht="30" collapsed="1">
      <c r="A250" s="20" t="s">
        <v>11</v>
      </c>
      <c r="B250" s="20" t="s">
        <v>82</v>
      </c>
      <c r="C250" s="20" t="s">
        <v>47</v>
      </c>
      <c r="D250" s="20"/>
      <c r="E250" s="20" t="s">
        <v>527</v>
      </c>
      <c r="F250" s="20" t="s">
        <v>14</v>
      </c>
      <c r="G250" s="20">
        <v>1</v>
      </c>
      <c r="H250" s="20" t="s">
        <v>47</v>
      </c>
      <c r="I250" s="20" t="s">
        <v>47</v>
      </c>
    </row>
    <row r="251" spans="1:9">
      <c r="A251" s="18" t="s">
        <v>11</v>
      </c>
      <c r="B251" s="10" t="s">
        <v>583</v>
      </c>
      <c r="C251" s="18" t="s">
        <v>47</v>
      </c>
      <c r="D251" s="18"/>
      <c r="E251" s="18" t="s">
        <v>584</v>
      </c>
      <c r="F251" s="18" t="s">
        <v>11</v>
      </c>
      <c r="G251" s="18" t="s">
        <v>47</v>
      </c>
      <c r="H251" s="18" t="s">
        <v>47</v>
      </c>
      <c r="I251" s="18" t="s">
        <v>47</v>
      </c>
    </row>
    <row r="252" spans="1:9" ht="30" collapsed="1">
      <c r="A252" s="20" t="s">
        <v>14</v>
      </c>
      <c r="B252" s="20" t="s">
        <v>82</v>
      </c>
      <c r="C252" s="20" t="s">
        <v>47</v>
      </c>
      <c r="D252" s="20" t="s">
        <v>399</v>
      </c>
      <c r="E252" s="20" t="s">
        <v>585</v>
      </c>
      <c r="F252" s="20" t="s">
        <v>14</v>
      </c>
      <c r="G252" s="20">
        <f>44/12*G253*(1+G254)*SUM((G259*G260))</f>
        <v>7.333333333333333</v>
      </c>
      <c r="H252" s="20" t="s">
        <v>47</v>
      </c>
      <c r="I252" s="20" t="s">
        <v>47</v>
      </c>
    </row>
    <row r="253" spans="1:9" collapsed="1">
      <c r="A253" s="20" t="s">
        <v>11</v>
      </c>
      <c r="B253" s="20" t="s">
        <v>82</v>
      </c>
      <c r="C253" s="20" t="s">
        <v>47</v>
      </c>
      <c r="D253" s="20"/>
      <c r="E253" s="20" t="s">
        <v>531</v>
      </c>
      <c r="F253" s="20" t="s">
        <v>14</v>
      </c>
      <c r="G253" s="20">
        <v>1</v>
      </c>
      <c r="H253" s="20" t="s">
        <v>47</v>
      </c>
      <c r="I253" s="20" t="s">
        <v>47</v>
      </c>
    </row>
    <row r="254" spans="1:9" collapsed="1">
      <c r="A254" s="20" t="s">
        <v>11</v>
      </c>
      <c r="B254" s="20" t="s">
        <v>82</v>
      </c>
      <c r="C254" s="20" t="s">
        <v>47</v>
      </c>
      <c r="D254" s="20"/>
      <c r="E254" s="20" t="s">
        <v>532</v>
      </c>
      <c r="F254" s="20" t="s">
        <v>14</v>
      </c>
      <c r="G254" s="20">
        <v>1</v>
      </c>
      <c r="H254" s="20" t="s">
        <v>47</v>
      </c>
      <c r="I254" s="20" t="s">
        <v>47</v>
      </c>
    </row>
    <row r="255" spans="1:9">
      <c r="A255" s="22" t="s">
        <v>11</v>
      </c>
      <c r="B255" s="23" t="s">
        <v>533</v>
      </c>
      <c r="C255" s="22" t="s">
        <v>47</v>
      </c>
      <c r="D255" s="22"/>
      <c r="E255" s="22" t="s">
        <v>534</v>
      </c>
      <c r="F255" s="22" t="s">
        <v>11</v>
      </c>
      <c r="G255" s="22" t="s">
        <v>47</v>
      </c>
      <c r="H255" s="22" t="s">
        <v>47</v>
      </c>
      <c r="I255" s="22" t="s">
        <v>47</v>
      </c>
    </row>
    <row r="256" spans="1:9" ht="30" collapsed="1">
      <c r="A256" s="20" t="s">
        <v>11</v>
      </c>
      <c r="B256" s="20" t="s">
        <v>82</v>
      </c>
      <c r="C256" s="20" t="s">
        <v>47</v>
      </c>
      <c r="D256" s="20"/>
      <c r="E256" s="20" t="s">
        <v>535</v>
      </c>
      <c r="F256" s="20" t="s">
        <v>14</v>
      </c>
      <c r="G256" s="20">
        <v>1</v>
      </c>
      <c r="H256" s="20" t="s">
        <v>47</v>
      </c>
      <c r="I256" s="20" t="s">
        <v>47</v>
      </c>
    </row>
    <row r="257" spans="1:9" ht="30" collapsed="1">
      <c r="A257" s="20" t="s">
        <v>11</v>
      </c>
      <c r="B257" s="20" t="s">
        <v>82</v>
      </c>
      <c r="C257" s="20" t="s">
        <v>47</v>
      </c>
      <c r="D257" s="20"/>
      <c r="E257" s="20" t="s">
        <v>536</v>
      </c>
      <c r="F257" s="20" t="s">
        <v>14</v>
      </c>
      <c r="G257" s="20">
        <v>1</v>
      </c>
      <c r="H257" s="20" t="s">
        <v>47</v>
      </c>
      <c r="I257" s="20" t="s">
        <v>47</v>
      </c>
    </row>
    <row r="258" spans="1:9" ht="30" collapsed="1">
      <c r="A258" s="20" t="s">
        <v>11</v>
      </c>
      <c r="B258" s="20" t="s">
        <v>82</v>
      </c>
      <c r="C258" s="20" t="s">
        <v>47</v>
      </c>
      <c r="D258" s="20"/>
      <c r="E258" s="20" t="s">
        <v>537</v>
      </c>
      <c r="F258" s="20" t="s">
        <v>14</v>
      </c>
      <c r="G258" s="20">
        <v>1</v>
      </c>
      <c r="H258" s="20" t="s">
        <v>47</v>
      </c>
      <c r="I258" s="20" t="s">
        <v>47</v>
      </c>
    </row>
    <row r="259" spans="1:9" ht="30" collapsed="1">
      <c r="A259" s="20" t="s">
        <v>11</v>
      </c>
      <c r="B259" s="20" t="s">
        <v>82</v>
      </c>
      <c r="C259" s="20" t="s">
        <v>47</v>
      </c>
      <c r="D259" s="20"/>
      <c r="E259" s="20" t="s">
        <v>538</v>
      </c>
      <c r="F259" s="20" t="s">
        <v>14</v>
      </c>
      <c r="G259" s="20">
        <v>1</v>
      </c>
      <c r="H259" s="20" t="s">
        <v>47</v>
      </c>
      <c r="I259" s="20" t="s">
        <v>47</v>
      </c>
    </row>
    <row r="260" spans="1:9" ht="30" collapsed="1">
      <c r="A260" s="20" t="s">
        <v>14</v>
      </c>
      <c r="B260" s="20" t="s">
        <v>82</v>
      </c>
      <c r="C260" s="20" t="s">
        <v>47</v>
      </c>
      <c r="D260" s="20" t="s">
        <v>399</v>
      </c>
      <c r="E260" s="20" t="s">
        <v>539</v>
      </c>
      <c r="F260" s="20" t="s">
        <v>14</v>
      </c>
      <c r="G260" s="20">
        <f>G256*G257*G258</f>
        <v>1</v>
      </c>
      <c r="H260" s="20" t="s">
        <v>47</v>
      </c>
      <c r="I260" s="20" t="s">
        <v>47</v>
      </c>
    </row>
    <row r="261" spans="1:9" ht="29.25" customHeight="1">
      <c r="A261" s="18" t="s">
        <v>14</v>
      </c>
      <c r="B261" s="18" t="s">
        <v>82</v>
      </c>
      <c r="C261" s="10"/>
      <c r="D261" s="18" t="s">
        <v>399</v>
      </c>
      <c r="E261" s="18" t="s">
        <v>586</v>
      </c>
      <c r="F261" s="18" t="s">
        <v>14</v>
      </c>
      <c r="G261" s="18">
        <f>G252</f>
        <v>7.333333333333333</v>
      </c>
      <c r="H261" s="18"/>
      <c r="I261" s="18"/>
    </row>
    <row r="262" spans="1:9" ht="29.25" customHeight="1">
      <c r="A262" s="18" t="s">
        <v>14</v>
      </c>
      <c r="B262" s="18" t="s">
        <v>82</v>
      </c>
      <c r="C262" s="10"/>
      <c r="D262" s="18" t="s">
        <v>399</v>
      </c>
      <c r="E262" s="18" t="s">
        <v>587</v>
      </c>
      <c r="F262" s="18" t="s">
        <v>14</v>
      </c>
      <c r="G262" s="18">
        <f>IF(AND(G237="Estimating change in carbon stock in shrubs between two points in time",G239="Yes"),0,IF(AND(G237="Estimating change in carbon stock in shrubs between two points in time"),G243,IF(AND(G237="Estimating change in carbon stock in shrubs in a year"),G247)))</f>
        <v>0</v>
      </c>
      <c r="H262" s="18"/>
      <c r="I262" s="18"/>
    </row>
  </sheetData>
  <mergeCells count="3">
    <mergeCell ref="A1:I1"/>
    <mergeCell ref="B2:I2"/>
    <mergeCell ref="B3:I3"/>
  </mergeCells>
  <dataValidations count="2">
    <dataValidation type="list" allowBlank="1" sqref="G11 G119 G149 G242 G239" xr:uid="{4C90CDD0-B5FD-417F-8F55-9DF7CB141FAA}">
      <formula1>"Yes,No"</formula1>
    </dataValidation>
    <dataValidation type="list" allowBlank="1" showInputMessage="1" showErrorMessage="1" sqref="G63:G68 G192:G197" xr:uid="{81620988-0A73-4275-8E75-EA0A0F3EFA41}">
      <formula1>"Yes,No"</formula1>
    </dataValidation>
  </dataValidations>
  <hyperlinks>
    <hyperlink ref="B5" location="'AR Tool 14 Baseline'!A1" display="'AR Tool 14 Baseline" xr:uid="{16846FF5-CF64-40F5-8164-D332EC8C0B7E}"/>
    <hyperlink ref="B143" location="'AR Tool 14 Project'!A1" display="'AR Tool 14 Project" xr:uid="{F6AE7F7F-F485-4493-B516-9BA2D0419AD6}"/>
    <hyperlink ref="C8" location="#'Which method did you us (enum)'!A3" display="Which method did you us (enum)" xr:uid="{A5519EA4-737F-49EC-B95E-0EFFEC35ECEC}"/>
    <hyperlink ref="C50" location="#'Which method did you 1 (enum)'!A3" display="Which method did you 1 (enum)" xr:uid="{EED16774-E46D-4F41-8E06-DDC02CA2DD04}"/>
    <hyperlink ref="C79" location="#'Which sampling design w (enum)'!A3" display="Which sampling design w (enum)" xr:uid="{390C4D7D-F527-45CB-A46C-06B3C61E614F}"/>
    <hyperlink ref="B9" location="'Tree Demonstration of “no-d'!A1" display="'Tree Demonstration of “no-d" xr:uid="{03FDE8CD-E89D-4417-8C95-796B153C31DD}"/>
    <hyperlink ref="B12" location="'BSL-Estimation by proportionate'!A1" display="'BSL-Estimation by proportionate" xr:uid="{699F11F1-0022-492B-9813-6DC181845987}"/>
    <hyperlink ref="B14" location="'Mean annual change in carbon st'!A1" display="'Mean annual change in carbon st" xr:uid="{2A16435C-DC34-4A8D-B99F-13B0D39CA3B5}"/>
    <hyperlink ref="B21" location="'Direct Estimating Changes via S'!A1" display="'Direct Estimating Changes via S" xr:uid="{D3BA7F65-EAF7-4616-8124-8DC4B4BB86D9}"/>
    <hyperlink ref="B29" location="'Mean Change In Tree Biomass Per'!A1" display="'Mean Change In Tree Biomass Per" xr:uid="{EBDAA615-2AAE-4637-92C9-627ABB09EA48}"/>
    <hyperlink ref="B34" location="'Change in Tree Biomass per Hect'!A1" display="'Change in Tree Biomass per Hect" xr:uid="{515CA7CC-4903-45C4-925A-2861B5F85488}"/>
    <hyperlink ref="B36" location="'Difference of Two Independent S'!A1" display="'Difference of Two Independent S" xr:uid="{E09A4BED-EDFE-404E-9B58-AE60E4292279}"/>
    <hyperlink ref="B44" location="'BSL-Estimating change in carbon'!A1" display="'BSL-Estimating change in carbon" xr:uid="{F00FEF51-E2CB-4489-8DBC-BA93C1B9B634}"/>
    <hyperlink ref="B49" location="'BSL-Determination of Estimating'!A1" display="'BSL-Determination of Estimating" xr:uid="{7DBBDCB9-5045-430A-A3FA-105C73E36EA7}"/>
    <hyperlink ref="B51" location="'BSL-Updating the previous stock'!A1" display="'BSL-Updating the previous stock" xr:uid="{49D395E9-C159-4A8E-BD99-35F2B68F4F4F}"/>
    <hyperlink ref="B58" location="'BSL-Estimation by modelling of '!A1" display="'BSL-Estimation by modelling of" xr:uid="{C68DDE03-ADB9-45F6-908A-1397378DF331}"/>
    <hyperlink ref="B65" location="'BSL-Carbon stock in trees at a '!A1" display="'BSL-Carbon stock in trees at a" xr:uid="{0DF61A6F-E88F-4497-8C0C-84D7489D2974}"/>
    <hyperlink ref="B69" location="'BSL-Estimation by proportiona'!A1" display="'BSL-Estimation by proportiona" xr:uid="{06E63092-71EC-400F-A36C-1ACA9B8B4570}"/>
    <hyperlink ref="B71" location="'BSL-Mean annual change in carbo'!A1" display="'BSL-Mean annual change in carbo" xr:uid="{1BD912E4-8933-4380-BB53-ECC5314CFC1E}"/>
    <hyperlink ref="B78" location="'Measurement of sample plots'!A1" display="'Measurement of sample plots" xr:uid="{42244C58-0CB8-4F99-8FB9-A8FD83FC20F9}"/>
    <hyperlink ref="B80" location="'Stratified random sampling'!A1" display="'Stratified random sampling" xr:uid="{6746EAF1-65C0-4421-8923-942786D1319C}"/>
    <hyperlink ref="B88" location="'Mean tree biomass per hectare w'!A1" display="'Mean tree biomass per hectare w" xr:uid="{58301401-6BC8-4206-969D-7D0F5B9E7113}"/>
    <hyperlink ref="B93" location="'Tree Biomass per Hectare in Plo'!A1" display="'Tree Biomass per Hectare in Plo" xr:uid="{8C455146-C7D1-4F69-B604-40AB7E18C195}"/>
    <hyperlink ref="B95" location="'Double sampling'!A1" display="'Double sampling" xr:uid="{F1A90D0B-F6E1-4AC3-AB57-75CACB93A7AB}"/>
    <hyperlink ref="B103" location="'Double Mean tree biomass per he'!A1" display="'Double Mean tree biomass per he" xr:uid="{DE842E0F-0625-4A5F-A5AA-6AE30B2ADF1B}"/>
    <hyperlink ref="B112" location="'Tree Biomass per Hectare in Plo'!A1" display="'Tree Biomass per Hectare in Plo" xr:uid="{97BDDA77-60E2-4434-B3A0-78563BEE2948}"/>
    <hyperlink ref="B118" location="'BSL-Estimating Shrub Carbon Sto'!A1" display="'BSL-Estimating Shrub Carbon Sto" xr:uid="{27F24503-0833-41C3-A244-EB0BE182DA3C}"/>
    <hyperlink ref="B126" location="'BSL-Estimating change in carb'!A1" display="'BSL-Estimating change in carb" xr:uid="{3A12680F-76B8-4E27-82CF-7B917467E357}"/>
    <hyperlink ref="B131" location="'BSL-Estimating carbon stock in '!A1" display="'BSL-Estimating carbon stock in" xr:uid="{A7966BF9-0709-4338-AC1F-91D095C2907D}"/>
    <hyperlink ref="B135" location="'Shrub biomass per hectare in sh'!A1" display="'Shrub biomass per hectare in sh" xr:uid="{4F197159-D40C-4DB2-98C2-5639170C4AE1}"/>
    <hyperlink ref="B7" location="'BSL-Estimating change in car'!A1" display="'BSL-Estimating change in car" xr:uid="{39C99D5F-3932-4D2D-B9F4-3165FB87CCDC}"/>
    <hyperlink ref="C6" location="'Which method did you u (enum)'!A1" display="'Which method did you u (enum)" xr:uid="{3DC6787A-11D6-4DC3-84FD-E13EA68DDF5F}"/>
    <hyperlink ref="C117" location="'Which method did you (enum)'!A1" display="'Which method did you (enum)" xr:uid="{AFF9C847-F79C-415D-AEED-3FCD9820E2F2}"/>
    <hyperlink ref="C119" location="'Will you be applying the (enum)'!A1" display="'Will you be applying the (enum)" xr:uid="{E9AF743C-C21A-40B0-A203-69CBADDB0AB2}"/>
    <hyperlink ref="B120" location="'Shrub Demonstration of “n'!A1" display="'Shrub Demonstration of “n" xr:uid="{83D4B83C-5B7D-40FD-A1DC-B4B1CE96E820}"/>
    <hyperlink ref="C122" location="'If all three conditi (enum)'!A1" display="'If all three conditi (enum)" xr:uid="{843B04AC-79CD-4244-A396-40CF01724623}"/>
    <hyperlink ref="C199" location="#'Which sampling design w (enum)'!A3" display="Which sampling design w (enum)" xr:uid="{FA8DB6A4-8065-49DA-8F4A-522835C90BE9}"/>
    <hyperlink ref="C179" location="'Which method did you 2 (enum)'!A1" display="'Which method did you 2 (enum)" xr:uid="{435577B9-7A47-4DDA-85BE-1CA55BA9D694}"/>
    <hyperlink ref="B150" location="'Direct Estimating Changes via S'!A1" display="'Direct Estimating Changes via S" xr:uid="{7F7E3273-0BB5-4EBD-A2B8-026900FD36F8}"/>
    <hyperlink ref="B158" location="'Mean Change In Tree Biomass Per'!A1" display="'Mean Change In Tree Biomass Per" xr:uid="{13C4F48A-8B4C-4CD5-B5A9-7FDFE5EE7E1C}"/>
    <hyperlink ref="B163" location="'Change in Tree Biomass per Hect'!A1" display="'Change in Tree Biomass per Hect" xr:uid="{93ABD46D-73F7-4D3C-82B4-A567B5666F31}"/>
    <hyperlink ref="B165" location="'Difference of Two Independent S'!A1" display="'Difference of Two Independent S" xr:uid="{16B39682-ACFA-45E3-B9BE-9916EA38DFA3}"/>
    <hyperlink ref="B194" location="'Proj-Carbon stock in trees at a'!A1" display="'Proj-Carbon stock in trees at a" xr:uid="{8B2A7E6A-8958-4122-900F-CBEBF3E270B8}"/>
    <hyperlink ref="B187" location="'Proj-Estimation by modelling of'!A1" display="'Proj-Estimation by modelling of" xr:uid="{FBC3284F-6FED-4FB2-9ADD-18C1AC852878}"/>
    <hyperlink ref="B198" location="'Measurement of sample plots'!A1" display="'Measurement of sample plots" xr:uid="{9FBAB3AF-0BDE-4026-BB32-42ECE9F38D59}"/>
    <hyperlink ref="B200" location="'Stratified random sampling'!A1" display="'Stratified random sampling" xr:uid="{FABE29B7-1DE7-4466-B335-3C55158B1CCE}"/>
    <hyperlink ref="B208" location="'Mean tree biomass per hectare w'!A1" display="'Mean tree biomass per hectare w" xr:uid="{1D514AD7-99A6-436E-8D73-C7DEB55BF14A}"/>
    <hyperlink ref="B213" location="'Tree Biomass per Hectare in Plo'!A1" display="'Tree Biomass per Hectare in Plo" xr:uid="{6D16619A-87E9-4BDC-8196-3F776EB78289}"/>
    <hyperlink ref="B215" location="'Double sampling'!A1" display="'Double sampling" xr:uid="{044F3A01-70C3-43A6-B182-9EFF25BA02C0}"/>
    <hyperlink ref="B223" location="'Double Mean tree biomass per he'!A1" display="'Double Mean tree biomass per he" xr:uid="{DE6C65D6-2BE1-4326-BD0F-6F2B37218494}"/>
    <hyperlink ref="B232" location="'Tree Biomass per Hectare in Plo'!A1" display="'Tree Biomass per Hectare in Plo" xr:uid="{9F02ED3F-979D-4126-9674-91B4ED11D01D}"/>
    <hyperlink ref="B180" location="'Proj-Updating the previous stoc'!A1" display="'Proj-Updating the previous stoc" xr:uid="{25F3FA6B-3BB5-45F7-99B2-45A2A08B217D}"/>
    <hyperlink ref="B178" location="'Proj-Determination of Estimatin'!A1" display="'Proj-Determination of Estimatin" xr:uid="{808441C4-CED8-45D7-B853-089C2C639E03}"/>
    <hyperlink ref="B238" location="'Proj-Estimating Shrub Carbon St'!A1" display="'Proj-Estimating Shrub Carbon St" xr:uid="{68C58B00-A565-4E3C-A73E-5E64C3D90EE9}"/>
    <hyperlink ref="B246" location="'Proj-Estimating change in carbo'!A1" display="'Proj-Estimating change in carbo" xr:uid="{82F4C565-CE9A-45B5-B4AC-F3A2777684D5}"/>
    <hyperlink ref="B251" location="'Proj-Estimating carbon stock in'!A1" display="'Proj-Estimating carbon stock in" xr:uid="{FA2B0432-A24E-4CDD-AE73-C9BB334E22A0}"/>
    <hyperlink ref="B255" location="'Shrub biomass per hectare in sh'!A1" display="'Shrub biomass per hectare in sh" xr:uid="{215119F9-B490-4817-8E29-79334721BA99}"/>
    <hyperlink ref="B147" location="'Tree Demonstration of “no-d'!A1" display="'Tree Demonstration of “no-d" xr:uid="{A39221F0-0C12-419F-8F6E-29A5741B4716}"/>
    <hyperlink ref="C146" location="'Which method did yous (enum)'!A1" display="'Which method did yous (enum)" xr:uid="{9F868FDF-B935-4384-9230-E87E7CCAE5BE}"/>
    <hyperlink ref="B145" location="'PROJ-Estimating change in car'!A1" display="'PROJ-Estimating change in car" xr:uid="{5E0FDC15-4477-484F-804F-54F07AD6B9A0}"/>
    <hyperlink ref="B240" location="'Shrub Demonstration of “n'!A1" display="'Shrub Demonstration of “n" xr:uid="{10F2318C-6EC2-403D-B764-1A607DE4BB52}"/>
    <hyperlink ref="C144" location="'Which method did you pro(enum)'!A1" display="'Which method did you pro(enum)" xr:uid="{8C2C6314-11B8-40B4-9A6B-5403A45790D3}"/>
    <hyperlink ref="B173" location="'Proj-Estimating Change in Carb'!A1" display="'Proj-Estimating Change in Carb" xr:uid="{43AFE557-A956-4C18-A56A-8C3D9448DE74}"/>
    <hyperlink ref="C237" location="'Which method did  pro (enum)'!A1" display="'Which method did  pro (enum)" xr:uid="{8EDB410D-07F6-447C-967B-FC7EC2F029C8}"/>
    <hyperlink ref="C239" location="'Will you be applying  pr (enum)'!A1" display="'Will you be applying  pr (enum)" xr:uid="{5F679514-73E1-4988-B91A-6F0015C2C140}"/>
    <hyperlink ref="C192" location="'Does your project apply  (enum)'!A1" display="'Does your project apply  (enum)" xr:uid="{27E6013E-F968-476B-AC1C-D640BDC1E32D}"/>
    <hyperlink ref="C11" location="'If all three conditi tree(enum)'!A1" display="'If all three conditi tree(enum)" xr:uid="{CB996E99-8518-440B-B5A4-A302688E6673}"/>
    <hyperlink ref="C63" location="'Does your project apply b(enum)'!A1" display="'Does your project apply b(enum)" xr:uid="{F4C5BC0D-7A9E-4B64-B42B-38D28ADEB475}"/>
    <hyperlink ref="C149" location="'If all three conditi tree(enum)'!A1" display="'If all three conditi tree(enum)" xr:uid="{5ED39FA2-0D87-4076-AC1D-64B0166C8522}"/>
    <hyperlink ref="C242" location="'If all three conditi (enum)'!A1" display="'If all three conditi (enum)" xr:uid="{39C76F51-C720-46F6-AC92-884171E558B2}"/>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5">
        <x14:dataValidation type="list" allowBlank="1" xr:uid="{54E9BAFF-3720-4CEA-B341-AED85640676C}">
          <x14:formula1>
            <xm:f>'Which method did you 2 (enum)'!$A$3:$A$5</xm:f>
          </x14:formula1>
          <xm:sqref>G179</xm:sqref>
        </x14:dataValidation>
        <x14:dataValidation type="list" allowBlank="1" xr:uid="{6B8C8E15-7D5F-4A3D-B0E8-EEF6C918AFFB}">
          <x14:formula1>
            <xm:f>'Which method did yous (enum)'!$A$3:$A$5</xm:f>
          </x14:formula1>
          <xm:sqref>G146</xm:sqref>
        </x14:dataValidation>
        <x14:dataValidation type="list" allowBlank="1" xr:uid="{A5D4C7E1-020D-4583-A82D-0F4A08B21596}">
          <x14:formula1>
            <xm:f>'Which method did you 1 (enum)'!$A$3:$A$6</xm:f>
          </x14:formula1>
          <xm:sqref>G50</xm:sqref>
        </x14:dataValidation>
        <x14:dataValidation type="list" allowBlank="1" xr:uid="{B0AB059D-92A9-440E-88E2-034837D267DD}">
          <x14:formula1>
            <xm:f>'Which method did you us (enum)'!$A$3:$A$6</xm:f>
          </x14:formula1>
          <xm:sqref>G8</xm:sqref>
        </x14:dataValidation>
        <x14:dataValidation type="list" allowBlank="1" showInputMessage="1" showErrorMessage="1" xr:uid="{6F30AA4E-7E30-4896-B6CF-F6243DDF1672}">
          <x14:formula1>
            <xm:f>'Which method did you u (enum)'!$A$3:$A$4</xm:f>
          </x14:formula1>
          <xm:sqref>G6:G7 G144:G145</xm:sqref>
        </x14:dataValidation>
        <x14:dataValidation type="list" allowBlank="1" showInputMessage="1" showErrorMessage="1" xr:uid="{B39CDAB1-1E1E-4505-BDA6-91AFC95FE773}">
          <x14:formula1>
            <xm:f>'Which method did you (enum)'!$A$3:$A$4</xm:f>
          </x14:formula1>
          <xm:sqref>G117 G237</xm:sqref>
        </x14:dataValidation>
        <x14:dataValidation type="list" allowBlank="1" xr:uid="{91E2BB5A-DD3D-468F-92CE-F422148B64F6}">
          <x14:formula1>
            <xm:f>'If all three conditi (enum)'!$A$3:$A$4</xm:f>
          </x14:formula1>
          <xm:sqref>G122</xm:sqref>
        </x14:dataValidation>
        <x14:dataValidation type="list" allowBlank="1" xr:uid="{A8F31A54-B8C5-4388-A782-222F6AD652C8}">
          <x14:formula1>
            <xm:f>'Which method did you us (enum)'!C253:C256</xm:f>
          </x14:formula1>
          <xm:sqref>H239:I241</xm:sqref>
        </x14:dataValidation>
        <x14:dataValidation type="list" allowBlank="1" xr:uid="{F7B70176-6E90-4A4C-A618-9B1082124927}">
          <x14:formula1>
            <xm:f>'Which method did you us (enum)'!C255:C258</xm:f>
          </x14:formula1>
          <xm:sqref>H242:I242</xm:sqref>
        </x14:dataValidation>
        <x14:dataValidation type="list" allowBlank="1" xr:uid="{E35F6136-C225-4630-B738-C63613EE004C}">
          <x14:formula1>
            <xm:f>'Which sampling design w (enum)'!B142:B143</xm:f>
          </x14:formula1>
          <xm:sqref>G199:I199</xm:sqref>
        </x14:dataValidation>
        <x14:dataValidation type="list" allowBlank="1" xr:uid="{D4BB1957-36A0-42E0-928C-F025E09B2469}">
          <x14:formula1>
            <xm:f>'Which method did you 1 (enum)'!C142:C145</xm:f>
          </x14:formula1>
          <xm:sqref>H179:I179</xm:sqref>
        </x14:dataValidation>
        <x14:dataValidation type="list" allowBlank="1" xr:uid="{A4C53D5D-ED8F-425C-98BE-25B2A6391AC5}">
          <x14:formula1>
            <xm:f>'Which method did you us (enum)'!C6:C9</xm:f>
          </x14:formula1>
          <xm:sqref>H122:I122 H11:I11 H149:I149</xm:sqref>
        </x14:dataValidation>
        <x14:dataValidation type="list" allowBlank="1" xr:uid="{F00C8003-9817-4FBF-BA1B-4FDBCA469531}">
          <x14:formula1>
            <xm:f>'Which method did you us (enum)'!C4:C7</xm:f>
          </x14:formula1>
          <xm:sqref>H119:I121 H8:I10 H146:I148</xm:sqref>
        </x14:dataValidation>
        <x14:dataValidation type="list" allowBlank="1" xr:uid="{DCCC3A31-1C05-47B2-BBEE-E79379A02821}">
          <x14:formula1>
            <xm:f>'Which sampling design w (enum)'!B4:B5</xm:f>
          </x14:formula1>
          <xm:sqref>G79:I79</xm:sqref>
        </x14:dataValidation>
        <x14:dataValidation type="list" allowBlank="1" xr:uid="{8C3A02C0-398B-4653-9452-BF2643E67B0B}">
          <x14:formula1>
            <xm:f>'Which method did you 1 (enum)'!C4:C7</xm:f>
          </x14:formula1>
          <xm:sqref>H50:I50</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FA05C-704B-40D0-8631-4C5B0AA4F65C}">
  <sheetPr codeName="Sheet15">
    <outlinePr summaryBelow="0" summaryRight="0"/>
  </sheetPr>
  <dimension ref="A1:L266"/>
  <sheetViews>
    <sheetView workbookViewId="0">
      <selection activeCell="B2" sqref="B2:G2"/>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2" t="s">
        <v>377</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outlineLevel="4">
      <c r="A5" s="3" t="s">
        <v>11</v>
      </c>
      <c r="B5" s="9" t="s">
        <v>635</v>
      </c>
      <c r="C5" s="3"/>
      <c r="D5" s="3"/>
      <c r="E5" s="3" t="s">
        <v>380</v>
      </c>
      <c r="F5" s="3" t="s">
        <v>11</v>
      </c>
      <c r="G5" s="3"/>
    </row>
    <row r="6" spans="1:7" ht="14.25" customHeight="1" outlineLevel="1">
      <c r="A6" s="3" t="s">
        <v>11</v>
      </c>
      <c r="B6" s="3" t="s">
        <v>46</v>
      </c>
      <c r="C6" s="3"/>
      <c r="D6" s="3"/>
      <c r="E6" s="3" t="s">
        <v>88</v>
      </c>
      <c r="F6" s="3" t="s">
        <v>14</v>
      </c>
      <c r="G6" s="3" t="s">
        <v>89</v>
      </c>
    </row>
    <row r="7" spans="1:7" outlineLevel="1">
      <c r="A7" s="3" t="s">
        <v>11</v>
      </c>
      <c r="B7" s="3" t="s">
        <v>82</v>
      </c>
      <c r="C7" s="3"/>
      <c r="D7" s="3"/>
      <c r="E7" s="3" t="s">
        <v>90</v>
      </c>
      <c r="F7" s="3" t="s">
        <v>14</v>
      </c>
      <c r="G7" s="3">
        <v>1148.7226376613501</v>
      </c>
    </row>
    <row r="8" spans="1:7" ht="14.25" customHeight="1" outlineLevel="1">
      <c r="A8" s="3"/>
      <c r="B8" s="10" t="s">
        <v>381</v>
      </c>
      <c r="C8" s="3"/>
      <c r="D8" s="3"/>
      <c r="E8" s="3" t="s">
        <v>381</v>
      </c>
      <c r="F8" s="3" t="s">
        <v>14</v>
      </c>
      <c r="G8" s="3"/>
    </row>
    <row r="9" spans="1:7" ht="29.25" customHeight="1" outlineLevel="2" collapsed="1">
      <c r="A9" s="18" t="s">
        <v>11</v>
      </c>
      <c r="B9" s="10" t="s">
        <v>382</v>
      </c>
      <c r="C9" s="19"/>
      <c r="D9" s="18"/>
      <c r="E9" s="18" t="s">
        <v>383</v>
      </c>
      <c r="F9" s="18" t="s">
        <v>14</v>
      </c>
      <c r="G9" s="18"/>
    </row>
    <row r="10" spans="1:7" ht="29.25" hidden="1" customHeight="1" outlineLevel="3">
      <c r="A10" s="18" t="s">
        <v>11</v>
      </c>
      <c r="B10" s="18" t="s">
        <v>17</v>
      </c>
      <c r="C10" s="10" t="s">
        <v>384</v>
      </c>
      <c r="D10" s="18"/>
      <c r="E10" s="18" t="s">
        <v>385</v>
      </c>
      <c r="F10" s="3" t="s">
        <v>14</v>
      </c>
      <c r="G10" s="18" t="s">
        <v>386</v>
      </c>
    </row>
    <row r="11" spans="1:7" ht="29.25" hidden="1" customHeight="1" outlineLevel="3">
      <c r="A11" s="3" t="s">
        <v>14</v>
      </c>
      <c r="B11" s="10" t="s">
        <v>387</v>
      </c>
      <c r="C11" s="10"/>
      <c r="D11" s="18" t="b">
        <f>EXACT(G10,"Estimating change in carbon stock in trees between two points in time")</f>
        <v>0</v>
      </c>
      <c r="E11" s="18" t="s">
        <v>388</v>
      </c>
      <c r="F11" s="3" t="s">
        <v>14</v>
      </c>
      <c r="G11" s="18"/>
    </row>
    <row r="12" spans="1:7" ht="29.25" hidden="1" customHeight="1" outlineLevel="4">
      <c r="A12" s="18" t="s">
        <v>11</v>
      </c>
      <c r="B12" s="18" t="s">
        <v>17</v>
      </c>
      <c r="C12" s="19" t="s">
        <v>389</v>
      </c>
      <c r="D12" s="18"/>
      <c r="E12" s="18" t="s">
        <v>390</v>
      </c>
      <c r="F12" s="18" t="s">
        <v>14</v>
      </c>
      <c r="G12" s="18" t="s">
        <v>391</v>
      </c>
    </row>
    <row r="13" spans="1:7" hidden="1" outlineLevel="4">
      <c r="A13" s="18" t="s">
        <v>14</v>
      </c>
      <c r="B13" s="10" t="s">
        <v>392</v>
      </c>
      <c r="C13" s="19"/>
      <c r="D13" s="18" t="b">
        <f>EXACT(G12,"no-decrease")</f>
        <v>1</v>
      </c>
      <c r="E13" s="18" t="s">
        <v>393</v>
      </c>
      <c r="F13" s="3" t="s">
        <v>14</v>
      </c>
      <c r="G13" s="18"/>
    </row>
    <row r="14" spans="1:7" ht="165" hidden="1" outlineLevel="5" collapsed="1">
      <c r="A14" s="20" t="s">
        <v>14</v>
      </c>
      <c r="B14" s="20" t="s">
        <v>44</v>
      </c>
      <c r="C14" s="20"/>
      <c r="D14" s="20"/>
      <c r="E14" s="20" t="s">
        <v>394</v>
      </c>
      <c r="F14" s="4" t="s">
        <v>14</v>
      </c>
      <c r="G14" s="20"/>
    </row>
    <row r="15" spans="1:7" ht="60" hidden="1" outlineLevel="5" collapsed="1">
      <c r="A15" s="20" t="s">
        <v>11</v>
      </c>
      <c r="B15" s="20" t="s">
        <v>17</v>
      </c>
      <c r="C15" s="21" t="s">
        <v>395</v>
      </c>
      <c r="D15" s="20"/>
      <c r="E15" s="20" t="s">
        <v>396</v>
      </c>
      <c r="F15" s="4" t="s">
        <v>14</v>
      </c>
      <c r="G15" s="20"/>
    </row>
    <row r="16" spans="1:7" hidden="1" outlineLevel="4">
      <c r="A16" s="18" t="s">
        <v>14</v>
      </c>
      <c r="B16" s="10" t="s">
        <v>397</v>
      </c>
      <c r="C16" s="18" t="s">
        <v>47</v>
      </c>
      <c r="D16" s="18" t="b">
        <f>EXACT(G12,"Estimation by proportionate crown cover")</f>
        <v>0</v>
      </c>
      <c r="E16" s="18" t="s">
        <v>398</v>
      </c>
      <c r="F16" s="18" t="s">
        <v>14</v>
      </c>
      <c r="G16" s="18" t="s">
        <v>47</v>
      </c>
    </row>
    <row r="17" spans="1:8" ht="30" hidden="1" outlineLevel="5" collapsed="1">
      <c r="A17" s="20" t="s">
        <v>14</v>
      </c>
      <c r="B17" s="20" t="s">
        <v>82</v>
      </c>
      <c r="C17" s="20" t="s">
        <v>47</v>
      </c>
      <c r="D17" s="20" t="s">
        <v>399</v>
      </c>
      <c r="E17" s="20" t="s">
        <v>400</v>
      </c>
      <c r="F17" s="20" t="s">
        <v>14</v>
      </c>
      <c r="G17" s="20">
        <f>SUM(G19)</f>
        <v>7.333333333333333</v>
      </c>
      <c r="H17" t="s">
        <v>401</v>
      </c>
    </row>
    <row r="18" spans="1:8" hidden="1" outlineLevel="5">
      <c r="A18" s="22" t="s">
        <v>11</v>
      </c>
      <c r="B18" s="23" t="s">
        <v>402</v>
      </c>
      <c r="C18" s="22" t="s">
        <v>47</v>
      </c>
      <c r="D18" s="22"/>
      <c r="E18" s="22" t="s">
        <v>403</v>
      </c>
      <c r="F18" s="22" t="s">
        <v>11</v>
      </c>
      <c r="G18" s="22" t="s">
        <v>47</v>
      </c>
      <c r="H18" t="s">
        <v>401</v>
      </c>
    </row>
    <row r="19" spans="1:8" ht="30" hidden="1" outlineLevel="6" collapsed="1">
      <c r="A19" s="20" t="s">
        <v>14</v>
      </c>
      <c r="B19" s="20" t="s">
        <v>82</v>
      </c>
      <c r="C19" s="20" t="s">
        <v>47</v>
      </c>
      <c r="D19" s="20" t="s">
        <v>399</v>
      </c>
      <c r="E19" s="20" t="s">
        <v>404</v>
      </c>
      <c r="F19" s="20" t="s">
        <v>14</v>
      </c>
      <c r="G19" s="20">
        <f>44/12*G20*G21*(1+G22)*G23*G24</f>
        <v>7.333333333333333</v>
      </c>
    </row>
    <row r="20" spans="1:8" hidden="1" outlineLevel="6" collapsed="1">
      <c r="A20" s="20" t="s">
        <v>11</v>
      </c>
      <c r="B20" s="20" t="s">
        <v>82</v>
      </c>
      <c r="C20" s="20" t="s">
        <v>47</v>
      </c>
      <c r="D20" s="20"/>
      <c r="E20" s="20" t="s">
        <v>405</v>
      </c>
      <c r="F20" s="20" t="s">
        <v>14</v>
      </c>
      <c r="G20" s="20">
        <v>1</v>
      </c>
    </row>
    <row r="21" spans="1:8" ht="30" hidden="1" outlineLevel="6" collapsed="1">
      <c r="A21" s="20" t="s">
        <v>11</v>
      </c>
      <c r="B21" s="20" t="s">
        <v>82</v>
      </c>
      <c r="C21" s="20" t="s">
        <v>47</v>
      </c>
      <c r="D21" s="20"/>
      <c r="E21" s="20" t="s">
        <v>406</v>
      </c>
      <c r="F21" s="20" t="s">
        <v>14</v>
      </c>
      <c r="G21" s="20">
        <v>1</v>
      </c>
    </row>
    <row r="22" spans="1:8" hidden="1" outlineLevel="6" collapsed="1">
      <c r="A22" s="20" t="s">
        <v>11</v>
      </c>
      <c r="B22" s="20" t="s">
        <v>82</v>
      </c>
      <c r="C22" s="20" t="s">
        <v>47</v>
      </c>
      <c r="D22" s="20"/>
      <c r="E22" s="20" t="s">
        <v>407</v>
      </c>
      <c r="F22" s="20" t="s">
        <v>14</v>
      </c>
      <c r="G22" s="20">
        <v>1</v>
      </c>
    </row>
    <row r="23" spans="1:8" ht="30" hidden="1" outlineLevel="6" collapsed="1">
      <c r="A23" s="20" t="s">
        <v>11</v>
      </c>
      <c r="B23" s="20" t="s">
        <v>82</v>
      </c>
      <c r="C23" s="20" t="s">
        <v>47</v>
      </c>
      <c r="D23" s="20"/>
      <c r="E23" s="20" t="s">
        <v>408</v>
      </c>
      <c r="F23" s="20" t="s">
        <v>14</v>
      </c>
      <c r="G23" s="20">
        <v>1</v>
      </c>
    </row>
    <row r="24" spans="1:8" ht="30" hidden="1" outlineLevel="6" collapsed="1">
      <c r="A24" s="20" t="s">
        <v>11</v>
      </c>
      <c r="B24" s="20" t="s">
        <v>82</v>
      </c>
      <c r="C24" s="20" t="s">
        <v>47</v>
      </c>
      <c r="D24" s="20"/>
      <c r="E24" s="20" t="s">
        <v>409</v>
      </c>
      <c r="F24" s="20" t="s">
        <v>14</v>
      </c>
      <c r="G24" s="20">
        <v>1</v>
      </c>
    </row>
    <row r="25" spans="1:8" hidden="1" outlineLevel="4">
      <c r="A25" s="18" t="s">
        <v>14</v>
      </c>
      <c r="B25" s="10" t="s">
        <v>410</v>
      </c>
      <c r="C25" s="18" t="s">
        <v>47</v>
      </c>
      <c r="D25" s="18" t="b">
        <f>EXACT(G12,"Direct estimation of change by re-measurement of sample plots")</f>
        <v>0</v>
      </c>
      <c r="E25" s="18" t="s">
        <v>411</v>
      </c>
      <c r="F25" s="18" t="s">
        <v>14</v>
      </c>
      <c r="G25" s="18" t="s">
        <v>47</v>
      </c>
    </row>
    <row r="26" spans="1:8" hidden="1" outlineLevel="5" collapsed="1">
      <c r="A26" s="20" t="s">
        <v>14</v>
      </c>
      <c r="B26" s="20" t="s">
        <v>82</v>
      </c>
      <c r="C26" s="20" t="s">
        <v>47</v>
      </c>
      <c r="D26" s="20" t="s">
        <v>399</v>
      </c>
      <c r="E26" s="20" t="s">
        <v>412</v>
      </c>
      <c r="F26" s="20" t="s">
        <v>14</v>
      </c>
      <c r="G26" s="20">
        <f>44/12*G27*G28</f>
        <v>3.6666666666666665</v>
      </c>
    </row>
    <row r="27" spans="1:8" hidden="1" outlineLevel="5" collapsed="1">
      <c r="A27" s="20" t="s">
        <v>11</v>
      </c>
      <c r="B27" s="20" t="s">
        <v>82</v>
      </c>
      <c r="C27" s="20" t="s">
        <v>47</v>
      </c>
      <c r="D27" s="20"/>
      <c r="E27" s="20" t="s">
        <v>405</v>
      </c>
      <c r="F27" s="20" t="s">
        <v>14</v>
      </c>
      <c r="G27" s="20">
        <v>1</v>
      </c>
    </row>
    <row r="28" spans="1:8" ht="30" hidden="1" outlineLevel="5" collapsed="1">
      <c r="A28" s="20" t="s">
        <v>14</v>
      </c>
      <c r="B28" s="20" t="s">
        <v>82</v>
      </c>
      <c r="C28" s="20" t="s">
        <v>47</v>
      </c>
      <c r="D28" s="20" t="s">
        <v>399</v>
      </c>
      <c r="E28" s="20" t="s">
        <v>413</v>
      </c>
      <c r="F28" s="20" t="s">
        <v>14</v>
      </c>
      <c r="G28" s="20">
        <f>G30*G29</f>
        <v>1</v>
      </c>
    </row>
    <row r="29" spans="1:8" ht="30" hidden="1" outlineLevel="5" collapsed="1">
      <c r="A29" s="20" t="s">
        <v>14</v>
      </c>
      <c r="B29" s="20" t="s">
        <v>82</v>
      </c>
      <c r="C29" s="20" t="s">
        <v>47</v>
      </c>
      <c r="D29" s="20" t="s">
        <v>399</v>
      </c>
      <c r="E29" s="20" t="s">
        <v>414</v>
      </c>
      <c r="F29" s="20" t="s">
        <v>14</v>
      </c>
      <c r="G29" s="20">
        <f>SUM((G35*G34))</f>
        <v>1</v>
      </c>
    </row>
    <row r="30" spans="1:8" hidden="1" outlineLevel="5" collapsed="1">
      <c r="A30" s="20" t="s">
        <v>11</v>
      </c>
      <c r="B30" s="20" t="s">
        <v>82</v>
      </c>
      <c r="C30" s="20" t="s">
        <v>47</v>
      </c>
      <c r="D30" s="20"/>
      <c r="E30" s="20" t="s">
        <v>415</v>
      </c>
      <c r="F30" s="20" t="s">
        <v>14</v>
      </c>
      <c r="G30" s="20">
        <v>1</v>
      </c>
    </row>
    <row r="31" spans="1:8" hidden="1" outlineLevel="5" collapsed="1">
      <c r="A31" s="20" t="s">
        <v>11</v>
      </c>
      <c r="B31" s="20" t="s">
        <v>82</v>
      </c>
      <c r="C31" s="20" t="s">
        <v>47</v>
      </c>
      <c r="D31" s="20"/>
      <c r="E31" s="20" t="s">
        <v>416</v>
      </c>
      <c r="F31" s="20" t="s">
        <v>14</v>
      </c>
      <c r="G31" s="20">
        <v>1</v>
      </c>
    </row>
    <row r="32" spans="1:8" hidden="1" outlineLevel="5" collapsed="1">
      <c r="A32" s="20" t="s">
        <v>11</v>
      </c>
      <c r="B32" s="20" t="s">
        <v>82</v>
      </c>
      <c r="C32" s="20" t="s">
        <v>47</v>
      </c>
      <c r="D32" s="20"/>
      <c r="E32" s="20" t="s">
        <v>417</v>
      </c>
      <c r="F32" s="20" t="s">
        <v>14</v>
      </c>
      <c r="G32" s="20">
        <v>1</v>
      </c>
    </row>
    <row r="33" spans="1:12" ht="30" hidden="1" outlineLevel="5">
      <c r="A33" s="22" t="s">
        <v>11</v>
      </c>
      <c r="B33" s="23" t="s">
        <v>418</v>
      </c>
      <c r="C33" s="22" t="s">
        <v>47</v>
      </c>
      <c r="D33" s="22"/>
      <c r="E33" s="22" t="s">
        <v>419</v>
      </c>
      <c r="F33" s="22" t="s">
        <v>11</v>
      </c>
      <c r="G33" s="22" t="s">
        <v>47</v>
      </c>
    </row>
    <row r="34" spans="1:12" ht="30" hidden="1" outlineLevel="6" collapsed="1">
      <c r="A34" s="20" t="s">
        <v>14</v>
      </c>
      <c r="B34" s="20" t="s">
        <v>82</v>
      </c>
      <c r="C34" s="20" t="s">
        <v>47</v>
      </c>
      <c r="D34" s="4" t="s">
        <v>399</v>
      </c>
      <c r="E34" s="20" t="s">
        <v>420</v>
      </c>
      <c r="F34" s="20" t="s">
        <v>14</v>
      </c>
      <c r="G34" s="20">
        <f>(SUM(G39))/G37</f>
        <v>1</v>
      </c>
    </row>
    <row r="35" spans="1:12" ht="30" hidden="1" outlineLevel="6" collapsed="1">
      <c r="A35" s="20" t="s">
        <v>11</v>
      </c>
      <c r="B35" s="20" t="s">
        <v>82</v>
      </c>
      <c r="C35" s="20" t="s">
        <v>47</v>
      </c>
      <c r="D35" s="20"/>
      <c r="E35" s="20" t="s">
        <v>421</v>
      </c>
      <c r="F35" s="20" t="s">
        <v>14</v>
      </c>
      <c r="G35" s="20">
        <v>1</v>
      </c>
    </row>
    <row r="36" spans="1:12" ht="30" hidden="1" outlineLevel="6" collapsed="1">
      <c r="A36" s="20" t="s">
        <v>11</v>
      </c>
      <c r="B36" s="20" t="s">
        <v>82</v>
      </c>
      <c r="C36" s="20" t="s">
        <v>47</v>
      </c>
      <c r="D36" s="20"/>
      <c r="E36" s="20" t="s">
        <v>422</v>
      </c>
      <c r="F36" s="20" t="s">
        <v>14</v>
      </c>
      <c r="G36" s="20">
        <v>1</v>
      </c>
    </row>
    <row r="37" spans="1:12" ht="30" hidden="1" outlineLevel="6" collapsed="1">
      <c r="A37" s="20" t="s">
        <v>11</v>
      </c>
      <c r="B37" s="20" t="s">
        <v>82</v>
      </c>
      <c r="C37" s="20" t="s">
        <v>47</v>
      </c>
      <c r="D37" s="20"/>
      <c r="E37" s="20" t="s">
        <v>423</v>
      </c>
      <c r="F37" s="20" t="s">
        <v>14</v>
      </c>
      <c r="G37" s="20">
        <v>1</v>
      </c>
    </row>
    <row r="38" spans="1:12" hidden="1" outlineLevel="5">
      <c r="A38" s="22" t="s">
        <v>11</v>
      </c>
      <c r="B38" s="23" t="s">
        <v>424</v>
      </c>
      <c r="C38" s="22"/>
      <c r="D38" s="22"/>
      <c r="E38" s="22" t="s">
        <v>425</v>
      </c>
      <c r="F38" s="22" t="s">
        <v>11</v>
      </c>
      <c r="G38" s="22"/>
    </row>
    <row r="39" spans="1:12" s="25" customFormat="1" ht="30" hidden="1" outlineLevel="6" collapsed="1">
      <c r="A39" s="24" t="s">
        <v>11</v>
      </c>
      <c r="B39" s="24" t="s">
        <v>82</v>
      </c>
      <c r="C39" s="24" t="s">
        <v>47</v>
      </c>
      <c r="D39" s="24"/>
      <c r="E39" s="24" t="s">
        <v>426</v>
      </c>
      <c r="F39" s="24" t="s">
        <v>14</v>
      </c>
      <c r="G39" s="24">
        <v>1</v>
      </c>
      <c r="H39"/>
      <c r="I39"/>
      <c r="J39"/>
      <c r="K39"/>
      <c r="L39"/>
    </row>
    <row r="40" spans="1:12" hidden="1" outlineLevel="4">
      <c r="A40" s="18" t="s">
        <v>14</v>
      </c>
      <c r="B40" s="10" t="s">
        <v>427</v>
      </c>
      <c r="C40" s="18" t="s">
        <v>47</v>
      </c>
      <c r="D40" s="18" t="b">
        <f>EXACT(G12,"Difference of two independent stock estimations")</f>
        <v>0</v>
      </c>
      <c r="E40" s="18" t="s">
        <v>428</v>
      </c>
      <c r="F40" s="18" t="s">
        <v>14</v>
      </c>
      <c r="G40" s="18" t="s">
        <v>47</v>
      </c>
    </row>
    <row r="41" spans="1:12" hidden="1" outlineLevel="5" collapsed="1">
      <c r="A41" s="20" t="s">
        <v>11</v>
      </c>
      <c r="B41" s="20" t="s">
        <v>82</v>
      </c>
      <c r="C41" s="20" t="s">
        <v>47</v>
      </c>
      <c r="D41" s="20"/>
      <c r="E41" s="20" t="s">
        <v>429</v>
      </c>
      <c r="F41" s="20" t="s">
        <v>14</v>
      </c>
      <c r="G41" s="20">
        <v>1</v>
      </c>
    </row>
    <row r="42" spans="1:12" hidden="1" outlineLevel="5" collapsed="1">
      <c r="A42" s="20" t="s">
        <v>11</v>
      </c>
      <c r="B42" s="20" t="s">
        <v>82</v>
      </c>
      <c r="C42" s="20" t="s">
        <v>47</v>
      </c>
      <c r="D42" s="20"/>
      <c r="E42" s="20" t="s">
        <v>430</v>
      </c>
      <c r="F42" s="20" t="s">
        <v>14</v>
      </c>
      <c r="G42" s="20">
        <v>1</v>
      </c>
    </row>
    <row r="43" spans="1:12" hidden="1" outlineLevel="5" collapsed="1">
      <c r="A43" s="20" t="s">
        <v>11</v>
      </c>
      <c r="B43" s="20" t="s">
        <v>82</v>
      </c>
      <c r="C43" s="20" t="s">
        <v>47</v>
      </c>
      <c r="D43" s="20"/>
      <c r="E43" s="20" t="s">
        <v>431</v>
      </c>
      <c r="F43" s="20" t="s">
        <v>14</v>
      </c>
      <c r="G43" s="20">
        <v>1</v>
      </c>
    </row>
    <row r="44" spans="1:12" hidden="1" outlineLevel="5" collapsed="1">
      <c r="A44" s="20" t="s">
        <v>11</v>
      </c>
      <c r="B44" s="20" t="s">
        <v>82</v>
      </c>
      <c r="C44" s="20" t="s">
        <v>47</v>
      </c>
      <c r="D44" s="20"/>
      <c r="E44" s="20" t="s">
        <v>432</v>
      </c>
      <c r="F44" s="20" t="s">
        <v>14</v>
      </c>
      <c r="G44" s="20">
        <v>1</v>
      </c>
    </row>
    <row r="45" spans="1:12" hidden="1" outlineLevel="5" collapsed="1">
      <c r="A45" s="20" t="s">
        <v>14</v>
      </c>
      <c r="B45" s="20" t="s">
        <v>82</v>
      </c>
      <c r="C45" s="20" t="s">
        <v>47</v>
      </c>
      <c r="D45" s="20" t="s">
        <v>399</v>
      </c>
      <c r="E45" s="24" t="s">
        <v>433</v>
      </c>
      <c r="F45" s="20" t="s">
        <v>14</v>
      </c>
      <c r="G45" s="20" t="e">
        <f>(SQRT((G43*G41)^2+(G44*G42)^2))/G46</f>
        <v>#DIV/0!</v>
      </c>
    </row>
    <row r="46" spans="1:12" hidden="1" outlineLevel="5" collapsed="1">
      <c r="A46" s="20" t="s">
        <v>14</v>
      </c>
      <c r="B46" s="20" t="s">
        <v>82</v>
      </c>
      <c r="C46" s="20" t="s">
        <v>47</v>
      </c>
      <c r="D46" s="20" t="s">
        <v>399</v>
      </c>
      <c r="E46" s="24" t="s">
        <v>434</v>
      </c>
      <c r="F46" s="20" t="s">
        <v>14</v>
      </c>
      <c r="G46" s="20">
        <f>G42-G41</f>
        <v>0</v>
      </c>
    </row>
    <row r="47" spans="1:12" hidden="1" outlineLevel="5" collapsed="1">
      <c r="A47" s="20" t="s">
        <v>11</v>
      </c>
      <c r="B47" s="20" t="s">
        <v>82</v>
      </c>
      <c r="C47" s="20" t="s">
        <v>47</v>
      </c>
      <c r="D47" s="20"/>
      <c r="E47" s="20" t="s">
        <v>435</v>
      </c>
      <c r="F47" s="20" t="s">
        <v>14</v>
      </c>
      <c r="G47" s="26">
        <v>7.0000000000000007E-2</v>
      </c>
    </row>
    <row r="48" spans="1:12" hidden="1" outlineLevel="3">
      <c r="A48" s="3" t="s">
        <v>14</v>
      </c>
      <c r="B48" s="10" t="s">
        <v>436</v>
      </c>
      <c r="C48" s="18" t="s">
        <v>47</v>
      </c>
      <c r="D48" s="18" t="b">
        <f>EXACT(G10,"Estimating change in carbon stock in trees in a year")</f>
        <v>1</v>
      </c>
      <c r="E48" s="18" t="s">
        <v>386</v>
      </c>
      <c r="F48" s="18" t="s">
        <v>14</v>
      </c>
      <c r="G48" s="18" t="s">
        <v>47</v>
      </c>
    </row>
    <row r="49" spans="1:7" ht="30" hidden="1" outlineLevel="4" collapsed="1">
      <c r="A49" s="20" t="s">
        <v>14</v>
      </c>
      <c r="B49" s="20" t="s">
        <v>82</v>
      </c>
      <c r="C49" s="20" t="s">
        <v>47</v>
      </c>
      <c r="D49" s="20" t="s">
        <v>399</v>
      </c>
      <c r="E49" s="20" t="s">
        <v>437</v>
      </c>
      <c r="F49" s="20" t="s">
        <v>14</v>
      </c>
      <c r="G49" s="20">
        <f>(G50-G51/G52)*1</f>
        <v>1</v>
      </c>
    </row>
    <row r="50" spans="1:7" ht="30" hidden="1" outlineLevel="4" collapsed="1">
      <c r="A50" s="20" t="s">
        <v>11</v>
      </c>
      <c r="B50" s="20" t="s">
        <v>82</v>
      </c>
      <c r="C50" s="20" t="s">
        <v>47</v>
      </c>
      <c r="D50" s="20"/>
      <c r="E50" s="20" t="s">
        <v>438</v>
      </c>
      <c r="F50" s="20" t="s">
        <v>14</v>
      </c>
      <c r="G50" s="20">
        <v>1</v>
      </c>
    </row>
    <row r="51" spans="1:7" ht="30" hidden="1" outlineLevel="4" collapsed="1">
      <c r="A51" s="20" t="s">
        <v>11</v>
      </c>
      <c r="B51" s="20" t="s">
        <v>82</v>
      </c>
      <c r="C51" s="20" t="s">
        <v>47</v>
      </c>
      <c r="D51" s="20"/>
      <c r="E51" s="20" t="s">
        <v>439</v>
      </c>
      <c r="F51" s="20" t="s">
        <v>14</v>
      </c>
      <c r="G51" s="20"/>
    </row>
    <row r="52" spans="1:7" hidden="1" outlineLevel="4" collapsed="1">
      <c r="A52" s="20" t="s">
        <v>11</v>
      </c>
      <c r="B52" s="20" t="s">
        <v>82</v>
      </c>
      <c r="C52" s="20" t="s">
        <v>47</v>
      </c>
      <c r="D52" s="20"/>
      <c r="E52" s="20" t="s">
        <v>440</v>
      </c>
      <c r="F52" s="20" t="s">
        <v>14</v>
      </c>
      <c r="G52" s="20">
        <v>1</v>
      </c>
    </row>
    <row r="53" spans="1:7" hidden="1" outlineLevel="3">
      <c r="A53" s="3" t="s">
        <v>11</v>
      </c>
      <c r="B53" s="10" t="s">
        <v>441</v>
      </c>
      <c r="C53" s="18" t="s">
        <v>47</v>
      </c>
      <c r="D53" s="18"/>
      <c r="E53" s="18" t="s">
        <v>442</v>
      </c>
      <c r="F53" s="18" t="s">
        <v>14</v>
      </c>
      <c r="G53" s="18" t="s">
        <v>47</v>
      </c>
    </row>
    <row r="54" spans="1:7" ht="30" hidden="1" outlineLevel="3" collapsed="1">
      <c r="A54" s="20" t="s">
        <v>11</v>
      </c>
      <c r="B54" s="20" t="s">
        <v>17</v>
      </c>
      <c r="C54" s="21" t="s">
        <v>443</v>
      </c>
      <c r="D54" s="20"/>
      <c r="E54" s="20" t="s">
        <v>444</v>
      </c>
      <c r="F54" s="20" t="s">
        <v>14</v>
      </c>
      <c r="G54" s="20" t="s">
        <v>445</v>
      </c>
    </row>
    <row r="55" spans="1:7" hidden="1" outlineLevel="3">
      <c r="A55" s="22" t="s">
        <v>14</v>
      </c>
      <c r="B55" s="23" t="s">
        <v>446</v>
      </c>
      <c r="C55" s="22" t="s">
        <v>47</v>
      </c>
      <c r="D55" s="22" t="b">
        <f>EXACT(G54,"Updating the previous stock by independent measurement of change")</f>
        <v>0</v>
      </c>
      <c r="E55" s="22" t="s">
        <v>447</v>
      </c>
      <c r="F55" s="22" t="s">
        <v>14</v>
      </c>
      <c r="G55" s="22" t="s">
        <v>47</v>
      </c>
    </row>
    <row r="56" spans="1:7" hidden="1" outlineLevel="4" collapsed="1">
      <c r="A56" s="20" t="s">
        <v>14</v>
      </c>
      <c r="B56" s="20" t="s">
        <v>82</v>
      </c>
      <c r="C56" s="20" t="s">
        <v>47</v>
      </c>
      <c r="D56" s="20" t="s">
        <v>399</v>
      </c>
      <c r="E56" s="20" t="s">
        <v>448</v>
      </c>
      <c r="F56" s="20" t="s">
        <v>14</v>
      </c>
      <c r="G56" s="20" t="e">
        <f>E57+E58</f>
        <v>#VALUE!</v>
      </c>
    </row>
    <row r="57" spans="1:7" ht="30" hidden="1" outlineLevel="4" collapsed="1">
      <c r="A57" s="20" t="s">
        <v>11</v>
      </c>
      <c r="B57" s="20" t="s">
        <v>82</v>
      </c>
      <c r="C57" s="20" t="s">
        <v>47</v>
      </c>
      <c r="D57" s="20"/>
      <c r="E57" s="20" t="s">
        <v>449</v>
      </c>
      <c r="F57" s="20" t="s">
        <v>14</v>
      </c>
      <c r="G57" s="20">
        <v>1</v>
      </c>
    </row>
    <row r="58" spans="1:7" ht="30" hidden="1" outlineLevel="4" collapsed="1">
      <c r="A58" s="20" t="s">
        <v>11</v>
      </c>
      <c r="B58" s="20" t="s">
        <v>82</v>
      </c>
      <c r="C58" s="20" t="s">
        <v>47</v>
      </c>
      <c r="D58" s="20"/>
      <c r="E58" s="20" t="s">
        <v>450</v>
      </c>
      <c r="F58" s="20" t="s">
        <v>14</v>
      </c>
      <c r="G58" s="20">
        <v>1</v>
      </c>
    </row>
    <row r="59" spans="1:7" hidden="1" outlineLevel="4" collapsed="1">
      <c r="A59" s="20" t="s">
        <v>11</v>
      </c>
      <c r="B59" s="20" t="s">
        <v>82</v>
      </c>
      <c r="C59" s="20" t="s">
        <v>47</v>
      </c>
      <c r="D59" s="20"/>
      <c r="E59" s="20" t="s">
        <v>451</v>
      </c>
      <c r="F59" s="20" t="s">
        <v>14</v>
      </c>
      <c r="G59" s="20"/>
    </row>
    <row r="60" spans="1:7" ht="30" hidden="1" outlineLevel="4" collapsed="1">
      <c r="A60" s="20" t="s">
        <v>14</v>
      </c>
      <c r="B60" s="20" t="s">
        <v>82</v>
      </c>
      <c r="C60" s="20" t="s">
        <v>47</v>
      </c>
      <c r="D60" s="20" t="s">
        <v>399</v>
      </c>
      <c r="E60" s="20" t="s">
        <v>452</v>
      </c>
      <c r="F60" s="20" t="s">
        <v>14</v>
      </c>
      <c r="G60" s="20" t="e">
        <f>(SQRT((G61*G57)^2+(G59*G58)^2))/G56</f>
        <v>#VALUE!</v>
      </c>
    </row>
    <row r="61" spans="1:7" ht="30" hidden="1" outlineLevel="4" collapsed="1">
      <c r="A61" s="20" t="s">
        <v>11</v>
      </c>
      <c r="B61" s="20" t="s">
        <v>82</v>
      </c>
      <c r="C61" s="20" t="s">
        <v>47</v>
      </c>
      <c r="D61" s="20"/>
      <c r="E61" s="20" t="s">
        <v>453</v>
      </c>
      <c r="F61" s="20" t="s">
        <v>14</v>
      </c>
      <c r="G61" s="20">
        <v>1</v>
      </c>
    </row>
    <row r="62" spans="1:7" hidden="1" outlineLevel="3">
      <c r="A62" s="22" t="s">
        <v>14</v>
      </c>
      <c r="B62" s="23" t="s">
        <v>454</v>
      </c>
      <c r="C62" s="22"/>
      <c r="D62" s="22" t="b">
        <f>EXACT(G54,"Estimation by modelling of tree growth and stand development")</f>
        <v>1</v>
      </c>
      <c r="E62" s="22" t="s">
        <v>445</v>
      </c>
      <c r="F62" s="22" t="s">
        <v>14</v>
      </c>
      <c r="G62" s="22"/>
    </row>
    <row r="63" spans="1:7" ht="60" hidden="1" outlineLevel="4">
      <c r="A63" s="20" t="s">
        <v>14</v>
      </c>
      <c r="B63" s="20" t="s">
        <v>44</v>
      </c>
      <c r="C63" s="20"/>
      <c r="D63" s="20"/>
      <c r="E63" s="20" t="s">
        <v>455</v>
      </c>
      <c r="F63" s="20" t="s">
        <v>14</v>
      </c>
      <c r="G63" s="20"/>
    </row>
    <row r="64" spans="1:7" ht="75" hidden="1" outlineLevel="4">
      <c r="A64" s="20" t="s">
        <v>14</v>
      </c>
      <c r="B64" s="20" t="s">
        <v>44</v>
      </c>
      <c r="C64" s="20"/>
      <c r="D64" s="20"/>
      <c r="E64" s="20" t="s">
        <v>456</v>
      </c>
      <c r="F64" s="20" t="s">
        <v>14</v>
      </c>
      <c r="G64" s="20"/>
    </row>
    <row r="65" spans="1:7" ht="60" hidden="1" outlineLevel="4">
      <c r="A65" s="20" t="s">
        <v>14</v>
      </c>
      <c r="B65" s="20" t="s">
        <v>44</v>
      </c>
      <c r="C65" s="20"/>
      <c r="D65" s="20"/>
      <c r="E65" s="20" t="s">
        <v>457</v>
      </c>
      <c r="F65" s="20" t="s">
        <v>14</v>
      </c>
      <c r="G65" s="20"/>
    </row>
    <row r="66" spans="1:7" ht="60" hidden="1" outlineLevel="4">
      <c r="A66" s="20" t="s">
        <v>14</v>
      </c>
      <c r="B66" s="20" t="s">
        <v>44</v>
      </c>
      <c r="C66" s="20"/>
      <c r="D66" s="20"/>
      <c r="E66" s="20" t="s">
        <v>458</v>
      </c>
      <c r="F66" s="20" t="s">
        <v>14</v>
      </c>
      <c r="G66" s="20"/>
    </row>
    <row r="67" spans="1:7" ht="135" hidden="1" outlineLevel="4">
      <c r="A67" s="20" t="s">
        <v>11</v>
      </c>
      <c r="B67" s="20" t="s">
        <v>17</v>
      </c>
      <c r="C67" s="21" t="s">
        <v>459</v>
      </c>
      <c r="D67" s="20"/>
      <c r="E67" s="20" t="s">
        <v>460</v>
      </c>
      <c r="F67" s="20" t="s">
        <v>14</v>
      </c>
      <c r="G67" s="20" t="s">
        <v>11</v>
      </c>
    </row>
    <row r="68" spans="1:7" ht="30" hidden="1" outlineLevel="4">
      <c r="A68" s="20" t="s">
        <v>14</v>
      </c>
      <c r="B68" s="20" t="s">
        <v>44</v>
      </c>
      <c r="C68" s="20"/>
      <c r="D68" s="20" t="b">
        <f>EXACT(G67,"No")</f>
        <v>0</v>
      </c>
      <c r="E68" s="20" t="s">
        <v>461</v>
      </c>
      <c r="F68" s="20" t="s">
        <v>14</v>
      </c>
      <c r="G68" s="20"/>
    </row>
    <row r="69" spans="1:7" hidden="1" outlineLevel="4">
      <c r="A69" s="22" t="s">
        <v>14</v>
      </c>
      <c r="B69" s="23" t="s">
        <v>462</v>
      </c>
      <c r="C69" s="22"/>
      <c r="D69" s="22" t="b">
        <f>EXACT(G67,"Yes")</f>
        <v>1</v>
      </c>
      <c r="E69" s="22" t="s">
        <v>463</v>
      </c>
      <c r="F69" s="22" t="s">
        <v>14</v>
      </c>
      <c r="G69" s="22"/>
    </row>
    <row r="70" spans="1:7" ht="30" hidden="1" outlineLevel="5">
      <c r="A70" s="20" t="s">
        <v>11</v>
      </c>
      <c r="B70" s="20" t="s">
        <v>82</v>
      </c>
      <c r="C70" s="20"/>
      <c r="D70" s="20"/>
      <c r="E70" s="20" t="s">
        <v>464</v>
      </c>
      <c r="F70" s="20" t="s">
        <v>14</v>
      </c>
      <c r="G70" s="20"/>
    </row>
    <row r="71" spans="1:7" hidden="1" outlineLevel="5">
      <c r="A71" s="20" t="s">
        <v>11</v>
      </c>
      <c r="B71" s="20" t="s">
        <v>82</v>
      </c>
      <c r="C71" s="20"/>
      <c r="D71" s="20"/>
      <c r="E71" s="20" t="s">
        <v>465</v>
      </c>
      <c r="F71" s="20" t="s">
        <v>14</v>
      </c>
      <c r="G71" s="20"/>
    </row>
    <row r="72" spans="1:7" hidden="1" outlineLevel="5">
      <c r="A72" s="20" t="s">
        <v>11</v>
      </c>
      <c r="B72" s="20" t="s">
        <v>82</v>
      </c>
      <c r="C72" s="20"/>
      <c r="D72" s="20"/>
      <c r="E72" s="20" t="s">
        <v>466</v>
      </c>
      <c r="F72" s="20" t="s">
        <v>14</v>
      </c>
      <c r="G72" s="20"/>
    </row>
    <row r="73" spans="1:7" hidden="1" outlineLevel="3">
      <c r="A73" s="22" t="s">
        <v>14</v>
      </c>
      <c r="B73" s="23" t="s">
        <v>467</v>
      </c>
      <c r="C73" s="22" t="s">
        <v>47</v>
      </c>
      <c r="D73" s="22" t="b">
        <f>EXACT(G54,"Proportionate crown cover")</f>
        <v>0</v>
      </c>
      <c r="E73" s="22" t="s">
        <v>468</v>
      </c>
      <c r="F73" s="22" t="s">
        <v>14</v>
      </c>
      <c r="G73" s="22" t="s">
        <v>47</v>
      </c>
    </row>
    <row r="74" spans="1:7" ht="30" hidden="1" outlineLevel="4" collapsed="1">
      <c r="A74" s="20" t="s">
        <v>14</v>
      </c>
      <c r="B74" s="20" t="s">
        <v>82</v>
      </c>
      <c r="C74" s="20" t="s">
        <v>47</v>
      </c>
      <c r="D74" s="20" t="s">
        <v>399</v>
      </c>
      <c r="E74" s="20" t="s">
        <v>469</v>
      </c>
      <c r="F74" s="20" t="s">
        <v>14</v>
      </c>
      <c r="G74" s="20">
        <f>SUM(G76)</f>
        <v>7.333333333333333</v>
      </c>
    </row>
    <row r="75" spans="1:7" hidden="1" outlineLevel="4">
      <c r="A75" s="22" t="s">
        <v>11</v>
      </c>
      <c r="B75" s="23" t="s">
        <v>470</v>
      </c>
      <c r="C75" s="22" t="s">
        <v>47</v>
      </c>
      <c r="D75" s="22"/>
      <c r="E75" s="22" t="s">
        <v>403</v>
      </c>
      <c r="F75" s="22" t="s">
        <v>11</v>
      </c>
      <c r="G75" s="22" t="s">
        <v>47</v>
      </c>
    </row>
    <row r="76" spans="1:7" ht="30" hidden="1" outlineLevel="5" collapsed="1">
      <c r="A76" s="20" t="s">
        <v>14</v>
      </c>
      <c r="B76" s="20" t="s">
        <v>82</v>
      </c>
      <c r="C76" s="20" t="s">
        <v>47</v>
      </c>
      <c r="D76" s="20" t="s">
        <v>399</v>
      </c>
      <c r="E76" s="20" t="s">
        <v>471</v>
      </c>
      <c r="F76" s="20" t="s">
        <v>14</v>
      </c>
      <c r="G76" s="20">
        <f>44/12*G77*G78*(1+G79)*G80*G81</f>
        <v>7.333333333333333</v>
      </c>
    </row>
    <row r="77" spans="1:7" hidden="1" outlineLevel="5" collapsed="1">
      <c r="A77" s="20" t="s">
        <v>11</v>
      </c>
      <c r="B77" s="20" t="s">
        <v>82</v>
      </c>
      <c r="C77" s="20" t="s">
        <v>47</v>
      </c>
      <c r="D77" s="20"/>
      <c r="E77" s="20" t="s">
        <v>405</v>
      </c>
      <c r="F77" s="20" t="s">
        <v>14</v>
      </c>
      <c r="G77" s="20">
        <v>1</v>
      </c>
    </row>
    <row r="78" spans="1:7" ht="30" hidden="1" outlineLevel="5" collapsed="1">
      <c r="A78" s="20" t="s">
        <v>11</v>
      </c>
      <c r="B78" s="20" t="s">
        <v>82</v>
      </c>
      <c r="C78" s="20" t="s">
        <v>47</v>
      </c>
      <c r="D78" s="20"/>
      <c r="E78" s="20" t="s">
        <v>472</v>
      </c>
      <c r="F78" s="20" t="s">
        <v>14</v>
      </c>
      <c r="G78" s="20">
        <v>1</v>
      </c>
    </row>
    <row r="79" spans="1:7" hidden="1" outlineLevel="5" collapsed="1">
      <c r="A79" s="20" t="s">
        <v>11</v>
      </c>
      <c r="B79" s="20" t="s">
        <v>82</v>
      </c>
      <c r="C79" s="20" t="s">
        <v>47</v>
      </c>
      <c r="D79" s="20"/>
      <c r="E79" s="20" t="s">
        <v>407</v>
      </c>
      <c r="F79" s="20" t="s">
        <v>14</v>
      </c>
      <c r="G79" s="20">
        <v>1</v>
      </c>
    </row>
    <row r="80" spans="1:7" ht="30" hidden="1" outlineLevel="5" collapsed="1">
      <c r="A80" s="20" t="s">
        <v>11</v>
      </c>
      <c r="B80" s="20" t="s">
        <v>82</v>
      </c>
      <c r="C80" s="20" t="s">
        <v>47</v>
      </c>
      <c r="D80" s="20"/>
      <c r="E80" s="20" t="s">
        <v>473</v>
      </c>
      <c r="F80" s="20" t="s">
        <v>14</v>
      </c>
      <c r="G80" s="20">
        <v>1</v>
      </c>
    </row>
    <row r="81" spans="1:12" ht="30" hidden="1" outlineLevel="5" collapsed="1">
      <c r="A81" s="20" t="s">
        <v>11</v>
      </c>
      <c r="B81" s="20" t="s">
        <v>82</v>
      </c>
      <c r="C81" s="20" t="s">
        <v>47</v>
      </c>
      <c r="D81" s="20"/>
      <c r="E81" s="20" t="s">
        <v>474</v>
      </c>
      <c r="F81" s="20" t="s">
        <v>14</v>
      </c>
      <c r="G81" s="20">
        <v>1</v>
      </c>
    </row>
    <row r="82" spans="1:12" hidden="1" outlineLevel="3">
      <c r="A82" s="22" t="s">
        <v>14</v>
      </c>
      <c r="B82" s="23" t="s">
        <v>475</v>
      </c>
      <c r="C82" s="22" t="s">
        <v>47</v>
      </c>
      <c r="D82" s="22" t="b">
        <f>EXACT(G54,"Measurement of sample plots")</f>
        <v>0</v>
      </c>
      <c r="E82" s="22" t="s">
        <v>475</v>
      </c>
      <c r="F82" s="22" t="s">
        <v>14</v>
      </c>
      <c r="G82" s="22" t="s">
        <v>47</v>
      </c>
    </row>
    <row r="83" spans="1:12" ht="30" hidden="1" outlineLevel="4" collapsed="1">
      <c r="A83" s="20" t="s">
        <v>11</v>
      </c>
      <c r="B83" s="20" t="s">
        <v>17</v>
      </c>
      <c r="C83" s="21" t="s">
        <v>476</v>
      </c>
      <c r="D83" s="20"/>
      <c r="E83" s="20" t="s">
        <v>477</v>
      </c>
      <c r="F83" s="20" t="s">
        <v>14</v>
      </c>
      <c r="G83" s="20" t="s">
        <v>478</v>
      </c>
    </row>
    <row r="84" spans="1:12" hidden="1" outlineLevel="4">
      <c r="A84" s="22" t="s">
        <v>14</v>
      </c>
      <c r="B84" s="23" t="s">
        <v>478</v>
      </c>
      <c r="C84" s="22" t="s">
        <v>47</v>
      </c>
      <c r="D84" s="22" t="b">
        <f>EXACT(G83,"Stratified random sampling")</f>
        <v>1</v>
      </c>
      <c r="E84" s="22" t="s">
        <v>478</v>
      </c>
      <c r="F84" s="22" t="s">
        <v>14</v>
      </c>
      <c r="G84" s="22" t="s">
        <v>47</v>
      </c>
    </row>
    <row r="85" spans="1:12" ht="30" hidden="1" outlineLevel="5" collapsed="1">
      <c r="A85" s="20" t="s">
        <v>14</v>
      </c>
      <c r="B85" s="20" t="s">
        <v>82</v>
      </c>
      <c r="C85" s="20" t="s">
        <v>47</v>
      </c>
      <c r="D85" s="20" t="s">
        <v>399</v>
      </c>
      <c r="E85" s="20" t="s">
        <v>479</v>
      </c>
      <c r="F85" s="20" t="s">
        <v>14</v>
      </c>
      <c r="G85" s="20">
        <f>44/12*G86*G87</f>
        <v>3.6666666666666665</v>
      </c>
    </row>
    <row r="86" spans="1:12" hidden="1" outlineLevel="5" collapsed="1">
      <c r="A86" s="20" t="s">
        <v>11</v>
      </c>
      <c r="B86" s="20" t="s">
        <v>82</v>
      </c>
      <c r="C86" s="20" t="s">
        <v>47</v>
      </c>
      <c r="D86" s="20"/>
      <c r="E86" s="20" t="s">
        <v>405</v>
      </c>
      <c r="F86" s="20" t="s">
        <v>14</v>
      </c>
      <c r="G86" s="20">
        <v>1</v>
      </c>
    </row>
    <row r="87" spans="1:12" ht="30" hidden="1" outlineLevel="5" collapsed="1">
      <c r="A87" s="20" t="s">
        <v>14</v>
      </c>
      <c r="B87" s="20" t="s">
        <v>82</v>
      </c>
      <c r="C87" s="20" t="s">
        <v>47</v>
      </c>
      <c r="D87" s="20" t="s">
        <v>399</v>
      </c>
      <c r="E87" s="20" t="s">
        <v>480</v>
      </c>
      <c r="F87" s="20" t="s">
        <v>14</v>
      </c>
      <c r="G87" s="20">
        <f>G88*G89</f>
        <v>1</v>
      </c>
    </row>
    <row r="88" spans="1:12" ht="30" hidden="1" outlineLevel="5" collapsed="1">
      <c r="A88" s="20" t="s">
        <v>11</v>
      </c>
      <c r="B88" s="20" t="s">
        <v>82</v>
      </c>
      <c r="C88" s="20" t="s">
        <v>47</v>
      </c>
      <c r="D88" s="20"/>
      <c r="E88" s="20" t="s">
        <v>481</v>
      </c>
      <c r="F88" s="20" t="s">
        <v>14</v>
      </c>
      <c r="G88" s="20">
        <v>1</v>
      </c>
    </row>
    <row r="89" spans="1:12" ht="30" hidden="1" outlineLevel="5" collapsed="1">
      <c r="A89" s="20" t="s">
        <v>14</v>
      </c>
      <c r="B89" s="20" t="s">
        <v>82</v>
      </c>
      <c r="C89" s="20" t="s">
        <v>47</v>
      </c>
      <c r="D89" s="20" t="s">
        <v>399</v>
      </c>
      <c r="E89" s="20" t="s">
        <v>482</v>
      </c>
      <c r="F89" s="20" t="s">
        <v>14</v>
      </c>
      <c r="G89" s="20">
        <f>SUM((G94*G93))</f>
        <v>1</v>
      </c>
    </row>
    <row r="90" spans="1:12" hidden="1" outlineLevel="5" collapsed="1">
      <c r="A90" s="20" t="s">
        <v>11</v>
      </c>
      <c r="B90" s="20" t="s">
        <v>82</v>
      </c>
      <c r="C90" s="20" t="s">
        <v>47</v>
      </c>
      <c r="D90" s="20"/>
      <c r="E90" s="20" t="s">
        <v>483</v>
      </c>
      <c r="F90" s="20" t="s">
        <v>14</v>
      </c>
      <c r="G90" s="20">
        <v>1</v>
      </c>
    </row>
    <row r="91" spans="1:12" ht="30" hidden="1" outlineLevel="5" collapsed="1">
      <c r="A91" s="20" t="s">
        <v>11</v>
      </c>
      <c r="B91" s="20" t="s">
        <v>82</v>
      </c>
      <c r="C91" s="20" t="s">
        <v>47</v>
      </c>
      <c r="D91" s="20"/>
      <c r="E91" s="20" t="s">
        <v>484</v>
      </c>
      <c r="F91" s="20" t="s">
        <v>14</v>
      </c>
      <c r="G91" s="20">
        <v>1</v>
      </c>
    </row>
    <row r="92" spans="1:12" hidden="1" outlineLevel="5">
      <c r="A92" s="22" t="s">
        <v>11</v>
      </c>
      <c r="B92" s="23" t="s">
        <v>485</v>
      </c>
      <c r="C92" s="22" t="s">
        <v>47</v>
      </c>
      <c r="D92" s="22"/>
      <c r="E92" s="22" t="s">
        <v>486</v>
      </c>
      <c r="F92" s="22" t="s">
        <v>11</v>
      </c>
      <c r="G92" s="22" t="s">
        <v>47</v>
      </c>
    </row>
    <row r="93" spans="1:12" s="25" customFormat="1" ht="30" hidden="1" outlineLevel="6" collapsed="1">
      <c r="A93" s="24" t="s">
        <v>14</v>
      </c>
      <c r="B93" s="24" t="s">
        <v>82</v>
      </c>
      <c r="C93" s="24" t="s">
        <v>47</v>
      </c>
      <c r="D93" s="24" t="s">
        <v>399</v>
      </c>
      <c r="E93" s="24" t="s">
        <v>487</v>
      </c>
      <c r="F93" s="24" t="s">
        <v>14</v>
      </c>
      <c r="G93" s="24">
        <f>(SUM(G98))/G96</f>
        <v>1</v>
      </c>
      <c r="H93"/>
      <c r="I93"/>
      <c r="J93"/>
      <c r="K93"/>
      <c r="L93"/>
    </row>
    <row r="94" spans="1:12" ht="30" hidden="1" outlineLevel="6" collapsed="1">
      <c r="A94" s="20" t="s">
        <v>11</v>
      </c>
      <c r="B94" s="20" t="s">
        <v>82</v>
      </c>
      <c r="C94" s="20" t="s">
        <v>47</v>
      </c>
      <c r="D94" s="20"/>
      <c r="E94" s="20" t="s">
        <v>488</v>
      </c>
      <c r="F94" s="20" t="s">
        <v>14</v>
      </c>
      <c r="G94" s="20">
        <v>1</v>
      </c>
    </row>
    <row r="95" spans="1:12" ht="30" hidden="1" outlineLevel="6" collapsed="1">
      <c r="A95" s="20" t="s">
        <v>11</v>
      </c>
      <c r="B95" s="20" t="s">
        <v>82</v>
      </c>
      <c r="C95" s="20" t="s">
        <v>47</v>
      </c>
      <c r="D95" s="20"/>
      <c r="E95" s="20" t="s">
        <v>489</v>
      </c>
      <c r="F95" s="20" t="s">
        <v>14</v>
      </c>
      <c r="G95" s="20">
        <v>1</v>
      </c>
    </row>
    <row r="96" spans="1:12" hidden="1" outlineLevel="6" collapsed="1">
      <c r="A96" s="20" t="s">
        <v>11</v>
      </c>
      <c r="B96" s="20" t="s">
        <v>82</v>
      </c>
      <c r="C96" s="20" t="s">
        <v>47</v>
      </c>
      <c r="D96" s="20"/>
      <c r="E96" s="20" t="s">
        <v>490</v>
      </c>
      <c r="F96" s="20" t="s">
        <v>14</v>
      </c>
      <c r="G96" s="20">
        <v>1</v>
      </c>
    </row>
    <row r="97" spans="1:12" hidden="1" outlineLevel="5">
      <c r="A97" s="22" t="s">
        <v>11</v>
      </c>
      <c r="B97" s="23" t="s">
        <v>491</v>
      </c>
      <c r="C97" s="22"/>
      <c r="D97" s="22"/>
      <c r="E97" s="22" t="s">
        <v>492</v>
      </c>
      <c r="F97" s="22" t="s">
        <v>11</v>
      </c>
      <c r="G97" s="22"/>
    </row>
    <row r="98" spans="1:12" s="25" customFormat="1" ht="30" hidden="1" outlineLevel="6" collapsed="1">
      <c r="A98" s="24" t="s">
        <v>11</v>
      </c>
      <c r="B98" s="24" t="s">
        <v>82</v>
      </c>
      <c r="C98" s="24" t="s">
        <v>47</v>
      </c>
      <c r="D98" s="24"/>
      <c r="E98" s="24" t="s">
        <v>493</v>
      </c>
      <c r="F98" s="24" t="s">
        <v>14</v>
      </c>
      <c r="G98" s="24">
        <v>1</v>
      </c>
      <c r="H98"/>
      <c r="I98"/>
      <c r="J98"/>
      <c r="K98"/>
      <c r="L98"/>
    </row>
    <row r="99" spans="1:12" hidden="1" outlineLevel="4">
      <c r="A99" s="22" t="s">
        <v>14</v>
      </c>
      <c r="B99" s="23" t="s">
        <v>494</v>
      </c>
      <c r="C99" s="22" t="s">
        <v>47</v>
      </c>
      <c r="D99" s="22" t="b">
        <f>NOT(EXACT(G83,"Stratified random sampling"))</f>
        <v>0</v>
      </c>
      <c r="E99" s="22" t="s">
        <v>494</v>
      </c>
      <c r="F99" s="22" t="s">
        <v>14</v>
      </c>
      <c r="G99" s="22" t="s">
        <v>47</v>
      </c>
    </row>
    <row r="100" spans="1:12" ht="30" hidden="1" outlineLevel="5" collapsed="1">
      <c r="A100" s="20" t="s">
        <v>11</v>
      </c>
      <c r="B100" s="20" t="s">
        <v>82</v>
      </c>
      <c r="C100" s="20" t="s">
        <v>47</v>
      </c>
      <c r="D100" s="20"/>
      <c r="E100" s="20" t="s">
        <v>479</v>
      </c>
      <c r="F100" s="20" t="s">
        <v>14</v>
      </c>
      <c r="G100" s="20">
        <v>1</v>
      </c>
    </row>
    <row r="101" spans="1:12" hidden="1" outlineLevel="5" collapsed="1">
      <c r="A101" s="20" t="s">
        <v>11</v>
      </c>
      <c r="B101" s="20" t="s">
        <v>82</v>
      </c>
      <c r="C101" s="20" t="s">
        <v>47</v>
      </c>
      <c r="D101" s="20"/>
      <c r="E101" s="20" t="s">
        <v>405</v>
      </c>
      <c r="F101" s="20" t="s">
        <v>14</v>
      </c>
      <c r="G101" s="20">
        <v>1</v>
      </c>
    </row>
    <row r="102" spans="1:12" ht="30" hidden="1" outlineLevel="5" collapsed="1">
      <c r="A102" s="20" t="s">
        <v>11</v>
      </c>
      <c r="B102" s="20" t="s">
        <v>82</v>
      </c>
      <c r="C102" s="20" t="s">
        <v>47</v>
      </c>
      <c r="D102" s="20"/>
      <c r="E102" s="20" t="s">
        <v>480</v>
      </c>
      <c r="F102" s="20" t="s">
        <v>14</v>
      </c>
      <c r="G102" s="20">
        <v>1</v>
      </c>
    </row>
    <row r="103" spans="1:12" ht="30" hidden="1" outlineLevel="5" collapsed="1">
      <c r="A103" s="20" t="s">
        <v>11</v>
      </c>
      <c r="B103" s="20" t="s">
        <v>82</v>
      </c>
      <c r="C103" s="20" t="s">
        <v>47</v>
      </c>
      <c r="D103" s="20"/>
      <c r="E103" s="20" t="s">
        <v>481</v>
      </c>
      <c r="F103" s="20" t="s">
        <v>14</v>
      </c>
      <c r="G103" s="20">
        <v>1</v>
      </c>
    </row>
    <row r="104" spans="1:12" ht="30" hidden="1" outlineLevel="5" collapsed="1">
      <c r="A104" s="20" t="s">
        <v>11</v>
      </c>
      <c r="B104" s="20" t="s">
        <v>82</v>
      </c>
      <c r="C104" s="20" t="s">
        <v>47</v>
      </c>
      <c r="D104" s="20"/>
      <c r="E104" s="20" t="s">
        <v>482</v>
      </c>
      <c r="F104" s="20" t="s">
        <v>14</v>
      </c>
      <c r="G104" s="20">
        <v>1</v>
      </c>
    </row>
    <row r="105" spans="1:12" hidden="1" outlineLevel="5" collapsed="1">
      <c r="A105" s="20" t="s">
        <v>11</v>
      </c>
      <c r="B105" s="20" t="s">
        <v>82</v>
      </c>
      <c r="C105" s="20" t="s">
        <v>47</v>
      </c>
      <c r="D105" s="20"/>
      <c r="E105" s="20" t="s">
        <v>483</v>
      </c>
      <c r="F105" s="20" t="s">
        <v>14</v>
      </c>
      <c r="G105" s="20">
        <v>1</v>
      </c>
    </row>
    <row r="106" spans="1:12" ht="30" hidden="1" outlineLevel="5" collapsed="1">
      <c r="A106" s="20" t="s">
        <v>11</v>
      </c>
      <c r="B106" s="20" t="s">
        <v>82</v>
      </c>
      <c r="C106" s="20" t="s">
        <v>47</v>
      </c>
      <c r="D106" s="20"/>
      <c r="E106" s="20" t="s">
        <v>484</v>
      </c>
      <c r="F106" s="20" t="s">
        <v>14</v>
      </c>
      <c r="G106" s="20">
        <v>1</v>
      </c>
    </row>
    <row r="107" spans="1:12" hidden="1" outlineLevel="5">
      <c r="A107" s="22" t="s">
        <v>11</v>
      </c>
      <c r="B107" s="23" t="s">
        <v>495</v>
      </c>
      <c r="C107" s="22" t="s">
        <v>47</v>
      </c>
      <c r="D107" s="22"/>
      <c r="E107" s="22" t="s">
        <v>486</v>
      </c>
      <c r="F107" s="22" t="s">
        <v>11</v>
      </c>
      <c r="G107" s="22" t="s">
        <v>47</v>
      </c>
    </row>
    <row r="108" spans="1:12" ht="30" hidden="1" outlineLevel="6" collapsed="1">
      <c r="A108" s="20" t="s">
        <v>14</v>
      </c>
      <c r="B108" s="20" t="s">
        <v>82</v>
      </c>
      <c r="C108" s="20" t="s">
        <v>47</v>
      </c>
      <c r="D108" s="20" t="s">
        <v>399</v>
      </c>
      <c r="E108" s="20" t="s">
        <v>487</v>
      </c>
      <c r="F108" s="20" t="s">
        <v>14</v>
      </c>
      <c r="G108" s="20">
        <f>(SUM(G117)/G109)+G110*(G111-G112)</f>
        <v>1</v>
      </c>
    </row>
    <row r="109" spans="1:12" hidden="1" outlineLevel="6" collapsed="1">
      <c r="A109" s="20" t="s">
        <v>11</v>
      </c>
      <c r="B109" s="20" t="s">
        <v>82</v>
      </c>
      <c r="C109" s="20" t="s">
        <v>47</v>
      </c>
      <c r="D109" s="20"/>
      <c r="E109" s="20" t="s">
        <v>496</v>
      </c>
      <c r="F109" s="20" t="s">
        <v>14</v>
      </c>
      <c r="G109" s="20">
        <v>1</v>
      </c>
    </row>
    <row r="110" spans="1:12" ht="30" hidden="1" outlineLevel="6" collapsed="1">
      <c r="A110" s="20" t="s">
        <v>11</v>
      </c>
      <c r="B110" s="20" t="s">
        <v>82</v>
      </c>
      <c r="C110" s="20" t="s">
        <v>47</v>
      </c>
      <c r="D110" s="20"/>
      <c r="E110" s="20" t="s">
        <v>497</v>
      </c>
      <c r="F110" s="20" t="s">
        <v>14</v>
      </c>
      <c r="G110" s="20">
        <v>1</v>
      </c>
    </row>
    <row r="111" spans="1:12" ht="30" hidden="1" outlineLevel="6" collapsed="1">
      <c r="A111" s="20" t="s">
        <v>11</v>
      </c>
      <c r="B111" s="20" t="s">
        <v>82</v>
      </c>
      <c r="C111" s="20" t="s">
        <v>47</v>
      </c>
      <c r="D111" s="20"/>
      <c r="E111" s="20" t="s">
        <v>498</v>
      </c>
      <c r="F111" s="20" t="s">
        <v>14</v>
      </c>
      <c r="G111" s="20">
        <v>1</v>
      </c>
    </row>
    <row r="112" spans="1:12" ht="30" hidden="1" outlineLevel="6" collapsed="1">
      <c r="A112" s="20" t="s">
        <v>11</v>
      </c>
      <c r="B112" s="20" t="s">
        <v>82</v>
      </c>
      <c r="C112" s="20" t="s">
        <v>47</v>
      </c>
      <c r="D112" s="20"/>
      <c r="E112" s="20" t="s">
        <v>499</v>
      </c>
      <c r="F112" s="20" t="s">
        <v>14</v>
      </c>
      <c r="G112" s="20">
        <v>1</v>
      </c>
    </row>
    <row r="113" spans="1:12" ht="30" hidden="1" outlineLevel="6" collapsed="1">
      <c r="A113" s="20" t="s">
        <v>11</v>
      </c>
      <c r="B113" s="20" t="s">
        <v>82</v>
      </c>
      <c r="C113" s="20" t="s">
        <v>47</v>
      </c>
      <c r="D113" s="20"/>
      <c r="E113" s="20" t="s">
        <v>500</v>
      </c>
      <c r="F113" s="20" t="s">
        <v>14</v>
      </c>
      <c r="G113" s="20">
        <v>1</v>
      </c>
    </row>
    <row r="114" spans="1:12" ht="30" hidden="1" outlineLevel="6" collapsed="1">
      <c r="A114" s="20" t="s">
        <v>11</v>
      </c>
      <c r="B114" s="20" t="s">
        <v>82</v>
      </c>
      <c r="C114" s="20" t="s">
        <v>47</v>
      </c>
      <c r="D114" s="20"/>
      <c r="E114" s="20" t="s">
        <v>501</v>
      </c>
      <c r="F114" s="20" t="s">
        <v>14</v>
      </c>
      <c r="G114" s="20">
        <v>1</v>
      </c>
    </row>
    <row r="115" spans="1:12" ht="45" hidden="1" outlineLevel="6" collapsed="1">
      <c r="A115" s="20" t="s">
        <v>11</v>
      </c>
      <c r="B115" s="20" t="s">
        <v>82</v>
      </c>
      <c r="C115" s="20" t="s">
        <v>47</v>
      </c>
      <c r="D115" s="20"/>
      <c r="E115" s="20" t="s">
        <v>502</v>
      </c>
      <c r="F115" s="20" t="s">
        <v>14</v>
      </c>
      <c r="G115" s="20">
        <v>1</v>
      </c>
    </row>
    <row r="116" spans="1:12" hidden="1" outlineLevel="5">
      <c r="A116" s="22" t="s">
        <v>11</v>
      </c>
      <c r="B116" s="23" t="s">
        <v>491</v>
      </c>
      <c r="C116" s="22"/>
      <c r="D116" s="22"/>
      <c r="E116" s="22" t="s">
        <v>492</v>
      </c>
      <c r="F116" s="22" t="s">
        <v>11</v>
      </c>
      <c r="G116" s="22"/>
    </row>
    <row r="117" spans="1:12" s="25" customFormat="1" ht="30" hidden="1" outlineLevel="6" collapsed="1">
      <c r="A117" s="24" t="s">
        <v>11</v>
      </c>
      <c r="B117" s="24" t="s">
        <v>82</v>
      </c>
      <c r="C117" s="24" t="s">
        <v>47</v>
      </c>
      <c r="D117" s="24"/>
      <c r="E117" s="24" t="s">
        <v>493</v>
      </c>
      <c r="F117" s="24" t="s">
        <v>14</v>
      </c>
      <c r="G117" s="24">
        <v>1</v>
      </c>
      <c r="H117"/>
      <c r="I117"/>
      <c r="J117"/>
      <c r="K117"/>
      <c r="L117"/>
    </row>
    <row r="118" spans="1:12" hidden="1" outlineLevel="4" collapsed="1">
      <c r="A118" s="20" t="s">
        <v>11</v>
      </c>
      <c r="B118" s="20" t="s">
        <v>503</v>
      </c>
      <c r="C118" s="20" t="s">
        <v>47</v>
      </c>
      <c r="D118" s="20"/>
      <c r="E118" s="4" t="s">
        <v>504</v>
      </c>
      <c r="F118" s="20" t="s">
        <v>14</v>
      </c>
      <c r="G118" s="20" t="s">
        <v>505</v>
      </c>
    </row>
    <row r="119" spans="1:12" ht="29.25" hidden="1" customHeight="1" outlineLevel="3">
      <c r="A119" s="18" t="s">
        <v>14</v>
      </c>
      <c r="B119" s="18" t="s">
        <v>82</v>
      </c>
      <c r="C119" s="10"/>
      <c r="D119" s="18" t="s">
        <v>399</v>
      </c>
      <c r="E119" s="18" t="s">
        <v>506</v>
      </c>
      <c r="F119" s="18" t="s">
        <v>14</v>
      </c>
      <c r="G119" s="18">
        <f>IF(G54="Updating the previous stock by independent measurement of change",G56,IF(G54="Estimation by modelling of tree growth and stand development",G70,IF(G54="Estimation by proportionate crown cover",G74,IF(AND(G54="Measurement of sample plots",G83="Stratified random sampling"),G85,IF(AND(G54="Measurement of sample plots",G83="Double sampling"),G100)))))</f>
        <v>0</v>
      </c>
    </row>
    <row r="120" spans="1:12" ht="29.25" hidden="1" customHeight="1" outlineLevel="3">
      <c r="A120" s="18" t="s">
        <v>14</v>
      </c>
      <c r="B120" s="18" t="s">
        <v>82</v>
      </c>
      <c r="C120" s="10"/>
      <c r="D120" s="18" t="s">
        <v>399</v>
      </c>
      <c r="E120" s="18" t="s">
        <v>507</v>
      </c>
      <c r="F120" s="18" t="s">
        <v>14</v>
      </c>
      <c r="G120" s="18">
        <f>IF(AND(G10="Estimating change in carbon stock in trees between two points in time",G12="no-decrease"),0,IF(AND(G10="Estimating change in carbon stock in trees between two points in time",G12="Estimation by proportionate crown cover"),G17,IF(AND(G10="Estimating change in carbon stock in trees between two points in time",G12="Direct estimation of change by re-measurement of sample plots"),G26,IF(AND(G10="Estimating change in carbon stock in trees between two points in time",G12="Difference of two independent stock estimations"),G46,IF(AND(G10="Estimating change in carbon stock in trees in a year"),G49)))))</f>
        <v>1</v>
      </c>
    </row>
    <row r="121" spans="1:12" ht="29.25" hidden="1" customHeight="1" outlineLevel="3">
      <c r="A121" s="18" t="s">
        <v>11</v>
      </c>
      <c r="B121" s="18" t="s">
        <v>17</v>
      </c>
      <c r="C121" s="10" t="s">
        <v>508</v>
      </c>
      <c r="D121" s="18"/>
      <c r="E121" s="3" t="s">
        <v>509</v>
      </c>
      <c r="F121" s="3" t="s">
        <v>14</v>
      </c>
      <c r="G121" s="18" t="s">
        <v>510</v>
      </c>
    </row>
    <row r="122" spans="1:12" hidden="1" outlineLevel="3" collapsed="1">
      <c r="A122" s="18" t="s">
        <v>14</v>
      </c>
      <c r="B122" s="10" t="s">
        <v>511</v>
      </c>
      <c r="C122" s="18" t="s">
        <v>47</v>
      </c>
      <c r="D122" s="18" t="b">
        <f>EXACT(G121,"Estimating change in carbon stock in shrubs between two points in time")</f>
        <v>1</v>
      </c>
      <c r="E122" s="18" t="s">
        <v>512</v>
      </c>
      <c r="F122" s="18" t="s">
        <v>14</v>
      </c>
      <c r="G122" s="18" t="s">
        <v>47</v>
      </c>
    </row>
    <row r="123" spans="1:12" ht="29.25" hidden="1" customHeight="1" outlineLevel="4">
      <c r="A123" s="18" t="s">
        <v>11</v>
      </c>
      <c r="B123" s="18" t="s">
        <v>17</v>
      </c>
      <c r="C123" s="10" t="s">
        <v>513</v>
      </c>
      <c r="D123" s="18"/>
      <c r="E123" s="18" t="s">
        <v>514</v>
      </c>
      <c r="F123" s="18" t="s">
        <v>14</v>
      </c>
      <c r="G123" s="18" t="s">
        <v>14</v>
      </c>
    </row>
    <row r="124" spans="1:12" hidden="1" outlineLevel="4">
      <c r="A124" s="18" t="s">
        <v>14</v>
      </c>
      <c r="B124" s="10" t="s">
        <v>515</v>
      </c>
      <c r="C124" s="19"/>
      <c r="D124" s="18" t="b">
        <f>EXACT(G123,"Yes")</f>
        <v>0</v>
      </c>
      <c r="E124" s="18" t="s">
        <v>393</v>
      </c>
      <c r="F124" s="3" t="s">
        <v>14</v>
      </c>
      <c r="G124" s="18"/>
    </row>
    <row r="125" spans="1:12" ht="165" hidden="1" outlineLevel="5" collapsed="1">
      <c r="A125" s="20" t="s">
        <v>14</v>
      </c>
      <c r="B125" s="20" t="s">
        <v>44</v>
      </c>
      <c r="C125" s="20"/>
      <c r="D125" s="20"/>
      <c r="E125" s="20" t="s">
        <v>516</v>
      </c>
      <c r="F125" s="4" t="s">
        <v>14</v>
      </c>
      <c r="G125" s="20"/>
    </row>
    <row r="126" spans="1:12" ht="60" hidden="1" outlineLevel="5" collapsed="1">
      <c r="A126" s="20" t="s">
        <v>11</v>
      </c>
      <c r="B126" s="20" t="s">
        <v>17</v>
      </c>
      <c r="C126" s="27" t="s">
        <v>517</v>
      </c>
      <c r="D126" s="20"/>
      <c r="E126" s="20" t="s">
        <v>518</v>
      </c>
      <c r="F126" s="4" t="s">
        <v>14</v>
      </c>
      <c r="G126" s="20" t="s">
        <v>14</v>
      </c>
    </row>
    <row r="127" spans="1:12" ht="30" hidden="1" outlineLevel="5" collapsed="1">
      <c r="A127" s="20" t="s">
        <v>14</v>
      </c>
      <c r="B127" s="20" t="s">
        <v>82</v>
      </c>
      <c r="C127" s="20" t="s">
        <v>47</v>
      </c>
      <c r="D127" s="20" t="s">
        <v>399</v>
      </c>
      <c r="E127" s="20" t="s">
        <v>519</v>
      </c>
      <c r="F127" s="20" t="s">
        <v>14</v>
      </c>
      <c r="G127" s="20" t="e">
        <f>IF(AND(#REF!="No"),E128-E129,0)</f>
        <v>#REF!</v>
      </c>
    </row>
    <row r="128" spans="1:12" ht="30" hidden="1" outlineLevel="5" collapsed="1">
      <c r="A128" s="20" t="s">
        <v>11</v>
      </c>
      <c r="B128" s="20" t="s">
        <v>82</v>
      </c>
      <c r="C128" s="20" t="s">
        <v>47</v>
      </c>
      <c r="D128" s="20"/>
      <c r="E128" s="20" t="s">
        <v>520</v>
      </c>
      <c r="F128" s="20" t="s">
        <v>14</v>
      </c>
      <c r="G128" s="20">
        <v>1</v>
      </c>
    </row>
    <row r="129" spans="1:7" ht="30" hidden="1" outlineLevel="5" collapsed="1">
      <c r="A129" s="20" t="s">
        <v>11</v>
      </c>
      <c r="B129" s="20" t="s">
        <v>82</v>
      </c>
      <c r="C129" s="20" t="s">
        <v>47</v>
      </c>
      <c r="D129" s="20"/>
      <c r="E129" s="20" t="s">
        <v>521</v>
      </c>
      <c r="F129" s="20" t="s">
        <v>14</v>
      </c>
      <c r="G129" s="20">
        <v>1</v>
      </c>
    </row>
    <row r="130" spans="1:7" hidden="1" outlineLevel="3" collapsed="1">
      <c r="A130" s="18" t="s">
        <v>14</v>
      </c>
      <c r="B130" s="10" t="s">
        <v>522</v>
      </c>
      <c r="C130" s="18" t="s">
        <v>47</v>
      </c>
      <c r="D130" s="18" t="b">
        <f>EXACT(G121,"Estimating change in carbon stock in shrubs in a year")</f>
        <v>0</v>
      </c>
      <c r="E130" s="18" t="s">
        <v>523</v>
      </c>
      <c r="F130" s="18" t="s">
        <v>14</v>
      </c>
      <c r="G130" s="18" t="s">
        <v>47</v>
      </c>
    </row>
    <row r="131" spans="1:7" ht="30" hidden="1" outlineLevel="4" collapsed="1">
      <c r="A131" s="20" t="s">
        <v>14</v>
      </c>
      <c r="B131" s="20" t="s">
        <v>82</v>
      </c>
      <c r="C131" s="20" t="s">
        <v>47</v>
      </c>
      <c r="D131" s="20" t="s">
        <v>399</v>
      </c>
      <c r="E131" s="20" t="s">
        <v>524</v>
      </c>
      <c r="F131" s="20" t="s">
        <v>14</v>
      </c>
      <c r="G131" s="20">
        <f>(G132-G133/G134)*1</f>
        <v>0</v>
      </c>
    </row>
    <row r="132" spans="1:7" hidden="1" outlineLevel="4" collapsed="1">
      <c r="A132" s="20" t="s">
        <v>11</v>
      </c>
      <c r="B132" s="20" t="s">
        <v>82</v>
      </c>
      <c r="C132" s="20" t="s">
        <v>47</v>
      </c>
      <c r="D132" s="20"/>
      <c r="E132" s="20" t="s">
        <v>525</v>
      </c>
      <c r="F132" s="20" t="s">
        <v>14</v>
      </c>
      <c r="G132" s="20">
        <v>1</v>
      </c>
    </row>
    <row r="133" spans="1:7" hidden="1" outlineLevel="4" collapsed="1">
      <c r="A133" s="20" t="s">
        <v>11</v>
      </c>
      <c r="B133" s="20" t="s">
        <v>82</v>
      </c>
      <c r="C133" s="20" t="s">
        <v>47</v>
      </c>
      <c r="D133" s="20"/>
      <c r="E133" s="20" t="s">
        <v>526</v>
      </c>
      <c r="F133" s="20" t="s">
        <v>14</v>
      </c>
      <c r="G133" s="20">
        <v>1</v>
      </c>
    </row>
    <row r="134" spans="1:7" ht="30" hidden="1" outlineLevel="4" collapsed="1">
      <c r="A134" s="20" t="s">
        <v>11</v>
      </c>
      <c r="B134" s="20" t="s">
        <v>82</v>
      </c>
      <c r="C134" s="20" t="s">
        <v>47</v>
      </c>
      <c r="D134" s="20"/>
      <c r="E134" s="20" t="s">
        <v>527</v>
      </c>
      <c r="F134" s="20" t="s">
        <v>14</v>
      </c>
      <c r="G134" s="20">
        <v>1</v>
      </c>
    </row>
    <row r="135" spans="1:7" hidden="1" outlineLevel="3" collapsed="1">
      <c r="A135" s="18" t="s">
        <v>11</v>
      </c>
      <c r="B135" s="10" t="s">
        <v>528</v>
      </c>
      <c r="C135" s="18" t="s">
        <v>47</v>
      </c>
      <c r="D135" s="18"/>
      <c r="E135" s="18" t="s">
        <v>529</v>
      </c>
      <c r="F135" s="18" t="s">
        <v>11</v>
      </c>
      <c r="G135" s="18" t="s">
        <v>47</v>
      </c>
    </row>
    <row r="136" spans="1:7" ht="13.5" hidden="1" customHeight="1" outlineLevel="4" collapsed="1">
      <c r="A136" s="20" t="s">
        <v>14</v>
      </c>
      <c r="B136" s="20" t="s">
        <v>82</v>
      </c>
      <c r="C136" s="20" t="s">
        <v>47</v>
      </c>
      <c r="D136" s="20" t="s">
        <v>399</v>
      </c>
      <c r="E136" s="20" t="s">
        <v>530</v>
      </c>
      <c r="F136" s="20" t="s">
        <v>14</v>
      </c>
      <c r="G136" s="20">
        <f>44/12*G137*(1+G138)*SUM((G143*G144))</f>
        <v>7.333333333333333</v>
      </c>
    </row>
    <row r="137" spans="1:7" ht="13.5" hidden="1" customHeight="1" outlineLevel="4" collapsed="1">
      <c r="A137" s="20" t="s">
        <v>11</v>
      </c>
      <c r="B137" s="20" t="s">
        <v>82</v>
      </c>
      <c r="C137" s="20" t="s">
        <v>47</v>
      </c>
      <c r="D137" s="20"/>
      <c r="E137" s="20" t="s">
        <v>531</v>
      </c>
      <c r="F137" s="20" t="s">
        <v>14</v>
      </c>
      <c r="G137" s="20">
        <v>1</v>
      </c>
    </row>
    <row r="138" spans="1:7" hidden="1" outlineLevel="4" collapsed="1">
      <c r="A138" s="20" t="s">
        <v>11</v>
      </c>
      <c r="B138" s="20" t="s">
        <v>82</v>
      </c>
      <c r="C138" s="20" t="s">
        <v>47</v>
      </c>
      <c r="D138" s="20"/>
      <c r="E138" s="20" t="s">
        <v>532</v>
      </c>
      <c r="F138" s="20" t="s">
        <v>14</v>
      </c>
      <c r="G138" s="20">
        <v>1</v>
      </c>
    </row>
    <row r="139" spans="1:7" hidden="1" outlineLevel="4">
      <c r="A139" s="22" t="s">
        <v>11</v>
      </c>
      <c r="B139" s="23" t="s">
        <v>533</v>
      </c>
      <c r="C139" s="22" t="s">
        <v>47</v>
      </c>
      <c r="D139" s="22"/>
      <c r="E139" s="22" t="s">
        <v>534</v>
      </c>
      <c r="F139" s="22" t="s">
        <v>11</v>
      </c>
      <c r="G139" s="22" t="s">
        <v>47</v>
      </c>
    </row>
    <row r="140" spans="1:7" ht="30" hidden="1" outlineLevel="5" collapsed="1">
      <c r="A140" s="20" t="s">
        <v>11</v>
      </c>
      <c r="B140" s="20" t="s">
        <v>82</v>
      </c>
      <c r="C140" s="20" t="s">
        <v>47</v>
      </c>
      <c r="D140" s="20"/>
      <c r="E140" s="20" t="s">
        <v>535</v>
      </c>
      <c r="F140" s="20" t="s">
        <v>14</v>
      </c>
      <c r="G140" s="20">
        <v>1</v>
      </c>
    </row>
    <row r="141" spans="1:7" ht="30" hidden="1" outlineLevel="5" collapsed="1">
      <c r="A141" s="20" t="s">
        <v>11</v>
      </c>
      <c r="B141" s="20" t="s">
        <v>82</v>
      </c>
      <c r="C141" s="20" t="s">
        <v>47</v>
      </c>
      <c r="D141" s="20"/>
      <c r="E141" s="20" t="s">
        <v>536</v>
      </c>
      <c r="F141" s="20" t="s">
        <v>14</v>
      </c>
      <c r="G141" s="20">
        <v>1</v>
      </c>
    </row>
    <row r="142" spans="1:7" ht="30" hidden="1" outlineLevel="5" collapsed="1">
      <c r="A142" s="20" t="s">
        <v>11</v>
      </c>
      <c r="B142" s="20" t="s">
        <v>82</v>
      </c>
      <c r="C142" s="20" t="s">
        <v>47</v>
      </c>
      <c r="D142" s="20"/>
      <c r="E142" s="20" t="s">
        <v>537</v>
      </c>
      <c r="F142" s="20" t="s">
        <v>14</v>
      </c>
      <c r="G142" s="20">
        <v>1</v>
      </c>
    </row>
    <row r="143" spans="1:7" ht="30" hidden="1" outlineLevel="5" collapsed="1">
      <c r="A143" s="20" t="s">
        <v>11</v>
      </c>
      <c r="B143" s="20" t="s">
        <v>82</v>
      </c>
      <c r="C143" s="20" t="s">
        <v>47</v>
      </c>
      <c r="D143" s="20"/>
      <c r="E143" s="20" t="s">
        <v>538</v>
      </c>
      <c r="F143" s="20" t="s">
        <v>14</v>
      </c>
      <c r="G143" s="20">
        <v>1</v>
      </c>
    </row>
    <row r="144" spans="1:7" ht="30" hidden="1" outlineLevel="5" collapsed="1">
      <c r="A144" s="20" t="s">
        <v>14</v>
      </c>
      <c r="B144" s="20" t="s">
        <v>82</v>
      </c>
      <c r="C144" s="20" t="s">
        <v>47</v>
      </c>
      <c r="D144" s="20" t="s">
        <v>399</v>
      </c>
      <c r="E144" s="20" t="s">
        <v>539</v>
      </c>
      <c r="F144" s="20" t="s">
        <v>14</v>
      </c>
      <c r="G144" s="20">
        <f>G140*G141*G142</f>
        <v>1</v>
      </c>
    </row>
    <row r="145" spans="1:7" ht="29.25" hidden="1" customHeight="1" outlineLevel="3">
      <c r="A145" s="18" t="s">
        <v>14</v>
      </c>
      <c r="B145" s="18" t="s">
        <v>82</v>
      </c>
      <c r="C145" s="10"/>
      <c r="D145" s="18" t="s">
        <v>399</v>
      </c>
      <c r="E145" s="18" t="s">
        <v>540</v>
      </c>
      <c r="F145" s="18" t="s">
        <v>14</v>
      </c>
      <c r="G145" s="18">
        <f>G136</f>
        <v>7.333333333333333</v>
      </c>
    </row>
    <row r="146" spans="1:7" ht="29.25" hidden="1" customHeight="1" outlineLevel="3">
      <c r="A146" s="18" t="s">
        <v>14</v>
      </c>
      <c r="B146" s="18" t="s">
        <v>82</v>
      </c>
      <c r="C146" s="10"/>
      <c r="D146" s="18" t="s">
        <v>399</v>
      </c>
      <c r="E146" s="18" t="s">
        <v>541</v>
      </c>
      <c r="F146" s="18" t="s">
        <v>14</v>
      </c>
      <c r="G146" s="18" t="e">
        <f>IF(AND(G121="Estimating change in carbon stock in shrubs between two points in time",G123="Yes"),0,IF(AND(G121="Estimating change in carbon stock in shrubs between two points in time"),G127,IF(AND(G121="Estimating change in carbon stock in shrubs in a year"),G131)))</f>
        <v>#REF!</v>
      </c>
    </row>
    <row r="147" spans="1:7" ht="29.25" customHeight="1" outlineLevel="2">
      <c r="A147" s="18" t="s">
        <v>11</v>
      </c>
      <c r="B147" s="10" t="s">
        <v>542</v>
      </c>
      <c r="C147" s="19"/>
      <c r="D147" s="18"/>
      <c r="E147" s="18" t="s">
        <v>543</v>
      </c>
      <c r="F147" s="18" t="s">
        <v>14</v>
      </c>
      <c r="G147" s="18"/>
    </row>
    <row r="148" spans="1:7" ht="29.25" customHeight="1" outlineLevel="4">
      <c r="A148" s="18" t="s">
        <v>11</v>
      </c>
      <c r="B148" s="18" t="s">
        <v>17</v>
      </c>
      <c r="C148" s="10" t="s">
        <v>544</v>
      </c>
      <c r="D148" s="18"/>
      <c r="E148" s="18" t="s">
        <v>385</v>
      </c>
      <c r="F148" s="3" t="s">
        <v>14</v>
      </c>
      <c r="G148" s="18" t="s">
        <v>386</v>
      </c>
    </row>
    <row r="149" spans="1:7" ht="29.25" customHeight="1" outlineLevel="4">
      <c r="A149" s="3" t="s">
        <v>14</v>
      </c>
      <c r="B149" s="10" t="s">
        <v>545</v>
      </c>
      <c r="C149" s="10"/>
      <c r="D149" s="18" t="b">
        <f>EXACT(G148,"Estimating change in carbon stock in trees between two points in time")</f>
        <v>0</v>
      </c>
      <c r="E149" s="18" t="s">
        <v>388</v>
      </c>
      <c r="F149" s="3" t="s">
        <v>14</v>
      </c>
      <c r="G149" s="18"/>
    </row>
    <row r="150" spans="1:7" ht="29.25" customHeight="1" outlineLevel="5">
      <c r="A150" s="18" t="s">
        <v>11</v>
      </c>
      <c r="B150" s="18" t="s">
        <v>17</v>
      </c>
      <c r="C150" s="10" t="s">
        <v>546</v>
      </c>
      <c r="D150" s="18"/>
      <c r="E150" s="18" t="s">
        <v>390</v>
      </c>
      <c r="F150" s="18" t="s">
        <v>14</v>
      </c>
      <c r="G150" s="18" t="s">
        <v>391</v>
      </c>
    </row>
    <row r="151" spans="1:7" outlineLevel="5" collapsed="1">
      <c r="A151" s="18" t="s">
        <v>14</v>
      </c>
      <c r="B151" s="10" t="s">
        <v>392</v>
      </c>
      <c r="C151" s="19"/>
      <c r="D151" s="18" t="b">
        <f>EXACT(G150,"no-decrease")</f>
        <v>1</v>
      </c>
      <c r="E151" s="18" t="s">
        <v>393</v>
      </c>
      <c r="F151" s="3" t="s">
        <v>14</v>
      </c>
      <c r="G151" s="18"/>
    </row>
    <row r="152" spans="1:7" ht="165" hidden="1" outlineLevel="6" collapsed="1">
      <c r="A152" s="20" t="s">
        <v>14</v>
      </c>
      <c r="B152" s="20" t="s">
        <v>44</v>
      </c>
      <c r="C152" s="20"/>
      <c r="D152" s="20"/>
      <c r="E152" s="20" t="s">
        <v>394</v>
      </c>
      <c r="F152" s="4" t="s">
        <v>14</v>
      </c>
      <c r="G152" s="20"/>
    </row>
    <row r="153" spans="1:7" ht="60" hidden="1" outlineLevel="6" collapsed="1">
      <c r="A153" s="20" t="s">
        <v>11</v>
      </c>
      <c r="B153" s="20" t="s">
        <v>17</v>
      </c>
      <c r="C153" s="27" t="s">
        <v>395</v>
      </c>
      <c r="D153" s="20"/>
      <c r="E153" s="20" t="s">
        <v>396</v>
      </c>
      <c r="F153" s="4" t="s">
        <v>14</v>
      </c>
      <c r="G153" s="20"/>
    </row>
    <row r="154" spans="1:7" outlineLevel="5" collapsed="1">
      <c r="A154" s="18" t="s">
        <v>14</v>
      </c>
      <c r="B154" s="10" t="s">
        <v>410</v>
      </c>
      <c r="C154" s="18" t="s">
        <v>47</v>
      </c>
      <c r="D154" s="18" t="b">
        <f>EXACT(G150,"Direct estimation of change by re-measurement of sample plots")</f>
        <v>0</v>
      </c>
      <c r="E154" s="18" t="s">
        <v>547</v>
      </c>
      <c r="F154" s="18" t="s">
        <v>14</v>
      </c>
      <c r="G154" s="18" t="s">
        <v>47</v>
      </c>
    </row>
    <row r="155" spans="1:7" hidden="1" outlineLevel="6" collapsed="1">
      <c r="A155" s="20" t="s">
        <v>14</v>
      </c>
      <c r="B155" s="20" t="s">
        <v>82</v>
      </c>
      <c r="C155" s="20" t="s">
        <v>47</v>
      </c>
      <c r="D155" s="20" t="s">
        <v>399</v>
      </c>
      <c r="E155" s="20" t="s">
        <v>412</v>
      </c>
      <c r="F155" s="20" t="s">
        <v>14</v>
      </c>
      <c r="G155" s="20">
        <f>44/12*G156*G157</f>
        <v>3.6666666666666665</v>
      </c>
    </row>
    <row r="156" spans="1:7" hidden="1" outlineLevel="6" collapsed="1">
      <c r="A156" s="20" t="s">
        <v>11</v>
      </c>
      <c r="B156" s="20" t="s">
        <v>82</v>
      </c>
      <c r="C156" s="20" t="s">
        <v>47</v>
      </c>
      <c r="D156" s="20"/>
      <c r="E156" s="20" t="s">
        <v>405</v>
      </c>
      <c r="F156" s="20" t="s">
        <v>14</v>
      </c>
      <c r="G156" s="20">
        <v>1</v>
      </c>
    </row>
    <row r="157" spans="1:7" ht="30" hidden="1" outlineLevel="6" collapsed="1">
      <c r="A157" s="20" t="s">
        <v>14</v>
      </c>
      <c r="B157" s="20" t="s">
        <v>82</v>
      </c>
      <c r="C157" s="20" t="s">
        <v>47</v>
      </c>
      <c r="D157" s="20" t="s">
        <v>399</v>
      </c>
      <c r="E157" s="20" t="s">
        <v>413</v>
      </c>
      <c r="F157" s="20" t="s">
        <v>14</v>
      </c>
      <c r="G157" s="20">
        <f>G159*G158</f>
        <v>1</v>
      </c>
    </row>
    <row r="158" spans="1:7" ht="30" hidden="1" outlineLevel="6" collapsed="1">
      <c r="A158" s="20" t="s">
        <v>14</v>
      </c>
      <c r="B158" s="20" t="s">
        <v>82</v>
      </c>
      <c r="C158" s="20" t="s">
        <v>47</v>
      </c>
      <c r="D158" s="20" t="s">
        <v>399</v>
      </c>
      <c r="E158" s="20" t="s">
        <v>414</v>
      </c>
      <c r="F158" s="20" t="s">
        <v>14</v>
      </c>
      <c r="G158" s="20">
        <f>SUM((G164*G163))</f>
        <v>1</v>
      </c>
    </row>
    <row r="159" spans="1:7" hidden="1" outlineLevel="6" collapsed="1">
      <c r="A159" s="20" t="s">
        <v>11</v>
      </c>
      <c r="B159" s="20" t="s">
        <v>82</v>
      </c>
      <c r="C159" s="20" t="s">
        <v>47</v>
      </c>
      <c r="D159" s="20"/>
      <c r="E159" s="20" t="s">
        <v>415</v>
      </c>
      <c r="F159" s="20" t="s">
        <v>14</v>
      </c>
      <c r="G159" s="20">
        <v>1</v>
      </c>
    </row>
    <row r="160" spans="1:7" hidden="1" outlineLevel="6" collapsed="1">
      <c r="A160" s="20" t="s">
        <v>11</v>
      </c>
      <c r="B160" s="20" t="s">
        <v>82</v>
      </c>
      <c r="C160" s="20" t="s">
        <v>47</v>
      </c>
      <c r="D160" s="20"/>
      <c r="E160" s="20" t="s">
        <v>548</v>
      </c>
      <c r="F160" s="20" t="s">
        <v>14</v>
      </c>
      <c r="G160" s="20">
        <v>1</v>
      </c>
    </row>
    <row r="161" spans="1:12" hidden="1" outlineLevel="6" collapsed="1">
      <c r="A161" s="20" t="s">
        <v>11</v>
      </c>
      <c r="B161" s="20" t="s">
        <v>82</v>
      </c>
      <c r="C161" s="20" t="s">
        <v>47</v>
      </c>
      <c r="D161" s="20"/>
      <c r="E161" s="20" t="s">
        <v>417</v>
      </c>
      <c r="F161" s="20" t="s">
        <v>14</v>
      </c>
      <c r="G161" s="20">
        <v>1</v>
      </c>
    </row>
    <row r="162" spans="1:12" ht="30" hidden="1" outlineLevel="6">
      <c r="A162" s="22" t="s">
        <v>11</v>
      </c>
      <c r="B162" s="23" t="s">
        <v>418</v>
      </c>
      <c r="C162" s="22" t="s">
        <v>47</v>
      </c>
      <c r="D162" s="22"/>
      <c r="E162" s="22" t="s">
        <v>419</v>
      </c>
      <c r="F162" s="22" t="s">
        <v>11</v>
      </c>
      <c r="G162" s="22" t="s">
        <v>47</v>
      </c>
    </row>
    <row r="163" spans="1:12" ht="30" hidden="1" outlineLevel="7" collapsed="1">
      <c r="A163" s="20" t="s">
        <v>14</v>
      </c>
      <c r="B163" s="20" t="s">
        <v>82</v>
      </c>
      <c r="C163" s="20" t="s">
        <v>47</v>
      </c>
      <c r="D163" s="20" t="s">
        <v>399</v>
      </c>
      <c r="E163" s="20" t="s">
        <v>420</v>
      </c>
      <c r="F163" s="20" t="s">
        <v>14</v>
      </c>
      <c r="G163" s="20">
        <f>(SUM(G168))/G166</f>
        <v>1</v>
      </c>
    </row>
    <row r="164" spans="1:12" ht="30" hidden="1" outlineLevel="7" collapsed="1">
      <c r="A164" s="20" t="s">
        <v>11</v>
      </c>
      <c r="B164" s="20" t="s">
        <v>82</v>
      </c>
      <c r="C164" s="20" t="s">
        <v>47</v>
      </c>
      <c r="D164" s="20"/>
      <c r="E164" s="20" t="s">
        <v>421</v>
      </c>
      <c r="F164" s="20" t="s">
        <v>14</v>
      </c>
      <c r="G164" s="20">
        <v>1</v>
      </c>
    </row>
    <row r="165" spans="1:12" ht="30" hidden="1" outlineLevel="7" collapsed="1">
      <c r="A165" s="20" t="s">
        <v>11</v>
      </c>
      <c r="B165" s="20" t="s">
        <v>82</v>
      </c>
      <c r="C165" s="20" t="s">
        <v>47</v>
      </c>
      <c r="D165" s="20"/>
      <c r="E165" s="20" t="s">
        <v>422</v>
      </c>
      <c r="F165" s="20" t="s">
        <v>14</v>
      </c>
      <c r="G165" s="20">
        <v>1</v>
      </c>
    </row>
    <row r="166" spans="1:12" ht="30" hidden="1" outlineLevel="7" collapsed="1">
      <c r="A166" s="20" t="s">
        <v>11</v>
      </c>
      <c r="B166" s="20" t="s">
        <v>82</v>
      </c>
      <c r="C166" s="20" t="s">
        <v>47</v>
      </c>
      <c r="D166" s="20"/>
      <c r="E166" s="20" t="s">
        <v>423</v>
      </c>
      <c r="F166" s="20" t="s">
        <v>14</v>
      </c>
      <c r="G166" s="20">
        <v>1</v>
      </c>
    </row>
    <row r="167" spans="1:12" hidden="1" outlineLevel="6">
      <c r="A167" s="22" t="s">
        <v>11</v>
      </c>
      <c r="B167" s="23" t="s">
        <v>424</v>
      </c>
      <c r="C167" s="22"/>
      <c r="D167" s="22"/>
      <c r="E167" s="22" t="s">
        <v>425</v>
      </c>
      <c r="F167" s="22" t="s">
        <v>11</v>
      </c>
      <c r="G167" s="22"/>
    </row>
    <row r="168" spans="1:12" s="25" customFormat="1" ht="30" hidden="1" outlineLevel="7" collapsed="1">
      <c r="A168" s="24" t="s">
        <v>11</v>
      </c>
      <c r="B168" s="24" t="s">
        <v>82</v>
      </c>
      <c r="C168" s="24" t="s">
        <v>47</v>
      </c>
      <c r="D168" s="24"/>
      <c r="E168" s="24" t="s">
        <v>426</v>
      </c>
      <c r="F168" s="24" t="s">
        <v>14</v>
      </c>
      <c r="G168" s="24">
        <v>1</v>
      </c>
      <c r="H168"/>
      <c r="I168"/>
      <c r="J168"/>
      <c r="K168"/>
      <c r="L168"/>
    </row>
    <row r="169" spans="1:12" outlineLevel="5" collapsed="1">
      <c r="A169" s="18" t="s">
        <v>14</v>
      </c>
      <c r="B169" s="10" t="s">
        <v>427</v>
      </c>
      <c r="C169" s="18" t="s">
        <v>47</v>
      </c>
      <c r="D169" s="18" t="b">
        <f>EXACT(G150,"Difference of two independent stock estimations")</f>
        <v>0</v>
      </c>
      <c r="E169" s="18" t="s">
        <v>549</v>
      </c>
      <c r="F169" s="18" t="s">
        <v>14</v>
      </c>
      <c r="G169" s="18" t="s">
        <v>47</v>
      </c>
    </row>
    <row r="170" spans="1:12" hidden="1" outlineLevel="6" collapsed="1">
      <c r="A170" s="20" t="s">
        <v>11</v>
      </c>
      <c r="B170" s="20" t="s">
        <v>82</v>
      </c>
      <c r="C170" s="20" t="s">
        <v>47</v>
      </c>
      <c r="D170" s="20"/>
      <c r="E170" s="20" t="s">
        <v>429</v>
      </c>
      <c r="F170" s="20" t="s">
        <v>14</v>
      </c>
      <c r="G170" s="20">
        <v>1</v>
      </c>
    </row>
    <row r="171" spans="1:12" hidden="1" outlineLevel="6" collapsed="1">
      <c r="A171" s="20" t="s">
        <v>11</v>
      </c>
      <c r="B171" s="20" t="s">
        <v>82</v>
      </c>
      <c r="C171" s="20" t="s">
        <v>47</v>
      </c>
      <c r="D171" s="20"/>
      <c r="E171" s="20" t="s">
        <v>430</v>
      </c>
      <c r="F171" s="20" t="s">
        <v>14</v>
      </c>
      <c r="G171" s="20">
        <v>1</v>
      </c>
    </row>
    <row r="172" spans="1:12" hidden="1" outlineLevel="6" collapsed="1">
      <c r="A172" s="20" t="s">
        <v>11</v>
      </c>
      <c r="B172" s="20" t="s">
        <v>82</v>
      </c>
      <c r="C172" s="20" t="s">
        <v>47</v>
      </c>
      <c r="D172" s="20"/>
      <c r="E172" s="20" t="s">
        <v>431</v>
      </c>
      <c r="F172" s="20" t="s">
        <v>14</v>
      </c>
      <c r="G172" s="20">
        <v>1</v>
      </c>
    </row>
    <row r="173" spans="1:12" hidden="1" outlineLevel="6" collapsed="1">
      <c r="A173" s="20" t="s">
        <v>11</v>
      </c>
      <c r="B173" s="20" t="s">
        <v>82</v>
      </c>
      <c r="C173" s="20" t="s">
        <v>47</v>
      </c>
      <c r="D173" s="20"/>
      <c r="E173" s="20" t="s">
        <v>432</v>
      </c>
      <c r="F173" s="20" t="s">
        <v>14</v>
      </c>
      <c r="G173" s="20">
        <v>1</v>
      </c>
    </row>
    <row r="174" spans="1:12" ht="30" hidden="1" outlineLevel="6" collapsed="1">
      <c r="A174" s="20" t="s">
        <v>14</v>
      </c>
      <c r="B174" s="20" t="s">
        <v>82</v>
      </c>
      <c r="C174" s="20" t="s">
        <v>47</v>
      </c>
      <c r="D174" s="20" t="s">
        <v>399</v>
      </c>
      <c r="E174" s="24" t="s">
        <v>550</v>
      </c>
      <c r="F174" s="20" t="s">
        <v>14</v>
      </c>
      <c r="G174" s="20" t="e">
        <f>(SQRT((G172*G170)^2+(G173*G171)^2))/G175</f>
        <v>#DIV/0!</v>
      </c>
    </row>
    <row r="175" spans="1:12" hidden="1" outlineLevel="6" collapsed="1">
      <c r="A175" s="20" t="s">
        <v>14</v>
      </c>
      <c r="B175" s="20" t="s">
        <v>82</v>
      </c>
      <c r="C175" s="20" t="s">
        <v>47</v>
      </c>
      <c r="D175" s="20" t="s">
        <v>399</v>
      </c>
      <c r="E175" s="20" t="s">
        <v>551</v>
      </c>
      <c r="F175" s="20" t="s">
        <v>14</v>
      </c>
      <c r="G175" s="20">
        <f>G171-G170</f>
        <v>0</v>
      </c>
    </row>
    <row r="176" spans="1:12" hidden="1" outlineLevel="6" collapsed="1">
      <c r="A176" s="20" t="s">
        <v>11</v>
      </c>
      <c r="B176" s="20" t="s">
        <v>82</v>
      </c>
      <c r="C176" s="20" t="s">
        <v>47</v>
      </c>
      <c r="D176" s="20"/>
      <c r="E176" s="20" t="s">
        <v>552</v>
      </c>
      <c r="F176" s="20" t="s">
        <v>14</v>
      </c>
      <c r="G176" s="26">
        <v>7.0000000000000007E-2</v>
      </c>
    </row>
    <row r="177" spans="1:7" outlineLevel="4">
      <c r="A177" s="18" t="s">
        <v>11</v>
      </c>
      <c r="B177" s="10" t="s">
        <v>553</v>
      </c>
      <c r="C177" s="18" t="s">
        <v>47</v>
      </c>
      <c r="D177" s="18" t="b">
        <f>EXACT(G148,"Estimating change in carbon stock in trees in a year")</f>
        <v>1</v>
      </c>
      <c r="E177" s="18" t="s">
        <v>386</v>
      </c>
      <c r="F177" s="18" t="s">
        <v>14</v>
      </c>
      <c r="G177" s="18" t="s">
        <v>47</v>
      </c>
    </row>
    <row r="178" spans="1:7" ht="30" outlineLevel="5" collapsed="1">
      <c r="A178" s="20" t="s">
        <v>14</v>
      </c>
      <c r="B178" s="20" t="s">
        <v>82</v>
      </c>
      <c r="C178" s="20" t="s">
        <v>47</v>
      </c>
      <c r="D178" s="20" t="s">
        <v>399</v>
      </c>
      <c r="E178" s="20" t="s">
        <v>554</v>
      </c>
      <c r="F178" s="20" t="s">
        <v>14</v>
      </c>
      <c r="G178" s="20">
        <f>(G179-G180/G181)*1</f>
        <v>0</v>
      </c>
    </row>
    <row r="179" spans="1:7" ht="30" outlineLevel="5" collapsed="1">
      <c r="A179" s="20" t="s">
        <v>11</v>
      </c>
      <c r="B179" s="20" t="s">
        <v>82</v>
      </c>
      <c r="C179" s="20" t="s">
        <v>47</v>
      </c>
      <c r="D179" s="20"/>
      <c r="E179" s="20" t="s">
        <v>555</v>
      </c>
      <c r="F179" s="20" t="s">
        <v>14</v>
      </c>
      <c r="G179" s="20">
        <v>1</v>
      </c>
    </row>
    <row r="180" spans="1:7" ht="30" outlineLevel="5" collapsed="1">
      <c r="A180" s="20" t="s">
        <v>14</v>
      </c>
      <c r="B180" s="20" t="s">
        <v>82</v>
      </c>
      <c r="C180" s="20" t="s">
        <v>47</v>
      </c>
      <c r="D180" s="20" t="s">
        <v>399</v>
      </c>
      <c r="E180" s="20" t="s">
        <v>556</v>
      </c>
      <c r="F180" s="20" t="s">
        <v>14</v>
      </c>
      <c r="G180" s="20">
        <f>IF(AND(G183="Updating the previous stock by independent measurement of change"),G186,IF(AND(G183="Estimation by modelling of tree growth and stand development"),G200))</f>
        <v>1</v>
      </c>
    </row>
    <row r="181" spans="1:7" outlineLevel="5">
      <c r="A181" s="20" t="s">
        <v>11</v>
      </c>
      <c r="B181" s="20" t="s">
        <v>82</v>
      </c>
      <c r="C181" s="20" t="s">
        <v>47</v>
      </c>
      <c r="D181" s="20"/>
      <c r="E181" s="20" t="s">
        <v>440</v>
      </c>
      <c r="F181" s="20" t="s">
        <v>14</v>
      </c>
      <c r="G181" s="20">
        <v>1</v>
      </c>
    </row>
    <row r="182" spans="1:7" outlineLevel="3">
      <c r="A182" s="18" t="s">
        <v>11</v>
      </c>
      <c r="B182" s="10" t="s">
        <v>557</v>
      </c>
      <c r="C182" s="18" t="s">
        <v>47</v>
      </c>
      <c r="D182" s="18"/>
      <c r="E182" s="18" t="s">
        <v>442</v>
      </c>
      <c r="F182" s="18" t="s">
        <v>14</v>
      </c>
      <c r="G182" s="18" t="s">
        <v>47</v>
      </c>
    </row>
    <row r="183" spans="1:7" ht="30" outlineLevel="4" collapsed="1">
      <c r="A183" s="20" t="s">
        <v>11</v>
      </c>
      <c r="B183" s="20" t="s">
        <v>17</v>
      </c>
      <c r="C183" s="27" t="s">
        <v>558</v>
      </c>
      <c r="D183" s="20"/>
      <c r="E183" s="20" t="s">
        <v>444</v>
      </c>
      <c r="F183" s="20" t="s">
        <v>14</v>
      </c>
      <c r="G183" s="20" t="s">
        <v>447</v>
      </c>
    </row>
    <row r="184" spans="1:7" outlineLevel="4" collapsed="1">
      <c r="A184" s="22" t="s">
        <v>14</v>
      </c>
      <c r="B184" s="23" t="s">
        <v>559</v>
      </c>
      <c r="C184" s="22" t="s">
        <v>47</v>
      </c>
      <c r="D184" s="22" t="b">
        <f>EXACT(G183,"Updating the previous stock by independent measurement of change")</f>
        <v>1</v>
      </c>
      <c r="E184" s="22" t="s">
        <v>447</v>
      </c>
      <c r="F184" s="22" t="s">
        <v>14</v>
      </c>
      <c r="G184" s="22" t="s">
        <v>47</v>
      </c>
    </row>
    <row r="185" spans="1:7" hidden="1" outlineLevel="5" collapsed="1">
      <c r="A185" s="20" t="s">
        <v>14</v>
      </c>
      <c r="B185" s="20" t="s">
        <v>82</v>
      </c>
      <c r="C185" s="20" t="s">
        <v>47</v>
      </c>
      <c r="D185" s="20" t="s">
        <v>399</v>
      </c>
      <c r="E185" s="20" t="s">
        <v>560</v>
      </c>
      <c r="F185" s="20" t="s">
        <v>14</v>
      </c>
      <c r="G185" s="20" t="e">
        <f>E186+E187</f>
        <v>#VALUE!</v>
      </c>
    </row>
    <row r="186" spans="1:7" ht="30" hidden="1" outlineLevel="5" collapsed="1">
      <c r="A186" s="20" t="s">
        <v>11</v>
      </c>
      <c r="B186" s="20" t="s">
        <v>82</v>
      </c>
      <c r="C186" s="20" t="s">
        <v>47</v>
      </c>
      <c r="D186" s="20"/>
      <c r="E186" s="20" t="s">
        <v>561</v>
      </c>
      <c r="F186" s="20" t="s">
        <v>14</v>
      </c>
      <c r="G186" s="20">
        <v>1</v>
      </c>
    </row>
    <row r="187" spans="1:7" ht="30" hidden="1" outlineLevel="5" collapsed="1">
      <c r="A187" s="20" t="s">
        <v>11</v>
      </c>
      <c r="B187" s="20" t="s">
        <v>82</v>
      </c>
      <c r="C187" s="20" t="s">
        <v>47</v>
      </c>
      <c r="D187" s="20"/>
      <c r="E187" s="20" t="s">
        <v>562</v>
      </c>
      <c r="F187" s="20" t="s">
        <v>14</v>
      </c>
      <c r="G187" s="20">
        <v>1</v>
      </c>
    </row>
    <row r="188" spans="1:7" hidden="1" outlineLevel="5" collapsed="1">
      <c r="A188" s="20" t="s">
        <v>11</v>
      </c>
      <c r="B188" s="20" t="s">
        <v>82</v>
      </c>
      <c r="C188" s="20" t="s">
        <v>47</v>
      </c>
      <c r="D188" s="20"/>
      <c r="E188" s="20" t="s">
        <v>548</v>
      </c>
      <c r="F188" s="20" t="s">
        <v>14</v>
      </c>
      <c r="G188" s="20"/>
    </row>
    <row r="189" spans="1:7" ht="30" hidden="1" outlineLevel="5" collapsed="1">
      <c r="A189" s="20" t="s">
        <v>14</v>
      </c>
      <c r="B189" s="20" t="s">
        <v>82</v>
      </c>
      <c r="C189" s="20" t="s">
        <v>47</v>
      </c>
      <c r="D189" s="20" t="s">
        <v>399</v>
      </c>
      <c r="E189" s="20" t="s">
        <v>563</v>
      </c>
      <c r="F189" s="20" t="s">
        <v>14</v>
      </c>
      <c r="G189" s="20" t="e">
        <f>(SQRT((G190*G186)^2+(G188*G187)^2))/G185</f>
        <v>#VALUE!</v>
      </c>
    </row>
    <row r="190" spans="1:7" ht="30" hidden="1" outlineLevel="5" collapsed="1">
      <c r="A190" s="20" t="s">
        <v>11</v>
      </c>
      <c r="B190" s="20" t="s">
        <v>82</v>
      </c>
      <c r="C190" s="20" t="s">
        <v>47</v>
      </c>
      <c r="D190" s="20"/>
      <c r="E190" s="20" t="s">
        <v>564</v>
      </c>
      <c r="F190" s="20" t="s">
        <v>14</v>
      </c>
      <c r="G190" s="20">
        <v>1</v>
      </c>
    </row>
    <row r="191" spans="1:7" outlineLevel="4" collapsed="1">
      <c r="A191" s="22" t="s">
        <v>14</v>
      </c>
      <c r="B191" s="23" t="s">
        <v>565</v>
      </c>
      <c r="C191" s="22"/>
      <c r="D191" s="22" t="b">
        <f>EXACT(G183,"Estimation by modelling of tree growth and stand development")</f>
        <v>0</v>
      </c>
      <c r="E191" s="22" t="s">
        <v>445</v>
      </c>
      <c r="F191" s="22" t="s">
        <v>14</v>
      </c>
      <c r="G191" s="22"/>
    </row>
    <row r="192" spans="1:7" ht="60" hidden="1" outlineLevel="5">
      <c r="A192" s="20" t="s">
        <v>14</v>
      </c>
      <c r="B192" s="20" t="s">
        <v>44</v>
      </c>
      <c r="C192" s="20"/>
      <c r="D192" s="20"/>
      <c r="E192" s="20" t="s">
        <v>455</v>
      </c>
      <c r="F192" s="20" t="s">
        <v>14</v>
      </c>
      <c r="G192" s="20"/>
    </row>
    <row r="193" spans="1:7" ht="75" hidden="1" outlineLevel="5">
      <c r="A193" s="20" t="s">
        <v>14</v>
      </c>
      <c r="B193" s="20" t="s">
        <v>44</v>
      </c>
      <c r="C193" s="20"/>
      <c r="D193" s="20"/>
      <c r="E193" s="20" t="s">
        <v>456</v>
      </c>
      <c r="F193" s="20" t="s">
        <v>14</v>
      </c>
      <c r="G193" s="20"/>
    </row>
    <row r="194" spans="1:7" ht="60" hidden="1" outlineLevel="5">
      <c r="A194" s="20" t="s">
        <v>14</v>
      </c>
      <c r="B194" s="20" t="s">
        <v>44</v>
      </c>
      <c r="C194" s="20"/>
      <c r="D194" s="20"/>
      <c r="E194" s="20" t="s">
        <v>457</v>
      </c>
      <c r="F194" s="20" t="s">
        <v>14</v>
      </c>
      <c r="G194" s="20"/>
    </row>
    <row r="195" spans="1:7" ht="60" hidden="1" outlineLevel="5">
      <c r="A195" s="20" t="s">
        <v>14</v>
      </c>
      <c r="B195" s="20" t="s">
        <v>44</v>
      </c>
      <c r="C195" s="20"/>
      <c r="D195" s="20"/>
      <c r="E195" s="20" t="s">
        <v>458</v>
      </c>
      <c r="F195" s="20" t="s">
        <v>14</v>
      </c>
      <c r="G195" s="20"/>
    </row>
    <row r="196" spans="1:7" ht="135" hidden="1" outlineLevel="5">
      <c r="A196" s="20" t="s">
        <v>11</v>
      </c>
      <c r="B196" s="20" t="s">
        <v>17</v>
      </c>
      <c r="C196" s="27" t="s">
        <v>566</v>
      </c>
      <c r="D196" s="20"/>
      <c r="E196" s="20" t="s">
        <v>460</v>
      </c>
      <c r="F196" s="20" t="s">
        <v>14</v>
      </c>
      <c r="G196" s="20" t="s">
        <v>11</v>
      </c>
    </row>
    <row r="197" spans="1:7" ht="30" hidden="1" outlineLevel="5">
      <c r="A197" s="20" t="s">
        <v>14</v>
      </c>
      <c r="B197" s="20" t="s">
        <v>44</v>
      </c>
      <c r="C197" s="20"/>
      <c r="D197" s="20" t="b">
        <f>EXACT(G196,"No")</f>
        <v>0</v>
      </c>
      <c r="E197" s="20" t="s">
        <v>461</v>
      </c>
      <c r="F197" s="20" t="s">
        <v>14</v>
      </c>
      <c r="G197" s="20"/>
    </row>
    <row r="198" spans="1:7" hidden="1" outlineLevel="5">
      <c r="A198" s="22" t="s">
        <v>14</v>
      </c>
      <c r="B198" s="23" t="s">
        <v>567</v>
      </c>
      <c r="C198" s="22"/>
      <c r="D198" s="22" t="b">
        <f>EXACT(G196,"Yes")</f>
        <v>1</v>
      </c>
      <c r="E198" s="22" t="s">
        <v>568</v>
      </c>
      <c r="F198" s="22" t="s">
        <v>14</v>
      </c>
      <c r="G198" s="22"/>
    </row>
    <row r="199" spans="1:7" ht="30" hidden="1" outlineLevel="6">
      <c r="A199" s="20" t="s">
        <v>11</v>
      </c>
      <c r="B199" s="20" t="s">
        <v>82</v>
      </c>
      <c r="C199" s="20"/>
      <c r="D199" s="20"/>
      <c r="E199" s="20" t="s">
        <v>464</v>
      </c>
      <c r="F199" s="20" t="s">
        <v>14</v>
      </c>
      <c r="G199" s="20"/>
    </row>
    <row r="200" spans="1:7" hidden="1" outlineLevel="6">
      <c r="A200" s="20" t="s">
        <v>11</v>
      </c>
      <c r="B200" s="20" t="s">
        <v>82</v>
      </c>
      <c r="C200" s="20"/>
      <c r="D200" s="20"/>
      <c r="E200" s="20" t="s">
        <v>465</v>
      </c>
      <c r="F200" s="20" t="s">
        <v>14</v>
      </c>
      <c r="G200" s="20"/>
    </row>
    <row r="201" spans="1:7" hidden="1" outlineLevel="6">
      <c r="A201" s="20" t="s">
        <v>11</v>
      </c>
      <c r="B201" s="20" t="s">
        <v>82</v>
      </c>
      <c r="C201" s="20"/>
      <c r="D201" s="20"/>
      <c r="E201" s="20" t="s">
        <v>466</v>
      </c>
      <c r="F201" s="20" t="s">
        <v>14</v>
      </c>
      <c r="G201" s="20"/>
    </row>
    <row r="202" spans="1:7" outlineLevel="4" collapsed="1">
      <c r="A202" s="22" t="s">
        <v>14</v>
      </c>
      <c r="B202" s="23" t="s">
        <v>475</v>
      </c>
      <c r="C202" s="22" t="s">
        <v>47</v>
      </c>
      <c r="D202" s="22" t="b">
        <f>EXACT(G183,"Measurement of sample plots")</f>
        <v>0</v>
      </c>
      <c r="E202" s="22" t="s">
        <v>475</v>
      </c>
      <c r="F202" s="22" t="s">
        <v>14</v>
      </c>
      <c r="G202" s="22" t="s">
        <v>47</v>
      </c>
    </row>
    <row r="203" spans="1:7" ht="30" hidden="1" outlineLevel="5" collapsed="1">
      <c r="A203" s="20" t="s">
        <v>11</v>
      </c>
      <c r="B203" s="20" t="s">
        <v>17</v>
      </c>
      <c r="C203" s="21" t="s">
        <v>476</v>
      </c>
      <c r="D203" s="20"/>
      <c r="E203" s="20" t="s">
        <v>477</v>
      </c>
      <c r="F203" s="20" t="s">
        <v>14</v>
      </c>
      <c r="G203" s="20" t="s">
        <v>478</v>
      </c>
    </row>
    <row r="204" spans="1:7" hidden="1" outlineLevel="5" collapsed="1">
      <c r="A204" s="22" t="s">
        <v>14</v>
      </c>
      <c r="B204" s="23" t="s">
        <v>478</v>
      </c>
      <c r="C204" s="22" t="s">
        <v>47</v>
      </c>
      <c r="D204" s="22" t="b">
        <f>EXACT(G203,"Stratified random sampling")</f>
        <v>1</v>
      </c>
      <c r="E204" s="22" t="s">
        <v>478</v>
      </c>
      <c r="F204" s="22" t="s">
        <v>14</v>
      </c>
      <c r="G204" s="22" t="s">
        <v>47</v>
      </c>
    </row>
    <row r="205" spans="1:7" ht="30" hidden="1" outlineLevel="6" collapsed="1">
      <c r="A205" s="20" t="s">
        <v>14</v>
      </c>
      <c r="B205" s="20" t="s">
        <v>82</v>
      </c>
      <c r="C205" s="20" t="s">
        <v>47</v>
      </c>
      <c r="D205" s="20" t="s">
        <v>399</v>
      </c>
      <c r="E205" s="20" t="s">
        <v>479</v>
      </c>
      <c r="F205" s="20" t="s">
        <v>14</v>
      </c>
      <c r="G205" s="20">
        <f>44/12*G206*G207</f>
        <v>3.6666666666666665</v>
      </c>
    </row>
    <row r="206" spans="1:7" hidden="1" outlineLevel="6" collapsed="1">
      <c r="A206" s="20" t="s">
        <v>11</v>
      </c>
      <c r="B206" s="20" t="s">
        <v>82</v>
      </c>
      <c r="C206" s="20" t="s">
        <v>47</v>
      </c>
      <c r="D206" s="20"/>
      <c r="E206" s="20" t="s">
        <v>405</v>
      </c>
      <c r="F206" s="20" t="s">
        <v>14</v>
      </c>
      <c r="G206" s="20">
        <v>1</v>
      </c>
    </row>
    <row r="207" spans="1:7" ht="30" hidden="1" outlineLevel="6" collapsed="1">
      <c r="A207" s="20" t="s">
        <v>14</v>
      </c>
      <c r="B207" s="20" t="s">
        <v>82</v>
      </c>
      <c r="C207" s="20" t="s">
        <v>47</v>
      </c>
      <c r="D207" s="20" t="s">
        <v>399</v>
      </c>
      <c r="E207" s="20" t="s">
        <v>480</v>
      </c>
      <c r="F207" s="20" t="s">
        <v>14</v>
      </c>
      <c r="G207" s="20">
        <f>G208*G209</f>
        <v>1</v>
      </c>
    </row>
    <row r="208" spans="1:7" ht="30" hidden="1" outlineLevel="6" collapsed="1">
      <c r="A208" s="20" t="s">
        <v>11</v>
      </c>
      <c r="B208" s="20" t="s">
        <v>82</v>
      </c>
      <c r="C208" s="20" t="s">
        <v>47</v>
      </c>
      <c r="D208" s="20"/>
      <c r="E208" s="20" t="s">
        <v>481</v>
      </c>
      <c r="F208" s="20" t="s">
        <v>14</v>
      </c>
      <c r="G208" s="20">
        <v>1</v>
      </c>
    </row>
    <row r="209" spans="1:12" ht="30" hidden="1" outlineLevel="6" collapsed="1">
      <c r="A209" s="20" t="s">
        <v>14</v>
      </c>
      <c r="B209" s="20" t="s">
        <v>82</v>
      </c>
      <c r="C209" s="20" t="s">
        <v>47</v>
      </c>
      <c r="D209" s="20" t="s">
        <v>399</v>
      </c>
      <c r="E209" s="20" t="s">
        <v>482</v>
      </c>
      <c r="F209" s="20" t="s">
        <v>14</v>
      </c>
      <c r="G209" s="20">
        <f>SUM((G214*G213))</f>
        <v>1</v>
      </c>
    </row>
    <row r="210" spans="1:12" hidden="1" outlineLevel="6" collapsed="1">
      <c r="A210" s="20" t="s">
        <v>11</v>
      </c>
      <c r="B210" s="20" t="s">
        <v>82</v>
      </c>
      <c r="C210" s="20" t="s">
        <v>47</v>
      </c>
      <c r="D210" s="20"/>
      <c r="E210" s="20" t="s">
        <v>569</v>
      </c>
      <c r="F210" s="20" t="s">
        <v>14</v>
      </c>
      <c r="G210" s="20">
        <v>1</v>
      </c>
    </row>
    <row r="211" spans="1:12" ht="30" hidden="1" outlineLevel="6" collapsed="1">
      <c r="A211" s="20" t="s">
        <v>11</v>
      </c>
      <c r="B211" s="20" t="s">
        <v>82</v>
      </c>
      <c r="C211" s="20" t="s">
        <v>47</v>
      </c>
      <c r="D211" s="20"/>
      <c r="E211" s="20" t="s">
        <v>484</v>
      </c>
      <c r="F211" s="20" t="s">
        <v>14</v>
      </c>
      <c r="G211" s="20">
        <v>1</v>
      </c>
    </row>
    <row r="212" spans="1:12" hidden="1" outlineLevel="6">
      <c r="A212" s="22" t="s">
        <v>11</v>
      </c>
      <c r="B212" s="23" t="s">
        <v>485</v>
      </c>
      <c r="C212" s="22" t="s">
        <v>47</v>
      </c>
      <c r="D212" s="22"/>
      <c r="E212" s="22" t="s">
        <v>486</v>
      </c>
      <c r="F212" s="22" t="s">
        <v>11</v>
      </c>
      <c r="G212" s="22" t="s">
        <v>47</v>
      </c>
    </row>
    <row r="213" spans="1:12" s="25" customFormat="1" ht="30" hidden="1" outlineLevel="7" collapsed="1">
      <c r="A213" s="24" t="s">
        <v>14</v>
      </c>
      <c r="B213" s="24" t="s">
        <v>82</v>
      </c>
      <c r="C213" s="24" t="s">
        <v>47</v>
      </c>
      <c r="D213" s="24" t="s">
        <v>399</v>
      </c>
      <c r="E213" s="24" t="s">
        <v>487</v>
      </c>
      <c r="F213" s="24" t="s">
        <v>14</v>
      </c>
      <c r="G213" s="24">
        <f>(SUM(G218))/G216</f>
        <v>1</v>
      </c>
      <c r="H213"/>
      <c r="I213"/>
      <c r="J213"/>
      <c r="K213"/>
      <c r="L213"/>
    </row>
    <row r="214" spans="1:12" ht="30" hidden="1" outlineLevel="7" collapsed="1">
      <c r="A214" s="20" t="s">
        <v>11</v>
      </c>
      <c r="B214" s="20" t="s">
        <v>82</v>
      </c>
      <c r="C214" s="20" t="s">
        <v>47</v>
      </c>
      <c r="D214" s="20"/>
      <c r="E214" s="20" t="s">
        <v>488</v>
      </c>
      <c r="F214" s="20" t="s">
        <v>14</v>
      </c>
      <c r="G214" s="20">
        <v>1</v>
      </c>
    </row>
    <row r="215" spans="1:12" ht="30" hidden="1" outlineLevel="7" collapsed="1">
      <c r="A215" s="20" t="s">
        <v>11</v>
      </c>
      <c r="B215" s="20" t="s">
        <v>82</v>
      </c>
      <c r="C215" s="20" t="s">
        <v>47</v>
      </c>
      <c r="D215" s="20"/>
      <c r="E215" s="20" t="s">
        <v>489</v>
      </c>
      <c r="F215" s="20" t="s">
        <v>14</v>
      </c>
      <c r="G215" s="20">
        <v>1</v>
      </c>
    </row>
    <row r="216" spans="1:12" hidden="1" outlineLevel="7" collapsed="1">
      <c r="A216" s="20" t="s">
        <v>11</v>
      </c>
      <c r="B216" s="20" t="s">
        <v>82</v>
      </c>
      <c r="C216" s="20" t="s">
        <v>47</v>
      </c>
      <c r="D216" s="20"/>
      <c r="E216" s="20" t="s">
        <v>490</v>
      </c>
      <c r="F216" s="20" t="s">
        <v>14</v>
      </c>
      <c r="G216" s="20">
        <v>1</v>
      </c>
    </row>
    <row r="217" spans="1:12" hidden="1" outlineLevel="6">
      <c r="A217" s="22" t="s">
        <v>11</v>
      </c>
      <c r="B217" s="23" t="s">
        <v>491</v>
      </c>
      <c r="C217" s="22"/>
      <c r="D217" s="22"/>
      <c r="E217" s="22" t="s">
        <v>492</v>
      </c>
      <c r="F217" s="22" t="s">
        <v>11</v>
      </c>
      <c r="G217" s="22"/>
    </row>
    <row r="218" spans="1:12" s="25" customFormat="1" ht="30" hidden="1" outlineLevel="7" collapsed="1">
      <c r="A218" s="24" t="s">
        <v>11</v>
      </c>
      <c r="B218" s="24" t="s">
        <v>82</v>
      </c>
      <c r="C218" s="24" t="s">
        <v>47</v>
      </c>
      <c r="D218" s="24"/>
      <c r="E218" s="24" t="s">
        <v>493</v>
      </c>
      <c r="F218" s="24" t="s">
        <v>14</v>
      </c>
      <c r="G218" s="24">
        <v>1</v>
      </c>
      <c r="H218"/>
      <c r="I218"/>
      <c r="J218"/>
      <c r="K218"/>
      <c r="L218"/>
    </row>
    <row r="219" spans="1:12" hidden="1" outlineLevel="5">
      <c r="A219" s="22" t="s">
        <v>14</v>
      </c>
      <c r="B219" s="23" t="s">
        <v>494</v>
      </c>
      <c r="C219" s="22" t="s">
        <v>47</v>
      </c>
      <c r="D219" s="22" t="b">
        <f>NOT(EXACT(G203,"Stratified random sampling"))</f>
        <v>0</v>
      </c>
      <c r="E219" s="22" t="s">
        <v>494</v>
      </c>
      <c r="F219" s="22" t="s">
        <v>14</v>
      </c>
      <c r="G219" s="22" t="s">
        <v>47</v>
      </c>
    </row>
    <row r="220" spans="1:12" ht="30" hidden="1" outlineLevel="6" collapsed="1">
      <c r="A220" s="20" t="s">
        <v>11</v>
      </c>
      <c r="B220" s="20" t="s">
        <v>82</v>
      </c>
      <c r="C220" s="20" t="s">
        <v>47</v>
      </c>
      <c r="D220" s="20"/>
      <c r="E220" s="20" t="s">
        <v>479</v>
      </c>
      <c r="F220" s="20" t="s">
        <v>14</v>
      </c>
      <c r="G220" s="20">
        <v>1</v>
      </c>
    </row>
    <row r="221" spans="1:12" hidden="1" outlineLevel="6" collapsed="1">
      <c r="A221" s="20" t="s">
        <v>11</v>
      </c>
      <c r="B221" s="20" t="s">
        <v>82</v>
      </c>
      <c r="C221" s="20" t="s">
        <v>47</v>
      </c>
      <c r="D221" s="20"/>
      <c r="E221" s="20" t="s">
        <v>405</v>
      </c>
      <c r="F221" s="20" t="s">
        <v>14</v>
      </c>
      <c r="G221" s="20">
        <v>1</v>
      </c>
    </row>
    <row r="222" spans="1:12" ht="30" hidden="1" outlineLevel="6" collapsed="1">
      <c r="A222" s="20" t="s">
        <v>11</v>
      </c>
      <c r="B222" s="20" t="s">
        <v>82</v>
      </c>
      <c r="C222" s="20" t="s">
        <v>47</v>
      </c>
      <c r="D222" s="20"/>
      <c r="E222" s="20" t="s">
        <v>480</v>
      </c>
      <c r="F222" s="20" t="s">
        <v>14</v>
      </c>
      <c r="G222" s="20">
        <v>1</v>
      </c>
    </row>
    <row r="223" spans="1:12" ht="30" hidden="1" outlineLevel="6" collapsed="1">
      <c r="A223" s="20" t="s">
        <v>11</v>
      </c>
      <c r="B223" s="20" t="s">
        <v>82</v>
      </c>
      <c r="C223" s="20" t="s">
        <v>47</v>
      </c>
      <c r="D223" s="20"/>
      <c r="E223" s="20" t="s">
        <v>481</v>
      </c>
      <c r="F223" s="20" t="s">
        <v>14</v>
      </c>
      <c r="G223" s="20">
        <v>1</v>
      </c>
    </row>
    <row r="224" spans="1:12" ht="30" hidden="1" outlineLevel="6" collapsed="1">
      <c r="A224" s="20" t="s">
        <v>11</v>
      </c>
      <c r="B224" s="20" t="s">
        <v>82</v>
      </c>
      <c r="C224" s="20" t="s">
        <v>47</v>
      </c>
      <c r="D224" s="20"/>
      <c r="E224" s="20" t="s">
        <v>482</v>
      </c>
      <c r="F224" s="20" t="s">
        <v>14</v>
      </c>
      <c r="G224" s="20">
        <v>1</v>
      </c>
    </row>
    <row r="225" spans="1:12" hidden="1" outlineLevel="6" collapsed="1">
      <c r="A225" s="20" t="s">
        <v>11</v>
      </c>
      <c r="B225" s="20" t="s">
        <v>82</v>
      </c>
      <c r="C225" s="20" t="s">
        <v>47</v>
      </c>
      <c r="D225" s="20"/>
      <c r="E225" s="20" t="s">
        <v>569</v>
      </c>
      <c r="F225" s="20" t="s">
        <v>14</v>
      </c>
      <c r="G225" s="20">
        <v>1</v>
      </c>
    </row>
    <row r="226" spans="1:12" ht="30" hidden="1" outlineLevel="6" collapsed="1">
      <c r="A226" s="20" t="s">
        <v>11</v>
      </c>
      <c r="B226" s="20" t="s">
        <v>82</v>
      </c>
      <c r="C226" s="20" t="s">
        <v>47</v>
      </c>
      <c r="D226" s="20"/>
      <c r="E226" s="20" t="s">
        <v>570</v>
      </c>
      <c r="F226" s="20" t="s">
        <v>14</v>
      </c>
      <c r="G226" s="20">
        <v>1</v>
      </c>
    </row>
    <row r="227" spans="1:12" hidden="1" outlineLevel="6">
      <c r="A227" s="22" t="s">
        <v>11</v>
      </c>
      <c r="B227" s="23" t="s">
        <v>495</v>
      </c>
      <c r="C227" s="22" t="s">
        <v>47</v>
      </c>
      <c r="D227" s="22"/>
      <c r="E227" s="22" t="s">
        <v>486</v>
      </c>
      <c r="F227" s="22" t="s">
        <v>11</v>
      </c>
      <c r="G227" s="22" t="s">
        <v>47</v>
      </c>
    </row>
    <row r="228" spans="1:12" ht="30" hidden="1" outlineLevel="7" collapsed="1">
      <c r="A228" s="20" t="s">
        <v>14</v>
      </c>
      <c r="B228" s="20" t="s">
        <v>82</v>
      </c>
      <c r="C228" s="20" t="s">
        <v>47</v>
      </c>
      <c r="D228" s="20" t="s">
        <v>399</v>
      </c>
      <c r="E228" s="20" t="s">
        <v>487</v>
      </c>
      <c r="F228" s="20" t="s">
        <v>14</v>
      </c>
      <c r="G228" s="20">
        <f>(SUM(G237)/G229)+G230*(G231-G232)</f>
        <v>1</v>
      </c>
    </row>
    <row r="229" spans="1:12" hidden="1" outlineLevel="7" collapsed="1">
      <c r="A229" s="20" t="s">
        <v>11</v>
      </c>
      <c r="B229" s="20" t="s">
        <v>82</v>
      </c>
      <c r="C229" s="20" t="s">
        <v>47</v>
      </c>
      <c r="D229" s="20"/>
      <c r="E229" s="20" t="s">
        <v>496</v>
      </c>
      <c r="F229" s="20" t="s">
        <v>14</v>
      </c>
      <c r="G229" s="20">
        <v>1</v>
      </c>
    </row>
    <row r="230" spans="1:12" ht="30" hidden="1" outlineLevel="7" collapsed="1">
      <c r="A230" s="20" t="s">
        <v>11</v>
      </c>
      <c r="B230" s="20" t="s">
        <v>82</v>
      </c>
      <c r="C230" s="20" t="s">
        <v>47</v>
      </c>
      <c r="D230" s="20"/>
      <c r="E230" s="20" t="s">
        <v>497</v>
      </c>
      <c r="F230" s="20" t="s">
        <v>14</v>
      </c>
      <c r="G230" s="20">
        <v>1</v>
      </c>
    </row>
    <row r="231" spans="1:12" ht="30" hidden="1" outlineLevel="7" collapsed="1">
      <c r="A231" s="20" t="s">
        <v>11</v>
      </c>
      <c r="B231" s="20" t="s">
        <v>82</v>
      </c>
      <c r="C231" s="20" t="s">
        <v>47</v>
      </c>
      <c r="D231" s="20"/>
      <c r="E231" s="20" t="s">
        <v>498</v>
      </c>
      <c r="F231" s="20" t="s">
        <v>14</v>
      </c>
      <c r="G231" s="20">
        <v>1</v>
      </c>
    </row>
    <row r="232" spans="1:12" ht="30" hidden="1" outlineLevel="7" collapsed="1">
      <c r="A232" s="20" t="s">
        <v>11</v>
      </c>
      <c r="B232" s="20" t="s">
        <v>82</v>
      </c>
      <c r="C232" s="20" t="s">
        <v>47</v>
      </c>
      <c r="D232" s="20"/>
      <c r="E232" s="20" t="s">
        <v>499</v>
      </c>
      <c r="F232" s="20" t="s">
        <v>14</v>
      </c>
      <c r="G232" s="20">
        <v>1</v>
      </c>
    </row>
    <row r="233" spans="1:12" ht="30" hidden="1" outlineLevel="7" collapsed="1">
      <c r="A233" s="20" t="s">
        <v>11</v>
      </c>
      <c r="B233" s="20" t="s">
        <v>82</v>
      </c>
      <c r="C233" s="20" t="s">
        <v>47</v>
      </c>
      <c r="D233" s="20"/>
      <c r="E233" s="20" t="s">
        <v>500</v>
      </c>
      <c r="F233" s="20" t="s">
        <v>14</v>
      </c>
      <c r="G233" s="20">
        <v>1</v>
      </c>
    </row>
    <row r="234" spans="1:12" ht="30" hidden="1" outlineLevel="7" collapsed="1">
      <c r="A234" s="20" t="s">
        <v>11</v>
      </c>
      <c r="B234" s="20" t="s">
        <v>82</v>
      </c>
      <c r="C234" s="20" t="s">
        <v>47</v>
      </c>
      <c r="D234" s="20"/>
      <c r="E234" s="20" t="s">
        <v>501</v>
      </c>
      <c r="F234" s="20" t="s">
        <v>14</v>
      </c>
      <c r="G234" s="20">
        <v>1</v>
      </c>
    </row>
    <row r="235" spans="1:12" ht="45" hidden="1" outlineLevel="7" collapsed="1">
      <c r="A235" s="20" t="s">
        <v>11</v>
      </c>
      <c r="B235" s="20" t="s">
        <v>82</v>
      </c>
      <c r="C235" s="20" t="s">
        <v>47</v>
      </c>
      <c r="D235" s="20"/>
      <c r="E235" s="20" t="s">
        <v>502</v>
      </c>
      <c r="F235" s="20" t="s">
        <v>14</v>
      </c>
      <c r="G235" s="20">
        <v>1</v>
      </c>
    </row>
    <row r="236" spans="1:12" hidden="1" outlineLevel="6">
      <c r="A236" s="22" t="s">
        <v>11</v>
      </c>
      <c r="B236" s="23" t="s">
        <v>491</v>
      </c>
      <c r="C236" s="22"/>
      <c r="D236" s="22"/>
      <c r="E236" s="22" t="s">
        <v>492</v>
      </c>
      <c r="F236" s="22" t="s">
        <v>11</v>
      </c>
      <c r="G236" s="22"/>
    </row>
    <row r="237" spans="1:12" s="25" customFormat="1" ht="30" hidden="1" outlineLevel="7" collapsed="1">
      <c r="A237" s="24" t="s">
        <v>11</v>
      </c>
      <c r="B237" s="24" t="s">
        <v>82</v>
      </c>
      <c r="C237" s="24" t="s">
        <v>47</v>
      </c>
      <c r="D237" s="24"/>
      <c r="E237" s="24" t="s">
        <v>493</v>
      </c>
      <c r="F237" s="24" t="s">
        <v>14</v>
      </c>
      <c r="G237" s="24">
        <v>1</v>
      </c>
      <c r="H237"/>
      <c r="I237"/>
      <c r="J237"/>
      <c r="K237"/>
      <c r="L237"/>
    </row>
    <row r="238" spans="1:12" hidden="1" outlineLevel="7" collapsed="1">
      <c r="A238" s="20" t="s">
        <v>11</v>
      </c>
      <c r="B238" s="20" t="s">
        <v>503</v>
      </c>
      <c r="C238" s="20" t="s">
        <v>47</v>
      </c>
      <c r="D238" s="20"/>
      <c r="E238" s="4" t="s">
        <v>504</v>
      </c>
      <c r="F238" s="20" t="s">
        <v>14</v>
      </c>
      <c r="G238" s="20" t="s">
        <v>505</v>
      </c>
    </row>
    <row r="239" spans="1:12" ht="29.25" customHeight="1" outlineLevel="3">
      <c r="A239" s="18" t="s">
        <v>14</v>
      </c>
      <c r="B239" s="18" t="s">
        <v>82</v>
      </c>
      <c r="C239" s="10"/>
      <c r="D239" s="18" t="s">
        <v>399</v>
      </c>
      <c r="E239" s="18" t="s">
        <v>571</v>
      </c>
      <c r="F239" s="18" t="s">
        <v>14</v>
      </c>
      <c r="G239" s="18" t="e">
        <f>IF(G183="Updating the previous stock by independent measurement of change",G185,IF(G183="Estimation by modelling of tree growth and stand development",G199,IF(AND(G183="Measurement of sample plots",G203="Stratified random sampling"),G205,IF(AND(G183="Measurement of sample plots",G203="Double sampling"),G220))))</f>
        <v>#VALUE!</v>
      </c>
    </row>
    <row r="240" spans="1:12" ht="29.25" customHeight="1" outlineLevel="3">
      <c r="A240" s="18" t="s">
        <v>14</v>
      </c>
      <c r="B240" s="18" t="s">
        <v>82</v>
      </c>
      <c r="C240" s="10"/>
      <c r="D240" s="18" t="s">
        <v>399</v>
      </c>
      <c r="E240" s="18" t="s">
        <v>572</v>
      </c>
      <c r="F240" s="18" t="s">
        <v>14</v>
      </c>
      <c r="G240" s="18">
        <f>IF(AND(G148="Estimating change in carbon stock in trees between two points in time",G150="no-decrease"),0,IF(AND(G148="Estimating change in carbon stock in trees between two points in time",G150="Direct estimation of change by re-measurement of sample plots"),G155,IF(AND(G148="Estimating change in carbon stock in trees between two points in time",G150="Difference of two independent stock estimations"),G175,IF(AND(G148="Estimating change in carbon stock in trees in a year"),G178))))</f>
        <v>0</v>
      </c>
    </row>
    <row r="241" spans="1:7" ht="29.25" customHeight="1" outlineLevel="3">
      <c r="A241" s="18" t="s">
        <v>11</v>
      </c>
      <c r="B241" s="18" t="s">
        <v>17</v>
      </c>
      <c r="C241" s="10" t="s">
        <v>573</v>
      </c>
      <c r="D241" s="18"/>
      <c r="E241" s="3" t="s">
        <v>509</v>
      </c>
      <c r="F241" s="3" t="s">
        <v>14</v>
      </c>
      <c r="G241" s="18" t="s">
        <v>523</v>
      </c>
    </row>
    <row r="242" spans="1:7" outlineLevel="3">
      <c r="A242" s="18" t="s">
        <v>11</v>
      </c>
      <c r="B242" s="10" t="s">
        <v>574</v>
      </c>
      <c r="C242" s="18" t="s">
        <v>47</v>
      </c>
      <c r="D242" s="18" t="b">
        <f>EXACT(G241,"Estimating change in carbon stock in shrubs between two points in time")</f>
        <v>0</v>
      </c>
      <c r="E242" s="18" t="s">
        <v>512</v>
      </c>
      <c r="F242" s="18" t="s">
        <v>14</v>
      </c>
      <c r="G242" s="18" t="s">
        <v>47</v>
      </c>
    </row>
    <row r="243" spans="1:7" ht="29.25" customHeight="1" outlineLevel="4">
      <c r="A243" s="18" t="s">
        <v>11</v>
      </c>
      <c r="B243" s="18" t="s">
        <v>17</v>
      </c>
      <c r="C243" s="10" t="s">
        <v>575</v>
      </c>
      <c r="D243" s="18"/>
      <c r="E243" s="18" t="s">
        <v>514</v>
      </c>
      <c r="F243" s="18" t="s">
        <v>14</v>
      </c>
      <c r="G243" s="18" t="s">
        <v>14</v>
      </c>
    </row>
    <row r="244" spans="1:7" outlineLevel="4">
      <c r="A244" s="18" t="s">
        <v>14</v>
      </c>
      <c r="B244" s="10" t="s">
        <v>515</v>
      </c>
      <c r="C244" s="19"/>
      <c r="D244" s="18" t="b">
        <f>EXACT(G243,"Yes")</f>
        <v>0</v>
      </c>
      <c r="E244" s="18" t="s">
        <v>393</v>
      </c>
      <c r="F244" s="18" t="s">
        <v>14</v>
      </c>
      <c r="G244" s="18"/>
    </row>
    <row r="245" spans="1:7" ht="165" outlineLevel="5" collapsed="1">
      <c r="A245" s="20" t="s">
        <v>14</v>
      </c>
      <c r="B245" s="20" t="s">
        <v>44</v>
      </c>
      <c r="C245" s="20"/>
      <c r="D245" s="20"/>
      <c r="E245" s="20" t="s">
        <v>516</v>
      </c>
      <c r="F245" s="4" t="s">
        <v>14</v>
      </c>
      <c r="G245" s="20"/>
    </row>
    <row r="246" spans="1:7" ht="60" outlineLevel="5" collapsed="1">
      <c r="A246" s="20" t="s">
        <v>11</v>
      </c>
      <c r="B246" s="20" t="s">
        <v>17</v>
      </c>
      <c r="C246" s="21" t="s">
        <v>517</v>
      </c>
      <c r="D246" s="20"/>
      <c r="E246" s="4" t="s">
        <v>518</v>
      </c>
      <c r="F246" s="4" t="s">
        <v>14</v>
      </c>
      <c r="G246" s="20"/>
    </row>
    <row r="247" spans="1:7" ht="30" outlineLevel="5" collapsed="1">
      <c r="A247" s="20" t="s">
        <v>14</v>
      </c>
      <c r="B247" s="20" t="s">
        <v>82</v>
      </c>
      <c r="C247" s="20" t="s">
        <v>47</v>
      </c>
      <c r="D247" s="20" t="s">
        <v>399</v>
      </c>
      <c r="E247" s="20" t="s">
        <v>576</v>
      </c>
      <c r="F247" s="20" t="s">
        <v>14</v>
      </c>
      <c r="G247" s="20" t="e">
        <f>IF(AND(#REF!="No"),E248-E249,0)</f>
        <v>#REF!</v>
      </c>
    </row>
    <row r="248" spans="1:7" ht="30" outlineLevel="5" collapsed="1">
      <c r="A248" s="20" t="s">
        <v>11</v>
      </c>
      <c r="B248" s="20" t="s">
        <v>82</v>
      </c>
      <c r="C248" s="20" t="s">
        <v>47</v>
      </c>
      <c r="D248" s="20"/>
      <c r="E248" s="20" t="s">
        <v>577</v>
      </c>
      <c r="F248" s="20" t="s">
        <v>14</v>
      </c>
      <c r="G248" s="20">
        <v>1</v>
      </c>
    </row>
    <row r="249" spans="1:7" ht="30" outlineLevel="5" collapsed="1">
      <c r="A249" s="20" t="s">
        <v>11</v>
      </c>
      <c r="B249" s="20" t="s">
        <v>82</v>
      </c>
      <c r="C249" s="20" t="s">
        <v>47</v>
      </c>
      <c r="D249" s="20"/>
      <c r="E249" s="20" t="s">
        <v>578</v>
      </c>
      <c r="F249" s="20" t="s">
        <v>14</v>
      </c>
      <c r="G249" s="20">
        <v>1</v>
      </c>
    </row>
    <row r="250" spans="1:7" outlineLevel="3">
      <c r="A250" s="18" t="s">
        <v>11</v>
      </c>
      <c r="B250" s="10" t="s">
        <v>579</v>
      </c>
      <c r="C250" s="18" t="s">
        <v>47</v>
      </c>
      <c r="D250" s="18" t="b">
        <f>EXACT(G241,"Estimating change in carbon stock in shrubs in a year")</f>
        <v>1</v>
      </c>
      <c r="E250" s="18" t="s">
        <v>523</v>
      </c>
      <c r="F250" s="18" t="s">
        <v>14</v>
      </c>
      <c r="G250" s="18" t="s">
        <v>47</v>
      </c>
    </row>
    <row r="251" spans="1:7" ht="30" outlineLevel="4" collapsed="1">
      <c r="A251" s="20" t="s">
        <v>14</v>
      </c>
      <c r="B251" s="20" t="s">
        <v>82</v>
      </c>
      <c r="C251" s="20" t="s">
        <v>47</v>
      </c>
      <c r="D251" s="20" t="s">
        <v>399</v>
      </c>
      <c r="E251" s="20" t="s">
        <v>580</v>
      </c>
      <c r="F251" s="20" t="s">
        <v>14</v>
      </c>
      <c r="G251" s="20">
        <f>(G252-G253/G254)*1</f>
        <v>0</v>
      </c>
    </row>
    <row r="252" spans="1:7" outlineLevel="4" collapsed="1">
      <c r="A252" s="20" t="s">
        <v>11</v>
      </c>
      <c r="B252" s="20" t="s">
        <v>82</v>
      </c>
      <c r="C252" s="20" t="s">
        <v>47</v>
      </c>
      <c r="D252" s="20"/>
      <c r="E252" s="20" t="s">
        <v>581</v>
      </c>
      <c r="F252" s="20" t="s">
        <v>14</v>
      </c>
      <c r="G252" s="20">
        <v>1</v>
      </c>
    </row>
    <row r="253" spans="1:7" outlineLevel="4" collapsed="1">
      <c r="A253" s="20" t="s">
        <v>11</v>
      </c>
      <c r="B253" s="20" t="s">
        <v>82</v>
      </c>
      <c r="C253" s="20" t="s">
        <v>47</v>
      </c>
      <c r="D253" s="20"/>
      <c r="E253" s="20" t="s">
        <v>582</v>
      </c>
      <c r="F253" s="20" t="s">
        <v>14</v>
      </c>
      <c r="G253" s="20">
        <v>1</v>
      </c>
    </row>
    <row r="254" spans="1:7" ht="30" outlineLevel="4" collapsed="1">
      <c r="A254" s="20" t="s">
        <v>11</v>
      </c>
      <c r="B254" s="20" t="s">
        <v>82</v>
      </c>
      <c r="C254" s="20" t="s">
        <v>47</v>
      </c>
      <c r="D254" s="20"/>
      <c r="E254" s="20" t="s">
        <v>527</v>
      </c>
      <c r="F254" s="20" t="s">
        <v>14</v>
      </c>
      <c r="G254" s="20">
        <v>1</v>
      </c>
    </row>
    <row r="255" spans="1:7" outlineLevel="3">
      <c r="A255" s="18" t="s">
        <v>11</v>
      </c>
      <c r="B255" s="10" t="s">
        <v>583</v>
      </c>
      <c r="C255" s="18" t="s">
        <v>47</v>
      </c>
      <c r="D255" s="18"/>
      <c r="E255" s="18" t="s">
        <v>584</v>
      </c>
      <c r="F255" s="18" t="s">
        <v>11</v>
      </c>
      <c r="G255" s="18" t="s">
        <v>47</v>
      </c>
    </row>
    <row r="256" spans="1:7" ht="30" outlineLevel="4" collapsed="1">
      <c r="A256" s="20" t="s">
        <v>14</v>
      </c>
      <c r="B256" s="20" t="s">
        <v>82</v>
      </c>
      <c r="C256" s="20" t="s">
        <v>47</v>
      </c>
      <c r="D256" s="20" t="s">
        <v>399</v>
      </c>
      <c r="E256" s="20" t="s">
        <v>585</v>
      </c>
      <c r="F256" s="20" t="s">
        <v>14</v>
      </c>
      <c r="G256" s="20">
        <f>44/12*G257*(1+G258)*SUM((G263*G264))</f>
        <v>7.333333333333333</v>
      </c>
    </row>
    <row r="257" spans="1:7" outlineLevel="4" collapsed="1">
      <c r="A257" s="20" t="s">
        <v>11</v>
      </c>
      <c r="B257" s="20" t="s">
        <v>82</v>
      </c>
      <c r="C257" s="20" t="s">
        <v>47</v>
      </c>
      <c r="D257" s="20"/>
      <c r="E257" s="20" t="s">
        <v>531</v>
      </c>
      <c r="F257" s="20" t="s">
        <v>14</v>
      </c>
      <c r="G257" s="20">
        <v>1</v>
      </c>
    </row>
    <row r="258" spans="1:7" outlineLevel="4" collapsed="1">
      <c r="A258" s="20" t="s">
        <v>11</v>
      </c>
      <c r="B258" s="20" t="s">
        <v>82</v>
      </c>
      <c r="C258" s="20" t="s">
        <v>47</v>
      </c>
      <c r="D258" s="20"/>
      <c r="E258" s="20" t="s">
        <v>532</v>
      </c>
      <c r="F258" s="20" t="s">
        <v>14</v>
      </c>
      <c r="G258" s="20">
        <v>1</v>
      </c>
    </row>
    <row r="259" spans="1:7" outlineLevel="4">
      <c r="A259" s="22" t="s">
        <v>11</v>
      </c>
      <c r="B259" s="23" t="s">
        <v>533</v>
      </c>
      <c r="C259" s="22" t="s">
        <v>47</v>
      </c>
      <c r="D259" s="22"/>
      <c r="E259" s="22" t="s">
        <v>534</v>
      </c>
      <c r="F259" s="22" t="s">
        <v>11</v>
      </c>
      <c r="G259" s="22" t="s">
        <v>47</v>
      </c>
    </row>
    <row r="260" spans="1:7" ht="30" outlineLevel="5" collapsed="1">
      <c r="A260" s="20" t="s">
        <v>11</v>
      </c>
      <c r="B260" s="20" t="s">
        <v>82</v>
      </c>
      <c r="C260" s="20" t="s">
        <v>47</v>
      </c>
      <c r="D260" s="20"/>
      <c r="E260" s="20" t="s">
        <v>535</v>
      </c>
      <c r="F260" s="20" t="s">
        <v>14</v>
      </c>
      <c r="G260" s="20">
        <v>1</v>
      </c>
    </row>
    <row r="261" spans="1:7" ht="30" outlineLevel="5" collapsed="1">
      <c r="A261" s="20" t="s">
        <v>11</v>
      </c>
      <c r="B261" s="20" t="s">
        <v>82</v>
      </c>
      <c r="C261" s="20" t="s">
        <v>47</v>
      </c>
      <c r="D261" s="20"/>
      <c r="E261" s="20" t="s">
        <v>536</v>
      </c>
      <c r="F261" s="20" t="s">
        <v>14</v>
      </c>
      <c r="G261" s="20">
        <v>1</v>
      </c>
    </row>
    <row r="262" spans="1:7" ht="30" outlineLevel="5" collapsed="1">
      <c r="A262" s="20" t="s">
        <v>11</v>
      </c>
      <c r="B262" s="20" t="s">
        <v>82</v>
      </c>
      <c r="C262" s="20" t="s">
        <v>47</v>
      </c>
      <c r="D262" s="20"/>
      <c r="E262" s="20" t="s">
        <v>537</v>
      </c>
      <c r="F262" s="20" t="s">
        <v>14</v>
      </c>
      <c r="G262" s="20">
        <v>1</v>
      </c>
    </row>
    <row r="263" spans="1:7" ht="30" outlineLevel="5" collapsed="1">
      <c r="A263" s="20" t="s">
        <v>11</v>
      </c>
      <c r="B263" s="20" t="s">
        <v>82</v>
      </c>
      <c r="C263" s="20" t="s">
        <v>47</v>
      </c>
      <c r="D263" s="20"/>
      <c r="E263" s="20" t="s">
        <v>538</v>
      </c>
      <c r="F263" s="20" t="s">
        <v>14</v>
      </c>
      <c r="G263" s="20">
        <v>1</v>
      </c>
    </row>
    <row r="264" spans="1:7" ht="30" outlineLevel="5" collapsed="1">
      <c r="A264" s="20" t="s">
        <v>14</v>
      </c>
      <c r="B264" s="20" t="s">
        <v>82</v>
      </c>
      <c r="C264" s="20" t="s">
        <v>47</v>
      </c>
      <c r="D264" s="20" t="s">
        <v>399</v>
      </c>
      <c r="E264" s="20" t="s">
        <v>539</v>
      </c>
      <c r="F264" s="20" t="s">
        <v>14</v>
      </c>
      <c r="G264" s="20">
        <f>G260*G261*G262</f>
        <v>1</v>
      </c>
    </row>
    <row r="265" spans="1:7" ht="29.25" customHeight="1" outlineLevel="3">
      <c r="A265" s="18" t="s">
        <v>14</v>
      </c>
      <c r="B265" s="18" t="s">
        <v>82</v>
      </c>
      <c r="C265" s="10"/>
      <c r="D265" s="18" t="s">
        <v>399</v>
      </c>
      <c r="E265" s="18" t="s">
        <v>586</v>
      </c>
      <c r="F265" s="18" t="s">
        <v>14</v>
      </c>
      <c r="G265" s="18">
        <f>G256</f>
        <v>7.333333333333333</v>
      </c>
    </row>
    <row r="266" spans="1:7" ht="29.25" customHeight="1" outlineLevel="3">
      <c r="A266" s="18" t="s">
        <v>14</v>
      </c>
      <c r="B266" s="18" t="s">
        <v>82</v>
      </c>
      <c r="C266" s="10"/>
      <c r="D266" s="18" t="s">
        <v>399</v>
      </c>
      <c r="E266" s="18" t="s">
        <v>587</v>
      </c>
      <c r="F266" s="18" t="s">
        <v>14</v>
      </c>
      <c r="G266" s="18">
        <f>IF(AND(G241="Estimating change in carbon stock in shrubs between two points in time",G243="Yes"),0,IF(AND(G241="Estimating change in carbon stock in shrubs between two points in time"),G247,IF(AND(G241="Estimating change in carbon stock in shrubs in a year"),G251)))</f>
        <v>0</v>
      </c>
    </row>
  </sheetData>
  <mergeCells count="3">
    <mergeCell ref="A1:G1"/>
    <mergeCell ref="B2:G2"/>
    <mergeCell ref="B3:G3"/>
  </mergeCells>
  <dataValidations count="3">
    <dataValidation type="list" allowBlank="1" showInputMessage="1" showErrorMessage="1" sqref="B3:G3" xr:uid="{F99F7EC6-F4F5-4AFB-A512-CFEE1BB69C08}">
      <formula1>"Verifiable Credentials,Encrypted Verifiable Credential,Sub-Schema"</formula1>
    </dataValidation>
    <dataValidation type="list" allowBlank="1" sqref="G15 G123 G153 G246 G243" xr:uid="{C3832949-B885-4D0C-9C5D-17F324BD482A}">
      <formula1>"Yes,No"</formula1>
    </dataValidation>
    <dataValidation type="list" allowBlank="1" showInputMessage="1" showErrorMessage="1" sqref="G67:G72 G196:G201" xr:uid="{6E2AC0F8-66AB-4EB3-82FC-5D1F2CFBDDBE}">
      <formula1>"Yes,No"</formula1>
    </dataValidation>
  </dataValidations>
  <hyperlinks>
    <hyperlink ref="B9" location="'AR Tool 14 Baseline'!A1" display="'AR Tool 14 Baseline" xr:uid="{C2960FB6-D8D9-4F6C-9CFD-5BCCA4CA51B2}"/>
    <hyperlink ref="B147" location="'AR Tool 14 Project'!A1" display="'AR Tool 14 Project" xr:uid="{7EEF064E-D0D9-4934-BA95-B6701CF37741}"/>
    <hyperlink ref="C12" location="#'Which method did you us (enum)'!A3" display="Which method did you us (enum)" xr:uid="{9DA42391-A7CF-4812-99E6-BE7D7625724A}"/>
    <hyperlink ref="C54" location="#'Which method did you 1 (enum)'!A3" display="Which method did you 1 (enum)" xr:uid="{7B4CDAAD-6A5C-42AA-9EED-2EEC42109397}"/>
    <hyperlink ref="C83" location="#'Which sampling design w (enum)'!A3" display="Which sampling design w (enum)" xr:uid="{D96156D0-222C-44B0-B436-B29E756F6F56}"/>
    <hyperlink ref="B13" location="'Tree Demonstration of “no-d'!A1" display="'Tree Demonstration of “no-d" xr:uid="{179406D7-B362-4DA3-B1DB-2D826C672A52}"/>
    <hyperlink ref="B16" location="'BSL-Estimation by proportionate'!A1" display="'BSL-Estimation by proportionate" xr:uid="{B90D2C52-C7D8-4C51-A7A9-8148D2C58EE1}"/>
    <hyperlink ref="B18" location="'Mean annual change in carbon st'!A1" display="'Mean annual change in carbon st" xr:uid="{D96DA16F-9A31-4EB2-B1DC-1D3BA1E290ED}"/>
    <hyperlink ref="B25" location="'Direct Estimating Changes via S'!A1" display="'Direct Estimating Changes via S" xr:uid="{F726BBD1-B99B-48CA-A5A5-F78CAF775F96}"/>
    <hyperlink ref="B33" location="'Mean Change In Tree Biomass Per'!A1" display="'Mean Change In Tree Biomass Per" xr:uid="{68601F56-F4C9-42CB-B014-C2E4D157420C}"/>
    <hyperlink ref="B38" location="'Change in Tree Biomass per Hect'!A1" display="'Change in Tree Biomass per Hect" xr:uid="{169422BA-2120-47FF-B835-7655288369C2}"/>
    <hyperlink ref="B40" location="'Difference of Two Independent S'!A1" display="'Difference of Two Independent S" xr:uid="{CB357099-B1C6-4566-94C1-57F024E9BD45}"/>
    <hyperlink ref="B48" location="'BSL-Estimating change in carbon'!A1" display="'BSL-Estimating change in carbon" xr:uid="{8730E3C9-01C7-43AA-9A13-99467AD51951}"/>
    <hyperlink ref="B53" location="'BSL-Determination of Estimating'!A1" display="'BSL-Determination of Estimating" xr:uid="{A4276637-56DB-4A1D-8386-EA97CECD5153}"/>
    <hyperlink ref="B55" location="'BSL-Updating the previous stock'!A1" display="'BSL-Updating the previous stock" xr:uid="{F7510477-35F2-40ED-9C79-7333224C8C29}"/>
    <hyperlink ref="B62" location="'BSL-Estimation by modelling of '!A1" display="'BSL-Estimation by modelling of" xr:uid="{18E796EF-26C3-4B72-9911-3CE521706630}"/>
    <hyperlink ref="B69" location="'BSL-Carbon stock in trees at a '!A1" display="'BSL-Carbon stock in trees at a" xr:uid="{5C353055-45CD-4457-B34D-B1D1E689B088}"/>
    <hyperlink ref="B73" location="'BSL-Estimation by proportiona'!A1" display="'BSL-Estimation by proportiona" xr:uid="{6534033A-6923-4605-A248-8E5FF5189B33}"/>
    <hyperlink ref="B75" location="'BSL-Mean annual change in carbo'!A1" display="'BSL-Mean annual change in carbo" xr:uid="{C45CD2AF-1BEB-4813-952D-9E64B14F3AB2}"/>
    <hyperlink ref="B82" location="'Measurement of sample plots'!A1" display="'Measurement of sample plots" xr:uid="{B9589871-D542-4FB9-9C7E-D5D16C67ED14}"/>
    <hyperlink ref="B84" location="'Stratified random sampling'!A1" display="'Stratified random sampling" xr:uid="{1A3D1EEC-7BCE-44CA-86F9-3290DB31620D}"/>
    <hyperlink ref="B92" location="'Mean tree biomass per hectare w'!A1" display="'Mean tree biomass per hectare w" xr:uid="{9E7C1754-A26E-46A3-92B8-42F38E9E797E}"/>
    <hyperlink ref="B97" location="'Tree Biomass per Hectare in Plo'!A1" display="'Tree Biomass per Hectare in Plo" xr:uid="{539E520C-EAFD-4451-863B-3449B0E44D77}"/>
    <hyperlink ref="B99" location="'Double sampling'!A1" display="'Double sampling" xr:uid="{F7A8F67B-D807-44EB-8EB2-17B5B0E86030}"/>
    <hyperlink ref="B107" location="'Double Mean tree biomass per he'!A1" display="'Double Mean tree biomass per he" xr:uid="{59F21DBF-007C-4F10-A443-4C8A637C5F70}"/>
    <hyperlink ref="B116" location="'Tree Biomass per Hectare in Plo'!A1" display="'Tree Biomass per Hectare in Plo" xr:uid="{68B08732-A8A3-4081-9130-AE27311C2A35}"/>
    <hyperlink ref="B122" location="'BSL-Estimating Shrub Carbon Sto'!A1" display="'BSL-Estimating Shrub Carbon Sto" xr:uid="{DA3EBAF4-DA13-444E-810C-C06358677303}"/>
    <hyperlink ref="B130" location="'BSL-Estimating change in carb'!A1" display="'BSL-Estimating change in carb" xr:uid="{5CD19D23-DEC0-466C-B3AB-C72DBAA48AD5}"/>
    <hyperlink ref="B135" location="'BSL-Estimating carbon stock in '!A1" display="'BSL-Estimating carbon stock in" xr:uid="{BDBCEC20-6255-4634-ABF1-372D74E3B848}"/>
    <hyperlink ref="B139" location="'Shrub biomass per hectare in sh'!A1" display="'Shrub biomass per hectare in sh" xr:uid="{52B230EA-51BC-4912-95BC-18358CAA601C}"/>
    <hyperlink ref="B11" location="'BSL-Estimating change in car'!A1" display="'BSL-Estimating change in car" xr:uid="{60A99E90-F7D5-406A-BB60-C6B43C5E477C}"/>
    <hyperlink ref="C10" location="'Which method did you u (enum)'!A1" display="'Which method did you u (enum)" xr:uid="{1AD3EC78-54BC-4339-B593-621783367E33}"/>
    <hyperlink ref="C121" location="'Which method did you (enum)'!A1" display="'Which method did you (enum)" xr:uid="{3A764F20-DFC5-4DFF-9752-4310A5212201}"/>
    <hyperlink ref="C123" location="'Will you be applying the (enum)'!A1" display="'Will you be applying the (enum)" xr:uid="{80747120-3C2D-4640-96C8-88CC1CE4C946}"/>
    <hyperlink ref="B124" location="'Shrub Demonstration of “n'!A1" display="'Shrub Demonstration of “n" xr:uid="{4141DFBB-1386-4CB4-8750-793DDD369235}"/>
    <hyperlink ref="C126" location="'If all three conditi (enum)'!A1" display="'If all three conditi (enum)" xr:uid="{808FA605-AC3F-48F7-9A87-71741C7AEF39}"/>
    <hyperlink ref="C203" location="#'Which sampling design w (enum)'!A3" display="Which sampling design w (enum)" xr:uid="{E5FDC348-4A77-43AD-BE7D-3ADE44ACC19F}"/>
    <hyperlink ref="C183" location="'Which method did you 2 (enum)'!A1" display="'Which method did you 2 (enum)" xr:uid="{E438B14D-D4B8-4B37-BAD1-546A8F6DCC04}"/>
    <hyperlink ref="B154" location="'Direct Estimating Changes via S'!A1" display="'Direct Estimating Changes via S" xr:uid="{8E34FA4C-15B6-42CE-AB5C-C881C7033EAF}"/>
    <hyperlink ref="B162" location="'Mean Change In Tree Biomass Per'!A1" display="'Mean Change In Tree Biomass Per" xr:uid="{F63B7507-167E-4BF7-B033-AE657BB40CA0}"/>
    <hyperlink ref="B167" location="'Change in Tree Biomass per Hect'!A1" display="'Change in Tree Biomass per Hect" xr:uid="{87534366-CD2D-4F5B-9452-9F0450A272AB}"/>
    <hyperlink ref="B169" location="'Difference of Two Independent S'!A1" display="'Difference of Two Independent S" xr:uid="{11E82EBB-B170-4192-A935-E043DB360B6F}"/>
    <hyperlink ref="B198" location="'Proj-Carbon stock in trees at a'!A1" display="'Proj-Carbon stock in trees at a" xr:uid="{8F519BDF-C246-4ADE-9C75-A2A6E39114F9}"/>
    <hyperlink ref="B191" location="'Proj-Estimation by modelling of'!A1" display="'Proj-Estimation by modelling of" xr:uid="{98BAFBB2-30BA-4ED1-B700-9A0CCFCD411A}"/>
    <hyperlink ref="B202" location="'Measurement of sample plots'!A1" display="'Measurement of sample plots" xr:uid="{A8E9C1DB-B150-4FCD-A169-CD58CE1AAD72}"/>
    <hyperlink ref="B204" location="'Stratified random sampling'!A1" display="'Stratified random sampling" xr:uid="{A4C6D19B-0BB9-47B0-A08C-7CE3EC771192}"/>
    <hyperlink ref="B212" location="'Mean tree biomass per hectare w'!A1" display="'Mean tree biomass per hectare w" xr:uid="{C9271E9C-6719-42D5-B818-04206F4C95FA}"/>
    <hyperlink ref="B217" location="'Tree Biomass per Hectare in Plo'!A1" display="'Tree Biomass per Hectare in Plo" xr:uid="{94A5F627-3C12-43A8-B218-E5F5F93CEBFB}"/>
    <hyperlink ref="B219" location="'Double sampling'!A1" display="'Double sampling" xr:uid="{47DB973D-71C8-4937-BD9F-F2D594233FEE}"/>
    <hyperlink ref="B227" location="'Double Mean tree biomass per he'!A1" display="'Double Mean tree biomass per he" xr:uid="{20E20413-0D3A-4C1C-9FBF-40853A221936}"/>
    <hyperlink ref="B236" location="'Tree Biomass per Hectare in Plo'!A1" display="'Tree Biomass per Hectare in Plo" xr:uid="{8D492B06-5481-441F-81DF-F46143EB79E8}"/>
    <hyperlink ref="B184" location="'Proj-Updating the previous stoc'!A1" display="'Proj-Updating the previous stoc" xr:uid="{D23DE0AD-70FD-42E6-B1B2-4AE98420464F}"/>
    <hyperlink ref="B182" location="'Proj-Determination of Estimatin'!A1" display="'Proj-Determination of Estimatin" xr:uid="{E8B55D54-4ED4-4A13-8D40-F754CD1A57EE}"/>
    <hyperlink ref="B242" location="'Proj-Estimating Shrub Carbon St'!A1" display="'Proj-Estimating Shrub Carbon St" xr:uid="{4054FAB6-4B9F-44C7-9688-F2AEACB08170}"/>
    <hyperlink ref="B250" location="'Proj-Estimating change in carbo'!A1" display="'Proj-Estimating change in carbo" xr:uid="{806D31E1-A609-4306-85A9-BB417A435E25}"/>
    <hyperlink ref="B255" location="'Proj-Estimating carbon stock in'!A1" display="'Proj-Estimating carbon stock in" xr:uid="{9FB5A0C2-6C3D-4D9F-86F5-7D04499C88D2}"/>
    <hyperlink ref="B259" location="'Shrub biomass per hectare in sh'!A1" display="'Shrub biomass per hectare in sh" xr:uid="{35F1F97C-BFB6-4323-A544-4A92FC85DC85}"/>
    <hyperlink ref="B151" location="'Tree Demonstration of “no-d'!A1" display="'Tree Demonstration of “no-d" xr:uid="{AE5F3D48-C8E3-4DCB-8DAC-E814DAFFB1BF}"/>
    <hyperlink ref="C150" location="'Which method did yous (enum)'!A1" display="'Which method did yous (enum)" xr:uid="{3D67202D-D221-4E5E-9476-8BFF0491259C}"/>
    <hyperlink ref="B149" location="'PROJ-Estimating change in car'!A1" display="'PROJ-Estimating change in car" xr:uid="{E2B297F7-0CE1-493C-AEBC-2815EE0E476E}"/>
    <hyperlink ref="B244" location="'Shrub Demonstration of “n'!A1" display="'Shrub Demonstration of “n" xr:uid="{E540A524-AC4B-49F0-95E8-7D2FCD1484E8}"/>
    <hyperlink ref="C148" location="'Which method did you pro(enum)'!A1" display="'Which method did you pro(enum)" xr:uid="{7D7440AF-FDE9-401E-A99D-7C15C9001767}"/>
    <hyperlink ref="B177" location="'Proj-Estimating Change in Carb'!A1" display="'Proj-Estimating Change in Carb" xr:uid="{9B4C2627-A9C2-49B1-96BE-E0953072E2E2}"/>
    <hyperlink ref="C241" location="'Which method did  pro (enum)'!A1" display="'Which method did  pro (enum)" xr:uid="{B9F894AD-D163-47D9-81C6-A78B7A38D8E0}"/>
    <hyperlink ref="C243" location="'Will you be applying  pr (enum)'!A1" display="'Will you be applying  pr (enum)" xr:uid="{3E5381AF-3CEA-4C5F-BF17-F16DEE72C38C}"/>
    <hyperlink ref="C196" location="'Does your project apply  (enum)'!A1" display="'Does your project apply  (enum)" xr:uid="{AD192537-2456-493B-BBFF-F6FB4F3B3F3B}"/>
    <hyperlink ref="C15" location="'If all three conditi tree(enum)'!A1" display="'If all three conditi tree(enum)" xr:uid="{1ECB4C73-89B5-4133-A745-5DC355CA952F}"/>
    <hyperlink ref="C67" location="'Does your project apply b(enum)'!A1" display="'Does your project apply b(enum)" xr:uid="{1071064D-4340-4594-B95C-37235C790D8B}"/>
    <hyperlink ref="C153" location="'If all three conditi tree(enum)'!A1" display="'If all three conditi tree(enum)" xr:uid="{16AD9902-2F87-4F5A-9FB1-53CEBD97EE04}"/>
    <hyperlink ref="C246" location="'If all three conditi (enum)'!A1" display="'If all three conditi (enum)" xr:uid="{48F703A3-149F-49F5-A5C5-B7D31C295975}"/>
    <hyperlink ref="B8" location="'AR Tool 14'!A1" display="'AR Tool 14" xr:uid="{3E89AABB-E54D-45E4-8A3C-B405474F47D3}"/>
    <hyperlink ref="B5" location="QA1_Measure_Model_ERs_Unit_i!A1" display="QA1_Measure_Model_ERs_Unit_i" xr:uid="{A1735032-A816-4A48-9648-8E96B80E8D66}"/>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9">
        <x14:dataValidation type="list" allowBlank="1" xr:uid="{9772A486-3386-4A83-AE52-825A0FF6C491}">
          <x14:formula1>
            <xm:f>'Which method did you 2 (enum)'!$A$3:$A$5</xm:f>
          </x14:formula1>
          <xm:sqref>G183</xm:sqref>
        </x14:dataValidation>
        <x14:dataValidation type="list" allowBlank="1" xr:uid="{76DFC139-D109-4CAF-9A26-DA872945F5C5}">
          <x14:formula1>
            <xm:f>'Which method did yous (enum)'!$A$3:$A$5</xm:f>
          </x14:formula1>
          <xm:sqref>G150</xm:sqref>
        </x14:dataValidation>
        <x14:dataValidation type="list" allowBlank="1" xr:uid="{6C192779-3FFF-47E2-AE34-99CE1DE6D696}">
          <x14:formula1>
            <xm:f>'Which method did you 1 (enum)'!$A$3:$A$6</xm:f>
          </x14:formula1>
          <xm:sqref>G54</xm:sqref>
        </x14:dataValidation>
        <x14:dataValidation type="list" allowBlank="1" xr:uid="{19750185-0D85-463D-A081-EF6349B95E29}">
          <x14:formula1>
            <xm:f>'Which method did you us (enum)'!$A$3:$A$6</xm:f>
          </x14:formula1>
          <xm:sqref>G12</xm:sqref>
        </x14:dataValidation>
        <x14:dataValidation type="list" allowBlank="1" showInputMessage="1" showErrorMessage="1" xr:uid="{2977E341-AB1E-4D03-A29A-5CB6B6BDBAF6}">
          <x14:formula1>
            <xm:f>'Which method did you u (enum)'!$A$3:$A$4</xm:f>
          </x14:formula1>
          <xm:sqref>G10:G11 G148:G149</xm:sqref>
        </x14:dataValidation>
        <x14:dataValidation type="list" allowBlank="1" showInputMessage="1" showErrorMessage="1" xr:uid="{9358060F-DBC0-4D45-A4C3-E37BE717B283}">
          <x14:formula1>
            <xm:f>'Which method did you (enum)'!$A$3:$A$4</xm:f>
          </x14:formula1>
          <xm:sqref>G121 G241</xm:sqref>
        </x14:dataValidation>
        <x14:dataValidation type="list" allowBlank="1" xr:uid="{1EB22644-2219-4716-97AF-5D67C9384270}">
          <x14:formula1>
            <xm:f>'If all three conditi (enum)'!$A$3:$A$4</xm:f>
          </x14:formula1>
          <xm:sqref>G126</xm:sqref>
        </x14:dataValidation>
        <x14:dataValidation type="list" allowBlank="1" xr:uid="{F8A75942-2A00-4E5B-B029-D37B832C5A7D}">
          <x14:formula1>
            <xm:f>'Which sampling design w (enum)'!B162:B163</xm:f>
          </x14:formula1>
          <xm:sqref>G203</xm:sqref>
        </x14:dataValidation>
        <x14:dataValidation type="list" allowBlank="1" xr:uid="{4D9DD47A-F953-45B7-87B0-5709A58AF87B}">
          <x14:formula1>
            <xm:f>'Which sampling design w (enum)'!B24:B25</xm:f>
          </x14:formula1>
          <xm:sqref>G83</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164F-9453-4BF7-9B4D-2DB3BC475790}">
  <sheetPr codeName="Sheet16">
    <outlinePr summaryBelow="0" summaryRight="0"/>
  </sheetPr>
  <dimension ref="A1:L265"/>
  <sheetViews>
    <sheetView workbookViewId="0">
      <selection activeCell="A5" sqref="A5:XFD265"/>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8" ht="18.75">
      <c r="A1" s="32" t="s">
        <v>665</v>
      </c>
      <c r="B1" s="32"/>
      <c r="C1" s="32"/>
      <c r="D1" s="32"/>
      <c r="E1" s="32"/>
      <c r="F1" s="32"/>
      <c r="G1" s="32"/>
    </row>
    <row r="2" spans="1:8" ht="18.75">
      <c r="A2" s="1" t="s">
        <v>1</v>
      </c>
      <c r="B2" s="33"/>
      <c r="C2" s="33"/>
      <c r="D2" s="33"/>
      <c r="E2" s="33"/>
      <c r="F2" s="33"/>
      <c r="G2" s="33"/>
    </row>
    <row r="3" spans="1:8" ht="18.75">
      <c r="A3" s="1" t="s">
        <v>2</v>
      </c>
      <c r="B3" s="33" t="s">
        <v>633</v>
      </c>
      <c r="C3" s="33"/>
      <c r="D3" s="33"/>
      <c r="E3" s="33"/>
      <c r="F3" s="33"/>
      <c r="G3" s="33"/>
    </row>
    <row r="4" spans="1:8" ht="18.75">
      <c r="A4" s="2" t="s">
        <v>4</v>
      </c>
      <c r="B4" s="2" t="s">
        <v>5</v>
      </c>
      <c r="C4" s="2" t="s">
        <v>6</v>
      </c>
      <c r="D4" s="2" t="s">
        <v>7</v>
      </c>
      <c r="E4" s="2" t="s">
        <v>8</v>
      </c>
      <c r="F4" s="2" t="s">
        <v>9</v>
      </c>
      <c r="G4" s="2" t="s">
        <v>10</v>
      </c>
    </row>
    <row r="5" spans="1:8" ht="14.25" customHeight="1">
      <c r="A5" s="3" t="s">
        <v>11</v>
      </c>
      <c r="B5" s="3" t="s">
        <v>46</v>
      </c>
      <c r="C5" s="3"/>
      <c r="D5" s="3"/>
      <c r="E5" s="3" t="s">
        <v>88</v>
      </c>
      <c r="F5" s="3" t="s">
        <v>14</v>
      </c>
      <c r="G5" s="3" t="s">
        <v>89</v>
      </c>
    </row>
    <row r="6" spans="1:8">
      <c r="A6" s="3" t="s">
        <v>11</v>
      </c>
      <c r="B6" s="3" t="s">
        <v>82</v>
      </c>
      <c r="C6" s="3"/>
      <c r="D6" s="3"/>
      <c r="E6" s="3" t="s">
        <v>90</v>
      </c>
      <c r="F6" s="3" t="s">
        <v>14</v>
      </c>
      <c r="G6" s="3">
        <v>1148.7226376613501</v>
      </c>
    </row>
    <row r="7" spans="1:8" ht="14.25" customHeight="1">
      <c r="A7" s="3"/>
      <c r="B7" s="10" t="s">
        <v>381</v>
      </c>
      <c r="C7" s="3"/>
      <c r="D7" s="3"/>
      <c r="E7" s="3" t="s">
        <v>381</v>
      </c>
      <c r="F7" s="3" t="s">
        <v>14</v>
      </c>
      <c r="G7" s="3"/>
    </row>
    <row r="8" spans="1:8" ht="29.25" customHeight="1" outlineLevel="1" collapsed="1">
      <c r="A8" s="18" t="s">
        <v>11</v>
      </c>
      <c r="B8" s="10" t="s">
        <v>382</v>
      </c>
      <c r="C8" s="19"/>
      <c r="D8" s="18"/>
      <c r="E8" s="18" t="s">
        <v>383</v>
      </c>
      <c r="F8" s="18" t="s">
        <v>14</v>
      </c>
      <c r="G8" s="18"/>
    </row>
    <row r="9" spans="1:8" ht="29.25" hidden="1" customHeight="1" outlineLevel="2">
      <c r="A9" s="18" t="s">
        <v>11</v>
      </c>
      <c r="B9" s="18" t="s">
        <v>17</v>
      </c>
      <c r="C9" s="10" t="s">
        <v>384</v>
      </c>
      <c r="D9" s="18"/>
      <c r="E9" s="18" t="s">
        <v>385</v>
      </c>
      <c r="F9" s="3" t="s">
        <v>14</v>
      </c>
      <c r="G9" s="18" t="s">
        <v>386</v>
      </c>
    </row>
    <row r="10" spans="1:8" ht="29.25" hidden="1" customHeight="1" outlineLevel="2">
      <c r="A10" s="3" t="s">
        <v>14</v>
      </c>
      <c r="B10" s="10" t="s">
        <v>387</v>
      </c>
      <c r="C10" s="10"/>
      <c r="D10" s="18" t="b">
        <f>EXACT(G9,"Estimating change in carbon stock in trees between two points in time")</f>
        <v>0</v>
      </c>
      <c r="E10" s="18" t="s">
        <v>388</v>
      </c>
      <c r="F10" s="3" t="s">
        <v>14</v>
      </c>
      <c r="G10" s="18"/>
    </row>
    <row r="11" spans="1:8" ht="29.25" hidden="1" customHeight="1" outlineLevel="3">
      <c r="A11" s="18" t="s">
        <v>11</v>
      </c>
      <c r="B11" s="18" t="s">
        <v>17</v>
      </c>
      <c r="C11" s="19" t="s">
        <v>389</v>
      </c>
      <c r="D11" s="18"/>
      <c r="E11" s="18" t="s">
        <v>390</v>
      </c>
      <c r="F11" s="18" t="s">
        <v>14</v>
      </c>
      <c r="G11" s="18" t="s">
        <v>391</v>
      </c>
    </row>
    <row r="12" spans="1:8" hidden="1" outlineLevel="3">
      <c r="A12" s="18" t="s">
        <v>14</v>
      </c>
      <c r="B12" s="10" t="s">
        <v>392</v>
      </c>
      <c r="C12" s="19"/>
      <c r="D12" s="18" t="b">
        <f>EXACT(G11,"no-decrease")</f>
        <v>1</v>
      </c>
      <c r="E12" s="18" t="s">
        <v>393</v>
      </c>
      <c r="F12" s="3" t="s">
        <v>14</v>
      </c>
      <c r="G12" s="18"/>
    </row>
    <row r="13" spans="1:8" ht="165" hidden="1" outlineLevel="4" collapsed="1">
      <c r="A13" s="20" t="s">
        <v>14</v>
      </c>
      <c r="B13" s="20" t="s">
        <v>44</v>
      </c>
      <c r="C13" s="20"/>
      <c r="D13" s="20"/>
      <c r="E13" s="20" t="s">
        <v>394</v>
      </c>
      <c r="F13" s="4" t="s">
        <v>14</v>
      </c>
      <c r="G13" s="20"/>
    </row>
    <row r="14" spans="1:8" ht="60" hidden="1" outlineLevel="4" collapsed="1">
      <c r="A14" s="20" t="s">
        <v>11</v>
      </c>
      <c r="B14" s="20" t="s">
        <v>17</v>
      </c>
      <c r="C14" s="21" t="s">
        <v>395</v>
      </c>
      <c r="D14" s="20"/>
      <c r="E14" s="20" t="s">
        <v>396</v>
      </c>
      <c r="F14" s="4" t="s">
        <v>14</v>
      </c>
      <c r="G14" s="20"/>
    </row>
    <row r="15" spans="1:8" hidden="1" outlineLevel="3">
      <c r="A15" s="18" t="s">
        <v>14</v>
      </c>
      <c r="B15" s="10" t="s">
        <v>397</v>
      </c>
      <c r="C15" s="18" t="s">
        <v>47</v>
      </c>
      <c r="D15" s="18" t="b">
        <f>EXACT(G11,"Estimation by proportionate crown cover")</f>
        <v>0</v>
      </c>
      <c r="E15" s="18" t="s">
        <v>398</v>
      </c>
      <c r="F15" s="18" t="s">
        <v>14</v>
      </c>
      <c r="G15" s="18" t="s">
        <v>47</v>
      </c>
    </row>
    <row r="16" spans="1:8" ht="30" hidden="1" outlineLevel="4" collapsed="1">
      <c r="A16" s="20" t="s">
        <v>14</v>
      </c>
      <c r="B16" s="20" t="s">
        <v>82</v>
      </c>
      <c r="C16" s="20" t="s">
        <v>47</v>
      </c>
      <c r="D16" s="20" t="s">
        <v>399</v>
      </c>
      <c r="E16" s="20" t="s">
        <v>400</v>
      </c>
      <c r="F16" s="20" t="s">
        <v>14</v>
      </c>
      <c r="G16" s="20">
        <f>SUM(G18)</f>
        <v>7.333333333333333</v>
      </c>
      <c r="H16" t="s">
        <v>401</v>
      </c>
    </row>
    <row r="17" spans="1:8" hidden="1" outlineLevel="4">
      <c r="A17" s="22" t="s">
        <v>11</v>
      </c>
      <c r="B17" s="23" t="s">
        <v>402</v>
      </c>
      <c r="C17" s="22" t="s">
        <v>47</v>
      </c>
      <c r="D17" s="22"/>
      <c r="E17" s="22" t="s">
        <v>403</v>
      </c>
      <c r="F17" s="22" t="s">
        <v>11</v>
      </c>
      <c r="G17" s="22" t="s">
        <v>47</v>
      </c>
      <c r="H17" t="s">
        <v>401</v>
      </c>
    </row>
    <row r="18" spans="1:8" ht="30" hidden="1" outlineLevel="5" collapsed="1">
      <c r="A18" s="20" t="s">
        <v>14</v>
      </c>
      <c r="B18" s="20" t="s">
        <v>82</v>
      </c>
      <c r="C18" s="20" t="s">
        <v>47</v>
      </c>
      <c r="D18" s="20" t="s">
        <v>399</v>
      </c>
      <c r="E18" s="20" t="s">
        <v>404</v>
      </c>
      <c r="F18" s="20" t="s">
        <v>14</v>
      </c>
      <c r="G18" s="20">
        <f>44/12*G19*G20*(1+G21)*G22*G23</f>
        <v>7.333333333333333</v>
      </c>
    </row>
    <row r="19" spans="1:8" hidden="1" outlineLevel="5" collapsed="1">
      <c r="A19" s="20" t="s">
        <v>11</v>
      </c>
      <c r="B19" s="20" t="s">
        <v>82</v>
      </c>
      <c r="C19" s="20" t="s">
        <v>47</v>
      </c>
      <c r="D19" s="20"/>
      <c r="E19" s="20" t="s">
        <v>405</v>
      </c>
      <c r="F19" s="20" t="s">
        <v>14</v>
      </c>
      <c r="G19" s="20">
        <v>1</v>
      </c>
    </row>
    <row r="20" spans="1:8" ht="30" hidden="1" outlineLevel="5" collapsed="1">
      <c r="A20" s="20" t="s">
        <v>11</v>
      </c>
      <c r="B20" s="20" t="s">
        <v>82</v>
      </c>
      <c r="C20" s="20" t="s">
        <v>47</v>
      </c>
      <c r="D20" s="20"/>
      <c r="E20" s="20" t="s">
        <v>406</v>
      </c>
      <c r="F20" s="20" t="s">
        <v>14</v>
      </c>
      <c r="G20" s="20">
        <v>1</v>
      </c>
    </row>
    <row r="21" spans="1:8" hidden="1" outlineLevel="5" collapsed="1">
      <c r="A21" s="20" t="s">
        <v>11</v>
      </c>
      <c r="B21" s="20" t="s">
        <v>82</v>
      </c>
      <c r="C21" s="20" t="s">
        <v>47</v>
      </c>
      <c r="D21" s="20"/>
      <c r="E21" s="20" t="s">
        <v>407</v>
      </c>
      <c r="F21" s="20" t="s">
        <v>14</v>
      </c>
      <c r="G21" s="20">
        <v>1</v>
      </c>
    </row>
    <row r="22" spans="1:8" ht="30" hidden="1" outlineLevel="5" collapsed="1">
      <c r="A22" s="20" t="s">
        <v>11</v>
      </c>
      <c r="B22" s="20" t="s">
        <v>82</v>
      </c>
      <c r="C22" s="20" t="s">
        <v>47</v>
      </c>
      <c r="D22" s="20"/>
      <c r="E22" s="20" t="s">
        <v>408</v>
      </c>
      <c r="F22" s="20" t="s">
        <v>14</v>
      </c>
      <c r="G22" s="20">
        <v>1</v>
      </c>
    </row>
    <row r="23" spans="1:8" ht="30" hidden="1" outlineLevel="5" collapsed="1">
      <c r="A23" s="20" t="s">
        <v>11</v>
      </c>
      <c r="B23" s="20" t="s">
        <v>82</v>
      </c>
      <c r="C23" s="20" t="s">
        <v>47</v>
      </c>
      <c r="D23" s="20"/>
      <c r="E23" s="20" t="s">
        <v>409</v>
      </c>
      <c r="F23" s="20" t="s">
        <v>14</v>
      </c>
      <c r="G23" s="20">
        <v>1</v>
      </c>
    </row>
    <row r="24" spans="1:8" hidden="1" outlineLevel="3">
      <c r="A24" s="18" t="s">
        <v>14</v>
      </c>
      <c r="B24" s="10" t="s">
        <v>410</v>
      </c>
      <c r="C24" s="18" t="s">
        <v>47</v>
      </c>
      <c r="D24" s="18" t="b">
        <f>EXACT(G11,"Direct estimation of change by re-measurement of sample plots")</f>
        <v>0</v>
      </c>
      <c r="E24" s="18" t="s">
        <v>411</v>
      </c>
      <c r="F24" s="18" t="s">
        <v>14</v>
      </c>
      <c r="G24" s="18" t="s">
        <v>47</v>
      </c>
    </row>
    <row r="25" spans="1:8" hidden="1" outlineLevel="4" collapsed="1">
      <c r="A25" s="20" t="s">
        <v>14</v>
      </c>
      <c r="B25" s="20" t="s">
        <v>82</v>
      </c>
      <c r="C25" s="20" t="s">
        <v>47</v>
      </c>
      <c r="D25" s="20" t="s">
        <v>399</v>
      </c>
      <c r="E25" s="20" t="s">
        <v>412</v>
      </c>
      <c r="F25" s="20" t="s">
        <v>14</v>
      </c>
      <c r="G25" s="20">
        <f>44/12*G26*G27</f>
        <v>3.6666666666666665</v>
      </c>
    </row>
    <row r="26" spans="1:8" hidden="1" outlineLevel="4" collapsed="1">
      <c r="A26" s="20" t="s">
        <v>11</v>
      </c>
      <c r="B26" s="20" t="s">
        <v>82</v>
      </c>
      <c r="C26" s="20" t="s">
        <v>47</v>
      </c>
      <c r="D26" s="20"/>
      <c r="E26" s="20" t="s">
        <v>405</v>
      </c>
      <c r="F26" s="20" t="s">
        <v>14</v>
      </c>
      <c r="G26" s="20">
        <v>1</v>
      </c>
    </row>
    <row r="27" spans="1:8" ht="30" hidden="1" outlineLevel="4" collapsed="1">
      <c r="A27" s="20" t="s">
        <v>14</v>
      </c>
      <c r="B27" s="20" t="s">
        <v>82</v>
      </c>
      <c r="C27" s="20" t="s">
        <v>47</v>
      </c>
      <c r="D27" s="20" t="s">
        <v>399</v>
      </c>
      <c r="E27" s="20" t="s">
        <v>413</v>
      </c>
      <c r="F27" s="20" t="s">
        <v>14</v>
      </c>
      <c r="G27" s="20">
        <f>G29*G28</f>
        <v>1</v>
      </c>
    </row>
    <row r="28" spans="1:8" ht="30" hidden="1" outlineLevel="4" collapsed="1">
      <c r="A28" s="20" t="s">
        <v>14</v>
      </c>
      <c r="B28" s="20" t="s">
        <v>82</v>
      </c>
      <c r="C28" s="20" t="s">
        <v>47</v>
      </c>
      <c r="D28" s="20" t="s">
        <v>399</v>
      </c>
      <c r="E28" s="20" t="s">
        <v>414</v>
      </c>
      <c r="F28" s="20" t="s">
        <v>14</v>
      </c>
      <c r="G28" s="20">
        <f>SUM((G34*G33))</f>
        <v>1</v>
      </c>
    </row>
    <row r="29" spans="1:8" hidden="1" outlineLevel="4" collapsed="1">
      <c r="A29" s="20" t="s">
        <v>11</v>
      </c>
      <c r="B29" s="20" t="s">
        <v>82</v>
      </c>
      <c r="C29" s="20" t="s">
        <v>47</v>
      </c>
      <c r="D29" s="20"/>
      <c r="E29" s="20" t="s">
        <v>415</v>
      </c>
      <c r="F29" s="20" t="s">
        <v>14</v>
      </c>
      <c r="G29" s="20">
        <v>1</v>
      </c>
    </row>
    <row r="30" spans="1:8" hidden="1" outlineLevel="4" collapsed="1">
      <c r="A30" s="20" t="s">
        <v>11</v>
      </c>
      <c r="B30" s="20" t="s">
        <v>82</v>
      </c>
      <c r="C30" s="20" t="s">
        <v>47</v>
      </c>
      <c r="D30" s="20"/>
      <c r="E30" s="20" t="s">
        <v>416</v>
      </c>
      <c r="F30" s="20" t="s">
        <v>14</v>
      </c>
      <c r="G30" s="20">
        <v>1</v>
      </c>
    </row>
    <row r="31" spans="1:8" hidden="1" outlineLevel="4" collapsed="1">
      <c r="A31" s="20" t="s">
        <v>11</v>
      </c>
      <c r="B31" s="20" t="s">
        <v>82</v>
      </c>
      <c r="C31" s="20" t="s">
        <v>47</v>
      </c>
      <c r="D31" s="20"/>
      <c r="E31" s="20" t="s">
        <v>417</v>
      </c>
      <c r="F31" s="20" t="s">
        <v>14</v>
      </c>
      <c r="G31" s="20">
        <v>1</v>
      </c>
    </row>
    <row r="32" spans="1:8" ht="30" hidden="1" outlineLevel="4">
      <c r="A32" s="22" t="s">
        <v>11</v>
      </c>
      <c r="B32" s="23" t="s">
        <v>418</v>
      </c>
      <c r="C32" s="22" t="s">
        <v>47</v>
      </c>
      <c r="D32" s="22"/>
      <c r="E32" s="22" t="s">
        <v>419</v>
      </c>
      <c r="F32" s="22" t="s">
        <v>11</v>
      </c>
      <c r="G32" s="22" t="s">
        <v>47</v>
      </c>
    </row>
    <row r="33" spans="1:12" ht="30" hidden="1" outlineLevel="5" collapsed="1">
      <c r="A33" s="20" t="s">
        <v>14</v>
      </c>
      <c r="B33" s="20" t="s">
        <v>82</v>
      </c>
      <c r="C33" s="20" t="s">
        <v>47</v>
      </c>
      <c r="D33" s="4" t="s">
        <v>399</v>
      </c>
      <c r="E33" s="20" t="s">
        <v>420</v>
      </c>
      <c r="F33" s="20" t="s">
        <v>14</v>
      </c>
      <c r="G33" s="20">
        <f>(SUM(G38))/G36</f>
        <v>1</v>
      </c>
    </row>
    <row r="34" spans="1:12" ht="30" hidden="1" outlineLevel="5" collapsed="1">
      <c r="A34" s="20" t="s">
        <v>11</v>
      </c>
      <c r="B34" s="20" t="s">
        <v>82</v>
      </c>
      <c r="C34" s="20" t="s">
        <v>47</v>
      </c>
      <c r="D34" s="20"/>
      <c r="E34" s="20" t="s">
        <v>421</v>
      </c>
      <c r="F34" s="20" t="s">
        <v>14</v>
      </c>
      <c r="G34" s="20">
        <v>1</v>
      </c>
    </row>
    <row r="35" spans="1:12" ht="30" hidden="1" outlineLevel="5" collapsed="1">
      <c r="A35" s="20" t="s">
        <v>11</v>
      </c>
      <c r="B35" s="20" t="s">
        <v>82</v>
      </c>
      <c r="C35" s="20" t="s">
        <v>47</v>
      </c>
      <c r="D35" s="20"/>
      <c r="E35" s="20" t="s">
        <v>422</v>
      </c>
      <c r="F35" s="20" t="s">
        <v>14</v>
      </c>
      <c r="G35" s="20">
        <v>1</v>
      </c>
    </row>
    <row r="36" spans="1:12" ht="30" hidden="1" outlineLevel="5" collapsed="1">
      <c r="A36" s="20" t="s">
        <v>11</v>
      </c>
      <c r="B36" s="20" t="s">
        <v>82</v>
      </c>
      <c r="C36" s="20" t="s">
        <v>47</v>
      </c>
      <c r="D36" s="20"/>
      <c r="E36" s="20" t="s">
        <v>423</v>
      </c>
      <c r="F36" s="20" t="s">
        <v>14</v>
      </c>
      <c r="G36" s="20">
        <v>1</v>
      </c>
    </row>
    <row r="37" spans="1:12" hidden="1" outlineLevel="4">
      <c r="A37" s="22" t="s">
        <v>11</v>
      </c>
      <c r="B37" s="23" t="s">
        <v>424</v>
      </c>
      <c r="C37" s="22"/>
      <c r="D37" s="22"/>
      <c r="E37" s="22" t="s">
        <v>425</v>
      </c>
      <c r="F37" s="22" t="s">
        <v>11</v>
      </c>
      <c r="G37" s="22"/>
    </row>
    <row r="38" spans="1:12" s="25" customFormat="1" ht="30" hidden="1" outlineLevel="5" collapsed="1">
      <c r="A38" s="24" t="s">
        <v>11</v>
      </c>
      <c r="B38" s="24" t="s">
        <v>82</v>
      </c>
      <c r="C38" s="24" t="s">
        <v>47</v>
      </c>
      <c r="D38" s="24"/>
      <c r="E38" s="24" t="s">
        <v>426</v>
      </c>
      <c r="F38" s="24" t="s">
        <v>14</v>
      </c>
      <c r="G38" s="24">
        <v>1</v>
      </c>
      <c r="H38"/>
      <c r="I38"/>
      <c r="J38"/>
      <c r="K38"/>
      <c r="L38"/>
    </row>
    <row r="39" spans="1:12" hidden="1" outlineLevel="3">
      <c r="A39" s="18" t="s">
        <v>14</v>
      </c>
      <c r="B39" s="10" t="s">
        <v>427</v>
      </c>
      <c r="C39" s="18" t="s">
        <v>47</v>
      </c>
      <c r="D39" s="18" t="b">
        <f>EXACT(G11,"Difference of two independent stock estimations")</f>
        <v>0</v>
      </c>
      <c r="E39" s="18" t="s">
        <v>428</v>
      </c>
      <c r="F39" s="18" t="s">
        <v>14</v>
      </c>
      <c r="G39" s="18" t="s">
        <v>47</v>
      </c>
    </row>
    <row r="40" spans="1:12" hidden="1" outlineLevel="4" collapsed="1">
      <c r="A40" s="20" t="s">
        <v>11</v>
      </c>
      <c r="B40" s="20" t="s">
        <v>82</v>
      </c>
      <c r="C40" s="20" t="s">
        <v>47</v>
      </c>
      <c r="D40" s="20"/>
      <c r="E40" s="20" t="s">
        <v>429</v>
      </c>
      <c r="F40" s="20" t="s">
        <v>14</v>
      </c>
      <c r="G40" s="20">
        <v>1</v>
      </c>
    </row>
    <row r="41" spans="1:12" hidden="1" outlineLevel="4" collapsed="1">
      <c r="A41" s="20" t="s">
        <v>11</v>
      </c>
      <c r="B41" s="20" t="s">
        <v>82</v>
      </c>
      <c r="C41" s="20" t="s">
        <v>47</v>
      </c>
      <c r="D41" s="20"/>
      <c r="E41" s="20" t="s">
        <v>430</v>
      </c>
      <c r="F41" s="20" t="s">
        <v>14</v>
      </c>
      <c r="G41" s="20">
        <v>1</v>
      </c>
    </row>
    <row r="42" spans="1:12" hidden="1" outlineLevel="4" collapsed="1">
      <c r="A42" s="20" t="s">
        <v>11</v>
      </c>
      <c r="B42" s="20" t="s">
        <v>82</v>
      </c>
      <c r="C42" s="20" t="s">
        <v>47</v>
      </c>
      <c r="D42" s="20"/>
      <c r="E42" s="20" t="s">
        <v>431</v>
      </c>
      <c r="F42" s="20" t="s">
        <v>14</v>
      </c>
      <c r="G42" s="20">
        <v>1</v>
      </c>
    </row>
    <row r="43" spans="1:12" hidden="1" outlineLevel="4" collapsed="1">
      <c r="A43" s="20" t="s">
        <v>11</v>
      </c>
      <c r="B43" s="20" t="s">
        <v>82</v>
      </c>
      <c r="C43" s="20" t="s">
        <v>47</v>
      </c>
      <c r="D43" s="20"/>
      <c r="E43" s="20" t="s">
        <v>432</v>
      </c>
      <c r="F43" s="20" t="s">
        <v>14</v>
      </c>
      <c r="G43" s="20">
        <v>1</v>
      </c>
    </row>
    <row r="44" spans="1:12" hidden="1" outlineLevel="4" collapsed="1">
      <c r="A44" s="20" t="s">
        <v>14</v>
      </c>
      <c r="B44" s="20" t="s">
        <v>82</v>
      </c>
      <c r="C44" s="20" t="s">
        <v>47</v>
      </c>
      <c r="D44" s="20" t="s">
        <v>399</v>
      </c>
      <c r="E44" s="24" t="s">
        <v>433</v>
      </c>
      <c r="F44" s="20" t="s">
        <v>14</v>
      </c>
      <c r="G44" s="20" t="e">
        <f>(SQRT((G42*G40)^2+(G43*G41)^2))/G45</f>
        <v>#DIV/0!</v>
      </c>
    </row>
    <row r="45" spans="1:12" hidden="1" outlineLevel="4" collapsed="1">
      <c r="A45" s="20" t="s">
        <v>14</v>
      </c>
      <c r="B45" s="20" t="s">
        <v>82</v>
      </c>
      <c r="C45" s="20" t="s">
        <v>47</v>
      </c>
      <c r="D45" s="20" t="s">
        <v>399</v>
      </c>
      <c r="E45" s="24" t="s">
        <v>434</v>
      </c>
      <c r="F45" s="20" t="s">
        <v>14</v>
      </c>
      <c r="G45" s="20">
        <f>G41-G40</f>
        <v>0</v>
      </c>
    </row>
    <row r="46" spans="1:12" hidden="1" outlineLevel="4" collapsed="1">
      <c r="A46" s="20" t="s">
        <v>11</v>
      </c>
      <c r="B46" s="20" t="s">
        <v>82</v>
      </c>
      <c r="C46" s="20" t="s">
        <v>47</v>
      </c>
      <c r="D46" s="20"/>
      <c r="E46" s="20" t="s">
        <v>435</v>
      </c>
      <c r="F46" s="20" t="s">
        <v>14</v>
      </c>
      <c r="G46" s="26">
        <v>7.0000000000000007E-2</v>
      </c>
    </row>
    <row r="47" spans="1:12" hidden="1" outlineLevel="2">
      <c r="A47" s="3" t="s">
        <v>14</v>
      </c>
      <c r="B47" s="10" t="s">
        <v>436</v>
      </c>
      <c r="C47" s="18" t="s">
        <v>47</v>
      </c>
      <c r="D47" s="18" t="b">
        <f>EXACT(G9,"Estimating change in carbon stock in trees in a year")</f>
        <v>1</v>
      </c>
      <c r="E47" s="18" t="s">
        <v>386</v>
      </c>
      <c r="F47" s="18" t="s">
        <v>14</v>
      </c>
      <c r="G47" s="18" t="s">
        <v>47</v>
      </c>
    </row>
    <row r="48" spans="1:12" ht="30" hidden="1" outlineLevel="3" collapsed="1">
      <c r="A48" s="20" t="s">
        <v>14</v>
      </c>
      <c r="B48" s="20" t="s">
        <v>82</v>
      </c>
      <c r="C48" s="20" t="s">
        <v>47</v>
      </c>
      <c r="D48" s="20" t="s">
        <v>399</v>
      </c>
      <c r="E48" s="20" t="s">
        <v>437</v>
      </c>
      <c r="F48" s="20" t="s">
        <v>14</v>
      </c>
      <c r="G48" s="20">
        <f>(G49-G50/G51)*1</f>
        <v>1</v>
      </c>
    </row>
    <row r="49" spans="1:7" ht="30" hidden="1" outlineLevel="3" collapsed="1">
      <c r="A49" s="20" t="s">
        <v>11</v>
      </c>
      <c r="B49" s="20" t="s">
        <v>82</v>
      </c>
      <c r="C49" s="20" t="s">
        <v>47</v>
      </c>
      <c r="D49" s="20"/>
      <c r="E49" s="20" t="s">
        <v>438</v>
      </c>
      <c r="F49" s="20" t="s">
        <v>14</v>
      </c>
      <c r="G49" s="20">
        <v>1</v>
      </c>
    </row>
    <row r="50" spans="1:7" ht="30" hidden="1" outlineLevel="3" collapsed="1">
      <c r="A50" s="20" t="s">
        <v>11</v>
      </c>
      <c r="B50" s="20" t="s">
        <v>82</v>
      </c>
      <c r="C50" s="20" t="s">
        <v>47</v>
      </c>
      <c r="D50" s="20"/>
      <c r="E50" s="20" t="s">
        <v>439</v>
      </c>
      <c r="F50" s="20" t="s">
        <v>14</v>
      </c>
      <c r="G50" s="20"/>
    </row>
    <row r="51" spans="1:7" hidden="1" outlineLevel="3" collapsed="1">
      <c r="A51" s="20" t="s">
        <v>11</v>
      </c>
      <c r="B51" s="20" t="s">
        <v>82</v>
      </c>
      <c r="C51" s="20" t="s">
        <v>47</v>
      </c>
      <c r="D51" s="20"/>
      <c r="E51" s="20" t="s">
        <v>440</v>
      </c>
      <c r="F51" s="20" t="s">
        <v>14</v>
      </c>
      <c r="G51" s="20">
        <v>1</v>
      </c>
    </row>
    <row r="52" spans="1:7" hidden="1" outlineLevel="2">
      <c r="A52" s="3" t="s">
        <v>11</v>
      </c>
      <c r="B52" s="10" t="s">
        <v>441</v>
      </c>
      <c r="C52" s="18" t="s">
        <v>47</v>
      </c>
      <c r="D52" s="18"/>
      <c r="E52" s="18" t="s">
        <v>442</v>
      </c>
      <c r="F52" s="18" t="s">
        <v>14</v>
      </c>
      <c r="G52" s="18" t="s">
        <v>47</v>
      </c>
    </row>
    <row r="53" spans="1:7" ht="30" hidden="1" outlineLevel="2" collapsed="1">
      <c r="A53" s="20" t="s">
        <v>11</v>
      </c>
      <c r="B53" s="20" t="s">
        <v>17</v>
      </c>
      <c r="C53" s="21" t="s">
        <v>443</v>
      </c>
      <c r="D53" s="20"/>
      <c r="E53" s="20" t="s">
        <v>444</v>
      </c>
      <c r="F53" s="20" t="s">
        <v>14</v>
      </c>
      <c r="G53" s="20" t="s">
        <v>445</v>
      </c>
    </row>
    <row r="54" spans="1:7" hidden="1" outlineLevel="2">
      <c r="A54" s="22" t="s">
        <v>14</v>
      </c>
      <c r="B54" s="23" t="s">
        <v>446</v>
      </c>
      <c r="C54" s="22" t="s">
        <v>47</v>
      </c>
      <c r="D54" s="22" t="b">
        <f>EXACT(G53,"Updating the previous stock by independent measurement of change")</f>
        <v>0</v>
      </c>
      <c r="E54" s="22" t="s">
        <v>447</v>
      </c>
      <c r="F54" s="22" t="s">
        <v>14</v>
      </c>
      <c r="G54" s="22" t="s">
        <v>47</v>
      </c>
    </row>
    <row r="55" spans="1:7" hidden="1" outlineLevel="3" collapsed="1">
      <c r="A55" s="20" t="s">
        <v>14</v>
      </c>
      <c r="B55" s="20" t="s">
        <v>82</v>
      </c>
      <c r="C55" s="20" t="s">
        <v>47</v>
      </c>
      <c r="D55" s="20" t="s">
        <v>399</v>
      </c>
      <c r="E55" s="20" t="s">
        <v>448</v>
      </c>
      <c r="F55" s="20" t="s">
        <v>14</v>
      </c>
      <c r="G55" s="20" t="e">
        <f>E56+E57</f>
        <v>#VALUE!</v>
      </c>
    </row>
    <row r="56" spans="1:7" ht="30" hidden="1" outlineLevel="3" collapsed="1">
      <c r="A56" s="20" t="s">
        <v>11</v>
      </c>
      <c r="B56" s="20" t="s">
        <v>82</v>
      </c>
      <c r="C56" s="20" t="s">
        <v>47</v>
      </c>
      <c r="D56" s="20"/>
      <c r="E56" s="20" t="s">
        <v>449</v>
      </c>
      <c r="F56" s="20" t="s">
        <v>14</v>
      </c>
      <c r="G56" s="20">
        <v>1</v>
      </c>
    </row>
    <row r="57" spans="1:7" ht="30" hidden="1" outlineLevel="3" collapsed="1">
      <c r="A57" s="20" t="s">
        <v>11</v>
      </c>
      <c r="B57" s="20" t="s">
        <v>82</v>
      </c>
      <c r="C57" s="20" t="s">
        <v>47</v>
      </c>
      <c r="D57" s="20"/>
      <c r="E57" s="20" t="s">
        <v>450</v>
      </c>
      <c r="F57" s="20" t="s">
        <v>14</v>
      </c>
      <c r="G57" s="20">
        <v>1</v>
      </c>
    </row>
    <row r="58" spans="1:7" hidden="1" outlineLevel="3" collapsed="1">
      <c r="A58" s="20" t="s">
        <v>11</v>
      </c>
      <c r="B58" s="20" t="s">
        <v>82</v>
      </c>
      <c r="C58" s="20" t="s">
        <v>47</v>
      </c>
      <c r="D58" s="20"/>
      <c r="E58" s="20" t="s">
        <v>451</v>
      </c>
      <c r="F58" s="20" t="s">
        <v>14</v>
      </c>
      <c r="G58" s="20"/>
    </row>
    <row r="59" spans="1:7" ht="30" hidden="1" outlineLevel="3" collapsed="1">
      <c r="A59" s="20" t="s">
        <v>14</v>
      </c>
      <c r="B59" s="20" t="s">
        <v>82</v>
      </c>
      <c r="C59" s="20" t="s">
        <v>47</v>
      </c>
      <c r="D59" s="20" t="s">
        <v>399</v>
      </c>
      <c r="E59" s="20" t="s">
        <v>452</v>
      </c>
      <c r="F59" s="20" t="s">
        <v>14</v>
      </c>
      <c r="G59" s="20" t="e">
        <f>(SQRT((G60*G56)^2+(G58*G57)^2))/G55</f>
        <v>#VALUE!</v>
      </c>
    </row>
    <row r="60" spans="1:7" ht="30" hidden="1" outlineLevel="3" collapsed="1">
      <c r="A60" s="20" t="s">
        <v>11</v>
      </c>
      <c r="B60" s="20" t="s">
        <v>82</v>
      </c>
      <c r="C60" s="20" t="s">
        <v>47</v>
      </c>
      <c r="D60" s="20"/>
      <c r="E60" s="20" t="s">
        <v>453</v>
      </c>
      <c r="F60" s="20" t="s">
        <v>14</v>
      </c>
      <c r="G60" s="20">
        <v>1</v>
      </c>
    </row>
    <row r="61" spans="1:7" hidden="1" outlineLevel="2">
      <c r="A61" s="22" t="s">
        <v>14</v>
      </c>
      <c r="B61" s="23" t="s">
        <v>454</v>
      </c>
      <c r="C61" s="22"/>
      <c r="D61" s="22" t="b">
        <f>EXACT(G53,"Estimation by modelling of tree growth and stand development")</f>
        <v>1</v>
      </c>
      <c r="E61" s="22" t="s">
        <v>445</v>
      </c>
      <c r="F61" s="22" t="s">
        <v>14</v>
      </c>
      <c r="G61" s="22"/>
    </row>
    <row r="62" spans="1:7" ht="60" hidden="1" outlineLevel="3">
      <c r="A62" s="20" t="s">
        <v>14</v>
      </c>
      <c r="B62" s="20" t="s">
        <v>44</v>
      </c>
      <c r="C62" s="20"/>
      <c r="D62" s="20"/>
      <c r="E62" s="20" t="s">
        <v>455</v>
      </c>
      <c r="F62" s="20" t="s">
        <v>14</v>
      </c>
      <c r="G62" s="20"/>
    </row>
    <row r="63" spans="1:7" ht="75" hidden="1" outlineLevel="3">
      <c r="A63" s="20" t="s">
        <v>14</v>
      </c>
      <c r="B63" s="20" t="s">
        <v>44</v>
      </c>
      <c r="C63" s="20"/>
      <c r="D63" s="20"/>
      <c r="E63" s="20" t="s">
        <v>456</v>
      </c>
      <c r="F63" s="20" t="s">
        <v>14</v>
      </c>
      <c r="G63" s="20"/>
    </row>
    <row r="64" spans="1:7" ht="60" hidden="1" outlineLevel="3">
      <c r="A64" s="20" t="s">
        <v>14</v>
      </c>
      <c r="B64" s="20" t="s">
        <v>44</v>
      </c>
      <c r="C64" s="20"/>
      <c r="D64" s="20"/>
      <c r="E64" s="20" t="s">
        <v>457</v>
      </c>
      <c r="F64" s="20" t="s">
        <v>14</v>
      </c>
      <c r="G64" s="20"/>
    </row>
    <row r="65" spans="1:7" ht="60" hidden="1" outlineLevel="3">
      <c r="A65" s="20" t="s">
        <v>14</v>
      </c>
      <c r="B65" s="20" t="s">
        <v>44</v>
      </c>
      <c r="C65" s="20"/>
      <c r="D65" s="20"/>
      <c r="E65" s="20" t="s">
        <v>458</v>
      </c>
      <c r="F65" s="20" t="s">
        <v>14</v>
      </c>
      <c r="G65" s="20"/>
    </row>
    <row r="66" spans="1:7" ht="135" hidden="1" outlineLevel="3">
      <c r="A66" s="20" t="s">
        <v>11</v>
      </c>
      <c r="B66" s="20" t="s">
        <v>17</v>
      </c>
      <c r="C66" s="21" t="s">
        <v>459</v>
      </c>
      <c r="D66" s="20"/>
      <c r="E66" s="20" t="s">
        <v>460</v>
      </c>
      <c r="F66" s="20" t="s">
        <v>14</v>
      </c>
      <c r="G66" s="20" t="s">
        <v>11</v>
      </c>
    </row>
    <row r="67" spans="1:7" ht="30" hidden="1" outlineLevel="3">
      <c r="A67" s="20" t="s">
        <v>14</v>
      </c>
      <c r="B67" s="20" t="s">
        <v>44</v>
      </c>
      <c r="C67" s="20"/>
      <c r="D67" s="20" t="b">
        <f>EXACT(G66,"No")</f>
        <v>0</v>
      </c>
      <c r="E67" s="20" t="s">
        <v>461</v>
      </c>
      <c r="F67" s="20" t="s">
        <v>14</v>
      </c>
      <c r="G67" s="20"/>
    </row>
    <row r="68" spans="1:7" hidden="1" outlineLevel="3">
      <c r="A68" s="22" t="s">
        <v>14</v>
      </c>
      <c r="B68" s="23" t="s">
        <v>462</v>
      </c>
      <c r="C68" s="22"/>
      <c r="D68" s="22" t="b">
        <f>EXACT(G66,"Yes")</f>
        <v>1</v>
      </c>
      <c r="E68" s="22" t="s">
        <v>463</v>
      </c>
      <c r="F68" s="22" t="s">
        <v>14</v>
      </c>
      <c r="G68" s="22"/>
    </row>
    <row r="69" spans="1:7" ht="30" hidden="1" outlineLevel="4">
      <c r="A69" s="20" t="s">
        <v>11</v>
      </c>
      <c r="B69" s="20" t="s">
        <v>82</v>
      </c>
      <c r="C69" s="20"/>
      <c r="D69" s="20"/>
      <c r="E69" s="20" t="s">
        <v>464</v>
      </c>
      <c r="F69" s="20" t="s">
        <v>14</v>
      </c>
      <c r="G69" s="20"/>
    </row>
    <row r="70" spans="1:7" hidden="1" outlineLevel="4">
      <c r="A70" s="20" t="s">
        <v>11</v>
      </c>
      <c r="B70" s="20" t="s">
        <v>82</v>
      </c>
      <c r="C70" s="20"/>
      <c r="D70" s="20"/>
      <c r="E70" s="20" t="s">
        <v>465</v>
      </c>
      <c r="F70" s="20" t="s">
        <v>14</v>
      </c>
      <c r="G70" s="20"/>
    </row>
    <row r="71" spans="1:7" hidden="1" outlineLevel="4">
      <c r="A71" s="20" t="s">
        <v>11</v>
      </c>
      <c r="B71" s="20" t="s">
        <v>82</v>
      </c>
      <c r="C71" s="20"/>
      <c r="D71" s="20"/>
      <c r="E71" s="20" t="s">
        <v>466</v>
      </c>
      <c r="F71" s="20" t="s">
        <v>14</v>
      </c>
      <c r="G71" s="20"/>
    </row>
    <row r="72" spans="1:7" hidden="1" outlineLevel="2">
      <c r="A72" s="22" t="s">
        <v>14</v>
      </c>
      <c r="B72" s="23" t="s">
        <v>467</v>
      </c>
      <c r="C72" s="22" t="s">
        <v>47</v>
      </c>
      <c r="D72" s="22" t="b">
        <f>EXACT(G53,"Proportionate crown cover")</f>
        <v>0</v>
      </c>
      <c r="E72" s="22" t="s">
        <v>468</v>
      </c>
      <c r="F72" s="22" t="s">
        <v>14</v>
      </c>
      <c r="G72" s="22" t="s">
        <v>47</v>
      </c>
    </row>
    <row r="73" spans="1:7" ht="30" hidden="1" outlineLevel="3" collapsed="1">
      <c r="A73" s="20" t="s">
        <v>14</v>
      </c>
      <c r="B73" s="20" t="s">
        <v>82</v>
      </c>
      <c r="C73" s="20" t="s">
        <v>47</v>
      </c>
      <c r="D73" s="20" t="s">
        <v>399</v>
      </c>
      <c r="E73" s="20" t="s">
        <v>469</v>
      </c>
      <c r="F73" s="20" t="s">
        <v>14</v>
      </c>
      <c r="G73" s="20">
        <f>SUM(G75)</f>
        <v>7.333333333333333</v>
      </c>
    </row>
    <row r="74" spans="1:7" hidden="1" outlineLevel="3">
      <c r="A74" s="22" t="s">
        <v>11</v>
      </c>
      <c r="B74" s="23" t="s">
        <v>470</v>
      </c>
      <c r="C74" s="22" t="s">
        <v>47</v>
      </c>
      <c r="D74" s="22"/>
      <c r="E74" s="22" t="s">
        <v>403</v>
      </c>
      <c r="F74" s="22" t="s">
        <v>11</v>
      </c>
      <c r="G74" s="22" t="s">
        <v>47</v>
      </c>
    </row>
    <row r="75" spans="1:7" ht="30" hidden="1" outlineLevel="4" collapsed="1">
      <c r="A75" s="20" t="s">
        <v>14</v>
      </c>
      <c r="B75" s="20" t="s">
        <v>82</v>
      </c>
      <c r="C75" s="20" t="s">
        <v>47</v>
      </c>
      <c r="D75" s="20" t="s">
        <v>399</v>
      </c>
      <c r="E75" s="20" t="s">
        <v>471</v>
      </c>
      <c r="F75" s="20" t="s">
        <v>14</v>
      </c>
      <c r="G75" s="20">
        <f>44/12*G76*G77*(1+G78)*G79*G80</f>
        <v>7.333333333333333</v>
      </c>
    </row>
    <row r="76" spans="1:7" hidden="1" outlineLevel="4" collapsed="1">
      <c r="A76" s="20" t="s">
        <v>11</v>
      </c>
      <c r="B76" s="20" t="s">
        <v>82</v>
      </c>
      <c r="C76" s="20" t="s">
        <v>47</v>
      </c>
      <c r="D76" s="20"/>
      <c r="E76" s="20" t="s">
        <v>405</v>
      </c>
      <c r="F76" s="20" t="s">
        <v>14</v>
      </c>
      <c r="G76" s="20">
        <v>1</v>
      </c>
    </row>
    <row r="77" spans="1:7" ht="30" hidden="1" outlineLevel="4" collapsed="1">
      <c r="A77" s="20" t="s">
        <v>11</v>
      </c>
      <c r="B77" s="20" t="s">
        <v>82</v>
      </c>
      <c r="C77" s="20" t="s">
        <v>47</v>
      </c>
      <c r="D77" s="20"/>
      <c r="E77" s="20" t="s">
        <v>472</v>
      </c>
      <c r="F77" s="20" t="s">
        <v>14</v>
      </c>
      <c r="G77" s="20">
        <v>1</v>
      </c>
    </row>
    <row r="78" spans="1:7" hidden="1" outlineLevel="4" collapsed="1">
      <c r="A78" s="20" t="s">
        <v>11</v>
      </c>
      <c r="B78" s="20" t="s">
        <v>82</v>
      </c>
      <c r="C78" s="20" t="s">
        <v>47</v>
      </c>
      <c r="D78" s="20"/>
      <c r="E78" s="20" t="s">
        <v>407</v>
      </c>
      <c r="F78" s="20" t="s">
        <v>14</v>
      </c>
      <c r="G78" s="20">
        <v>1</v>
      </c>
    </row>
    <row r="79" spans="1:7" ht="30" hidden="1" outlineLevel="4" collapsed="1">
      <c r="A79" s="20" t="s">
        <v>11</v>
      </c>
      <c r="B79" s="20" t="s">
        <v>82</v>
      </c>
      <c r="C79" s="20" t="s">
        <v>47</v>
      </c>
      <c r="D79" s="20"/>
      <c r="E79" s="20" t="s">
        <v>473</v>
      </c>
      <c r="F79" s="20" t="s">
        <v>14</v>
      </c>
      <c r="G79" s="20">
        <v>1</v>
      </c>
    </row>
    <row r="80" spans="1:7" ht="30" hidden="1" outlineLevel="4" collapsed="1">
      <c r="A80" s="20" t="s">
        <v>11</v>
      </c>
      <c r="B80" s="20" t="s">
        <v>82</v>
      </c>
      <c r="C80" s="20" t="s">
        <v>47</v>
      </c>
      <c r="D80" s="20"/>
      <c r="E80" s="20" t="s">
        <v>474</v>
      </c>
      <c r="F80" s="20" t="s">
        <v>14</v>
      </c>
      <c r="G80" s="20">
        <v>1</v>
      </c>
    </row>
    <row r="81" spans="1:12" hidden="1" outlineLevel="2">
      <c r="A81" s="22" t="s">
        <v>14</v>
      </c>
      <c r="B81" s="23" t="s">
        <v>475</v>
      </c>
      <c r="C81" s="22" t="s">
        <v>47</v>
      </c>
      <c r="D81" s="22" t="b">
        <f>EXACT(G53,"Measurement of sample plots")</f>
        <v>0</v>
      </c>
      <c r="E81" s="22" t="s">
        <v>475</v>
      </c>
      <c r="F81" s="22" t="s">
        <v>14</v>
      </c>
      <c r="G81" s="22" t="s">
        <v>47</v>
      </c>
    </row>
    <row r="82" spans="1:12" ht="30" hidden="1" outlineLevel="3" collapsed="1">
      <c r="A82" s="20" t="s">
        <v>11</v>
      </c>
      <c r="B82" s="20" t="s">
        <v>17</v>
      </c>
      <c r="C82" s="21" t="s">
        <v>476</v>
      </c>
      <c r="D82" s="20"/>
      <c r="E82" s="20" t="s">
        <v>477</v>
      </c>
      <c r="F82" s="20" t="s">
        <v>14</v>
      </c>
      <c r="G82" s="20" t="s">
        <v>478</v>
      </c>
    </row>
    <row r="83" spans="1:12" hidden="1" outlineLevel="3">
      <c r="A83" s="22" t="s">
        <v>14</v>
      </c>
      <c r="B83" s="23" t="s">
        <v>478</v>
      </c>
      <c r="C83" s="22" t="s">
        <v>47</v>
      </c>
      <c r="D83" s="22" t="b">
        <f>EXACT(G82,"Stratified random sampling")</f>
        <v>1</v>
      </c>
      <c r="E83" s="22" t="s">
        <v>478</v>
      </c>
      <c r="F83" s="22" t="s">
        <v>14</v>
      </c>
      <c r="G83" s="22" t="s">
        <v>47</v>
      </c>
    </row>
    <row r="84" spans="1:12" ht="30" hidden="1" outlineLevel="4" collapsed="1">
      <c r="A84" s="20" t="s">
        <v>14</v>
      </c>
      <c r="B84" s="20" t="s">
        <v>82</v>
      </c>
      <c r="C84" s="20" t="s">
        <v>47</v>
      </c>
      <c r="D84" s="20" t="s">
        <v>399</v>
      </c>
      <c r="E84" s="20" t="s">
        <v>479</v>
      </c>
      <c r="F84" s="20" t="s">
        <v>14</v>
      </c>
      <c r="G84" s="20">
        <f>44/12*G85*G86</f>
        <v>3.6666666666666665</v>
      </c>
    </row>
    <row r="85" spans="1:12" hidden="1" outlineLevel="4" collapsed="1">
      <c r="A85" s="20" t="s">
        <v>11</v>
      </c>
      <c r="B85" s="20" t="s">
        <v>82</v>
      </c>
      <c r="C85" s="20" t="s">
        <v>47</v>
      </c>
      <c r="D85" s="20"/>
      <c r="E85" s="20" t="s">
        <v>405</v>
      </c>
      <c r="F85" s="20" t="s">
        <v>14</v>
      </c>
      <c r="G85" s="20">
        <v>1</v>
      </c>
    </row>
    <row r="86" spans="1:12" ht="30" hidden="1" outlineLevel="4" collapsed="1">
      <c r="A86" s="20" t="s">
        <v>14</v>
      </c>
      <c r="B86" s="20" t="s">
        <v>82</v>
      </c>
      <c r="C86" s="20" t="s">
        <v>47</v>
      </c>
      <c r="D86" s="20" t="s">
        <v>399</v>
      </c>
      <c r="E86" s="20" t="s">
        <v>480</v>
      </c>
      <c r="F86" s="20" t="s">
        <v>14</v>
      </c>
      <c r="G86" s="20">
        <f>G87*G88</f>
        <v>1</v>
      </c>
    </row>
    <row r="87" spans="1:12" ht="30" hidden="1" outlineLevel="4" collapsed="1">
      <c r="A87" s="20" t="s">
        <v>11</v>
      </c>
      <c r="B87" s="20" t="s">
        <v>82</v>
      </c>
      <c r="C87" s="20" t="s">
        <v>47</v>
      </c>
      <c r="D87" s="20"/>
      <c r="E87" s="20" t="s">
        <v>481</v>
      </c>
      <c r="F87" s="20" t="s">
        <v>14</v>
      </c>
      <c r="G87" s="20">
        <v>1</v>
      </c>
    </row>
    <row r="88" spans="1:12" ht="30" hidden="1" outlineLevel="4" collapsed="1">
      <c r="A88" s="20" t="s">
        <v>14</v>
      </c>
      <c r="B88" s="20" t="s">
        <v>82</v>
      </c>
      <c r="C88" s="20" t="s">
        <v>47</v>
      </c>
      <c r="D88" s="20" t="s">
        <v>399</v>
      </c>
      <c r="E88" s="20" t="s">
        <v>482</v>
      </c>
      <c r="F88" s="20" t="s">
        <v>14</v>
      </c>
      <c r="G88" s="20">
        <f>SUM((G93*G92))</f>
        <v>1</v>
      </c>
    </row>
    <row r="89" spans="1:12" hidden="1" outlineLevel="4" collapsed="1">
      <c r="A89" s="20" t="s">
        <v>11</v>
      </c>
      <c r="B89" s="20" t="s">
        <v>82</v>
      </c>
      <c r="C89" s="20" t="s">
        <v>47</v>
      </c>
      <c r="D89" s="20"/>
      <c r="E89" s="20" t="s">
        <v>483</v>
      </c>
      <c r="F89" s="20" t="s">
        <v>14</v>
      </c>
      <c r="G89" s="20">
        <v>1</v>
      </c>
    </row>
    <row r="90" spans="1:12" ht="30" hidden="1" outlineLevel="4" collapsed="1">
      <c r="A90" s="20" t="s">
        <v>11</v>
      </c>
      <c r="B90" s="20" t="s">
        <v>82</v>
      </c>
      <c r="C90" s="20" t="s">
        <v>47</v>
      </c>
      <c r="D90" s="20"/>
      <c r="E90" s="20" t="s">
        <v>484</v>
      </c>
      <c r="F90" s="20" t="s">
        <v>14</v>
      </c>
      <c r="G90" s="20">
        <v>1</v>
      </c>
    </row>
    <row r="91" spans="1:12" hidden="1" outlineLevel="4">
      <c r="A91" s="22" t="s">
        <v>11</v>
      </c>
      <c r="B91" s="23" t="s">
        <v>485</v>
      </c>
      <c r="C91" s="22" t="s">
        <v>47</v>
      </c>
      <c r="D91" s="22"/>
      <c r="E91" s="22" t="s">
        <v>486</v>
      </c>
      <c r="F91" s="22" t="s">
        <v>11</v>
      </c>
      <c r="G91" s="22" t="s">
        <v>47</v>
      </c>
    </row>
    <row r="92" spans="1:12" s="25" customFormat="1" ht="30" hidden="1" outlineLevel="5" collapsed="1">
      <c r="A92" s="24" t="s">
        <v>14</v>
      </c>
      <c r="B92" s="24" t="s">
        <v>82</v>
      </c>
      <c r="C92" s="24" t="s">
        <v>47</v>
      </c>
      <c r="D92" s="24" t="s">
        <v>399</v>
      </c>
      <c r="E92" s="24" t="s">
        <v>487</v>
      </c>
      <c r="F92" s="24" t="s">
        <v>14</v>
      </c>
      <c r="G92" s="24">
        <f>(SUM(G97))/G95</f>
        <v>1</v>
      </c>
      <c r="H92"/>
      <c r="I92"/>
      <c r="J92"/>
      <c r="K92"/>
      <c r="L92"/>
    </row>
    <row r="93" spans="1:12" ht="30" hidden="1" outlineLevel="5" collapsed="1">
      <c r="A93" s="20" t="s">
        <v>11</v>
      </c>
      <c r="B93" s="20" t="s">
        <v>82</v>
      </c>
      <c r="C93" s="20" t="s">
        <v>47</v>
      </c>
      <c r="D93" s="20"/>
      <c r="E93" s="20" t="s">
        <v>488</v>
      </c>
      <c r="F93" s="20" t="s">
        <v>14</v>
      </c>
      <c r="G93" s="20">
        <v>1</v>
      </c>
    </row>
    <row r="94" spans="1:12" ht="30" hidden="1" outlineLevel="5" collapsed="1">
      <c r="A94" s="20" t="s">
        <v>11</v>
      </c>
      <c r="B94" s="20" t="s">
        <v>82</v>
      </c>
      <c r="C94" s="20" t="s">
        <v>47</v>
      </c>
      <c r="D94" s="20"/>
      <c r="E94" s="20" t="s">
        <v>489</v>
      </c>
      <c r="F94" s="20" t="s">
        <v>14</v>
      </c>
      <c r="G94" s="20">
        <v>1</v>
      </c>
    </row>
    <row r="95" spans="1:12" hidden="1" outlineLevel="5" collapsed="1">
      <c r="A95" s="20" t="s">
        <v>11</v>
      </c>
      <c r="B95" s="20" t="s">
        <v>82</v>
      </c>
      <c r="C95" s="20" t="s">
        <v>47</v>
      </c>
      <c r="D95" s="20"/>
      <c r="E95" s="20" t="s">
        <v>490</v>
      </c>
      <c r="F95" s="20" t="s">
        <v>14</v>
      </c>
      <c r="G95" s="20">
        <v>1</v>
      </c>
    </row>
    <row r="96" spans="1:12" hidden="1" outlineLevel="4">
      <c r="A96" s="22" t="s">
        <v>11</v>
      </c>
      <c r="B96" s="23" t="s">
        <v>491</v>
      </c>
      <c r="C96" s="22"/>
      <c r="D96" s="22"/>
      <c r="E96" s="22" t="s">
        <v>492</v>
      </c>
      <c r="F96" s="22" t="s">
        <v>11</v>
      </c>
      <c r="G96" s="22"/>
    </row>
    <row r="97" spans="1:12" s="25" customFormat="1" ht="30" hidden="1" outlineLevel="5" collapsed="1">
      <c r="A97" s="24" t="s">
        <v>11</v>
      </c>
      <c r="B97" s="24" t="s">
        <v>82</v>
      </c>
      <c r="C97" s="24" t="s">
        <v>47</v>
      </c>
      <c r="D97" s="24"/>
      <c r="E97" s="24" t="s">
        <v>493</v>
      </c>
      <c r="F97" s="24" t="s">
        <v>14</v>
      </c>
      <c r="G97" s="24">
        <v>1</v>
      </c>
      <c r="H97"/>
      <c r="I97"/>
      <c r="J97"/>
      <c r="K97"/>
      <c r="L97"/>
    </row>
    <row r="98" spans="1:12" hidden="1" outlineLevel="3">
      <c r="A98" s="22" t="s">
        <v>14</v>
      </c>
      <c r="B98" s="23" t="s">
        <v>494</v>
      </c>
      <c r="C98" s="22" t="s">
        <v>47</v>
      </c>
      <c r="D98" s="22" t="b">
        <f>NOT(EXACT(G82,"Stratified random sampling"))</f>
        <v>0</v>
      </c>
      <c r="E98" s="22" t="s">
        <v>494</v>
      </c>
      <c r="F98" s="22" t="s">
        <v>14</v>
      </c>
      <c r="G98" s="22" t="s">
        <v>47</v>
      </c>
    </row>
    <row r="99" spans="1:12" ht="30" hidden="1" outlineLevel="4" collapsed="1">
      <c r="A99" s="20" t="s">
        <v>11</v>
      </c>
      <c r="B99" s="20" t="s">
        <v>82</v>
      </c>
      <c r="C99" s="20" t="s">
        <v>47</v>
      </c>
      <c r="D99" s="20"/>
      <c r="E99" s="20" t="s">
        <v>479</v>
      </c>
      <c r="F99" s="20" t="s">
        <v>14</v>
      </c>
      <c r="G99" s="20">
        <v>1</v>
      </c>
    </row>
    <row r="100" spans="1:12" hidden="1" outlineLevel="4" collapsed="1">
      <c r="A100" s="20" t="s">
        <v>11</v>
      </c>
      <c r="B100" s="20" t="s">
        <v>82</v>
      </c>
      <c r="C100" s="20" t="s">
        <v>47</v>
      </c>
      <c r="D100" s="20"/>
      <c r="E100" s="20" t="s">
        <v>405</v>
      </c>
      <c r="F100" s="20" t="s">
        <v>14</v>
      </c>
      <c r="G100" s="20">
        <v>1</v>
      </c>
    </row>
    <row r="101" spans="1:12" ht="30" hidden="1" outlineLevel="4" collapsed="1">
      <c r="A101" s="20" t="s">
        <v>11</v>
      </c>
      <c r="B101" s="20" t="s">
        <v>82</v>
      </c>
      <c r="C101" s="20" t="s">
        <v>47</v>
      </c>
      <c r="D101" s="20"/>
      <c r="E101" s="20" t="s">
        <v>480</v>
      </c>
      <c r="F101" s="20" t="s">
        <v>14</v>
      </c>
      <c r="G101" s="20">
        <v>1</v>
      </c>
    </row>
    <row r="102" spans="1:12" ht="30" hidden="1" outlineLevel="4" collapsed="1">
      <c r="A102" s="20" t="s">
        <v>11</v>
      </c>
      <c r="B102" s="20" t="s">
        <v>82</v>
      </c>
      <c r="C102" s="20" t="s">
        <v>47</v>
      </c>
      <c r="D102" s="20"/>
      <c r="E102" s="20" t="s">
        <v>481</v>
      </c>
      <c r="F102" s="20" t="s">
        <v>14</v>
      </c>
      <c r="G102" s="20">
        <v>1</v>
      </c>
    </row>
    <row r="103" spans="1:12" ht="30" hidden="1" outlineLevel="4" collapsed="1">
      <c r="A103" s="20" t="s">
        <v>11</v>
      </c>
      <c r="B103" s="20" t="s">
        <v>82</v>
      </c>
      <c r="C103" s="20" t="s">
        <v>47</v>
      </c>
      <c r="D103" s="20"/>
      <c r="E103" s="20" t="s">
        <v>482</v>
      </c>
      <c r="F103" s="20" t="s">
        <v>14</v>
      </c>
      <c r="G103" s="20">
        <v>1</v>
      </c>
    </row>
    <row r="104" spans="1:12" hidden="1" outlineLevel="4" collapsed="1">
      <c r="A104" s="20" t="s">
        <v>11</v>
      </c>
      <c r="B104" s="20" t="s">
        <v>82</v>
      </c>
      <c r="C104" s="20" t="s">
        <v>47</v>
      </c>
      <c r="D104" s="20"/>
      <c r="E104" s="20" t="s">
        <v>483</v>
      </c>
      <c r="F104" s="20" t="s">
        <v>14</v>
      </c>
      <c r="G104" s="20">
        <v>1</v>
      </c>
    </row>
    <row r="105" spans="1:12" ht="30" hidden="1" outlineLevel="4" collapsed="1">
      <c r="A105" s="20" t="s">
        <v>11</v>
      </c>
      <c r="B105" s="20" t="s">
        <v>82</v>
      </c>
      <c r="C105" s="20" t="s">
        <v>47</v>
      </c>
      <c r="D105" s="20"/>
      <c r="E105" s="20" t="s">
        <v>484</v>
      </c>
      <c r="F105" s="20" t="s">
        <v>14</v>
      </c>
      <c r="G105" s="20">
        <v>1</v>
      </c>
    </row>
    <row r="106" spans="1:12" hidden="1" outlineLevel="4">
      <c r="A106" s="22" t="s">
        <v>11</v>
      </c>
      <c r="B106" s="23" t="s">
        <v>495</v>
      </c>
      <c r="C106" s="22" t="s">
        <v>47</v>
      </c>
      <c r="D106" s="22"/>
      <c r="E106" s="22" t="s">
        <v>486</v>
      </c>
      <c r="F106" s="22" t="s">
        <v>11</v>
      </c>
      <c r="G106" s="22" t="s">
        <v>47</v>
      </c>
    </row>
    <row r="107" spans="1:12" ht="30" hidden="1" outlineLevel="5" collapsed="1">
      <c r="A107" s="20" t="s">
        <v>14</v>
      </c>
      <c r="B107" s="20" t="s">
        <v>82</v>
      </c>
      <c r="C107" s="20" t="s">
        <v>47</v>
      </c>
      <c r="D107" s="20" t="s">
        <v>399</v>
      </c>
      <c r="E107" s="20" t="s">
        <v>487</v>
      </c>
      <c r="F107" s="20" t="s">
        <v>14</v>
      </c>
      <c r="G107" s="20">
        <f>(SUM(G116)/G108)+G109*(G110-G111)</f>
        <v>1</v>
      </c>
    </row>
    <row r="108" spans="1:12" hidden="1" outlineLevel="5" collapsed="1">
      <c r="A108" s="20" t="s">
        <v>11</v>
      </c>
      <c r="B108" s="20" t="s">
        <v>82</v>
      </c>
      <c r="C108" s="20" t="s">
        <v>47</v>
      </c>
      <c r="D108" s="20"/>
      <c r="E108" s="20" t="s">
        <v>496</v>
      </c>
      <c r="F108" s="20" t="s">
        <v>14</v>
      </c>
      <c r="G108" s="20">
        <v>1</v>
      </c>
    </row>
    <row r="109" spans="1:12" ht="30" hidden="1" outlineLevel="5" collapsed="1">
      <c r="A109" s="20" t="s">
        <v>11</v>
      </c>
      <c r="B109" s="20" t="s">
        <v>82</v>
      </c>
      <c r="C109" s="20" t="s">
        <v>47</v>
      </c>
      <c r="D109" s="20"/>
      <c r="E109" s="20" t="s">
        <v>497</v>
      </c>
      <c r="F109" s="20" t="s">
        <v>14</v>
      </c>
      <c r="G109" s="20">
        <v>1</v>
      </c>
    </row>
    <row r="110" spans="1:12" ht="30" hidden="1" outlineLevel="5" collapsed="1">
      <c r="A110" s="20" t="s">
        <v>11</v>
      </c>
      <c r="B110" s="20" t="s">
        <v>82</v>
      </c>
      <c r="C110" s="20" t="s">
        <v>47</v>
      </c>
      <c r="D110" s="20"/>
      <c r="E110" s="20" t="s">
        <v>498</v>
      </c>
      <c r="F110" s="20" t="s">
        <v>14</v>
      </c>
      <c r="G110" s="20">
        <v>1</v>
      </c>
    </row>
    <row r="111" spans="1:12" ht="30" hidden="1" outlineLevel="5" collapsed="1">
      <c r="A111" s="20" t="s">
        <v>11</v>
      </c>
      <c r="B111" s="20" t="s">
        <v>82</v>
      </c>
      <c r="C111" s="20" t="s">
        <v>47</v>
      </c>
      <c r="D111" s="20"/>
      <c r="E111" s="20" t="s">
        <v>499</v>
      </c>
      <c r="F111" s="20" t="s">
        <v>14</v>
      </c>
      <c r="G111" s="20">
        <v>1</v>
      </c>
    </row>
    <row r="112" spans="1:12" ht="30" hidden="1" outlineLevel="5" collapsed="1">
      <c r="A112" s="20" t="s">
        <v>11</v>
      </c>
      <c r="B112" s="20" t="s">
        <v>82</v>
      </c>
      <c r="C112" s="20" t="s">
        <v>47</v>
      </c>
      <c r="D112" s="20"/>
      <c r="E112" s="20" t="s">
        <v>500</v>
      </c>
      <c r="F112" s="20" t="s">
        <v>14</v>
      </c>
      <c r="G112" s="20">
        <v>1</v>
      </c>
    </row>
    <row r="113" spans="1:12" ht="30" hidden="1" outlineLevel="5" collapsed="1">
      <c r="A113" s="20" t="s">
        <v>11</v>
      </c>
      <c r="B113" s="20" t="s">
        <v>82</v>
      </c>
      <c r="C113" s="20" t="s">
        <v>47</v>
      </c>
      <c r="D113" s="20"/>
      <c r="E113" s="20" t="s">
        <v>501</v>
      </c>
      <c r="F113" s="20" t="s">
        <v>14</v>
      </c>
      <c r="G113" s="20">
        <v>1</v>
      </c>
    </row>
    <row r="114" spans="1:12" ht="45" hidden="1" outlineLevel="5" collapsed="1">
      <c r="A114" s="20" t="s">
        <v>11</v>
      </c>
      <c r="B114" s="20" t="s">
        <v>82</v>
      </c>
      <c r="C114" s="20" t="s">
        <v>47</v>
      </c>
      <c r="D114" s="20"/>
      <c r="E114" s="20" t="s">
        <v>502</v>
      </c>
      <c r="F114" s="20" t="s">
        <v>14</v>
      </c>
      <c r="G114" s="20">
        <v>1</v>
      </c>
    </row>
    <row r="115" spans="1:12" hidden="1" outlineLevel="4">
      <c r="A115" s="22" t="s">
        <v>11</v>
      </c>
      <c r="B115" s="23" t="s">
        <v>491</v>
      </c>
      <c r="C115" s="22"/>
      <c r="D115" s="22"/>
      <c r="E115" s="22" t="s">
        <v>492</v>
      </c>
      <c r="F115" s="22" t="s">
        <v>11</v>
      </c>
      <c r="G115" s="22"/>
    </row>
    <row r="116" spans="1:12" s="25" customFormat="1" ht="30" hidden="1" outlineLevel="5" collapsed="1">
      <c r="A116" s="24" t="s">
        <v>11</v>
      </c>
      <c r="B116" s="24" t="s">
        <v>82</v>
      </c>
      <c r="C116" s="24" t="s">
        <v>47</v>
      </c>
      <c r="D116" s="24"/>
      <c r="E116" s="24" t="s">
        <v>493</v>
      </c>
      <c r="F116" s="24" t="s">
        <v>14</v>
      </c>
      <c r="G116" s="24">
        <v>1</v>
      </c>
      <c r="H116"/>
      <c r="I116"/>
      <c r="J116"/>
      <c r="K116"/>
      <c r="L116"/>
    </row>
    <row r="117" spans="1:12" hidden="1" outlineLevel="3" collapsed="1">
      <c r="A117" s="20" t="s">
        <v>11</v>
      </c>
      <c r="B117" s="20" t="s">
        <v>503</v>
      </c>
      <c r="C117" s="20" t="s">
        <v>47</v>
      </c>
      <c r="D117" s="20"/>
      <c r="E117" s="4" t="s">
        <v>504</v>
      </c>
      <c r="F117" s="20" t="s">
        <v>14</v>
      </c>
      <c r="G117" s="20" t="s">
        <v>505</v>
      </c>
    </row>
    <row r="118" spans="1:12" ht="29.25" hidden="1" customHeight="1" outlineLevel="2">
      <c r="A118" s="18" t="s">
        <v>14</v>
      </c>
      <c r="B118" s="18" t="s">
        <v>82</v>
      </c>
      <c r="C118" s="10"/>
      <c r="D118" s="18" t="s">
        <v>399</v>
      </c>
      <c r="E118" s="18" t="s">
        <v>506</v>
      </c>
      <c r="F118" s="18" t="s">
        <v>14</v>
      </c>
      <c r="G118" s="18">
        <f>IF(G53="Updating the previous stock by independent measurement of change",G55,IF(G53="Estimation by modelling of tree growth and stand development",G69,IF(G53="Estimation by proportionate crown cover",G73,IF(AND(G53="Measurement of sample plots",G82="Stratified random sampling"),G84,IF(AND(G53="Measurement of sample plots",G82="Double sampling"),G99)))))</f>
        <v>0</v>
      </c>
    </row>
    <row r="119" spans="1:12" ht="29.25" hidden="1" customHeight="1" outlineLevel="2">
      <c r="A119" s="18" t="s">
        <v>14</v>
      </c>
      <c r="B119" s="18" t="s">
        <v>82</v>
      </c>
      <c r="C119" s="10"/>
      <c r="D119" s="18" t="s">
        <v>399</v>
      </c>
      <c r="E119" s="18" t="s">
        <v>507</v>
      </c>
      <c r="F119" s="18" t="s">
        <v>14</v>
      </c>
      <c r="G119" s="18">
        <f>IF(AND(G9="Estimating change in carbon stock in trees between two points in time",G11="no-decrease"),0,IF(AND(G9="Estimating change in carbon stock in trees between two points in time",G11="Estimation by proportionate crown cover"),G16,IF(AND(G9="Estimating change in carbon stock in trees between two points in time",G11="Direct estimation of change by re-measurement of sample plots"),G25,IF(AND(G9="Estimating change in carbon stock in trees between two points in time",G11="Difference of two independent stock estimations"),G45,IF(AND(G9="Estimating change in carbon stock in trees in a year"),G48)))))</f>
        <v>1</v>
      </c>
    </row>
    <row r="120" spans="1:12" ht="29.25" hidden="1" customHeight="1" outlineLevel="2">
      <c r="A120" s="18" t="s">
        <v>11</v>
      </c>
      <c r="B120" s="18" t="s">
        <v>17</v>
      </c>
      <c r="C120" s="10" t="s">
        <v>508</v>
      </c>
      <c r="D120" s="18"/>
      <c r="E120" s="3" t="s">
        <v>509</v>
      </c>
      <c r="F120" s="3" t="s">
        <v>14</v>
      </c>
      <c r="G120" s="18" t="s">
        <v>510</v>
      </c>
    </row>
    <row r="121" spans="1:12" hidden="1" outlineLevel="2" collapsed="1">
      <c r="A121" s="18" t="s">
        <v>14</v>
      </c>
      <c r="B121" s="10" t="s">
        <v>511</v>
      </c>
      <c r="C121" s="18" t="s">
        <v>47</v>
      </c>
      <c r="D121" s="18" t="b">
        <f>EXACT(G120,"Estimating change in carbon stock in shrubs between two points in time")</f>
        <v>1</v>
      </c>
      <c r="E121" s="18" t="s">
        <v>512</v>
      </c>
      <c r="F121" s="18" t="s">
        <v>14</v>
      </c>
      <c r="G121" s="18" t="s">
        <v>47</v>
      </c>
    </row>
    <row r="122" spans="1:12" ht="29.25" hidden="1" customHeight="1" outlineLevel="3">
      <c r="A122" s="18" t="s">
        <v>11</v>
      </c>
      <c r="B122" s="18" t="s">
        <v>17</v>
      </c>
      <c r="C122" s="10" t="s">
        <v>513</v>
      </c>
      <c r="D122" s="18"/>
      <c r="E122" s="18" t="s">
        <v>514</v>
      </c>
      <c r="F122" s="18" t="s">
        <v>14</v>
      </c>
      <c r="G122" s="18" t="s">
        <v>14</v>
      </c>
    </row>
    <row r="123" spans="1:12" hidden="1" outlineLevel="3">
      <c r="A123" s="18" t="s">
        <v>14</v>
      </c>
      <c r="B123" s="10" t="s">
        <v>515</v>
      </c>
      <c r="C123" s="19"/>
      <c r="D123" s="18" t="b">
        <f>EXACT(G122,"Yes")</f>
        <v>0</v>
      </c>
      <c r="E123" s="18" t="s">
        <v>393</v>
      </c>
      <c r="F123" s="3" t="s">
        <v>14</v>
      </c>
      <c r="G123" s="18"/>
    </row>
    <row r="124" spans="1:12" ht="165" hidden="1" outlineLevel="4" collapsed="1">
      <c r="A124" s="20" t="s">
        <v>14</v>
      </c>
      <c r="B124" s="20" t="s">
        <v>44</v>
      </c>
      <c r="C124" s="20"/>
      <c r="D124" s="20"/>
      <c r="E124" s="20" t="s">
        <v>516</v>
      </c>
      <c r="F124" s="4" t="s">
        <v>14</v>
      </c>
      <c r="G124" s="20"/>
    </row>
    <row r="125" spans="1:12" ht="60" hidden="1" outlineLevel="4" collapsed="1">
      <c r="A125" s="20" t="s">
        <v>11</v>
      </c>
      <c r="B125" s="20" t="s">
        <v>17</v>
      </c>
      <c r="C125" s="27" t="s">
        <v>517</v>
      </c>
      <c r="D125" s="20"/>
      <c r="E125" s="20" t="s">
        <v>518</v>
      </c>
      <c r="F125" s="4" t="s">
        <v>14</v>
      </c>
      <c r="G125" s="20" t="s">
        <v>14</v>
      </c>
    </row>
    <row r="126" spans="1:12" ht="30" hidden="1" outlineLevel="4" collapsed="1">
      <c r="A126" s="20" t="s">
        <v>14</v>
      </c>
      <c r="B126" s="20" t="s">
        <v>82</v>
      </c>
      <c r="C126" s="20" t="s">
        <v>47</v>
      </c>
      <c r="D126" s="20" t="s">
        <v>399</v>
      </c>
      <c r="E126" s="20" t="s">
        <v>519</v>
      </c>
      <c r="F126" s="20" t="s">
        <v>14</v>
      </c>
      <c r="G126" s="20" t="e">
        <f>IF(AND(#REF!="No"),E127-E128,0)</f>
        <v>#REF!</v>
      </c>
    </row>
    <row r="127" spans="1:12" ht="30" hidden="1" outlineLevel="4" collapsed="1">
      <c r="A127" s="20" t="s">
        <v>11</v>
      </c>
      <c r="B127" s="20" t="s">
        <v>82</v>
      </c>
      <c r="C127" s="20" t="s">
        <v>47</v>
      </c>
      <c r="D127" s="20"/>
      <c r="E127" s="20" t="s">
        <v>520</v>
      </c>
      <c r="F127" s="20" t="s">
        <v>14</v>
      </c>
      <c r="G127" s="20">
        <v>1</v>
      </c>
    </row>
    <row r="128" spans="1:12" ht="30" hidden="1" outlineLevel="4" collapsed="1">
      <c r="A128" s="20" t="s">
        <v>11</v>
      </c>
      <c r="B128" s="20" t="s">
        <v>82</v>
      </c>
      <c r="C128" s="20" t="s">
        <v>47</v>
      </c>
      <c r="D128" s="20"/>
      <c r="E128" s="20" t="s">
        <v>521</v>
      </c>
      <c r="F128" s="20" t="s">
        <v>14</v>
      </c>
      <c r="G128" s="20">
        <v>1</v>
      </c>
    </row>
    <row r="129" spans="1:7" hidden="1" outlineLevel="2" collapsed="1">
      <c r="A129" s="18" t="s">
        <v>14</v>
      </c>
      <c r="B129" s="10" t="s">
        <v>522</v>
      </c>
      <c r="C129" s="18" t="s">
        <v>47</v>
      </c>
      <c r="D129" s="18" t="b">
        <f>EXACT(G120,"Estimating change in carbon stock in shrubs in a year")</f>
        <v>0</v>
      </c>
      <c r="E129" s="18" t="s">
        <v>523</v>
      </c>
      <c r="F129" s="18" t="s">
        <v>14</v>
      </c>
      <c r="G129" s="18" t="s">
        <v>47</v>
      </c>
    </row>
    <row r="130" spans="1:7" ht="30" hidden="1" outlineLevel="3" collapsed="1">
      <c r="A130" s="20" t="s">
        <v>14</v>
      </c>
      <c r="B130" s="20" t="s">
        <v>82</v>
      </c>
      <c r="C130" s="20" t="s">
        <v>47</v>
      </c>
      <c r="D130" s="20" t="s">
        <v>399</v>
      </c>
      <c r="E130" s="20" t="s">
        <v>524</v>
      </c>
      <c r="F130" s="20" t="s">
        <v>14</v>
      </c>
      <c r="G130" s="20">
        <f>(G131-G132/G133)*1</f>
        <v>0</v>
      </c>
    </row>
    <row r="131" spans="1:7" hidden="1" outlineLevel="3" collapsed="1">
      <c r="A131" s="20" t="s">
        <v>11</v>
      </c>
      <c r="B131" s="20" t="s">
        <v>82</v>
      </c>
      <c r="C131" s="20" t="s">
        <v>47</v>
      </c>
      <c r="D131" s="20"/>
      <c r="E131" s="20" t="s">
        <v>525</v>
      </c>
      <c r="F131" s="20" t="s">
        <v>14</v>
      </c>
      <c r="G131" s="20">
        <v>1</v>
      </c>
    </row>
    <row r="132" spans="1:7" hidden="1" outlineLevel="3" collapsed="1">
      <c r="A132" s="20" t="s">
        <v>11</v>
      </c>
      <c r="B132" s="20" t="s">
        <v>82</v>
      </c>
      <c r="C132" s="20" t="s">
        <v>47</v>
      </c>
      <c r="D132" s="20"/>
      <c r="E132" s="20" t="s">
        <v>526</v>
      </c>
      <c r="F132" s="20" t="s">
        <v>14</v>
      </c>
      <c r="G132" s="20">
        <v>1</v>
      </c>
    </row>
    <row r="133" spans="1:7" ht="30" hidden="1" outlineLevel="3" collapsed="1">
      <c r="A133" s="20" t="s">
        <v>11</v>
      </c>
      <c r="B133" s="20" t="s">
        <v>82</v>
      </c>
      <c r="C133" s="20" t="s">
        <v>47</v>
      </c>
      <c r="D133" s="20"/>
      <c r="E133" s="20" t="s">
        <v>527</v>
      </c>
      <c r="F133" s="20" t="s">
        <v>14</v>
      </c>
      <c r="G133" s="20">
        <v>1</v>
      </c>
    </row>
    <row r="134" spans="1:7" hidden="1" outlineLevel="2" collapsed="1">
      <c r="A134" s="18" t="s">
        <v>11</v>
      </c>
      <c r="B134" s="10" t="s">
        <v>528</v>
      </c>
      <c r="C134" s="18" t="s">
        <v>47</v>
      </c>
      <c r="D134" s="18"/>
      <c r="E134" s="18" t="s">
        <v>529</v>
      </c>
      <c r="F134" s="18" t="s">
        <v>11</v>
      </c>
      <c r="G134" s="18" t="s">
        <v>47</v>
      </c>
    </row>
    <row r="135" spans="1:7" ht="13.5" hidden="1" customHeight="1" outlineLevel="3" collapsed="1">
      <c r="A135" s="20" t="s">
        <v>14</v>
      </c>
      <c r="B135" s="20" t="s">
        <v>82</v>
      </c>
      <c r="C135" s="20" t="s">
        <v>47</v>
      </c>
      <c r="D135" s="20" t="s">
        <v>399</v>
      </c>
      <c r="E135" s="20" t="s">
        <v>530</v>
      </c>
      <c r="F135" s="20" t="s">
        <v>14</v>
      </c>
      <c r="G135" s="20">
        <f>44/12*G136*(1+G137)*SUM((G142*G143))</f>
        <v>7.333333333333333</v>
      </c>
    </row>
    <row r="136" spans="1:7" ht="13.5" hidden="1" customHeight="1" outlineLevel="3" collapsed="1">
      <c r="A136" s="20" t="s">
        <v>11</v>
      </c>
      <c r="B136" s="20" t="s">
        <v>82</v>
      </c>
      <c r="C136" s="20" t="s">
        <v>47</v>
      </c>
      <c r="D136" s="20"/>
      <c r="E136" s="20" t="s">
        <v>531</v>
      </c>
      <c r="F136" s="20" t="s">
        <v>14</v>
      </c>
      <c r="G136" s="20">
        <v>1</v>
      </c>
    </row>
    <row r="137" spans="1:7" hidden="1" outlineLevel="3" collapsed="1">
      <c r="A137" s="20" t="s">
        <v>11</v>
      </c>
      <c r="B137" s="20" t="s">
        <v>82</v>
      </c>
      <c r="C137" s="20" t="s">
        <v>47</v>
      </c>
      <c r="D137" s="20"/>
      <c r="E137" s="20" t="s">
        <v>532</v>
      </c>
      <c r="F137" s="20" t="s">
        <v>14</v>
      </c>
      <c r="G137" s="20">
        <v>1</v>
      </c>
    </row>
    <row r="138" spans="1:7" hidden="1" outlineLevel="3">
      <c r="A138" s="22" t="s">
        <v>11</v>
      </c>
      <c r="B138" s="23" t="s">
        <v>533</v>
      </c>
      <c r="C138" s="22" t="s">
        <v>47</v>
      </c>
      <c r="D138" s="22"/>
      <c r="E138" s="22" t="s">
        <v>534</v>
      </c>
      <c r="F138" s="22" t="s">
        <v>11</v>
      </c>
      <c r="G138" s="22" t="s">
        <v>47</v>
      </c>
    </row>
    <row r="139" spans="1:7" ht="30" hidden="1" outlineLevel="4" collapsed="1">
      <c r="A139" s="20" t="s">
        <v>11</v>
      </c>
      <c r="B139" s="20" t="s">
        <v>82</v>
      </c>
      <c r="C139" s="20" t="s">
        <v>47</v>
      </c>
      <c r="D139" s="20"/>
      <c r="E139" s="20" t="s">
        <v>535</v>
      </c>
      <c r="F139" s="20" t="s">
        <v>14</v>
      </c>
      <c r="G139" s="20">
        <v>1</v>
      </c>
    </row>
    <row r="140" spans="1:7" ht="30" hidden="1" outlineLevel="4" collapsed="1">
      <c r="A140" s="20" t="s">
        <v>11</v>
      </c>
      <c r="B140" s="20" t="s">
        <v>82</v>
      </c>
      <c r="C140" s="20" t="s">
        <v>47</v>
      </c>
      <c r="D140" s="20"/>
      <c r="E140" s="20" t="s">
        <v>536</v>
      </c>
      <c r="F140" s="20" t="s">
        <v>14</v>
      </c>
      <c r="G140" s="20">
        <v>1</v>
      </c>
    </row>
    <row r="141" spans="1:7" ht="30" hidden="1" outlineLevel="4" collapsed="1">
      <c r="A141" s="20" t="s">
        <v>11</v>
      </c>
      <c r="B141" s="20" t="s">
        <v>82</v>
      </c>
      <c r="C141" s="20" t="s">
        <v>47</v>
      </c>
      <c r="D141" s="20"/>
      <c r="E141" s="20" t="s">
        <v>537</v>
      </c>
      <c r="F141" s="20" t="s">
        <v>14</v>
      </c>
      <c r="G141" s="20">
        <v>1</v>
      </c>
    </row>
    <row r="142" spans="1:7" ht="30" hidden="1" outlineLevel="4" collapsed="1">
      <c r="A142" s="20" t="s">
        <v>11</v>
      </c>
      <c r="B142" s="20" t="s">
        <v>82</v>
      </c>
      <c r="C142" s="20" t="s">
        <v>47</v>
      </c>
      <c r="D142" s="20"/>
      <c r="E142" s="20" t="s">
        <v>538</v>
      </c>
      <c r="F142" s="20" t="s">
        <v>14</v>
      </c>
      <c r="G142" s="20">
        <v>1</v>
      </c>
    </row>
    <row r="143" spans="1:7" ht="30" hidden="1" outlineLevel="4" collapsed="1">
      <c r="A143" s="20" t="s">
        <v>14</v>
      </c>
      <c r="B143" s="20" t="s">
        <v>82</v>
      </c>
      <c r="C143" s="20" t="s">
        <v>47</v>
      </c>
      <c r="D143" s="20" t="s">
        <v>399</v>
      </c>
      <c r="E143" s="20" t="s">
        <v>539</v>
      </c>
      <c r="F143" s="20" t="s">
        <v>14</v>
      </c>
      <c r="G143" s="20">
        <f>G139*G140*G141</f>
        <v>1</v>
      </c>
    </row>
    <row r="144" spans="1:7" ht="29.25" hidden="1" customHeight="1" outlineLevel="2">
      <c r="A144" s="18" t="s">
        <v>14</v>
      </c>
      <c r="B144" s="18" t="s">
        <v>82</v>
      </c>
      <c r="C144" s="10"/>
      <c r="D144" s="18" t="s">
        <v>399</v>
      </c>
      <c r="E144" s="18" t="s">
        <v>540</v>
      </c>
      <c r="F144" s="18" t="s">
        <v>14</v>
      </c>
      <c r="G144" s="18">
        <f>G135</f>
        <v>7.333333333333333</v>
      </c>
    </row>
    <row r="145" spans="1:7" ht="29.25" hidden="1" customHeight="1" outlineLevel="2">
      <c r="A145" s="18" t="s">
        <v>14</v>
      </c>
      <c r="B145" s="18" t="s">
        <v>82</v>
      </c>
      <c r="C145" s="10"/>
      <c r="D145" s="18" t="s">
        <v>399</v>
      </c>
      <c r="E145" s="18" t="s">
        <v>541</v>
      </c>
      <c r="F145" s="18" t="s">
        <v>14</v>
      </c>
      <c r="G145" s="18" t="e">
        <f>IF(AND(G120="Estimating change in carbon stock in shrubs between two points in time",G122="Yes"),0,IF(AND(G120="Estimating change in carbon stock in shrubs between two points in time"),G126,IF(AND(G120="Estimating change in carbon stock in shrubs in a year"),G130)))</f>
        <v>#REF!</v>
      </c>
    </row>
    <row r="146" spans="1:7" ht="29.25" customHeight="1" outlineLevel="1">
      <c r="A146" s="18" t="s">
        <v>11</v>
      </c>
      <c r="B146" s="10" t="s">
        <v>542</v>
      </c>
      <c r="C146" s="19"/>
      <c r="D146" s="18"/>
      <c r="E146" s="18" t="s">
        <v>543</v>
      </c>
      <c r="F146" s="18" t="s">
        <v>14</v>
      </c>
      <c r="G146" s="18"/>
    </row>
    <row r="147" spans="1:7" ht="29.25" customHeight="1" outlineLevel="3">
      <c r="A147" s="18" t="s">
        <v>11</v>
      </c>
      <c r="B147" s="18" t="s">
        <v>17</v>
      </c>
      <c r="C147" s="10" t="s">
        <v>544</v>
      </c>
      <c r="D147" s="18"/>
      <c r="E147" s="18" t="s">
        <v>385</v>
      </c>
      <c r="F147" s="3" t="s">
        <v>14</v>
      </c>
      <c r="G147" s="18" t="s">
        <v>386</v>
      </c>
    </row>
    <row r="148" spans="1:7" ht="29.25" customHeight="1" outlineLevel="3">
      <c r="A148" s="3" t="s">
        <v>14</v>
      </c>
      <c r="B148" s="10" t="s">
        <v>545</v>
      </c>
      <c r="C148" s="10"/>
      <c r="D148" s="18" t="b">
        <f>EXACT(G147,"Estimating change in carbon stock in trees between two points in time")</f>
        <v>0</v>
      </c>
      <c r="E148" s="18" t="s">
        <v>388</v>
      </c>
      <c r="F148" s="3" t="s">
        <v>14</v>
      </c>
      <c r="G148" s="18"/>
    </row>
    <row r="149" spans="1:7" ht="29.25" customHeight="1" outlineLevel="4">
      <c r="A149" s="18" t="s">
        <v>11</v>
      </c>
      <c r="B149" s="18" t="s">
        <v>17</v>
      </c>
      <c r="C149" s="10" t="s">
        <v>546</v>
      </c>
      <c r="D149" s="18"/>
      <c r="E149" s="18" t="s">
        <v>390</v>
      </c>
      <c r="F149" s="18" t="s">
        <v>14</v>
      </c>
      <c r="G149" s="18" t="s">
        <v>391</v>
      </c>
    </row>
    <row r="150" spans="1:7" outlineLevel="4" collapsed="1">
      <c r="A150" s="18" t="s">
        <v>14</v>
      </c>
      <c r="B150" s="10" t="s">
        <v>392</v>
      </c>
      <c r="C150" s="19"/>
      <c r="D150" s="18" t="b">
        <f>EXACT(G149,"no-decrease")</f>
        <v>1</v>
      </c>
      <c r="E150" s="18" t="s">
        <v>393</v>
      </c>
      <c r="F150" s="3" t="s">
        <v>14</v>
      </c>
      <c r="G150" s="18"/>
    </row>
    <row r="151" spans="1:7" ht="165" hidden="1" outlineLevel="5" collapsed="1">
      <c r="A151" s="20" t="s">
        <v>14</v>
      </c>
      <c r="B151" s="20" t="s">
        <v>44</v>
      </c>
      <c r="C151" s="20"/>
      <c r="D151" s="20"/>
      <c r="E151" s="20" t="s">
        <v>394</v>
      </c>
      <c r="F151" s="4" t="s">
        <v>14</v>
      </c>
      <c r="G151" s="20"/>
    </row>
    <row r="152" spans="1:7" ht="60" hidden="1" outlineLevel="5" collapsed="1">
      <c r="A152" s="20" t="s">
        <v>11</v>
      </c>
      <c r="B152" s="20" t="s">
        <v>17</v>
      </c>
      <c r="C152" s="27" t="s">
        <v>395</v>
      </c>
      <c r="D152" s="20"/>
      <c r="E152" s="20" t="s">
        <v>396</v>
      </c>
      <c r="F152" s="4" t="s">
        <v>14</v>
      </c>
      <c r="G152" s="20"/>
    </row>
    <row r="153" spans="1:7" outlineLevel="4" collapsed="1">
      <c r="A153" s="18" t="s">
        <v>14</v>
      </c>
      <c r="B153" s="10" t="s">
        <v>410</v>
      </c>
      <c r="C153" s="18" t="s">
        <v>47</v>
      </c>
      <c r="D153" s="18" t="b">
        <f>EXACT(G149,"Direct estimation of change by re-measurement of sample plots")</f>
        <v>0</v>
      </c>
      <c r="E153" s="18" t="s">
        <v>547</v>
      </c>
      <c r="F153" s="18" t="s">
        <v>14</v>
      </c>
      <c r="G153" s="18" t="s">
        <v>47</v>
      </c>
    </row>
    <row r="154" spans="1:7" hidden="1" outlineLevel="5" collapsed="1">
      <c r="A154" s="20" t="s">
        <v>14</v>
      </c>
      <c r="B154" s="20" t="s">
        <v>82</v>
      </c>
      <c r="C154" s="20" t="s">
        <v>47</v>
      </c>
      <c r="D154" s="20" t="s">
        <v>399</v>
      </c>
      <c r="E154" s="20" t="s">
        <v>412</v>
      </c>
      <c r="F154" s="20" t="s">
        <v>14</v>
      </c>
      <c r="G154" s="20">
        <f>44/12*G155*G156</f>
        <v>3.6666666666666665</v>
      </c>
    </row>
    <row r="155" spans="1:7" hidden="1" outlineLevel="5" collapsed="1">
      <c r="A155" s="20" t="s">
        <v>11</v>
      </c>
      <c r="B155" s="20" t="s">
        <v>82</v>
      </c>
      <c r="C155" s="20" t="s">
        <v>47</v>
      </c>
      <c r="D155" s="20"/>
      <c r="E155" s="20" t="s">
        <v>405</v>
      </c>
      <c r="F155" s="20" t="s">
        <v>14</v>
      </c>
      <c r="G155" s="20">
        <v>1</v>
      </c>
    </row>
    <row r="156" spans="1:7" ht="30" hidden="1" outlineLevel="5" collapsed="1">
      <c r="A156" s="20" t="s">
        <v>14</v>
      </c>
      <c r="B156" s="20" t="s">
        <v>82</v>
      </c>
      <c r="C156" s="20" t="s">
        <v>47</v>
      </c>
      <c r="D156" s="20" t="s">
        <v>399</v>
      </c>
      <c r="E156" s="20" t="s">
        <v>413</v>
      </c>
      <c r="F156" s="20" t="s">
        <v>14</v>
      </c>
      <c r="G156" s="20">
        <f>G158*G157</f>
        <v>1</v>
      </c>
    </row>
    <row r="157" spans="1:7" ht="30" hidden="1" outlineLevel="5" collapsed="1">
      <c r="A157" s="20" t="s">
        <v>14</v>
      </c>
      <c r="B157" s="20" t="s">
        <v>82</v>
      </c>
      <c r="C157" s="20" t="s">
        <v>47</v>
      </c>
      <c r="D157" s="20" t="s">
        <v>399</v>
      </c>
      <c r="E157" s="20" t="s">
        <v>414</v>
      </c>
      <c r="F157" s="20" t="s">
        <v>14</v>
      </c>
      <c r="G157" s="20">
        <f>SUM((G163*G162))</f>
        <v>1</v>
      </c>
    </row>
    <row r="158" spans="1:7" hidden="1" outlineLevel="5" collapsed="1">
      <c r="A158" s="20" t="s">
        <v>11</v>
      </c>
      <c r="B158" s="20" t="s">
        <v>82</v>
      </c>
      <c r="C158" s="20" t="s">
        <v>47</v>
      </c>
      <c r="D158" s="20"/>
      <c r="E158" s="20" t="s">
        <v>415</v>
      </c>
      <c r="F158" s="20" t="s">
        <v>14</v>
      </c>
      <c r="G158" s="20">
        <v>1</v>
      </c>
    </row>
    <row r="159" spans="1:7" hidden="1" outlineLevel="5" collapsed="1">
      <c r="A159" s="20" t="s">
        <v>11</v>
      </c>
      <c r="B159" s="20" t="s">
        <v>82</v>
      </c>
      <c r="C159" s="20" t="s">
        <v>47</v>
      </c>
      <c r="D159" s="20"/>
      <c r="E159" s="20" t="s">
        <v>548</v>
      </c>
      <c r="F159" s="20" t="s">
        <v>14</v>
      </c>
      <c r="G159" s="20">
        <v>1</v>
      </c>
    </row>
    <row r="160" spans="1:7" hidden="1" outlineLevel="5" collapsed="1">
      <c r="A160" s="20" t="s">
        <v>11</v>
      </c>
      <c r="B160" s="20" t="s">
        <v>82</v>
      </c>
      <c r="C160" s="20" t="s">
        <v>47</v>
      </c>
      <c r="D160" s="20"/>
      <c r="E160" s="20" t="s">
        <v>417</v>
      </c>
      <c r="F160" s="20" t="s">
        <v>14</v>
      </c>
      <c r="G160" s="20">
        <v>1</v>
      </c>
    </row>
    <row r="161" spans="1:12" ht="30" hidden="1" outlineLevel="5">
      <c r="A161" s="22" t="s">
        <v>11</v>
      </c>
      <c r="B161" s="23" t="s">
        <v>418</v>
      </c>
      <c r="C161" s="22" t="s">
        <v>47</v>
      </c>
      <c r="D161" s="22"/>
      <c r="E161" s="22" t="s">
        <v>419</v>
      </c>
      <c r="F161" s="22" t="s">
        <v>11</v>
      </c>
      <c r="G161" s="22" t="s">
        <v>47</v>
      </c>
    </row>
    <row r="162" spans="1:12" ht="30" hidden="1" outlineLevel="6" collapsed="1">
      <c r="A162" s="20" t="s">
        <v>14</v>
      </c>
      <c r="B162" s="20" t="s">
        <v>82</v>
      </c>
      <c r="C162" s="20" t="s">
        <v>47</v>
      </c>
      <c r="D162" s="20" t="s">
        <v>399</v>
      </c>
      <c r="E162" s="20" t="s">
        <v>420</v>
      </c>
      <c r="F162" s="20" t="s">
        <v>14</v>
      </c>
      <c r="G162" s="20">
        <f>(SUM(G167))/G165</f>
        <v>1</v>
      </c>
    </row>
    <row r="163" spans="1:12" ht="30" hidden="1" outlineLevel="6" collapsed="1">
      <c r="A163" s="20" t="s">
        <v>11</v>
      </c>
      <c r="B163" s="20" t="s">
        <v>82</v>
      </c>
      <c r="C163" s="20" t="s">
        <v>47</v>
      </c>
      <c r="D163" s="20"/>
      <c r="E163" s="20" t="s">
        <v>421</v>
      </c>
      <c r="F163" s="20" t="s">
        <v>14</v>
      </c>
      <c r="G163" s="20">
        <v>1</v>
      </c>
    </row>
    <row r="164" spans="1:12" ht="30" hidden="1" outlineLevel="6" collapsed="1">
      <c r="A164" s="20" t="s">
        <v>11</v>
      </c>
      <c r="B164" s="20" t="s">
        <v>82</v>
      </c>
      <c r="C164" s="20" t="s">
        <v>47</v>
      </c>
      <c r="D164" s="20"/>
      <c r="E164" s="20" t="s">
        <v>422</v>
      </c>
      <c r="F164" s="20" t="s">
        <v>14</v>
      </c>
      <c r="G164" s="20">
        <v>1</v>
      </c>
    </row>
    <row r="165" spans="1:12" ht="30" hidden="1" outlineLevel="6" collapsed="1">
      <c r="A165" s="20" t="s">
        <v>11</v>
      </c>
      <c r="B165" s="20" t="s">
        <v>82</v>
      </c>
      <c r="C165" s="20" t="s">
        <v>47</v>
      </c>
      <c r="D165" s="20"/>
      <c r="E165" s="20" t="s">
        <v>423</v>
      </c>
      <c r="F165" s="20" t="s">
        <v>14</v>
      </c>
      <c r="G165" s="20">
        <v>1</v>
      </c>
    </row>
    <row r="166" spans="1:12" hidden="1" outlineLevel="5">
      <c r="A166" s="22" t="s">
        <v>11</v>
      </c>
      <c r="B166" s="23" t="s">
        <v>424</v>
      </c>
      <c r="C166" s="22"/>
      <c r="D166" s="22"/>
      <c r="E166" s="22" t="s">
        <v>425</v>
      </c>
      <c r="F166" s="22" t="s">
        <v>11</v>
      </c>
      <c r="G166" s="22"/>
    </row>
    <row r="167" spans="1:12" s="25" customFormat="1" ht="30" hidden="1" outlineLevel="6" collapsed="1">
      <c r="A167" s="24" t="s">
        <v>11</v>
      </c>
      <c r="B167" s="24" t="s">
        <v>82</v>
      </c>
      <c r="C167" s="24" t="s">
        <v>47</v>
      </c>
      <c r="D167" s="24"/>
      <c r="E167" s="24" t="s">
        <v>426</v>
      </c>
      <c r="F167" s="24" t="s">
        <v>14</v>
      </c>
      <c r="G167" s="24">
        <v>1</v>
      </c>
      <c r="H167"/>
      <c r="I167"/>
      <c r="J167"/>
      <c r="K167"/>
      <c r="L167"/>
    </row>
    <row r="168" spans="1:12" outlineLevel="4" collapsed="1">
      <c r="A168" s="18" t="s">
        <v>14</v>
      </c>
      <c r="B168" s="10" t="s">
        <v>427</v>
      </c>
      <c r="C168" s="18" t="s">
        <v>47</v>
      </c>
      <c r="D168" s="18" t="b">
        <f>EXACT(G149,"Difference of two independent stock estimations")</f>
        <v>0</v>
      </c>
      <c r="E168" s="18" t="s">
        <v>549</v>
      </c>
      <c r="F168" s="18" t="s">
        <v>14</v>
      </c>
      <c r="G168" s="18" t="s">
        <v>47</v>
      </c>
    </row>
    <row r="169" spans="1:12" hidden="1" outlineLevel="5" collapsed="1">
      <c r="A169" s="20" t="s">
        <v>11</v>
      </c>
      <c r="B169" s="20" t="s">
        <v>82</v>
      </c>
      <c r="C169" s="20" t="s">
        <v>47</v>
      </c>
      <c r="D169" s="20"/>
      <c r="E169" s="20" t="s">
        <v>429</v>
      </c>
      <c r="F169" s="20" t="s">
        <v>14</v>
      </c>
      <c r="G169" s="20">
        <v>1</v>
      </c>
    </row>
    <row r="170" spans="1:12" hidden="1" outlineLevel="5" collapsed="1">
      <c r="A170" s="20" t="s">
        <v>11</v>
      </c>
      <c r="B170" s="20" t="s">
        <v>82</v>
      </c>
      <c r="C170" s="20" t="s">
        <v>47</v>
      </c>
      <c r="D170" s="20"/>
      <c r="E170" s="20" t="s">
        <v>430</v>
      </c>
      <c r="F170" s="20" t="s">
        <v>14</v>
      </c>
      <c r="G170" s="20">
        <v>1</v>
      </c>
    </row>
    <row r="171" spans="1:12" hidden="1" outlineLevel="5" collapsed="1">
      <c r="A171" s="20" t="s">
        <v>11</v>
      </c>
      <c r="B171" s="20" t="s">
        <v>82</v>
      </c>
      <c r="C171" s="20" t="s">
        <v>47</v>
      </c>
      <c r="D171" s="20"/>
      <c r="E171" s="20" t="s">
        <v>431</v>
      </c>
      <c r="F171" s="20" t="s">
        <v>14</v>
      </c>
      <c r="G171" s="20">
        <v>1</v>
      </c>
    </row>
    <row r="172" spans="1:12" hidden="1" outlineLevel="5" collapsed="1">
      <c r="A172" s="20" t="s">
        <v>11</v>
      </c>
      <c r="B172" s="20" t="s">
        <v>82</v>
      </c>
      <c r="C172" s="20" t="s">
        <v>47</v>
      </c>
      <c r="D172" s="20"/>
      <c r="E172" s="20" t="s">
        <v>432</v>
      </c>
      <c r="F172" s="20" t="s">
        <v>14</v>
      </c>
      <c r="G172" s="20">
        <v>1</v>
      </c>
    </row>
    <row r="173" spans="1:12" ht="30" hidden="1" outlineLevel="5" collapsed="1">
      <c r="A173" s="20" t="s">
        <v>14</v>
      </c>
      <c r="B173" s="20" t="s">
        <v>82</v>
      </c>
      <c r="C173" s="20" t="s">
        <v>47</v>
      </c>
      <c r="D173" s="20" t="s">
        <v>399</v>
      </c>
      <c r="E173" s="24" t="s">
        <v>550</v>
      </c>
      <c r="F173" s="20" t="s">
        <v>14</v>
      </c>
      <c r="G173" s="20" t="e">
        <f>(SQRT((G171*G169)^2+(G172*G170)^2))/G174</f>
        <v>#DIV/0!</v>
      </c>
    </row>
    <row r="174" spans="1:12" hidden="1" outlineLevel="5" collapsed="1">
      <c r="A174" s="20" t="s">
        <v>14</v>
      </c>
      <c r="B174" s="20" t="s">
        <v>82</v>
      </c>
      <c r="C174" s="20" t="s">
        <v>47</v>
      </c>
      <c r="D174" s="20" t="s">
        <v>399</v>
      </c>
      <c r="E174" s="20" t="s">
        <v>551</v>
      </c>
      <c r="F174" s="20" t="s">
        <v>14</v>
      </c>
      <c r="G174" s="20">
        <f>G170-G169</f>
        <v>0</v>
      </c>
    </row>
    <row r="175" spans="1:12" hidden="1" outlineLevel="5" collapsed="1">
      <c r="A175" s="20" t="s">
        <v>11</v>
      </c>
      <c r="B175" s="20" t="s">
        <v>82</v>
      </c>
      <c r="C175" s="20" t="s">
        <v>47</v>
      </c>
      <c r="D175" s="20"/>
      <c r="E175" s="20" t="s">
        <v>552</v>
      </c>
      <c r="F175" s="20" t="s">
        <v>14</v>
      </c>
      <c r="G175" s="26">
        <v>7.0000000000000007E-2</v>
      </c>
    </row>
    <row r="176" spans="1:12" outlineLevel="3">
      <c r="A176" s="18" t="s">
        <v>11</v>
      </c>
      <c r="B176" s="10" t="s">
        <v>553</v>
      </c>
      <c r="C176" s="18" t="s">
        <v>47</v>
      </c>
      <c r="D176" s="18" t="b">
        <f>EXACT(G147,"Estimating change in carbon stock in trees in a year")</f>
        <v>1</v>
      </c>
      <c r="E176" s="18" t="s">
        <v>386</v>
      </c>
      <c r="F176" s="18" t="s">
        <v>14</v>
      </c>
      <c r="G176" s="18" t="s">
        <v>47</v>
      </c>
    </row>
    <row r="177" spans="1:7" ht="30" outlineLevel="4" collapsed="1">
      <c r="A177" s="20" t="s">
        <v>14</v>
      </c>
      <c r="B177" s="20" t="s">
        <v>82</v>
      </c>
      <c r="C177" s="20" t="s">
        <v>47</v>
      </c>
      <c r="D177" s="20" t="s">
        <v>399</v>
      </c>
      <c r="E177" s="20" t="s">
        <v>554</v>
      </c>
      <c r="F177" s="20" t="s">
        <v>14</v>
      </c>
      <c r="G177" s="20">
        <f>(G178-G179/G180)*1</f>
        <v>0</v>
      </c>
    </row>
    <row r="178" spans="1:7" ht="30" outlineLevel="4" collapsed="1">
      <c r="A178" s="20" t="s">
        <v>11</v>
      </c>
      <c r="B178" s="20" t="s">
        <v>82</v>
      </c>
      <c r="C178" s="20" t="s">
        <v>47</v>
      </c>
      <c r="D178" s="20"/>
      <c r="E178" s="20" t="s">
        <v>555</v>
      </c>
      <c r="F178" s="20" t="s">
        <v>14</v>
      </c>
      <c r="G178" s="20">
        <v>1</v>
      </c>
    </row>
    <row r="179" spans="1:7" ht="30" outlineLevel="4" collapsed="1">
      <c r="A179" s="20" t="s">
        <v>14</v>
      </c>
      <c r="B179" s="20" t="s">
        <v>82</v>
      </c>
      <c r="C179" s="20" t="s">
        <v>47</v>
      </c>
      <c r="D179" s="20" t="s">
        <v>399</v>
      </c>
      <c r="E179" s="20" t="s">
        <v>556</v>
      </c>
      <c r="F179" s="20" t="s">
        <v>14</v>
      </c>
      <c r="G179" s="20">
        <f>IF(AND(G182="Updating the previous stock by independent measurement of change"),G185,IF(AND(G182="Estimation by modelling of tree growth and stand development"),G199))</f>
        <v>1</v>
      </c>
    </row>
    <row r="180" spans="1:7" outlineLevel="4">
      <c r="A180" s="20" t="s">
        <v>11</v>
      </c>
      <c r="B180" s="20" t="s">
        <v>82</v>
      </c>
      <c r="C180" s="20" t="s">
        <v>47</v>
      </c>
      <c r="D180" s="20"/>
      <c r="E180" s="20" t="s">
        <v>440</v>
      </c>
      <c r="F180" s="20" t="s">
        <v>14</v>
      </c>
      <c r="G180" s="20">
        <v>1</v>
      </c>
    </row>
    <row r="181" spans="1:7" outlineLevel="2">
      <c r="A181" s="18" t="s">
        <v>11</v>
      </c>
      <c r="B181" s="10" t="s">
        <v>557</v>
      </c>
      <c r="C181" s="18" t="s">
        <v>47</v>
      </c>
      <c r="D181" s="18"/>
      <c r="E181" s="18" t="s">
        <v>442</v>
      </c>
      <c r="F181" s="18" t="s">
        <v>14</v>
      </c>
      <c r="G181" s="18" t="s">
        <v>47</v>
      </c>
    </row>
    <row r="182" spans="1:7" ht="30" outlineLevel="3" collapsed="1">
      <c r="A182" s="20" t="s">
        <v>11</v>
      </c>
      <c r="B182" s="20" t="s">
        <v>17</v>
      </c>
      <c r="C182" s="27" t="s">
        <v>558</v>
      </c>
      <c r="D182" s="20"/>
      <c r="E182" s="20" t="s">
        <v>444</v>
      </c>
      <c r="F182" s="20" t="s">
        <v>14</v>
      </c>
      <c r="G182" s="20" t="s">
        <v>447</v>
      </c>
    </row>
    <row r="183" spans="1:7" outlineLevel="3" collapsed="1">
      <c r="A183" s="22" t="s">
        <v>14</v>
      </c>
      <c r="B183" s="23" t="s">
        <v>559</v>
      </c>
      <c r="C183" s="22" t="s">
        <v>47</v>
      </c>
      <c r="D183" s="22" t="b">
        <f>EXACT(G182,"Updating the previous stock by independent measurement of change")</f>
        <v>1</v>
      </c>
      <c r="E183" s="22" t="s">
        <v>447</v>
      </c>
      <c r="F183" s="22" t="s">
        <v>14</v>
      </c>
      <c r="G183" s="22" t="s">
        <v>47</v>
      </c>
    </row>
    <row r="184" spans="1:7" hidden="1" outlineLevel="4" collapsed="1">
      <c r="A184" s="20" t="s">
        <v>14</v>
      </c>
      <c r="B184" s="20" t="s">
        <v>82</v>
      </c>
      <c r="C184" s="20" t="s">
        <v>47</v>
      </c>
      <c r="D184" s="20" t="s">
        <v>399</v>
      </c>
      <c r="E184" s="20" t="s">
        <v>560</v>
      </c>
      <c r="F184" s="20" t="s">
        <v>14</v>
      </c>
      <c r="G184" s="20" t="e">
        <f>E185+E186</f>
        <v>#VALUE!</v>
      </c>
    </row>
    <row r="185" spans="1:7" ht="30" hidden="1" outlineLevel="4" collapsed="1">
      <c r="A185" s="20" t="s">
        <v>11</v>
      </c>
      <c r="B185" s="20" t="s">
        <v>82</v>
      </c>
      <c r="C185" s="20" t="s">
        <v>47</v>
      </c>
      <c r="D185" s="20"/>
      <c r="E185" s="20" t="s">
        <v>561</v>
      </c>
      <c r="F185" s="20" t="s">
        <v>14</v>
      </c>
      <c r="G185" s="20">
        <v>1</v>
      </c>
    </row>
    <row r="186" spans="1:7" ht="30" hidden="1" outlineLevel="4" collapsed="1">
      <c r="A186" s="20" t="s">
        <v>11</v>
      </c>
      <c r="B186" s="20" t="s">
        <v>82</v>
      </c>
      <c r="C186" s="20" t="s">
        <v>47</v>
      </c>
      <c r="D186" s="20"/>
      <c r="E186" s="20" t="s">
        <v>562</v>
      </c>
      <c r="F186" s="20" t="s">
        <v>14</v>
      </c>
      <c r="G186" s="20">
        <v>1</v>
      </c>
    </row>
    <row r="187" spans="1:7" hidden="1" outlineLevel="4" collapsed="1">
      <c r="A187" s="20" t="s">
        <v>11</v>
      </c>
      <c r="B187" s="20" t="s">
        <v>82</v>
      </c>
      <c r="C187" s="20" t="s">
        <v>47</v>
      </c>
      <c r="D187" s="20"/>
      <c r="E187" s="20" t="s">
        <v>548</v>
      </c>
      <c r="F187" s="20" t="s">
        <v>14</v>
      </c>
      <c r="G187" s="20"/>
    </row>
    <row r="188" spans="1:7" ht="30" hidden="1" outlineLevel="4" collapsed="1">
      <c r="A188" s="20" t="s">
        <v>14</v>
      </c>
      <c r="B188" s="20" t="s">
        <v>82</v>
      </c>
      <c r="C188" s="20" t="s">
        <v>47</v>
      </c>
      <c r="D188" s="20" t="s">
        <v>399</v>
      </c>
      <c r="E188" s="20" t="s">
        <v>563</v>
      </c>
      <c r="F188" s="20" t="s">
        <v>14</v>
      </c>
      <c r="G188" s="20" t="e">
        <f>(SQRT((G189*G185)^2+(G187*G186)^2))/G184</f>
        <v>#VALUE!</v>
      </c>
    </row>
    <row r="189" spans="1:7" ht="30" hidden="1" outlineLevel="4" collapsed="1">
      <c r="A189" s="20" t="s">
        <v>11</v>
      </c>
      <c r="B189" s="20" t="s">
        <v>82</v>
      </c>
      <c r="C189" s="20" t="s">
        <v>47</v>
      </c>
      <c r="D189" s="20"/>
      <c r="E189" s="20" t="s">
        <v>564</v>
      </c>
      <c r="F189" s="20" t="s">
        <v>14</v>
      </c>
      <c r="G189" s="20">
        <v>1</v>
      </c>
    </row>
    <row r="190" spans="1:7" outlineLevel="3" collapsed="1">
      <c r="A190" s="22" t="s">
        <v>14</v>
      </c>
      <c r="B190" s="23" t="s">
        <v>565</v>
      </c>
      <c r="C190" s="22"/>
      <c r="D190" s="22" t="b">
        <f>EXACT(G182,"Estimation by modelling of tree growth and stand development")</f>
        <v>0</v>
      </c>
      <c r="E190" s="22" t="s">
        <v>445</v>
      </c>
      <c r="F190" s="22" t="s">
        <v>14</v>
      </c>
      <c r="G190" s="22"/>
    </row>
    <row r="191" spans="1:7" ht="60" hidden="1" outlineLevel="4">
      <c r="A191" s="20" t="s">
        <v>14</v>
      </c>
      <c r="B191" s="20" t="s">
        <v>44</v>
      </c>
      <c r="C191" s="20"/>
      <c r="D191" s="20"/>
      <c r="E191" s="20" t="s">
        <v>455</v>
      </c>
      <c r="F191" s="20" t="s">
        <v>14</v>
      </c>
      <c r="G191" s="20"/>
    </row>
    <row r="192" spans="1:7" ht="75" hidden="1" outlineLevel="4">
      <c r="A192" s="20" t="s">
        <v>14</v>
      </c>
      <c r="B192" s="20" t="s">
        <v>44</v>
      </c>
      <c r="C192" s="20"/>
      <c r="D192" s="20"/>
      <c r="E192" s="20" t="s">
        <v>456</v>
      </c>
      <c r="F192" s="20" t="s">
        <v>14</v>
      </c>
      <c r="G192" s="20"/>
    </row>
    <row r="193" spans="1:7" ht="60" hidden="1" outlineLevel="4">
      <c r="A193" s="20" t="s">
        <v>14</v>
      </c>
      <c r="B193" s="20" t="s">
        <v>44</v>
      </c>
      <c r="C193" s="20"/>
      <c r="D193" s="20"/>
      <c r="E193" s="20" t="s">
        <v>457</v>
      </c>
      <c r="F193" s="20" t="s">
        <v>14</v>
      </c>
      <c r="G193" s="20"/>
    </row>
    <row r="194" spans="1:7" ht="60" hidden="1" outlineLevel="4">
      <c r="A194" s="20" t="s">
        <v>14</v>
      </c>
      <c r="B194" s="20" t="s">
        <v>44</v>
      </c>
      <c r="C194" s="20"/>
      <c r="D194" s="20"/>
      <c r="E194" s="20" t="s">
        <v>458</v>
      </c>
      <c r="F194" s="20" t="s">
        <v>14</v>
      </c>
      <c r="G194" s="20"/>
    </row>
    <row r="195" spans="1:7" ht="135" hidden="1" outlineLevel="4">
      <c r="A195" s="20" t="s">
        <v>11</v>
      </c>
      <c r="B195" s="20" t="s">
        <v>17</v>
      </c>
      <c r="C195" s="27" t="s">
        <v>566</v>
      </c>
      <c r="D195" s="20"/>
      <c r="E195" s="20" t="s">
        <v>460</v>
      </c>
      <c r="F195" s="20" t="s">
        <v>14</v>
      </c>
      <c r="G195" s="20" t="s">
        <v>11</v>
      </c>
    </row>
    <row r="196" spans="1:7" ht="30" hidden="1" outlineLevel="4">
      <c r="A196" s="20" t="s">
        <v>14</v>
      </c>
      <c r="B196" s="20" t="s">
        <v>44</v>
      </c>
      <c r="C196" s="20"/>
      <c r="D196" s="20" t="b">
        <f>EXACT(G195,"No")</f>
        <v>0</v>
      </c>
      <c r="E196" s="20" t="s">
        <v>461</v>
      </c>
      <c r="F196" s="20" t="s">
        <v>14</v>
      </c>
      <c r="G196" s="20"/>
    </row>
    <row r="197" spans="1:7" hidden="1" outlineLevel="4">
      <c r="A197" s="22" t="s">
        <v>14</v>
      </c>
      <c r="B197" s="23" t="s">
        <v>567</v>
      </c>
      <c r="C197" s="22"/>
      <c r="D197" s="22" t="b">
        <f>EXACT(G195,"Yes")</f>
        <v>1</v>
      </c>
      <c r="E197" s="22" t="s">
        <v>568</v>
      </c>
      <c r="F197" s="22" t="s">
        <v>14</v>
      </c>
      <c r="G197" s="22"/>
    </row>
    <row r="198" spans="1:7" ht="30" hidden="1" outlineLevel="5">
      <c r="A198" s="20" t="s">
        <v>11</v>
      </c>
      <c r="B198" s="20" t="s">
        <v>82</v>
      </c>
      <c r="C198" s="20"/>
      <c r="D198" s="20"/>
      <c r="E198" s="20" t="s">
        <v>464</v>
      </c>
      <c r="F198" s="20" t="s">
        <v>14</v>
      </c>
      <c r="G198" s="20"/>
    </row>
    <row r="199" spans="1:7" hidden="1" outlineLevel="5">
      <c r="A199" s="20" t="s">
        <v>11</v>
      </c>
      <c r="B199" s="20" t="s">
        <v>82</v>
      </c>
      <c r="C199" s="20"/>
      <c r="D199" s="20"/>
      <c r="E199" s="20" t="s">
        <v>465</v>
      </c>
      <c r="F199" s="20" t="s">
        <v>14</v>
      </c>
      <c r="G199" s="20"/>
    </row>
    <row r="200" spans="1:7" hidden="1" outlineLevel="5">
      <c r="A200" s="20" t="s">
        <v>11</v>
      </c>
      <c r="B200" s="20" t="s">
        <v>82</v>
      </c>
      <c r="C200" s="20"/>
      <c r="D200" s="20"/>
      <c r="E200" s="20" t="s">
        <v>466</v>
      </c>
      <c r="F200" s="20" t="s">
        <v>14</v>
      </c>
      <c r="G200" s="20"/>
    </row>
    <row r="201" spans="1:7" outlineLevel="3" collapsed="1">
      <c r="A201" s="22" t="s">
        <v>14</v>
      </c>
      <c r="B201" s="23" t="s">
        <v>475</v>
      </c>
      <c r="C201" s="22" t="s">
        <v>47</v>
      </c>
      <c r="D201" s="22" t="b">
        <f>EXACT(G182,"Measurement of sample plots")</f>
        <v>0</v>
      </c>
      <c r="E201" s="22" t="s">
        <v>475</v>
      </c>
      <c r="F201" s="22" t="s">
        <v>14</v>
      </c>
      <c r="G201" s="22" t="s">
        <v>47</v>
      </c>
    </row>
    <row r="202" spans="1:7" ht="30" hidden="1" outlineLevel="4" collapsed="1">
      <c r="A202" s="20" t="s">
        <v>11</v>
      </c>
      <c r="B202" s="20" t="s">
        <v>17</v>
      </c>
      <c r="C202" s="21" t="s">
        <v>476</v>
      </c>
      <c r="D202" s="20"/>
      <c r="E202" s="20" t="s">
        <v>477</v>
      </c>
      <c r="F202" s="20" t="s">
        <v>14</v>
      </c>
      <c r="G202" s="20" t="s">
        <v>478</v>
      </c>
    </row>
    <row r="203" spans="1:7" hidden="1" outlineLevel="4" collapsed="1">
      <c r="A203" s="22" t="s">
        <v>14</v>
      </c>
      <c r="B203" s="23" t="s">
        <v>478</v>
      </c>
      <c r="C203" s="22" t="s">
        <v>47</v>
      </c>
      <c r="D203" s="22" t="b">
        <f>EXACT(G202,"Stratified random sampling")</f>
        <v>1</v>
      </c>
      <c r="E203" s="22" t="s">
        <v>478</v>
      </c>
      <c r="F203" s="22" t="s">
        <v>14</v>
      </c>
      <c r="G203" s="22" t="s">
        <v>47</v>
      </c>
    </row>
    <row r="204" spans="1:7" ht="30" hidden="1" outlineLevel="5" collapsed="1">
      <c r="A204" s="20" t="s">
        <v>14</v>
      </c>
      <c r="B204" s="20" t="s">
        <v>82</v>
      </c>
      <c r="C204" s="20" t="s">
        <v>47</v>
      </c>
      <c r="D204" s="20" t="s">
        <v>399</v>
      </c>
      <c r="E204" s="20" t="s">
        <v>479</v>
      </c>
      <c r="F204" s="20" t="s">
        <v>14</v>
      </c>
      <c r="G204" s="20">
        <f>44/12*G205*G206</f>
        <v>3.6666666666666665</v>
      </c>
    </row>
    <row r="205" spans="1:7" hidden="1" outlineLevel="5" collapsed="1">
      <c r="A205" s="20" t="s">
        <v>11</v>
      </c>
      <c r="B205" s="20" t="s">
        <v>82</v>
      </c>
      <c r="C205" s="20" t="s">
        <v>47</v>
      </c>
      <c r="D205" s="20"/>
      <c r="E205" s="20" t="s">
        <v>405</v>
      </c>
      <c r="F205" s="20" t="s">
        <v>14</v>
      </c>
      <c r="G205" s="20">
        <v>1</v>
      </c>
    </row>
    <row r="206" spans="1:7" ht="30" hidden="1" outlineLevel="5" collapsed="1">
      <c r="A206" s="20" t="s">
        <v>14</v>
      </c>
      <c r="B206" s="20" t="s">
        <v>82</v>
      </c>
      <c r="C206" s="20" t="s">
        <v>47</v>
      </c>
      <c r="D206" s="20" t="s">
        <v>399</v>
      </c>
      <c r="E206" s="20" t="s">
        <v>480</v>
      </c>
      <c r="F206" s="20" t="s">
        <v>14</v>
      </c>
      <c r="G206" s="20">
        <f>G207*G208</f>
        <v>1</v>
      </c>
    </row>
    <row r="207" spans="1:7" ht="30" hidden="1" outlineLevel="5" collapsed="1">
      <c r="A207" s="20" t="s">
        <v>11</v>
      </c>
      <c r="B207" s="20" t="s">
        <v>82</v>
      </c>
      <c r="C207" s="20" t="s">
        <v>47</v>
      </c>
      <c r="D207" s="20"/>
      <c r="E207" s="20" t="s">
        <v>481</v>
      </c>
      <c r="F207" s="20" t="s">
        <v>14</v>
      </c>
      <c r="G207" s="20">
        <v>1</v>
      </c>
    </row>
    <row r="208" spans="1:7" ht="30" hidden="1" outlineLevel="5" collapsed="1">
      <c r="A208" s="20" t="s">
        <v>14</v>
      </c>
      <c r="B208" s="20" t="s">
        <v>82</v>
      </c>
      <c r="C208" s="20" t="s">
        <v>47</v>
      </c>
      <c r="D208" s="20" t="s">
        <v>399</v>
      </c>
      <c r="E208" s="20" t="s">
        <v>482</v>
      </c>
      <c r="F208" s="20" t="s">
        <v>14</v>
      </c>
      <c r="G208" s="20">
        <f>SUM((G213*G212))</f>
        <v>1</v>
      </c>
    </row>
    <row r="209" spans="1:12" hidden="1" outlineLevel="5" collapsed="1">
      <c r="A209" s="20" t="s">
        <v>11</v>
      </c>
      <c r="B209" s="20" t="s">
        <v>82</v>
      </c>
      <c r="C209" s="20" t="s">
        <v>47</v>
      </c>
      <c r="D209" s="20"/>
      <c r="E209" s="20" t="s">
        <v>569</v>
      </c>
      <c r="F209" s="20" t="s">
        <v>14</v>
      </c>
      <c r="G209" s="20">
        <v>1</v>
      </c>
    </row>
    <row r="210" spans="1:12" ht="30" hidden="1" outlineLevel="5" collapsed="1">
      <c r="A210" s="20" t="s">
        <v>11</v>
      </c>
      <c r="B210" s="20" t="s">
        <v>82</v>
      </c>
      <c r="C210" s="20" t="s">
        <v>47</v>
      </c>
      <c r="D210" s="20"/>
      <c r="E210" s="20" t="s">
        <v>484</v>
      </c>
      <c r="F210" s="20" t="s">
        <v>14</v>
      </c>
      <c r="G210" s="20">
        <v>1</v>
      </c>
    </row>
    <row r="211" spans="1:12" hidden="1" outlineLevel="5">
      <c r="A211" s="22" t="s">
        <v>11</v>
      </c>
      <c r="B211" s="23" t="s">
        <v>485</v>
      </c>
      <c r="C211" s="22" t="s">
        <v>47</v>
      </c>
      <c r="D211" s="22"/>
      <c r="E211" s="22" t="s">
        <v>486</v>
      </c>
      <c r="F211" s="22" t="s">
        <v>11</v>
      </c>
      <c r="G211" s="22" t="s">
        <v>47</v>
      </c>
    </row>
    <row r="212" spans="1:12" s="25" customFormat="1" ht="30" hidden="1" outlineLevel="6" collapsed="1">
      <c r="A212" s="24" t="s">
        <v>14</v>
      </c>
      <c r="B212" s="24" t="s">
        <v>82</v>
      </c>
      <c r="C212" s="24" t="s">
        <v>47</v>
      </c>
      <c r="D212" s="24" t="s">
        <v>399</v>
      </c>
      <c r="E212" s="24" t="s">
        <v>487</v>
      </c>
      <c r="F212" s="24" t="s">
        <v>14</v>
      </c>
      <c r="G212" s="24">
        <f>(SUM(G217))/G215</f>
        <v>1</v>
      </c>
      <c r="H212"/>
      <c r="I212"/>
      <c r="J212"/>
      <c r="K212"/>
      <c r="L212"/>
    </row>
    <row r="213" spans="1:12" ht="30" hidden="1" outlineLevel="6" collapsed="1">
      <c r="A213" s="20" t="s">
        <v>11</v>
      </c>
      <c r="B213" s="20" t="s">
        <v>82</v>
      </c>
      <c r="C213" s="20" t="s">
        <v>47</v>
      </c>
      <c r="D213" s="20"/>
      <c r="E213" s="20" t="s">
        <v>488</v>
      </c>
      <c r="F213" s="20" t="s">
        <v>14</v>
      </c>
      <c r="G213" s="20">
        <v>1</v>
      </c>
    </row>
    <row r="214" spans="1:12" ht="30" hidden="1" outlineLevel="6" collapsed="1">
      <c r="A214" s="20" t="s">
        <v>11</v>
      </c>
      <c r="B214" s="20" t="s">
        <v>82</v>
      </c>
      <c r="C214" s="20" t="s">
        <v>47</v>
      </c>
      <c r="D214" s="20"/>
      <c r="E214" s="20" t="s">
        <v>489</v>
      </c>
      <c r="F214" s="20" t="s">
        <v>14</v>
      </c>
      <c r="G214" s="20">
        <v>1</v>
      </c>
    </row>
    <row r="215" spans="1:12" hidden="1" outlineLevel="6" collapsed="1">
      <c r="A215" s="20" t="s">
        <v>11</v>
      </c>
      <c r="B215" s="20" t="s">
        <v>82</v>
      </c>
      <c r="C215" s="20" t="s">
        <v>47</v>
      </c>
      <c r="D215" s="20"/>
      <c r="E215" s="20" t="s">
        <v>490</v>
      </c>
      <c r="F215" s="20" t="s">
        <v>14</v>
      </c>
      <c r="G215" s="20">
        <v>1</v>
      </c>
    </row>
    <row r="216" spans="1:12" hidden="1" outlineLevel="5">
      <c r="A216" s="22" t="s">
        <v>11</v>
      </c>
      <c r="B216" s="23" t="s">
        <v>491</v>
      </c>
      <c r="C216" s="22"/>
      <c r="D216" s="22"/>
      <c r="E216" s="22" t="s">
        <v>492</v>
      </c>
      <c r="F216" s="22" t="s">
        <v>11</v>
      </c>
      <c r="G216" s="22"/>
    </row>
    <row r="217" spans="1:12" s="25" customFormat="1" ht="30" hidden="1" outlineLevel="6" collapsed="1">
      <c r="A217" s="24" t="s">
        <v>11</v>
      </c>
      <c r="B217" s="24" t="s">
        <v>82</v>
      </c>
      <c r="C217" s="24" t="s">
        <v>47</v>
      </c>
      <c r="D217" s="24"/>
      <c r="E217" s="24" t="s">
        <v>493</v>
      </c>
      <c r="F217" s="24" t="s">
        <v>14</v>
      </c>
      <c r="G217" s="24">
        <v>1</v>
      </c>
      <c r="H217"/>
      <c r="I217"/>
      <c r="J217"/>
      <c r="K217"/>
      <c r="L217"/>
    </row>
    <row r="218" spans="1:12" hidden="1" outlineLevel="4">
      <c r="A218" s="22" t="s">
        <v>14</v>
      </c>
      <c r="B218" s="23" t="s">
        <v>494</v>
      </c>
      <c r="C218" s="22" t="s">
        <v>47</v>
      </c>
      <c r="D218" s="22" t="b">
        <f>NOT(EXACT(G202,"Stratified random sampling"))</f>
        <v>0</v>
      </c>
      <c r="E218" s="22" t="s">
        <v>494</v>
      </c>
      <c r="F218" s="22" t="s">
        <v>14</v>
      </c>
      <c r="G218" s="22" t="s">
        <v>47</v>
      </c>
    </row>
    <row r="219" spans="1:12" ht="30" hidden="1" outlineLevel="5" collapsed="1">
      <c r="A219" s="20" t="s">
        <v>11</v>
      </c>
      <c r="B219" s="20" t="s">
        <v>82</v>
      </c>
      <c r="C219" s="20" t="s">
        <v>47</v>
      </c>
      <c r="D219" s="20"/>
      <c r="E219" s="20" t="s">
        <v>479</v>
      </c>
      <c r="F219" s="20" t="s">
        <v>14</v>
      </c>
      <c r="G219" s="20">
        <v>1</v>
      </c>
    </row>
    <row r="220" spans="1:12" hidden="1" outlineLevel="5" collapsed="1">
      <c r="A220" s="20" t="s">
        <v>11</v>
      </c>
      <c r="B220" s="20" t="s">
        <v>82</v>
      </c>
      <c r="C220" s="20" t="s">
        <v>47</v>
      </c>
      <c r="D220" s="20"/>
      <c r="E220" s="20" t="s">
        <v>405</v>
      </c>
      <c r="F220" s="20" t="s">
        <v>14</v>
      </c>
      <c r="G220" s="20">
        <v>1</v>
      </c>
    </row>
    <row r="221" spans="1:12" ht="30" hidden="1" outlineLevel="5" collapsed="1">
      <c r="A221" s="20" t="s">
        <v>11</v>
      </c>
      <c r="B221" s="20" t="s">
        <v>82</v>
      </c>
      <c r="C221" s="20" t="s">
        <v>47</v>
      </c>
      <c r="D221" s="20"/>
      <c r="E221" s="20" t="s">
        <v>480</v>
      </c>
      <c r="F221" s="20" t="s">
        <v>14</v>
      </c>
      <c r="G221" s="20">
        <v>1</v>
      </c>
    </row>
    <row r="222" spans="1:12" ht="30" hidden="1" outlineLevel="5" collapsed="1">
      <c r="A222" s="20" t="s">
        <v>11</v>
      </c>
      <c r="B222" s="20" t="s">
        <v>82</v>
      </c>
      <c r="C222" s="20" t="s">
        <v>47</v>
      </c>
      <c r="D222" s="20"/>
      <c r="E222" s="20" t="s">
        <v>481</v>
      </c>
      <c r="F222" s="20" t="s">
        <v>14</v>
      </c>
      <c r="G222" s="20">
        <v>1</v>
      </c>
    </row>
    <row r="223" spans="1:12" ht="30" hidden="1" outlineLevel="5" collapsed="1">
      <c r="A223" s="20" t="s">
        <v>11</v>
      </c>
      <c r="B223" s="20" t="s">
        <v>82</v>
      </c>
      <c r="C223" s="20" t="s">
        <v>47</v>
      </c>
      <c r="D223" s="20"/>
      <c r="E223" s="20" t="s">
        <v>482</v>
      </c>
      <c r="F223" s="20" t="s">
        <v>14</v>
      </c>
      <c r="G223" s="20">
        <v>1</v>
      </c>
    </row>
    <row r="224" spans="1:12" hidden="1" outlineLevel="5" collapsed="1">
      <c r="A224" s="20" t="s">
        <v>11</v>
      </c>
      <c r="B224" s="20" t="s">
        <v>82</v>
      </c>
      <c r="C224" s="20" t="s">
        <v>47</v>
      </c>
      <c r="D224" s="20"/>
      <c r="E224" s="20" t="s">
        <v>569</v>
      </c>
      <c r="F224" s="20" t="s">
        <v>14</v>
      </c>
      <c r="G224" s="20">
        <v>1</v>
      </c>
    </row>
    <row r="225" spans="1:12" ht="30" hidden="1" outlineLevel="5" collapsed="1">
      <c r="A225" s="20" t="s">
        <v>11</v>
      </c>
      <c r="B225" s="20" t="s">
        <v>82</v>
      </c>
      <c r="C225" s="20" t="s">
        <v>47</v>
      </c>
      <c r="D225" s="20"/>
      <c r="E225" s="20" t="s">
        <v>570</v>
      </c>
      <c r="F225" s="20" t="s">
        <v>14</v>
      </c>
      <c r="G225" s="20">
        <v>1</v>
      </c>
    </row>
    <row r="226" spans="1:12" hidden="1" outlineLevel="5">
      <c r="A226" s="22" t="s">
        <v>11</v>
      </c>
      <c r="B226" s="23" t="s">
        <v>495</v>
      </c>
      <c r="C226" s="22" t="s">
        <v>47</v>
      </c>
      <c r="D226" s="22"/>
      <c r="E226" s="22" t="s">
        <v>486</v>
      </c>
      <c r="F226" s="22" t="s">
        <v>11</v>
      </c>
      <c r="G226" s="22" t="s">
        <v>47</v>
      </c>
    </row>
    <row r="227" spans="1:12" ht="30" hidden="1" outlineLevel="6" collapsed="1">
      <c r="A227" s="20" t="s">
        <v>14</v>
      </c>
      <c r="B227" s="20" t="s">
        <v>82</v>
      </c>
      <c r="C227" s="20" t="s">
        <v>47</v>
      </c>
      <c r="D227" s="20" t="s">
        <v>399</v>
      </c>
      <c r="E227" s="20" t="s">
        <v>487</v>
      </c>
      <c r="F227" s="20" t="s">
        <v>14</v>
      </c>
      <c r="G227" s="20">
        <f>(SUM(G236)/G228)+G229*(G230-G231)</f>
        <v>1</v>
      </c>
    </row>
    <row r="228" spans="1:12" hidden="1" outlineLevel="6" collapsed="1">
      <c r="A228" s="20" t="s">
        <v>11</v>
      </c>
      <c r="B228" s="20" t="s">
        <v>82</v>
      </c>
      <c r="C228" s="20" t="s">
        <v>47</v>
      </c>
      <c r="D228" s="20"/>
      <c r="E228" s="20" t="s">
        <v>496</v>
      </c>
      <c r="F228" s="20" t="s">
        <v>14</v>
      </c>
      <c r="G228" s="20">
        <v>1</v>
      </c>
    </row>
    <row r="229" spans="1:12" ht="30" hidden="1" outlineLevel="6" collapsed="1">
      <c r="A229" s="20" t="s">
        <v>11</v>
      </c>
      <c r="B229" s="20" t="s">
        <v>82</v>
      </c>
      <c r="C229" s="20" t="s">
        <v>47</v>
      </c>
      <c r="D229" s="20"/>
      <c r="E229" s="20" t="s">
        <v>497</v>
      </c>
      <c r="F229" s="20" t="s">
        <v>14</v>
      </c>
      <c r="G229" s="20">
        <v>1</v>
      </c>
    </row>
    <row r="230" spans="1:12" ht="30" hidden="1" outlineLevel="6" collapsed="1">
      <c r="A230" s="20" t="s">
        <v>11</v>
      </c>
      <c r="B230" s="20" t="s">
        <v>82</v>
      </c>
      <c r="C230" s="20" t="s">
        <v>47</v>
      </c>
      <c r="D230" s="20"/>
      <c r="E230" s="20" t="s">
        <v>498</v>
      </c>
      <c r="F230" s="20" t="s">
        <v>14</v>
      </c>
      <c r="G230" s="20">
        <v>1</v>
      </c>
    </row>
    <row r="231" spans="1:12" ht="30" hidden="1" outlineLevel="6" collapsed="1">
      <c r="A231" s="20" t="s">
        <v>11</v>
      </c>
      <c r="B231" s="20" t="s">
        <v>82</v>
      </c>
      <c r="C231" s="20" t="s">
        <v>47</v>
      </c>
      <c r="D231" s="20"/>
      <c r="E231" s="20" t="s">
        <v>499</v>
      </c>
      <c r="F231" s="20" t="s">
        <v>14</v>
      </c>
      <c r="G231" s="20">
        <v>1</v>
      </c>
    </row>
    <row r="232" spans="1:12" ht="30" hidden="1" outlineLevel="6" collapsed="1">
      <c r="A232" s="20" t="s">
        <v>11</v>
      </c>
      <c r="B232" s="20" t="s">
        <v>82</v>
      </c>
      <c r="C232" s="20" t="s">
        <v>47</v>
      </c>
      <c r="D232" s="20"/>
      <c r="E232" s="20" t="s">
        <v>500</v>
      </c>
      <c r="F232" s="20" t="s">
        <v>14</v>
      </c>
      <c r="G232" s="20">
        <v>1</v>
      </c>
    </row>
    <row r="233" spans="1:12" ht="30" hidden="1" outlineLevel="6" collapsed="1">
      <c r="A233" s="20" t="s">
        <v>11</v>
      </c>
      <c r="B233" s="20" t="s">
        <v>82</v>
      </c>
      <c r="C233" s="20" t="s">
        <v>47</v>
      </c>
      <c r="D233" s="20"/>
      <c r="E233" s="20" t="s">
        <v>501</v>
      </c>
      <c r="F233" s="20" t="s">
        <v>14</v>
      </c>
      <c r="G233" s="20">
        <v>1</v>
      </c>
    </row>
    <row r="234" spans="1:12" ht="45" hidden="1" outlineLevel="6" collapsed="1">
      <c r="A234" s="20" t="s">
        <v>11</v>
      </c>
      <c r="B234" s="20" t="s">
        <v>82</v>
      </c>
      <c r="C234" s="20" t="s">
        <v>47</v>
      </c>
      <c r="D234" s="20"/>
      <c r="E234" s="20" t="s">
        <v>502</v>
      </c>
      <c r="F234" s="20" t="s">
        <v>14</v>
      </c>
      <c r="G234" s="20">
        <v>1</v>
      </c>
    </row>
    <row r="235" spans="1:12" hidden="1" outlineLevel="5">
      <c r="A235" s="22" t="s">
        <v>11</v>
      </c>
      <c r="B235" s="23" t="s">
        <v>491</v>
      </c>
      <c r="C235" s="22"/>
      <c r="D235" s="22"/>
      <c r="E235" s="22" t="s">
        <v>492</v>
      </c>
      <c r="F235" s="22" t="s">
        <v>11</v>
      </c>
      <c r="G235" s="22"/>
    </row>
    <row r="236" spans="1:12" s="25" customFormat="1" ht="30" hidden="1" outlineLevel="6" collapsed="1">
      <c r="A236" s="24" t="s">
        <v>11</v>
      </c>
      <c r="B236" s="24" t="s">
        <v>82</v>
      </c>
      <c r="C236" s="24" t="s">
        <v>47</v>
      </c>
      <c r="D236" s="24"/>
      <c r="E236" s="24" t="s">
        <v>493</v>
      </c>
      <c r="F236" s="24" t="s">
        <v>14</v>
      </c>
      <c r="G236" s="24">
        <v>1</v>
      </c>
      <c r="H236"/>
      <c r="I236"/>
      <c r="J236"/>
      <c r="K236"/>
      <c r="L236"/>
    </row>
    <row r="237" spans="1:12" hidden="1" outlineLevel="6" collapsed="1">
      <c r="A237" s="20" t="s">
        <v>11</v>
      </c>
      <c r="B237" s="20" t="s">
        <v>503</v>
      </c>
      <c r="C237" s="20" t="s">
        <v>47</v>
      </c>
      <c r="D237" s="20"/>
      <c r="E237" s="4" t="s">
        <v>504</v>
      </c>
      <c r="F237" s="20" t="s">
        <v>14</v>
      </c>
      <c r="G237" s="20" t="s">
        <v>505</v>
      </c>
    </row>
    <row r="238" spans="1:12" ht="29.25" customHeight="1" outlineLevel="2">
      <c r="A238" s="18" t="s">
        <v>14</v>
      </c>
      <c r="B238" s="18" t="s">
        <v>82</v>
      </c>
      <c r="C238" s="10"/>
      <c r="D238" s="18" t="s">
        <v>399</v>
      </c>
      <c r="E238" s="18" t="s">
        <v>571</v>
      </c>
      <c r="F238" s="18" t="s">
        <v>14</v>
      </c>
      <c r="G238" s="18" t="e">
        <f>IF(G182="Updating the previous stock by independent measurement of change",G184,IF(G182="Estimation by modelling of tree growth and stand development",G198,IF(AND(G182="Measurement of sample plots",G202="Stratified random sampling"),G204,IF(AND(G182="Measurement of sample plots",G202="Double sampling"),G219))))</f>
        <v>#VALUE!</v>
      </c>
    </row>
    <row r="239" spans="1:12" ht="29.25" customHeight="1" outlineLevel="2">
      <c r="A239" s="18" t="s">
        <v>14</v>
      </c>
      <c r="B239" s="18" t="s">
        <v>82</v>
      </c>
      <c r="C239" s="10"/>
      <c r="D239" s="18" t="s">
        <v>399</v>
      </c>
      <c r="E239" s="18" t="s">
        <v>572</v>
      </c>
      <c r="F239" s="18" t="s">
        <v>14</v>
      </c>
      <c r="G239" s="18">
        <f>IF(AND(G147="Estimating change in carbon stock in trees between two points in time",G149="no-decrease"),0,IF(AND(G147="Estimating change in carbon stock in trees between two points in time",G149="Direct estimation of change by re-measurement of sample plots"),G154,IF(AND(G147="Estimating change in carbon stock in trees between two points in time",G149="Difference of two independent stock estimations"),G174,IF(AND(G147="Estimating change in carbon stock in trees in a year"),G177))))</f>
        <v>0</v>
      </c>
    </row>
    <row r="240" spans="1:12" ht="29.25" customHeight="1" outlineLevel="2">
      <c r="A240" s="18" t="s">
        <v>11</v>
      </c>
      <c r="B240" s="18" t="s">
        <v>17</v>
      </c>
      <c r="C240" s="10" t="s">
        <v>573</v>
      </c>
      <c r="D240" s="18"/>
      <c r="E240" s="3" t="s">
        <v>509</v>
      </c>
      <c r="F240" s="3" t="s">
        <v>14</v>
      </c>
      <c r="G240" s="18" t="s">
        <v>523</v>
      </c>
    </row>
    <row r="241" spans="1:7" outlineLevel="2">
      <c r="A241" s="18" t="s">
        <v>11</v>
      </c>
      <c r="B241" s="10" t="s">
        <v>574</v>
      </c>
      <c r="C241" s="18" t="s">
        <v>47</v>
      </c>
      <c r="D241" s="18" t="b">
        <f>EXACT(G240,"Estimating change in carbon stock in shrubs between two points in time")</f>
        <v>0</v>
      </c>
      <c r="E241" s="18" t="s">
        <v>512</v>
      </c>
      <c r="F241" s="18" t="s">
        <v>14</v>
      </c>
      <c r="G241" s="18" t="s">
        <v>47</v>
      </c>
    </row>
    <row r="242" spans="1:7" ht="29.25" customHeight="1" outlineLevel="3">
      <c r="A242" s="18" t="s">
        <v>11</v>
      </c>
      <c r="B242" s="18" t="s">
        <v>17</v>
      </c>
      <c r="C242" s="10" t="s">
        <v>575</v>
      </c>
      <c r="D242" s="18"/>
      <c r="E242" s="18" t="s">
        <v>514</v>
      </c>
      <c r="F242" s="18" t="s">
        <v>14</v>
      </c>
      <c r="G242" s="18" t="s">
        <v>14</v>
      </c>
    </row>
    <row r="243" spans="1:7" outlineLevel="3">
      <c r="A243" s="18" t="s">
        <v>14</v>
      </c>
      <c r="B243" s="10" t="s">
        <v>515</v>
      </c>
      <c r="C243" s="19"/>
      <c r="D243" s="18" t="b">
        <f>EXACT(G242,"Yes")</f>
        <v>0</v>
      </c>
      <c r="E243" s="18" t="s">
        <v>393</v>
      </c>
      <c r="F243" s="18" t="s">
        <v>14</v>
      </c>
      <c r="G243" s="18"/>
    </row>
    <row r="244" spans="1:7" ht="165" outlineLevel="4" collapsed="1">
      <c r="A244" s="20" t="s">
        <v>14</v>
      </c>
      <c r="B244" s="20" t="s">
        <v>44</v>
      </c>
      <c r="C244" s="20"/>
      <c r="D244" s="20"/>
      <c r="E244" s="20" t="s">
        <v>516</v>
      </c>
      <c r="F244" s="4" t="s">
        <v>14</v>
      </c>
      <c r="G244" s="20"/>
    </row>
    <row r="245" spans="1:7" ht="60" outlineLevel="4" collapsed="1">
      <c r="A245" s="20" t="s">
        <v>11</v>
      </c>
      <c r="B245" s="20" t="s">
        <v>17</v>
      </c>
      <c r="C245" s="21" t="s">
        <v>517</v>
      </c>
      <c r="D245" s="20"/>
      <c r="E245" s="4" t="s">
        <v>518</v>
      </c>
      <c r="F245" s="4" t="s">
        <v>14</v>
      </c>
      <c r="G245" s="20"/>
    </row>
    <row r="246" spans="1:7" ht="30" outlineLevel="4" collapsed="1">
      <c r="A246" s="20" t="s">
        <v>14</v>
      </c>
      <c r="B246" s="20" t="s">
        <v>82</v>
      </c>
      <c r="C246" s="20" t="s">
        <v>47</v>
      </c>
      <c r="D246" s="20" t="s">
        <v>399</v>
      </c>
      <c r="E246" s="20" t="s">
        <v>576</v>
      </c>
      <c r="F246" s="20" t="s">
        <v>14</v>
      </c>
      <c r="G246" s="20" t="e">
        <f>IF(AND(#REF!="No"),E247-E248,0)</f>
        <v>#REF!</v>
      </c>
    </row>
    <row r="247" spans="1:7" ht="30" outlineLevel="4" collapsed="1">
      <c r="A247" s="20" t="s">
        <v>11</v>
      </c>
      <c r="B247" s="20" t="s">
        <v>82</v>
      </c>
      <c r="C247" s="20" t="s">
        <v>47</v>
      </c>
      <c r="D247" s="20"/>
      <c r="E247" s="20" t="s">
        <v>577</v>
      </c>
      <c r="F247" s="20" t="s">
        <v>14</v>
      </c>
      <c r="G247" s="20">
        <v>1</v>
      </c>
    </row>
    <row r="248" spans="1:7" ht="30" outlineLevel="4" collapsed="1">
      <c r="A248" s="20" t="s">
        <v>11</v>
      </c>
      <c r="B248" s="20" t="s">
        <v>82</v>
      </c>
      <c r="C248" s="20" t="s">
        <v>47</v>
      </c>
      <c r="D248" s="20"/>
      <c r="E248" s="20" t="s">
        <v>578</v>
      </c>
      <c r="F248" s="20" t="s">
        <v>14</v>
      </c>
      <c r="G248" s="20">
        <v>1</v>
      </c>
    </row>
    <row r="249" spans="1:7" outlineLevel="2">
      <c r="A249" s="18" t="s">
        <v>11</v>
      </c>
      <c r="B249" s="10" t="s">
        <v>579</v>
      </c>
      <c r="C249" s="18" t="s">
        <v>47</v>
      </c>
      <c r="D249" s="18" t="b">
        <f>EXACT(G240,"Estimating change in carbon stock in shrubs in a year")</f>
        <v>1</v>
      </c>
      <c r="E249" s="18" t="s">
        <v>523</v>
      </c>
      <c r="F249" s="18" t="s">
        <v>14</v>
      </c>
      <c r="G249" s="18" t="s">
        <v>47</v>
      </c>
    </row>
    <row r="250" spans="1:7" ht="30" outlineLevel="3" collapsed="1">
      <c r="A250" s="20" t="s">
        <v>14</v>
      </c>
      <c r="B250" s="20" t="s">
        <v>82</v>
      </c>
      <c r="C250" s="20" t="s">
        <v>47</v>
      </c>
      <c r="D250" s="20" t="s">
        <v>399</v>
      </c>
      <c r="E250" s="20" t="s">
        <v>580</v>
      </c>
      <c r="F250" s="20" t="s">
        <v>14</v>
      </c>
      <c r="G250" s="20">
        <f>(G251-G252/G253)*1</f>
        <v>0</v>
      </c>
    </row>
    <row r="251" spans="1:7" outlineLevel="3" collapsed="1">
      <c r="A251" s="20" t="s">
        <v>11</v>
      </c>
      <c r="B251" s="20" t="s">
        <v>82</v>
      </c>
      <c r="C251" s="20" t="s">
        <v>47</v>
      </c>
      <c r="D251" s="20"/>
      <c r="E251" s="20" t="s">
        <v>581</v>
      </c>
      <c r="F251" s="20" t="s">
        <v>14</v>
      </c>
      <c r="G251" s="20">
        <v>1</v>
      </c>
    </row>
    <row r="252" spans="1:7" outlineLevel="3" collapsed="1">
      <c r="A252" s="20" t="s">
        <v>11</v>
      </c>
      <c r="B252" s="20" t="s">
        <v>82</v>
      </c>
      <c r="C252" s="20" t="s">
        <v>47</v>
      </c>
      <c r="D252" s="20"/>
      <c r="E252" s="20" t="s">
        <v>582</v>
      </c>
      <c r="F252" s="20" t="s">
        <v>14</v>
      </c>
      <c r="G252" s="20">
        <v>1</v>
      </c>
    </row>
    <row r="253" spans="1:7" ht="30" outlineLevel="3" collapsed="1">
      <c r="A253" s="20" t="s">
        <v>11</v>
      </c>
      <c r="B253" s="20" t="s">
        <v>82</v>
      </c>
      <c r="C253" s="20" t="s">
        <v>47</v>
      </c>
      <c r="D253" s="20"/>
      <c r="E253" s="20" t="s">
        <v>527</v>
      </c>
      <c r="F253" s="20" t="s">
        <v>14</v>
      </c>
      <c r="G253" s="20">
        <v>1</v>
      </c>
    </row>
    <row r="254" spans="1:7" outlineLevel="2">
      <c r="A254" s="18" t="s">
        <v>11</v>
      </c>
      <c r="B254" s="10" t="s">
        <v>583</v>
      </c>
      <c r="C254" s="18" t="s">
        <v>47</v>
      </c>
      <c r="D254" s="18"/>
      <c r="E254" s="18" t="s">
        <v>584</v>
      </c>
      <c r="F254" s="18" t="s">
        <v>11</v>
      </c>
      <c r="G254" s="18" t="s">
        <v>47</v>
      </c>
    </row>
    <row r="255" spans="1:7" ht="30" outlineLevel="3" collapsed="1">
      <c r="A255" s="20" t="s">
        <v>14</v>
      </c>
      <c r="B255" s="20" t="s">
        <v>82</v>
      </c>
      <c r="C255" s="20" t="s">
        <v>47</v>
      </c>
      <c r="D255" s="20" t="s">
        <v>399</v>
      </c>
      <c r="E255" s="20" t="s">
        <v>585</v>
      </c>
      <c r="F255" s="20" t="s">
        <v>14</v>
      </c>
      <c r="G255" s="20">
        <f>44/12*G256*(1+G257)*SUM((G262*G263))</f>
        <v>7.333333333333333</v>
      </c>
    </row>
    <row r="256" spans="1:7" outlineLevel="3" collapsed="1">
      <c r="A256" s="20" t="s">
        <v>11</v>
      </c>
      <c r="B256" s="20" t="s">
        <v>82</v>
      </c>
      <c r="C256" s="20" t="s">
        <v>47</v>
      </c>
      <c r="D256" s="20"/>
      <c r="E256" s="20" t="s">
        <v>531</v>
      </c>
      <c r="F256" s="20" t="s">
        <v>14</v>
      </c>
      <c r="G256" s="20">
        <v>1</v>
      </c>
    </row>
    <row r="257" spans="1:7" outlineLevel="3" collapsed="1">
      <c r="A257" s="20" t="s">
        <v>11</v>
      </c>
      <c r="B257" s="20" t="s">
        <v>82</v>
      </c>
      <c r="C257" s="20" t="s">
        <v>47</v>
      </c>
      <c r="D257" s="20"/>
      <c r="E257" s="20" t="s">
        <v>532</v>
      </c>
      <c r="F257" s="20" t="s">
        <v>14</v>
      </c>
      <c r="G257" s="20">
        <v>1</v>
      </c>
    </row>
    <row r="258" spans="1:7" outlineLevel="3">
      <c r="A258" s="22" t="s">
        <v>11</v>
      </c>
      <c r="B258" s="23" t="s">
        <v>533</v>
      </c>
      <c r="C258" s="22" t="s">
        <v>47</v>
      </c>
      <c r="D258" s="22"/>
      <c r="E258" s="22" t="s">
        <v>534</v>
      </c>
      <c r="F258" s="22" t="s">
        <v>11</v>
      </c>
      <c r="G258" s="22" t="s">
        <v>47</v>
      </c>
    </row>
    <row r="259" spans="1:7" ht="30" outlineLevel="4" collapsed="1">
      <c r="A259" s="20" t="s">
        <v>11</v>
      </c>
      <c r="B259" s="20" t="s">
        <v>82</v>
      </c>
      <c r="C259" s="20" t="s">
        <v>47</v>
      </c>
      <c r="D259" s="20"/>
      <c r="E259" s="20" t="s">
        <v>535</v>
      </c>
      <c r="F259" s="20" t="s">
        <v>14</v>
      </c>
      <c r="G259" s="20">
        <v>1</v>
      </c>
    </row>
    <row r="260" spans="1:7" ht="30" outlineLevel="4" collapsed="1">
      <c r="A260" s="20" t="s">
        <v>11</v>
      </c>
      <c r="B260" s="20" t="s">
        <v>82</v>
      </c>
      <c r="C260" s="20" t="s">
        <v>47</v>
      </c>
      <c r="D260" s="20"/>
      <c r="E260" s="20" t="s">
        <v>536</v>
      </c>
      <c r="F260" s="20" t="s">
        <v>14</v>
      </c>
      <c r="G260" s="20">
        <v>1</v>
      </c>
    </row>
    <row r="261" spans="1:7" ht="30" outlineLevel="4" collapsed="1">
      <c r="A261" s="20" t="s">
        <v>11</v>
      </c>
      <c r="B261" s="20" t="s">
        <v>82</v>
      </c>
      <c r="C261" s="20" t="s">
        <v>47</v>
      </c>
      <c r="D261" s="20"/>
      <c r="E261" s="20" t="s">
        <v>537</v>
      </c>
      <c r="F261" s="20" t="s">
        <v>14</v>
      </c>
      <c r="G261" s="20">
        <v>1</v>
      </c>
    </row>
    <row r="262" spans="1:7" ht="30" outlineLevel="4" collapsed="1">
      <c r="A262" s="20" t="s">
        <v>11</v>
      </c>
      <c r="B262" s="20" t="s">
        <v>82</v>
      </c>
      <c r="C262" s="20" t="s">
        <v>47</v>
      </c>
      <c r="D262" s="20"/>
      <c r="E262" s="20" t="s">
        <v>538</v>
      </c>
      <c r="F262" s="20" t="s">
        <v>14</v>
      </c>
      <c r="G262" s="20">
        <v>1</v>
      </c>
    </row>
    <row r="263" spans="1:7" ht="30" outlineLevel="4" collapsed="1">
      <c r="A263" s="20" t="s">
        <v>14</v>
      </c>
      <c r="B263" s="20" t="s">
        <v>82</v>
      </c>
      <c r="C263" s="20" t="s">
        <v>47</v>
      </c>
      <c r="D263" s="20" t="s">
        <v>399</v>
      </c>
      <c r="E263" s="20" t="s">
        <v>539</v>
      </c>
      <c r="F263" s="20" t="s">
        <v>14</v>
      </c>
      <c r="G263" s="20">
        <f>G259*G260*G261</f>
        <v>1</v>
      </c>
    </row>
    <row r="264" spans="1:7" ht="29.25" customHeight="1" outlineLevel="2">
      <c r="A264" s="18" t="s">
        <v>14</v>
      </c>
      <c r="B264" s="18" t="s">
        <v>82</v>
      </c>
      <c r="C264" s="10"/>
      <c r="D264" s="18" t="s">
        <v>399</v>
      </c>
      <c r="E264" s="18" t="s">
        <v>586</v>
      </c>
      <c r="F264" s="18" t="s">
        <v>14</v>
      </c>
      <c r="G264" s="18">
        <f>G255</f>
        <v>7.333333333333333</v>
      </c>
    </row>
    <row r="265" spans="1:7" ht="29.25" customHeight="1" outlineLevel="2">
      <c r="A265" s="18" t="s">
        <v>14</v>
      </c>
      <c r="B265" s="18" t="s">
        <v>82</v>
      </c>
      <c r="C265" s="10"/>
      <c r="D265" s="18" t="s">
        <v>399</v>
      </c>
      <c r="E265" s="18" t="s">
        <v>587</v>
      </c>
      <c r="F265" s="18" t="s">
        <v>14</v>
      </c>
      <c r="G265" s="18">
        <f>IF(AND(G240="Estimating change in carbon stock in shrubs between two points in time",G242="Yes"),0,IF(AND(G240="Estimating change in carbon stock in shrubs between two points in time"),G246,IF(AND(G240="Estimating change in carbon stock in shrubs in a year"),G250)))</f>
        <v>0</v>
      </c>
    </row>
  </sheetData>
  <mergeCells count="3">
    <mergeCell ref="A1:G1"/>
    <mergeCell ref="B2:G2"/>
    <mergeCell ref="B3:G3"/>
  </mergeCells>
  <dataValidations count="3">
    <dataValidation type="list" allowBlank="1" showInputMessage="1" showErrorMessage="1" sqref="G66:G71 G195:G200" xr:uid="{7B7E3C72-E8DF-49AD-8F2B-FE5422967367}">
      <formula1>"Yes,No"</formula1>
    </dataValidation>
    <dataValidation type="list" allowBlank="1" sqref="G14 G122 G152 G245 G242" xr:uid="{C54DF494-54BA-419E-8E92-C8E02EF5842C}">
      <formula1>"Yes,No"</formula1>
    </dataValidation>
    <dataValidation type="list" allowBlank="1" showInputMessage="1" showErrorMessage="1" sqref="B3:G3" xr:uid="{A3FC7A48-442E-4AAD-BB84-C1677CDF36E6}">
      <formula1>"Verifiable Credentials,Encrypted Verifiable Credential,Sub-Schema"</formula1>
    </dataValidation>
  </dataValidations>
  <hyperlinks>
    <hyperlink ref="B8" location="'AR Tool 14 Baseline'!A1" display="'AR Tool 14 Baseline" xr:uid="{CE372712-99DF-4ED7-82C9-5DBCB080EC4A}"/>
    <hyperlink ref="B146" location="'AR Tool 14 Project'!A1" display="'AR Tool 14 Project" xr:uid="{008CA3DC-A276-4072-9FD2-0BCC2E157B8A}"/>
    <hyperlink ref="C11" location="#'Which method did you us (enum)'!A3" display="Which method did you us (enum)" xr:uid="{D969CE88-182A-4C2F-97EE-86EA855930E9}"/>
    <hyperlink ref="C53" location="#'Which method did you 1 (enum)'!A3" display="Which method did you 1 (enum)" xr:uid="{F2BA250E-2D6C-4655-8284-C72DAB48214E}"/>
    <hyperlink ref="C82" location="#'Which sampling design w (enum)'!A3" display="Which sampling design w (enum)" xr:uid="{17638FDD-0D4F-40A9-9DA3-B9EC06D0D2EF}"/>
    <hyperlink ref="B12" location="'Tree Demonstration of “no-d'!A1" display="'Tree Demonstration of “no-d" xr:uid="{B7338E28-5E5A-49F0-8B8E-B7D336955850}"/>
    <hyperlink ref="B15" location="'BSL-Estimation by proportionate'!A1" display="'BSL-Estimation by proportionate" xr:uid="{727357EF-42C7-4B7D-B6B8-70E33816F162}"/>
    <hyperlink ref="B17" location="'Mean annual change in carbon st'!A1" display="'Mean annual change in carbon st" xr:uid="{767EB1AA-5507-4B6A-BB4C-3ED11CADE33C}"/>
    <hyperlink ref="B24" location="'Direct Estimating Changes via S'!A1" display="'Direct Estimating Changes via S" xr:uid="{0914E9CA-9753-4473-822E-47198CED3E69}"/>
    <hyperlink ref="B32" location="'Mean Change In Tree Biomass Per'!A1" display="'Mean Change In Tree Biomass Per" xr:uid="{4EA3C3B4-BEBC-4649-96C6-ABB10829EA88}"/>
    <hyperlink ref="B37" location="'Change in Tree Biomass per Hect'!A1" display="'Change in Tree Biomass per Hect" xr:uid="{E74C91F6-FD14-412F-ABEE-E48A3C17C6B6}"/>
    <hyperlink ref="B39" location="'Difference of Two Independent S'!A1" display="'Difference of Two Independent S" xr:uid="{39AAD616-D95A-45BE-A0F2-348B47825271}"/>
    <hyperlink ref="B47" location="'BSL-Estimating change in carbon'!A1" display="'BSL-Estimating change in carbon" xr:uid="{2ABB88BE-B199-4146-BB95-CB652E66CE4F}"/>
    <hyperlink ref="B52" location="'BSL-Determination of Estimating'!A1" display="'BSL-Determination of Estimating" xr:uid="{72CA1436-63D0-47E4-82DA-9B3800DA8DF8}"/>
    <hyperlink ref="B54" location="'BSL-Updating the previous stock'!A1" display="'BSL-Updating the previous stock" xr:uid="{774E945B-7F49-4BF8-973F-8AE83837EF4F}"/>
    <hyperlink ref="B61" location="'BSL-Estimation by modelling of '!A1" display="'BSL-Estimation by modelling of" xr:uid="{D53B171A-62A6-44AC-B49B-9651508D1B14}"/>
    <hyperlink ref="B68" location="'BSL-Carbon stock in trees at a '!A1" display="'BSL-Carbon stock in trees at a" xr:uid="{8AAEDDEF-08C3-40C4-BB93-B54AB35369CE}"/>
    <hyperlink ref="B72" location="'BSL-Estimation by proportiona'!A1" display="'BSL-Estimation by proportiona" xr:uid="{25C5541B-A90B-4AD5-8F5E-C424F7B3C2DA}"/>
    <hyperlink ref="B74" location="'BSL-Mean annual change in carbo'!A1" display="'BSL-Mean annual change in carbo" xr:uid="{635A26B1-BF10-4DE6-993E-06A910B1E0B1}"/>
    <hyperlink ref="B81" location="'Measurement of sample plots'!A1" display="'Measurement of sample plots" xr:uid="{7927FC46-2A71-456B-8F35-4E235B4AEA27}"/>
    <hyperlink ref="B83" location="'Stratified random sampling'!A1" display="'Stratified random sampling" xr:uid="{50391175-45DB-4E54-B6DF-429363FF91AF}"/>
    <hyperlink ref="B91" location="'Mean tree biomass per hectare w'!A1" display="'Mean tree biomass per hectare w" xr:uid="{7D26C880-69E5-43A4-B0BB-E86C7B0D8874}"/>
    <hyperlink ref="B96" location="'Tree Biomass per Hectare in Plo'!A1" display="'Tree Biomass per Hectare in Plo" xr:uid="{BE8FA460-D16B-44FD-A99B-E193FEAD0849}"/>
    <hyperlink ref="B98" location="'Double sampling'!A1" display="'Double sampling" xr:uid="{6A57E170-0EDC-4717-8520-0AF6C8A5EDC5}"/>
    <hyperlink ref="B106" location="'Double Mean tree biomass per he'!A1" display="'Double Mean tree biomass per he" xr:uid="{9C70C7EF-FAFD-4423-8A77-0E3B73FCFD15}"/>
    <hyperlink ref="B115" location="'Tree Biomass per Hectare in Plo'!A1" display="'Tree Biomass per Hectare in Plo" xr:uid="{7DB31F7E-6247-43E9-843C-1E66D4260581}"/>
    <hyperlink ref="B121" location="'BSL-Estimating Shrub Carbon Sto'!A1" display="'BSL-Estimating Shrub Carbon Sto" xr:uid="{DE14CCA4-6F96-4277-BCEC-9A4EC24639D0}"/>
    <hyperlink ref="B129" location="'BSL-Estimating change in carb'!A1" display="'BSL-Estimating change in carb" xr:uid="{64D5B7F6-F3B8-4068-A605-2689D45DA36D}"/>
    <hyperlink ref="B134" location="'BSL-Estimating carbon stock in '!A1" display="'BSL-Estimating carbon stock in" xr:uid="{1EEF0C7E-F000-4DA4-8164-26FD61BA6C09}"/>
    <hyperlink ref="B138" location="'Shrub biomass per hectare in sh'!A1" display="'Shrub biomass per hectare in sh" xr:uid="{9083A468-53BA-46FD-8D21-27B1D3253152}"/>
    <hyperlink ref="B10" location="'BSL-Estimating change in car'!A1" display="'BSL-Estimating change in car" xr:uid="{6426C5B5-398F-41C4-87AC-3393F39A7010}"/>
    <hyperlink ref="C9" location="'Which method did you u (enum)'!A1" display="'Which method did you u (enum)" xr:uid="{C7AFFD94-093E-4EA4-8F0F-DC189A9E33EE}"/>
    <hyperlink ref="C120" location="'Which method did you (enum)'!A1" display="'Which method did you (enum)" xr:uid="{52AF4074-F322-48E3-8A32-33B171B11589}"/>
    <hyperlink ref="C122" location="'Will you be applying the (enum)'!A1" display="'Will you be applying the (enum)" xr:uid="{C53475BA-97E6-432C-8052-889A94101267}"/>
    <hyperlink ref="B123" location="'Shrub Demonstration of “n'!A1" display="'Shrub Demonstration of “n" xr:uid="{3298AE31-CE77-47DC-8A1A-43D8D86C32BA}"/>
    <hyperlink ref="C125" location="'If all three conditi (enum)'!A1" display="'If all three conditi (enum)" xr:uid="{03435CBC-7AB0-4450-9B14-90B5EDA28D34}"/>
    <hyperlink ref="C202" location="#'Which sampling design w (enum)'!A3" display="Which sampling design w (enum)" xr:uid="{092D7C3F-26AD-443A-B14B-5638AB8CB138}"/>
    <hyperlink ref="C182" location="'Which method did you 2 (enum)'!A1" display="'Which method did you 2 (enum)" xr:uid="{5554AC0E-B3A5-4902-ACBD-00E790BE37ED}"/>
    <hyperlink ref="B153" location="'Direct Estimating Changes via S'!A1" display="'Direct Estimating Changes via S" xr:uid="{3F493152-4E5F-4272-80C6-00A7BFB618BF}"/>
    <hyperlink ref="B161" location="'Mean Change In Tree Biomass Per'!A1" display="'Mean Change In Tree Biomass Per" xr:uid="{6BF26C02-BF84-4CAB-98C6-AF1243547FEC}"/>
    <hyperlink ref="B166" location="'Change in Tree Biomass per Hect'!A1" display="'Change in Tree Biomass per Hect" xr:uid="{A8BBF04D-5F12-4A09-9633-F3D123C1B027}"/>
    <hyperlink ref="B168" location="'Difference of Two Independent S'!A1" display="'Difference of Two Independent S" xr:uid="{7918DAB6-0419-4A5C-9C4D-3E73E80C639D}"/>
    <hyperlink ref="B197" location="'Proj-Carbon stock in trees at a'!A1" display="'Proj-Carbon stock in trees at a" xr:uid="{541F1748-91F7-4ED0-A6DB-239E9ACF5186}"/>
    <hyperlink ref="B190" location="'Proj-Estimation by modelling of'!A1" display="'Proj-Estimation by modelling of" xr:uid="{C9FC5C7A-1185-4E05-9A37-B621DF97DF0F}"/>
    <hyperlink ref="B201" location="'Measurement of sample plots'!A1" display="'Measurement of sample plots" xr:uid="{23C0D7E4-F9B4-43EF-B9AD-67C88423D115}"/>
    <hyperlink ref="B203" location="'Stratified random sampling'!A1" display="'Stratified random sampling" xr:uid="{3AEB6592-7E0A-4283-B4CE-E3E168550F3F}"/>
    <hyperlink ref="B211" location="'Mean tree biomass per hectare w'!A1" display="'Mean tree biomass per hectare w" xr:uid="{729F9A27-B4CB-4F28-A1E4-AD7DC4147F6C}"/>
    <hyperlink ref="B216" location="'Tree Biomass per Hectare in Plo'!A1" display="'Tree Biomass per Hectare in Plo" xr:uid="{8DB67C45-B0B5-4C9B-B1A7-891839C2D826}"/>
    <hyperlink ref="B218" location="'Double sampling'!A1" display="'Double sampling" xr:uid="{39177BBF-CF5E-4A0B-9EB2-ABC5B2C88981}"/>
    <hyperlink ref="B226" location="'Double Mean tree biomass per he'!A1" display="'Double Mean tree biomass per he" xr:uid="{399D1E31-A49B-4D2E-A308-54248CF7B0BA}"/>
    <hyperlink ref="B235" location="'Tree Biomass per Hectare in Plo'!A1" display="'Tree Biomass per Hectare in Plo" xr:uid="{17029EF7-CE03-41E3-A052-3BB830F5EFF5}"/>
    <hyperlink ref="B183" location="'Proj-Updating the previous stoc'!A1" display="'Proj-Updating the previous stoc" xr:uid="{10B98994-8B8C-4271-8E8C-BBB72C5A4189}"/>
    <hyperlink ref="B181" location="'Proj-Determination of Estimatin'!A1" display="'Proj-Determination of Estimatin" xr:uid="{70FCCBDC-C2CE-4E22-A95D-3C66D5A0E73C}"/>
    <hyperlink ref="B241" location="'Proj-Estimating Shrub Carbon St'!A1" display="'Proj-Estimating Shrub Carbon St" xr:uid="{89BD3B92-2AF2-4614-BC7B-126AFB37EBF8}"/>
    <hyperlink ref="B249" location="'Proj-Estimating change in carbo'!A1" display="'Proj-Estimating change in carbo" xr:uid="{D637D709-6736-47D6-9061-521417B1AB77}"/>
    <hyperlink ref="B254" location="'Proj-Estimating carbon stock in'!A1" display="'Proj-Estimating carbon stock in" xr:uid="{5EDD47DB-4CDC-43DB-903D-87ABEC192760}"/>
    <hyperlink ref="B258" location="'Shrub biomass per hectare in sh'!A1" display="'Shrub biomass per hectare in sh" xr:uid="{1F5F5534-D9F5-4171-83B5-32E92088910B}"/>
    <hyperlink ref="B150" location="'Tree Demonstration of “no-d'!A1" display="'Tree Demonstration of “no-d" xr:uid="{C0ADB068-CC58-48B9-8E57-2CAD40FB77D0}"/>
    <hyperlink ref="C149" location="'Which method did yous (enum)'!A1" display="'Which method did yous (enum)" xr:uid="{49A384CE-4047-4A06-AB88-AF1B98A92591}"/>
    <hyperlink ref="B148" location="'PROJ-Estimating change in car'!A1" display="'PROJ-Estimating change in car" xr:uid="{D6C40586-E8AD-4207-84C6-9007CFA2096F}"/>
    <hyperlink ref="B243" location="'Shrub Demonstration of “n'!A1" display="'Shrub Demonstration of “n" xr:uid="{7B796FDE-FD0E-420B-9885-C8B3AC0AE947}"/>
    <hyperlink ref="C147" location="'Which method did you pro(enum)'!A1" display="'Which method did you pro(enum)" xr:uid="{73491FB5-056C-4BB7-B930-7ED9EF9D26D9}"/>
    <hyperlink ref="B176" location="'Proj-Estimating Change in Carb'!A1" display="'Proj-Estimating Change in Carb" xr:uid="{08533CBD-BAF1-4C5D-8DEF-88B6E46F4B42}"/>
    <hyperlink ref="C240" location="'Which method did  pro (enum)'!A1" display="'Which method did  pro (enum)" xr:uid="{8C296556-CABC-44BC-9ADF-CE71E560F311}"/>
    <hyperlink ref="C242" location="'Will you be applying  pr (enum)'!A1" display="'Will you be applying  pr (enum)" xr:uid="{DD082A4B-4D56-4511-9B2D-DBCE7A70D0F3}"/>
    <hyperlink ref="C195" location="'Does your project apply  (enum)'!A1" display="'Does your project apply  (enum)" xr:uid="{A244829D-A968-40EA-BFD0-4B3262EAD2A9}"/>
    <hyperlink ref="C14" location="'If all three conditi tree(enum)'!A1" display="'If all three conditi tree(enum)" xr:uid="{019DC877-11AA-4D71-8D60-F9FB2A887C6A}"/>
    <hyperlink ref="C66" location="'Does your project apply b(enum)'!A1" display="'Does your project apply b(enum)" xr:uid="{9C1D12BE-5DFC-444F-80C1-4AFC4AACA4CC}"/>
    <hyperlink ref="C152" location="'If all three conditi tree(enum)'!A1" display="'If all three conditi tree(enum)" xr:uid="{60E9F244-DFC6-4756-BF25-83354D8086B3}"/>
    <hyperlink ref="C245" location="'If all three conditi (enum)'!A1" display="'If all three conditi (enum)" xr:uid="{31593904-DBDF-4FB8-8599-BE8077A2FF9A}"/>
    <hyperlink ref="B7" location="'AR Tool 14'!A1" display="'AR Tool 14" xr:uid="{74CB2389-4B5B-468B-BCB5-9A880A516A78}"/>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9">
        <x14:dataValidation type="list" allowBlank="1" xr:uid="{A49EA0E9-A78F-469F-A907-AB6EF579FA5F}">
          <x14:formula1>
            <xm:f>'If all three conditi (enum)'!$A$3:$A$4</xm:f>
          </x14:formula1>
          <xm:sqref>G125</xm:sqref>
        </x14:dataValidation>
        <x14:dataValidation type="list" allowBlank="1" showInputMessage="1" showErrorMessage="1" xr:uid="{C3925815-9979-4C54-A46C-C32A8CC39ED4}">
          <x14:formula1>
            <xm:f>'Which method did you (enum)'!$A$3:$A$4</xm:f>
          </x14:formula1>
          <xm:sqref>G120 G240</xm:sqref>
        </x14:dataValidation>
        <x14:dataValidation type="list" allowBlank="1" showInputMessage="1" showErrorMessage="1" xr:uid="{1376A68C-413C-44EE-81D1-F358DBAD279F}">
          <x14:formula1>
            <xm:f>'Which method did you u (enum)'!$A$3:$A$4</xm:f>
          </x14:formula1>
          <xm:sqref>G9:G10 G147:G148</xm:sqref>
        </x14:dataValidation>
        <x14:dataValidation type="list" allowBlank="1" xr:uid="{C993C067-0F2B-4B8B-90B7-DC7BE46819B8}">
          <x14:formula1>
            <xm:f>'Which method did you us (enum)'!$A$3:$A$6</xm:f>
          </x14:formula1>
          <xm:sqref>G11</xm:sqref>
        </x14:dataValidation>
        <x14:dataValidation type="list" allowBlank="1" xr:uid="{6E16DA2A-4979-44E0-9292-2B0C6F5C24F8}">
          <x14:formula1>
            <xm:f>'Which method did you 1 (enum)'!$A$3:$A$6</xm:f>
          </x14:formula1>
          <xm:sqref>G53</xm:sqref>
        </x14:dataValidation>
        <x14:dataValidation type="list" allowBlank="1" xr:uid="{D40AA65C-5D2F-4E74-AE09-D20886B21C9D}">
          <x14:formula1>
            <xm:f>'Which method did yous (enum)'!$A$3:$A$5</xm:f>
          </x14:formula1>
          <xm:sqref>G149</xm:sqref>
        </x14:dataValidation>
        <x14:dataValidation type="list" allowBlank="1" xr:uid="{B525D45F-8004-4D7B-8E66-064F7F48E0BC}">
          <x14:formula1>
            <xm:f>'Which method did you 2 (enum)'!$A$3:$A$5</xm:f>
          </x14:formula1>
          <xm:sqref>G182</xm:sqref>
        </x14:dataValidation>
        <x14:dataValidation type="list" allowBlank="1" xr:uid="{055928E9-C131-4D95-A43E-CCD01C393ADE}">
          <x14:formula1>
            <xm:f>'Which sampling design w (enum)'!B24:B25</xm:f>
          </x14:formula1>
          <xm:sqref>G82</xm:sqref>
        </x14:dataValidation>
        <x14:dataValidation type="list" allowBlank="1" xr:uid="{332C344B-61CA-423E-B2A8-8ABB4F411CBF}">
          <x14:formula1>
            <xm:f>'Which sampling design w (enum)'!B162:B163</xm:f>
          </x14:formula1>
          <xm:sqref>G202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06CD-8E8F-46F7-89DD-211394FDFED8}">
  <sheetPr codeName="Sheet17">
    <tabColor rgb="FF0070C0"/>
    <outlinePr summaryBelow="0" summaryRight="0"/>
  </sheetPr>
  <dimension ref="A1:G18"/>
  <sheetViews>
    <sheetView workbookViewId="0">
      <selection activeCell="E4" sqref="E1:E1048576"/>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2" t="s">
        <v>84</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86</v>
      </c>
      <c r="C5" s="3"/>
      <c r="D5" s="3"/>
      <c r="E5" s="3" t="s">
        <v>87</v>
      </c>
      <c r="F5" s="3" t="s">
        <v>14</v>
      </c>
      <c r="G5" s="3"/>
    </row>
    <row r="6" spans="1:7" ht="14.25" customHeight="1" outlineLevel="1">
      <c r="A6" s="3" t="s">
        <v>11</v>
      </c>
      <c r="B6" s="3" t="s">
        <v>46</v>
      </c>
      <c r="C6" s="3"/>
      <c r="D6" s="3"/>
      <c r="E6" s="3" t="s">
        <v>88</v>
      </c>
      <c r="F6" s="3" t="s">
        <v>14</v>
      </c>
      <c r="G6" s="3" t="s">
        <v>89</v>
      </c>
    </row>
    <row r="7" spans="1:7" outlineLevel="1">
      <c r="A7" s="3" t="s">
        <v>11</v>
      </c>
      <c r="B7" s="3" t="s">
        <v>82</v>
      </c>
      <c r="C7" s="3"/>
      <c r="D7" s="3"/>
      <c r="E7" s="3" t="s">
        <v>90</v>
      </c>
      <c r="F7" s="3" t="s">
        <v>14</v>
      </c>
      <c r="G7" s="3">
        <v>1148.7226376613501</v>
      </c>
    </row>
    <row r="8" spans="1:7" outlineLevel="1">
      <c r="A8" s="3" t="s">
        <v>11</v>
      </c>
      <c r="B8" s="9" t="s">
        <v>91</v>
      </c>
      <c r="C8" s="3"/>
      <c r="D8" s="3"/>
      <c r="E8" s="3" t="s">
        <v>92</v>
      </c>
      <c r="F8" s="3" t="s">
        <v>14</v>
      </c>
      <c r="G8" s="3"/>
    </row>
    <row r="9" spans="1:7" outlineLevel="2">
      <c r="A9" s="3" t="s">
        <v>11</v>
      </c>
      <c r="B9" s="9" t="s">
        <v>93</v>
      </c>
      <c r="C9" s="3"/>
      <c r="D9" s="3"/>
      <c r="E9" s="3" t="s">
        <v>94</v>
      </c>
      <c r="F9" s="3" t="s">
        <v>14</v>
      </c>
      <c r="G9" s="3"/>
    </row>
    <row r="10" spans="1:7" ht="30" outlineLevel="3" collapsed="1">
      <c r="A10" s="3" t="s">
        <v>14</v>
      </c>
      <c r="B10" s="3" t="s">
        <v>82</v>
      </c>
      <c r="C10" s="3" t="s">
        <v>47</v>
      </c>
      <c r="D10" s="3" t="s">
        <v>48</v>
      </c>
      <c r="E10" s="3" t="s">
        <v>95</v>
      </c>
      <c r="F10" s="3" t="s">
        <v>14</v>
      </c>
      <c r="G10" s="3">
        <f>G11*G12</f>
        <v>560</v>
      </c>
    </row>
    <row r="11" spans="1:7" outlineLevel="3">
      <c r="A11" s="3" t="s">
        <v>11</v>
      </c>
      <c r="B11" s="3" t="s">
        <v>82</v>
      </c>
      <c r="C11" s="3" t="s">
        <v>47</v>
      </c>
      <c r="D11" s="3"/>
      <c r="E11" s="3" t="s">
        <v>96</v>
      </c>
      <c r="F11" s="3" t="s">
        <v>14</v>
      </c>
      <c r="G11" s="3">
        <v>28</v>
      </c>
    </row>
    <row r="12" spans="1:7" ht="45" outlineLevel="3">
      <c r="A12" s="3" t="s">
        <v>11</v>
      </c>
      <c r="B12" s="3" t="s">
        <v>82</v>
      </c>
      <c r="C12" s="3" t="s">
        <v>47</v>
      </c>
      <c r="D12" s="3"/>
      <c r="E12" s="3" t="s">
        <v>97</v>
      </c>
      <c r="F12" s="3" t="s">
        <v>14</v>
      </c>
      <c r="G12" s="3">
        <v>20</v>
      </c>
    </row>
    <row r="13" spans="1:7" ht="14.25" customHeight="1" outlineLevel="1">
      <c r="A13" s="3" t="s">
        <v>11</v>
      </c>
      <c r="B13" s="9" t="s">
        <v>98</v>
      </c>
      <c r="C13" s="3"/>
      <c r="D13" s="3"/>
      <c r="E13" s="3" t="s">
        <v>99</v>
      </c>
      <c r="F13" s="3" t="s">
        <v>14</v>
      </c>
      <c r="G13" s="3"/>
    </row>
    <row r="14" spans="1:7" outlineLevel="2">
      <c r="A14" s="3" t="s">
        <v>11</v>
      </c>
      <c r="B14" s="9" t="s">
        <v>100</v>
      </c>
      <c r="C14" s="3"/>
      <c r="D14" s="3"/>
      <c r="E14" s="3" t="s">
        <v>101</v>
      </c>
      <c r="F14" s="3" t="s">
        <v>14</v>
      </c>
      <c r="G14" s="3"/>
    </row>
    <row r="15" spans="1:7" ht="30" outlineLevel="3" collapsed="1">
      <c r="A15" s="3" t="s">
        <v>14</v>
      </c>
      <c r="B15" s="3" t="s">
        <v>82</v>
      </c>
      <c r="C15" s="3"/>
      <c r="D15" s="3" t="s">
        <v>48</v>
      </c>
      <c r="E15" s="3" t="s">
        <v>102</v>
      </c>
      <c r="F15" s="3" t="s">
        <v>14</v>
      </c>
      <c r="G15" s="3">
        <f>G16*G17</f>
        <v>560</v>
      </c>
    </row>
    <row r="16" spans="1:7" outlineLevel="3">
      <c r="A16" s="3" t="s">
        <v>11</v>
      </c>
      <c r="B16" s="3" t="s">
        <v>82</v>
      </c>
      <c r="C16" s="3" t="s">
        <v>47</v>
      </c>
      <c r="D16" s="3"/>
      <c r="E16" s="3" t="s">
        <v>96</v>
      </c>
      <c r="F16" s="3" t="s">
        <v>14</v>
      </c>
      <c r="G16" s="3">
        <v>28</v>
      </c>
    </row>
    <row r="17" spans="1:7" ht="45" outlineLevel="3">
      <c r="A17" s="3" t="s">
        <v>11</v>
      </c>
      <c r="B17" s="3" t="s">
        <v>82</v>
      </c>
      <c r="C17" s="3" t="s">
        <v>47</v>
      </c>
      <c r="D17" s="3"/>
      <c r="E17" s="3" t="s">
        <v>103</v>
      </c>
      <c r="F17" s="3" t="s">
        <v>14</v>
      </c>
      <c r="G17" s="3">
        <v>20</v>
      </c>
    </row>
    <row r="18" spans="1:7" ht="14.25" customHeight="1">
      <c r="A18" s="3" t="s">
        <v>14</v>
      </c>
      <c r="B18" s="3" t="s">
        <v>82</v>
      </c>
      <c r="C18" s="3"/>
      <c r="D18" s="3" t="s">
        <v>48</v>
      </c>
      <c r="E18" s="3" t="s">
        <v>104</v>
      </c>
      <c r="F18" s="3" t="s">
        <v>14</v>
      </c>
      <c r="G18" s="3">
        <f>SUM(G10-G15)*G7</f>
        <v>0</v>
      </c>
    </row>
  </sheetData>
  <mergeCells count="3">
    <mergeCell ref="A1:G1"/>
    <mergeCell ref="B2:G2"/>
    <mergeCell ref="B3:G3"/>
  </mergeCells>
  <dataValidations count="2">
    <dataValidation type="list" allowBlank="1" showInputMessage="1" showErrorMessage="1" sqref="A10:A12 F10:F12 F15:F17 A15:A17" xr:uid="{F2927684-3FAE-4A6B-B6A4-92E47B5D60C6}">
      <formula1>"Yes,No"</formula1>
    </dataValidation>
    <dataValidation type="list" allowBlank="1" showInputMessage="1" showErrorMessage="1" sqref="B3:G3" xr:uid="{F3DD8818-1F62-4AA6-8FB9-61ABA1CA636D}">
      <formula1>"Verifiable Credentials,Encrypted Verifiable Credential,Sub-Schema"</formula1>
    </dataValidation>
  </dataValidations>
  <hyperlinks>
    <hyperlink ref="B5" location="QA1_CH4_ERs_Unit_i!A1" display="QA1_CH4_ERs_Unit_i" xr:uid="{32FDEF41-4780-4E2B-849A-6544E94B797A}"/>
    <hyperlink ref="B8" location="QA1_CH4_Baseline!A1" display="QA1_CH4_Baseline" xr:uid="{588652F5-5876-4F3F-82A9-A14D41F79313}"/>
    <hyperlink ref="B9" location="QA1_CH4_Soil_Methan_Baselin!A1" display="QA1_CH4_Soil_Methan_Baselin" xr:uid="{AC347C32-98A2-40A6-B06C-69A9E5795A50}"/>
    <hyperlink ref="B13" location="QA1_CH4_Project!A1" display="QA1_CH4_Project" xr:uid="{1C565826-1BCE-4D23-9033-41EC759D976A}"/>
    <hyperlink ref="B14" location="QA1_CH4_Soil_Methan_Project!A1" display="QA1_CH4_Soil_Methan_Project" xr:uid="{D55C7823-4057-4939-8763-353E4B3CEB06}"/>
  </hyperlinks>
  <pageMargins left="0.7" right="0.7" top="0.75" bottom="0.75" header="0.3" footer="0.3"/>
  <pageSetup orientation="portrait" horizontalDpi="4294967295" verticalDpi="4294967295"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C52F-6D8F-40C6-B864-F94DA8C082F0}">
  <sheetPr codeName="Sheet18">
    <tabColor rgb="FF0070C0"/>
    <outlinePr summaryBelow="0" summaryRight="0"/>
  </sheetPr>
  <dimension ref="A1:G17"/>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86</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4.25" customHeight="1">
      <c r="A5" s="3" t="s">
        <v>11</v>
      </c>
      <c r="B5" s="3" t="s">
        <v>46</v>
      </c>
      <c r="C5" s="3"/>
      <c r="D5" s="3"/>
      <c r="E5" s="3" t="s">
        <v>88</v>
      </c>
      <c r="F5" s="3" t="s">
        <v>14</v>
      </c>
      <c r="G5" s="3" t="s">
        <v>89</v>
      </c>
    </row>
    <row r="6" spans="1:7">
      <c r="A6" s="3" t="s">
        <v>11</v>
      </c>
      <c r="B6" s="3" t="s">
        <v>82</v>
      </c>
      <c r="C6" s="3"/>
      <c r="D6" s="3"/>
      <c r="E6" s="3" t="s">
        <v>90</v>
      </c>
      <c r="F6" s="3" t="s">
        <v>14</v>
      </c>
      <c r="G6" s="3">
        <v>1148.7226376613501</v>
      </c>
    </row>
    <row r="7" spans="1:7">
      <c r="A7" s="3" t="s">
        <v>11</v>
      </c>
      <c r="B7" s="9" t="s">
        <v>91</v>
      </c>
      <c r="C7" s="3"/>
      <c r="D7" s="3"/>
      <c r="E7" s="3" t="s">
        <v>92</v>
      </c>
      <c r="F7" s="3" t="s">
        <v>14</v>
      </c>
      <c r="G7" s="3"/>
    </row>
    <row r="8" spans="1:7" outlineLevel="1">
      <c r="A8" s="3" t="s">
        <v>11</v>
      </c>
      <c r="B8" s="9" t="s">
        <v>93</v>
      </c>
      <c r="C8" s="3"/>
      <c r="D8" s="3"/>
      <c r="E8" s="3" t="s">
        <v>94</v>
      </c>
      <c r="F8" s="3" t="s">
        <v>14</v>
      </c>
      <c r="G8" s="3"/>
    </row>
    <row r="9" spans="1:7" ht="30" outlineLevel="2" collapsed="1">
      <c r="A9" s="3" t="s">
        <v>14</v>
      </c>
      <c r="B9" s="3" t="s">
        <v>82</v>
      </c>
      <c r="C9" s="3" t="s">
        <v>47</v>
      </c>
      <c r="D9" s="3" t="s">
        <v>48</v>
      </c>
      <c r="E9" s="3" t="s">
        <v>95</v>
      </c>
      <c r="F9" s="3" t="s">
        <v>14</v>
      </c>
      <c r="G9" s="3">
        <f>G10*G11</f>
        <v>560</v>
      </c>
    </row>
    <row r="10" spans="1:7" outlineLevel="2">
      <c r="A10" s="3" t="s">
        <v>11</v>
      </c>
      <c r="B10" s="3" t="s">
        <v>82</v>
      </c>
      <c r="C10" s="3" t="s">
        <v>47</v>
      </c>
      <c r="D10" s="3"/>
      <c r="E10" s="3" t="s">
        <v>96</v>
      </c>
      <c r="F10" s="3" t="s">
        <v>14</v>
      </c>
      <c r="G10" s="3">
        <v>28</v>
      </c>
    </row>
    <row r="11" spans="1:7" ht="45" outlineLevel="2">
      <c r="A11" s="3" t="s">
        <v>11</v>
      </c>
      <c r="B11" s="3" t="s">
        <v>82</v>
      </c>
      <c r="C11" s="3" t="s">
        <v>47</v>
      </c>
      <c r="D11" s="3"/>
      <c r="E11" s="3" t="s">
        <v>97</v>
      </c>
      <c r="F11" s="3" t="s">
        <v>14</v>
      </c>
      <c r="G11" s="3">
        <v>20</v>
      </c>
    </row>
    <row r="12" spans="1:7" ht="14.25" customHeight="1">
      <c r="A12" s="3" t="s">
        <v>11</v>
      </c>
      <c r="B12" s="9" t="s">
        <v>98</v>
      </c>
      <c r="C12" s="3"/>
      <c r="D12" s="3"/>
      <c r="E12" s="3" t="s">
        <v>99</v>
      </c>
      <c r="F12" s="3" t="s">
        <v>14</v>
      </c>
      <c r="G12" s="3"/>
    </row>
    <row r="13" spans="1:7" outlineLevel="1">
      <c r="A13" s="3" t="s">
        <v>11</v>
      </c>
      <c r="B13" s="9" t="s">
        <v>100</v>
      </c>
      <c r="C13" s="3"/>
      <c r="D13" s="3"/>
      <c r="E13" s="3" t="s">
        <v>101</v>
      </c>
      <c r="F13" s="3" t="s">
        <v>14</v>
      </c>
      <c r="G13" s="3"/>
    </row>
    <row r="14" spans="1:7" ht="30" outlineLevel="2" collapsed="1">
      <c r="A14" s="3" t="s">
        <v>14</v>
      </c>
      <c r="B14" s="3" t="s">
        <v>82</v>
      </c>
      <c r="C14" s="3"/>
      <c r="D14" s="3" t="s">
        <v>48</v>
      </c>
      <c r="E14" s="3" t="s">
        <v>102</v>
      </c>
      <c r="F14" s="3" t="s">
        <v>14</v>
      </c>
      <c r="G14" s="3">
        <f>G15*G16</f>
        <v>560</v>
      </c>
    </row>
    <row r="15" spans="1:7" outlineLevel="2">
      <c r="A15" s="3" t="s">
        <v>11</v>
      </c>
      <c r="B15" s="3" t="s">
        <v>82</v>
      </c>
      <c r="C15" s="3" t="s">
        <v>47</v>
      </c>
      <c r="D15" s="3"/>
      <c r="E15" s="3" t="s">
        <v>96</v>
      </c>
      <c r="F15" s="3" t="s">
        <v>14</v>
      </c>
      <c r="G15" s="3">
        <v>28</v>
      </c>
    </row>
    <row r="16" spans="1:7" ht="45" outlineLevel="2">
      <c r="A16" s="3" t="s">
        <v>11</v>
      </c>
      <c r="B16" s="3" t="s">
        <v>82</v>
      </c>
      <c r="C16" s="3" t="s">
        <v>47</v>
      </c>
      <c r="D16" s="3"/>
      <c r="E16" s="3" t="s">
        <v>103</v>
      </c>
      <c r="F16" s="3" t="s">
        <v>14</v>
      </c>
      <c r="G16" s="3">
        <v>20</v>
      </c>
    </row>
    <row r="17" spans="1:7" ht="14.25" customHeight="1">
      <c r="A17" s="3" t="s">
        <v>14</v>
      </c>
      <c r="B17" s="3" t="s">
        <v>82</v>
      </c>
      <c r="C17" s="3"/>
      <c r="D17" s="3" t="s">
        <v>48</v>
      </c>
      <c r="E17" s="3" t="s">
        <v>104</v>
      </c>
      <c r="F17" s="3" t="s">
        <v>14</v>
      </c>
      <c r="G17" s="3">
        <f>SUM(G9-G14)*G6</f>
        <v>0</v>
      </c>
    </row>
  </sheetData>
  <mergeCells count="3">
    <mergeCell ref="A1:G1"/>
    <mergeCell ref="B2:G2"/>
    <mergeCell ref="B3:G3"/>
  </mergeCells>
  <dataValidations count="2">
    <dataValidation type="list" allowBlank="1" showInputMessage="1" showErrorMessage="1" sqref="A9:A11 F9:F11 F14:F16 A14:A16" xr:uid="{324BF592-B194-4DBF-A0C6-235DBC556BA3}">
      <formula1>"Yes,No"</formula1>
    </dataValidation>
    <dataValidation type="list" allowBlank="1" showInputMessage="1" showErrorMessage="1" sqref="B3:G3" xr:uid="{25156BB5-DAE4-4DC9-938B-7D97AA8DE525}">
      <formula1>"Verifiable Credentials,Encrypted Verifiable Credential,Sub-Schema"</formula1>
    </dataValidation>
  </dataValidations>
  <hyperlinks>
    <hyperlink ref="B8" location="QA1_CH4_Soil_Methan_Baselin!A1" display="QA1_CH4_Soil_Methan_Baselin" xr:uid="{7CEEAC01-F73D-408C-908A-17BDAE78E4E6}"/>
    <hyperlink ref="B13" location="QA1_CH4_Soil_Methan_Project!A1" display="QA1_CH4_Soil_Methan_Project" xr:uid="{B23D8BAB-773E-4039-93A1-F7F76C636DC5}"/>
    <hyperlink ref="B7" location="QA1_CH4_Baseline!A1" display="QA1_CH4_Baseline" xr:uid="{021DEC2C-AF2A-4E2A-840E-6E894E06BCA7}"/>
    <hyperlink ref="B12" location="QA1_CH4_Project!A1" display="QA1_CH4_Project" xr:uid="{673E103C-9C7D-4A76-B858-50893116E209}"/>
  </hyperlink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C76A-97E0-4C27-8A29-4D105A69DA05}">
  <sheetPr codeName="Sheet2">
    <outlinePr summaryBelow="0" summaryRight="0"/>
  </sheetPr>
  <dimension ref="A1:G30"/>
  <sheetViews>
    <sheetView topLeftCell="A3" workbookViewId="0">
      <selection activeCell="E13" sqref="E1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12</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75">
      <c r="A5" s="3" t="s">
        <v>14</v>
      </c>
      <c r="B5" s="3" t="s">
        <v>15</v>
      </c>
      <c r="C5" s="3"/>
      <c r="D5" s="3"/>
      <c r="E5" s="3" t="s">
        <v>16</v>
      </c>
      <c r="F5" s="3" t="s">
        <v>14</v>
      </c>
      <c r="G5" s="3"/>
    </row>
    <row r="6" spans="1:7" ht="30">
      <c r="A6" s="3" t="s">
        <v>11</v>
      </c>
      <c r="B6" s="3" t="s">
        <v>17</v>
      </c>
      <c r="C6" s="10" t="s">
        <v>18</v>
      </c>
      <c r="D6" s="3"/>
      <c r="E6" s="3" t="s">
        <v>19</v>
      </c>
      <c r="F6" s="3" t="s">
        <v>14</v>
      </c>
      <c r="G6" s="3" t="s">
        <v>20</v>
      </c>
    </row>
    <row r="7" spans="1:7" ht="30">
      <c r="A7" s="3" t="s">
        <v>11</v>
      </c>
      <c r="B7" s="3" t="s">
        <v>17</v>
      </c>
      <c r="C7" s="10" t="s">
        <v>21</v>
      </c>
      <c r="D7" s="3"/>
      <c r="E7" s="3" t="s">
        <v>22</v>
      </c>
      <c r="F7" s="3" t="s">
        <v>14</v>
      </c>
      <c r="G7" s="3" t="s">
        <v>23</v>
      </c>
    </row>
    <row r="8" spans="1:7" ht="30">
      <c r="A8" s="3" t="s">
        <v>11</v>
      </c>
      <c r="B8" s="3" t="s">
        <v>17</v>
      </c>
      <c r="C8" s="10" t="s">
        <v>24</v>
      </c>
      <c r="D8" s="3"/>
      <c r="E8" s="3" t="s">
        <v>25</v>
      </c>
      <c r="F8" s="3" t="s">
        <v>14</v>
      </c>
      <c r="G8" s="3" t="s">
        <v>20</v>
      </c>
    </row>
    <row r="9" spans="1:7" ht="30">
      <c r="A9" s="3" t="s">
        <v>11</v>
      </c>
      <c r="B9" s="3" t="s">
        <v>17</v>
      </c>
      <c r="C9" s="10" t="s">
        <v>26</v>
      </c>
      <c r="D9" s="3"/>
      <c r="E9" s="3" t="s">
        <v>27</v>
      </c>
      <c r="F9" s="3" t="s">
        <v>14</v>
      </c>
      <c r="G9" s="3" t="s">
        <v>20</v>
      </c>
    </row>
    <row r="10" spans="1:7" ht="30">
      <c r="A10" s="3" t="s">
        <v>11</v>
      </c>
      <c r="B10" s="3" t="s">
        <v>17</v>
      </c>
      <c r="C10" s="10" t="s">
        <v>28</v>
      </c>
      <c r="D10" s="3"/>
      <c r="E10" s="3" t="s">
        <v>29</v>
      </c>
      <c r="F10" s="3" t="s">
        <v>14</v>
      </c>
      <c r="G10" s="3" t="s">
        <v>23</v>
      </c>
    </row>
    <row r="11" spans="1:7" ht="30">
      <c r="A11" s="3" t="s">
        <v>11</v>
      </c>
      <c r="B11" s="3" t="s">
        <v>17</v>
      </c>
      <c r="C11" s="10" t="s">
        <v>30</v>
      </c>
      <c r="D11" s="3"/>
      <c r="E11" s="3" t="s">
        <v>31</v>
      </c>
      <c r="F11" s="3" t="s">
        <v>14</v>
      </c>
      <c r="G11" s="3" t="s">
        <v>20</v>
      </c>
    </row>
    <row r="12" spans="1:7" ht="30">
      <c r="A12" s="3" t="s">
        <v>11</v>
      </c>
      <c r="B12" s="3" t="s">
        <v>17</v>
      </c>
      <c r="C12" s="10" t="s">
        <v>32</v>
      </c>
      <c r="D12" s="3"/>
      <c r="E12" s="3" t="s">
        <v>33</v>
      </c>
      <c r="F12" s="3" t="s">
        <v>14</v>
      </c>
      <c r="G12" s="3" t="s">
        <v>20</v>
      </c>
    </row>
    <row r="13" spans="1:7" ht="30">
      <c r="A13" s="3" t="s">
        <v>11</v>
      </c>
      <c r="B13" s="3" t="s">
        <v>17</v>
      </c>
      <c r="C13" s="10" t="s">
        <v>34</v>
      </c>
      <c r="D13" s="3"/>
      <c r="E13" s="3" t="s">
        <v>35</v>
      </c>
      <c r="F13" s="3" t="s">
        <v>14</v>
      </c>
      <c r="G13" s="3" t="s">
        <v>20</v>
      </c>
    </row>
    <row r="14" spans="1:7" ht="30">
      <c r="A14" s="3" t="s">
        <v>11</v>
      </c>
      <c r="B14" s="3" t="s">
        <v>17</v>
      </c>
      <c r="C14" s="10" t="s">
        <v>36</v>
      </c>
      <c r="D14" s="3"/>
      <c r="E14" s="3" t="s">
        <v>37</v>
      </c>
      <c r="F14" s="3" t="s">
        <v>14</v>
      </c>
      <c r="G14" s="3" t="s">
        <v>23</v>
      </c>
    </row>
    <row r="15" spans="1:7" ht="30">
      <c r="A15" s="3" t="s">
        <v>11</v>
      </c>
      <c r="B15" s="3" t="s">
        <v>17</v>
      </c>
      <c r="C15" s="10" t="s">
        <v>38</v>
      </c>
      <c r="D15" s="3"/>
      <c r="E15" s="3" t="s">
        <v>39</v>
      </c>
      <c r="F15" s="3" t="s">
        <v>14</v>
      </c>
      <c r="G15" s="3" t="s">
        <v>20</v>
      </c>
    </row>
    <row r="16" spans="1:7" ht="30">
      <c r="A16" s="3" t="s">
        <v>11</v>
      </c>
      <c r="B16" s="3" t="s">
        <v>17</v>
      </c>
      <c r="C16" s="10" t="s">
        <v>40</v>
      </c>
      <c r="D16" s="3"/>
      <c r="E16" s="3" t="s">
        <v>41</v>
      </c>
      <c r="F16" s="3" t="s">
        <v>14</v>
      </c>
      <c r="G16" s="3" t="s">
        <v>20</v>
      </c>
    </row>
    <row r="17" spans="1:7" ht="30">
      <c r="A17" s="3" t="s">
        <v>11</v>
      </c>
      <c r="B17" s="3" t="s">
        <v>17</v>
      </c>
      <c r="C17" s="10" t="s">
        <v>42</v>
      </c>
      <c r="D17" s="3"/>
      <c r="E17" s="3" t="s">
        <v>43</v>
      </c>
      <c r="F17" s="3" t="s">
        <v>14</v>
      </c>
      <c r="G17" s="3" t="s">
        <v>20</v>
      </c>
    </row>
    <row r="18" spans="1:7" ht="60">
      <c r="A18" s="3" t="s">
        <v>14</v>
      </c>
      <c r="B18" s="3" t="s">
        <v>44</v>
      </c>
      <c r="C18" s="3"/>
      <c r="D18" s="3"/>
      <c r="E18" s="3" t="s">
        <v>45</v>
      </c>
      <c r="F18" s="3" t="s">
        <v>14</v>
      </c>
      <c r="G18" s="3"/>
    </row>
    <row r="19" spans="1:7">
      <c r="A19" s="3" t="s">
        <v>14</v>
      </c>
      <c r="B19" s="3" t="s">
        <v>46</v>
      </c>
      <c r="C19" s="3" t="s">
        <v>47</v>
      </c>
      <c r="D19" s="3" t="s">
        <v>48</v>
      </c>
      <c r="E19" s="3" t="s">
        <v>49</v>
      </c>
      <c r="F19" s="3" t="s">
        <v>14</v>
      </c>
      <c r="G19" s="3" t="str">
        <f>G6</f>
        <v>Included</v>
      </c>
    </row>
    <row r="20" spans="1:7">
      <c r="A20" s="3" t="s">
        <v>14</v>
      </c>
      <c r="B20" s="3" t="s">
        <v>46</v>
      </c>
      <c r="C20" s="3" t="s">
        <v>47</v>
      </c>
      <c r="D20" s="3" t="s">
        <v>48</v>
      </c>
      <c r="E20" s="3" t="s">
        <v>50</v>
      </c>
      <c r="F20" s="3" t="s">
        <v>14</v>
      </c>
      <c r="G20" s="3" t="str">
        <f>G7</f>
        <v>Excluded</v>
      </c>
    </row>
    <row r="21" spans="1:7">
      <c r="A21" s="3" t="s">
        <v>14</v>
      </c>
      <c r="B21" s="3" t="s">
        <v>46</v>
      </c>
      <c r="C21" s="3" t="s">
        <v>47</v>
      </c>
      <c r="D21" s="3" t="s">
        <v>48</v>
      </c>
      <c r="E21" s="3" t="s">
        <v>51</v>
      </c>
      <c r="F21" s="3" t="s">
        <v>14</v>
      </c>
      <c r="G21" s="3" t="str">
        <f>G8</f>
        <v>Included</v>
      </c>
    </row>
    <row r="22" spans="1:7">
      <c r="A22" s="3" t="s">
        <v>14</v>
      </c>
      <c r="B22" s="3" t="s">
        <v>46</v>
      </c>
      <c r="C22" s="3" t="s">
        <v>47</v>
      </c>
      <c r="D22" s="3" t="s">
        <v>48</v>
      </c>
      <c r="E22" s="3" t="s">
        <v>52</v>
      </c>
      <c r="F22" s="3" t="s">
        <v>14</v>
      </c>
      <c r="G22" s="3" t="str">
        <f t="shared" ref="G22:G30" si="0">G9</f>
        <v>Included</v>
      </c>
    </row>
    <row r="23" spans="1:7">
      <c r="A23" s="3" t="s">
        <v>14</v>
      </c>
      <c r="B23" s="3" t="s">
        <v>46</v>
      </c>
      <c r="C23" s="3" t="s">
        <v>47</v>
      </c>
      <c r="D23" s="3" t="s">
        <v>48</v>
      </c>
      <c r="E23" s="3" t="s">
        <v>53</v>
      </c>
      <c r="F23" s="3" t="s">
        <v>14</v>
      </c>
      <c r="G23" s="3" t="str">
        <f t="shared" si="0"/>
        <v>Excluded</v>
      </c>
    </row>
    <row r="24" spans="1:7">
      <c r="A24" s="3" t="s">
        <v>14</v>
      </c>
      <c r="B24" s="3" t="s">
        <v>46</v>
      </c>
      <c r="C24" s="3" t="s">
        <v>47</v>
      </c>
      <c r="D24" s="3" t="s">
        <v>48</v>
      </c>
      <c r="E24" s="3" t="s">
        <v>54</v>
      </c>
      <c r="F24" s="3" t="s">
        <v>14</v>
      </c>
      <c r="G24" s="3" t="str">
        <f t="shared" si="0"/>
        <v>Included</v>
      </c>
    </row>
    <row r="25" spans="1:7">
      <c r="A25" s="3" t="s">
        <v>14</v>
      </c>
      <c r="B25" s="3" t="s">
        <v>46</v>
      </c>
      <c r="C25" s="3" t="s">
        <v>47</v>
      </c>
      <c r="D25" s="3" t="s">
        <v>48</v>
      </c>
      <c r="E25" s="3" t="s">
        <v>55</v>
      </c>
      <c r="F25" s="3" t="s">
        <v>14</v>
      </c>
      <c r="G25" s="3" t="str">
        <f t="shared" si="0"/>
        <v>Included</v>
      </c>
    </row>
    <row r="26" spans="1:7">
      <c r="A26" s="3" t="s">
        <v>14</v>
      </c>
      <c r="B26" s="3" t="s">
        <v>46</v>
      </c>
      <c r="C26" s="3" t="s">
        <v>47</v>
      </c>
      <c r="D26" s="3" t="s">
        <v>48</v>
      </c>
      <c r="E26" s="3" t="s">
        <v>56</v>
      </c>
      <c r="F26" s="3" t="s">
        <v>14</v>
      </c>
      <c r="G26" s="3" t="str">
        <f t="shared" si="0"/>
        <v>Included</v>
      </c>
    </row>
    <row r="27" spans="1:7">
      <c r="A27" s="3" t="s">
        <v>14</v>
      </c>
      <c r="B27" s="3" t="s">
        <v>46</v>
      </c>
      <c r="C27" s="3" t="s">
        <v>47</v>
      </c>
      <c r="D27" s="3" t="s">
        <v>48</v>
      </c>
      <c r="E27" s="3" t="s">
        <v>57</v>
      </c>
      <c r="F27" s="3" t="s">
        <v>14</v>
      </c>
      <c r="G27" s="3" t="str">
        <f t="shared" si="0"/>
        <v>Excluded</v>
      </c>
    </row>
    <row r="28" spans="1:7">
      <c r="A28" s="3" t="s">
        <v>14</v>
      </c>
      <c r="B28" s="3" t="s">
        <v>46</v>
      </c>
      <c r="C28" s="3" t="s">
        <v>47</v>
      </c>
      <c r="D28" s="3" t="s">
        <v>48</v>
      </c>
      <c r="E28" s="3" t="s">
        <v>58</v>
      </c>
      <c r="F28" s="3" t="s">
        <v>14</v>
      </c>
      <c r="G28" s="3" t="str">
        <f t="shared" si="0"/>
        <v>Included</v>
      </c>
    </row>
    <row r="29" spans="1:7">
      <c r="A29" s="3" t="s">
        <v>14</v>
      </c>
      <c r="B29" s="3" t="s">
        <v>46</v>
      </c>
      <c r="C29" s="3" t="s">
        <v>47</v>
      </c>
      <c r="D29" s="3" t="s">
        <v>48</v>
      </c>
      <c r="E29" s="3" t="s">
        <v>59</v>
      </c>
      <c r="F29" s="3" t="s">
        <v>14</v>
      </c>
      <c r="G29" s="3" t="str">
        <f t="shared" si="0"/>
        <v>Included</v>
      </c>
    </row>
    <row r="30" spans="1:7">
      <c r="A30" s="3" t="s">
        <v>14</v>
      </c>
      <c r="B30" s="3" t="s">
        <v>46</v>
      </c>
      <c r="C30" s="3" t="s">
        <v>47</v>
      </c>
      <c r="D30" s="3" t="s">
        <v>48</v>
      </c>
      <c r="E30" s="3" t="s">
        <v>60</v>
      </c>
      <c r="F30" s="3" t="s">
        <v>14</v>
      </c>
      <c r="G30" s="3" t="str">
        <f t="shared" si="0"/>
        <v>Included</v>
      </c>
    </row>
  </sheetData>
  <mergeCells count="3">
    <mergeCell ref="A1:G1"/>
    <mergeCell ref="B2:G2"/>
    <mergeCell ref="B3:G3"/>
  </mergeCells>
  <dataValidations count="2">
    <dataValidation type="list" allowBlank="1" showInputMessage="1" showErrorMessage="1" sqref="F5:F30 A5:A30" xr:uid="{39C9218B-073E-426F-ADD0-99E4D7008C18}">
      <formula1>"Yes,No"</formula1>
    </dataValidation>
    <dataValidation type="list" allowBlank="1" showInputMessage="1" showErrorMessage="1" sqref="B3:G3" xr:uid="{3F7320B1-9173-40CC-A610-D407DF1599BD}">
      <formula1>"Verifiable Credentials,Encrypted Verifiable Credential,Sub-Schema"</formula1>
    </dataValidation>
  </dataValidations>
  <hyperlinks>
    <hyperlink ref="C6" location="'Baseline CH4 Source - Bi (enum)'!A1" display="'Baseline CH4 Source - Bi (enum)" xr:uid="{37897A35-3DDE-4F5C-91B0-B1C9A4A79A53}"/>
    <hyperlink ref="C7" location="'Baseline N2O Source - Bi (enum)'!A1" display="'Baseline N2O Source - Bi (enum)" xr:uid="{F5442037-ED0C-40DC-A36D-FB8D5AC22C69}"/>
    <hyperlink ref="C8" location="'Baseline CO2 Source - Fo (enum)'!A1" display="'Baseline CO2 Source - Fo (enum)" xr:uid="{80527AD5-66D9-4B31-82DA-32B17389E1D7}"/>
    <hyperlink ref="C9" location="'Baseline CH4 Source - Ma (enum)'!A1" display="'Baseline CH4 Source - Ma (enum)" xr:uid="{96C1EA82-3BC8-4414-8F93-F92EC9A8AADD}"/>
    <hyperlink ref="C10" location="'Baseline N2O Source - Ma (enum)'!A1" display="'Baseline N2O Source - Ma (enum)" xr:uid="{7D193F48-0F91-4147-AF4A-1775C1F82F07}"/>
    <hyperlink ref="C11" location="'Baseline N2O Source - Us (enum)'!A1" display="'Baseline N2O Source - Us (enum)" xr:uid="{AFD87281-A5A2-4510-A9D5-E1A55F94C16C}"/>
    <hyperlink ref="C12" location="'Baseline CO2 Source - SO (enum)'!A1" display="'Baseline CO2 Source - SO (enum)" xr:uid="{D174CECA-07FE-4562-B605-386665E5CE90}"/>
    <hyperlink ref="C13" location="'Baseline CH4 Source - So (enum)'!A1" display="'Baseline CH4 Source - So (enum)" xr:uid="{D080A2EB-4AC6-4A8E-837F-56562D0A8584}"/>
    <hyperlink ref="C14" location="'Baseline CO2 Source - Ab (enum)'!A1" display="'Baseline CO2 Source - Ab (enum)" xr:uid="{349E0CBF-6CB2-46AA-A2F6-634521CA8EBC}"/>
    <hyperlink ref="C15" location="'Baseline CH4 Source - En (enum)'!A1" display="'Baseline CH4 Source - En (enum)" xr:uid="{D8839831-01F7-4692-A91C-0997AC4DA8B8}"/>
    <hyperlink ref="C16" location="'Baseline N2O Source - Fe (enum)'!A1" display="'Baseline N2O Source - Fe (enum)" xr:uid="{C18AF94C-A109-4DB6-9971-ABC71561F74F}"/>
    <hyperlink ref="C17" location="'Baseline CO2 Source - Li (enum)'!A1" display="'Baseline CO2 Source - Li (enum)" xr:uid="{C7D11367-A77E-458A-A856-7E27A89177B9}"/>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2">
        <x14:dataValidation type="list" allowBlank="1" showInputMessage="1" showErrorMessage="1" xr:uid="{9352E1BA-C922-40A0-BA12-A0A264C493C2}">
          <x14:formula1>
            <xm:f>'Baseline CH4 Source - Bi (enum)'!$A$3:$A$4</xm:f>
          </x14:formula1>
          <xm:sqref>G6</xm:sqref>
        </x14:dataValidation>
        <x14:dataValidation type="list" allowBlank="1" showInputMessage="1" showErrorMessage="1" xr:uid="{D44329C3-43D8-4763-BA2F-7DD7A4AC7D8D}">
          <x14:formula1>
            <xm:f>'Baseline N2O Source - Bi (enum)'!$A$3:$A$4</xm:f>
          </x14:formula1>
          <xm:sqref>G7</xm:sqref>
        </x14:dataValidation>
        <x14:dataValidation type="list" allowBlank="1" showInputMessage="1" showErrorMessage="1" xr:uid="{1F343D7A-B948-4967-9011-6E17FCC83BC1}">
          <x14:formula1>
            <xm:f>'Baseline CO2 Source - Fo (enum)'!$A$3:$A$4</xm:f>
          </x14:formula1>
          <xm:sqref>G8</xm:sqref>
        </x14:dataValidation>
        <x14:dataValidation type="list" allowBlank="1" showInputMessage="1" showErrorMessage="1" xr:uid="{BD56656A-07D7-4D5A-8D1C-E6D9B78D3AAB}">
          <x14:formula1>
            <xm:f>'Baseline CH4 Source - Ma (enum)'!$A$3:$A$4</xm:f>
          </x14:formula1>
          <xm:sqref>G9</xm:sqref>
        </x14:dataValidation>
        <x14:dataValidation type="list" allowBlank="1" showInputMessage="1" showErrorMessage="1" xr:uid="{667920A2-248E-49C8-807F-ADA9C6D75152}">
          <x14:formula1>
            <xm:f>'Baseline N2O Source - Ma (enum)'!$A$3:$A$4</xm:f>
          </x14:formula1>
          <xm:sqref>G10</xm:sqref>
        </x14:dataValidation>
        <x14:dataValidation type="list" allowBlank="1" showInputMessage="1" showErrorMessage="1" xr:uid="{BD5383C7-FEC6-4201-861B-B64E0AE4E82D}">
          <x14:formula1>
            <xm:f>'Baseline N2O Source - Us (enum)'!$A$3:$A$4</xm:f>
          </x14:formula1>
          <xm:sqref>G11</xm:sqref>
        </x14:dataValidation>
        <x14:dataValidation type="list" allowBlank="1" showInputMessage="1" showErrorMessage="1" xr:uid="{165A211E-212F-4986-B70B-3F9CDD7C14F1}">
          <x14:formula1>
            <xm:f>'Baseline CO2 Source - SO (enum)'!$A$3</xm:f>
          </x14:formula1>
          <xm:sqref>G12</xm:sqref>
        </x14:dataValidation>
        <x14:dataValidation type="list" allowBlank="1" showInputMessage="1" showErrorMessage="1" xr:uid="{08CCB6D7-868E-41D9-B794-30EF8FA5C6F2}">
          <x14:formula1>
            <xm:f>'Baseline CH4 Source - So (enum)'!$A$3:$A$4</xm:f>
          </x14:formula1>
          <xm:sqref>G13</xm:sqref>
        </x14:dataValidation>
        <x14:dataValidation type="list" allowBlank="1" showInputMessage="1" showErrorMessage="1" xr:uid="{C56A2ABC-514F-4C0F-8958-C7E4861774C5}">
          <x14:formula1>
            <xm:f>'Baseline CO2 Source - Ab (enum)'!$A$3:$A$4</xm:f>
          </x14:formula1>
          <xm:sqref>G14</xm:sqref>
        </x14:dataValidation>
        <x14:dataValidation type="list" allowBlank="1" showInputMessage="1" showErrorMessage="1" xr:uid="{3D8AB231-7A98-4B9E-84E3-80AADDCC37F4}">
          <x14:formula1>
            <xm:f>'Baseline CH4 Source - En (enum)'!$A$3:$A$4</xm:f>
          </x14:formula1>
          <xm:sqref>G15</xm:sqref>
        </x14:dataValidation>
        <x14:dataValidation type="list" allowBlank="1" showInputMessage="1" showErrorMessage="1" xr:uid="{5DCC0000-4CA4-4808-998B-0D6EF60F01C0}">
          <x14:formula1>
            <xm:f>'Baseline N2O Source - Fe (enum)'!$A$3:$A$4</xm:f>
          </x14:formula1>
          <xm:sqref>G16</xm:sqref>
        </x14:dataValidation>
        <x14:dataValidation type="list" allowBlank="1" showInputMessage="1" showErrorMessage="1" xr:uid="{E6FBD0DE-DC28-42EC-9AD6-5AA442D50A58}">
          <x14:formula1>
            <xm:f>'Baseline CO2 Source - Li (enum)'!$A$3:$A$4</xm:f>
          </x14:formula1>
          <xm:sqref>G17</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4A3F-50C1-4772-9D8B-BC3436F6EDAF}">
  <sheetPr codeName="Sheet19">
    <tabColor rgb="FF0070C0"/>
    <outlinePr summaryBelow="0" summaryRight="0"/>
  </sheetPr>
  <dimension ref="A1:G8"/>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91</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93</v>
      </c>
      <c r="C5" s="3"/>
      <c r="D5" s="3"/>
      <c r="E5" s="3" t="s">
        <v>94</v>
      </c>
      <c r="F5" s="3" t="s">
        <v>14</v>
      </c>
      <c r="G5" s="3"/>
    </row>
    <row r="6" spans="1:7" ht="30" outlineLevel="1" collapsed="1">
      <c r="A6" s="3" t="s">
        <v>14</v>
      </c>
      <c r="B6" s="3" t="s">
        <v>82</v>
      </c>
      <c r="C6" s="3" t="s">
        <v>47</v>
      </c>
      <c r="D6" s="3" t="s">
        <v>48</v>
      </c>
      <c r="E6" s="3" t="s">
        <v>95</v>
      </c>
      <c r="F6" s="3" t="s">
        <v>14</v>
      </c>
      <c r="G6" s="3">
        <f>G7*G8</f>
        <v>560</v>
      </c>
    </row>
    <row r="7" spans="1:7" outlineLevel="1">
      <c r="A7" s="3" t="s">
        <v>11</v>
      </c>
      <c r="B7" s="3" t="s">
        <v>82</v>
      </c>
      <c r="C7" s="3" t="s">
        <v>47</v>
      </c>
      <c r="D7" s="3"/>
      <c r="E7" s="3" t="s">
        <v>96</v>
      </c>
      <c r="F7" s="3" t="s">
        <v>14</v>
      </c>
      <c r="G7" s="3">
        <v>28</v>
      </c>
    </row>
    <row r="8" spans="1:7" ht="45" outlineLevel="1">
      <c r="A8" s="3" t="s">
        <v>11</v>
      </c>
      <c r="B8" s="3" t="s">
        <v>82</v>
      </c>
      <c r="C8" s="3" t="s">
        <v>47</v>
      </c>
      <c r="D8" s="3"/>
      <c r="E8" s="3" t="s">
        <v>97</v>
      </c>
      <c r="F8" s="3" t="s">
        <v>14</v>
      </c>
      <c r="G8" s="3">
        <v>20</v>
      </c>
    </row>
  </sheetData>
  <mergeCells count="3">
    <mergeCell ref="A1:G1"/>
    <mergeCell ref="B2:G2"/>
    <mergeCell ref="B3:G3"/>
  </mergeCells>
  <dataValidations count="2">
    <dataValidation type="list" allowBlank="1" showInputMessage="1" showErrorMessage="1" sqref="A6:A8 F6:F8" xr:uid="{A8D55A8E-75D1-4C15-B5FE-334A9B4673A2}">
      <formula1>"Yes,No"</formula1>
    </dataValidation>
    <dataValidation type="list" allowBlank="1" showInputMessage="1" showErrorMessage="1" sqref="B3:G3" xr:uid="{5BD0E4DC-9F47-4AED-B31E-3844DC222475}">
      <formula1>"Verifiable Credentials,Encrypted Verifiable Credential,Sub-Schema"</formula1>
    </dataValidation>
  </dataValidations>
  <hyperlinks>
    <hyperlink ref="B5" location="QA1_CH4_Soil_Methan_Baselin!A1" display="QA1_CH4_Soil_Methan_Baselin" xr:uid="{082AD85E-BE30-43AC-BA73-50D249B6EB04}"/>
  </hyperlinks>
  <pageMargins left="0.7" right="0.7" top="0.75" bottom="0.75" header="0.3" footer="0.3"/>
  <pageSetup orientation="portrait" horizontalDpi="4294967295" verticalDpi="4294967295"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A17A-A5F2-4AFB-BADE-A8817558D581}">
  <sheetPr codeName="Sheet20">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666</v>
      </c>
      <c r="B1" s="32"/>
      <c r="C1" s="32"/>
      <c r="D1" s="32"/>
      <c r="E1" s="32"/>
      <c r="F1" s="32"/>
      <c r="G1" s="32"/>
    </row>
    <row r="2" spans="1:7" ht="18.75">
      <c r="A2" s="1" t="s">
        <v>1</v>
      </c>
      <c r="B2" s="33" t="s">
        <v>667</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ollapsed="1">
      <c r="A5" s="3" t="s">
        <v>14</v>
      </c>
      <c r="B5" s="3" t="s">
        <v>82</v>
      </c>
      <c r="C5" s="3" t="s">
        <v>47</v>
      </c>
      <c r="D5" s="3" t="s">
        <v>48</v>
      </c>
      <c r="E5" s="3" t="s">
        <v>95</v>
      </c>
      <c r="F5" s="3" t="s">
        <v>14</v>
      </c>
      <c r="G5" s="3">
        <f>G6*G7</f>
        <v>560</v>
      </c>
    </row>
    <row r="6" spans="1:7">
      <c r="A6" s="3" t="s">
        <v>11</v>
      </c>
      <c r="B6" s="3" t="s">
        <v>82</v>
      </c>
      <c r="C6" s="3" t="s">
        <v>47</v>
      </c>
      <c r="D6" s="3"/>
      <c r="E6" s="3" t="s">
        <v>96</v>
      </c>
      <c r="F6" s="3" t="s">
        <v>14</v>
      </c>
      <c r="G6" s="3">
        <v>28</v>
      </c>
    </row>
    <row r="7" spans="1:7" ht="45">
      <c r="A7" s="3" t="s">
        <v>11</v>
      </c>
      <c r="B7" s="3" t="s">
        <v>82</v>
      </c>
      <c r="C7" s="3" t="s">
        <v>47</v>
      </c>
      <c r="D7" s="3"/>
      <c r="E7" s="3" t="s">
        <v>97</v>
      </c>
      <c r="F7" s="3" t="s">
        <v>14</v>
      </c>
      <c r="G7" s="3">
        <v>20</v>
      </c>
    </row>
  </sheetData>
  <mergeCells count="3">
    <mergeCell ref="A1:G1"/>
    <mergeCell ref="B2:G2"/>
    <mergeCell ref="B3:G3"/>
  </mergeCells>
  <phoneticPr fontId="7" type="noConversion"/>
  <dataValidations count="2">
    <dataValidation type="list" allowBlank="1" showInputMessage="1" showErrorMessage="1" sqref="A5:A7 F5:F7" xr:uid="{D53BBF48-7F9A-4306-9B31-59CA5C27F032}">
      <formula1>"Yes,No"</formula1>
    </dataValidation>
    <dataValidation type="list" allowBlank="1" showInputMessage="1" showErrorMessage="1" sqref="B3:G3" xr:uid="{2115E5AD-8E04-4D51-B91C-F4F27231B76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94D4-7B7A-4C8F-B529-BDACCA06BB4E}">
  <sheetPr codeName="Sheet21">
    <tabColor rgb="FF0070C0"/>
    <outlinePr summaryBelow="0" summaryRight="0"/>
  </sheetPr>
  <dimension ref="A1:G8"/>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98</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100</v>
      </c>
      <c r="C5" s="3"/>
      <c r="D5" s="3"/>
      <c r="E5" s="3" t="s">
        <v>101</v>
      </c>
      <c r="F5" s="3" t="s">
        <v>14</v>
      </c>
      <c r="G5" s="3"/>
    </row>
    <row r="6" spans="1:7" ht="30" outlineLevel="1" collapsed="1">
      <c r="A6" s="3" t="s">
        <v>14</v>
      </c>
      <c r="B6" s="3" t="s">
        <v>82</v>
      </c>
      <c r="C6" s="3"/>
      <c r="D6" s="3" t="s">
        <v>48</v>
      </c>
      <c r="E6" s="3" t="s">
        <v>102</v>
      </c>
      <c r="F6" s="3" t="s">
        <v>14</v>
      </c>
      <c r="G6" s="3">
        <f>G7*G8</f>
        <v>560</v>
      </c>
    </row>
    <row r="7" spans="1:7" outlineLevel="1">
      <c r="A7" s="3" t="s">
        <v>11</v>
      </c>
      <c r="B7" s="3" t="s">
        <v>82</v>
      </c>
      <c r="C7" s="3" t="s">
        <v>47</v>
      </c>
      <c r="D7" s="3"/>
      <c r="E7" s="3" t="s">
        <v>96</v>
      </c>
      <c r="F7" s="3" t="s">
        <v>14</v>
      </c>
      <c r="G7" s="3">
        <v>28</v>
      </c>
    </row>
    <row r="8" spans="1:7" ht="45" outlineLevel="1">
      <c r="A8" s="3" t="s">
        <v>11</v>
      </c>
      <c r="B8" s="3" t="s">
        <v>82</v>
      </c>
      <c r="C8" s="3" t="s">
        <v>47</v>
      </c>
      <c r="D8" s="3"/>
      <c r="E8" s="3" t="s">
        <v>103</v>
      </c>
      <c r="F8" s="3" t="s">
        <v>14</v>
      </c>
      <c r="G8" s="3">
        <v>20</v>
      </c>
    </row>
  </sheetData>
  <mergeCells count="3">
    <mergeCell ref="A1:G1"/>
    <mergeCell ref="B2:G2"/>
    <mergeCell ref="B3:G3"/>
  </mergeCells>
  <dataValidations count="2">
    <dataValidation type="list" allowBlank="1" showInputMessage="1" showErrorMessage="1" sqref="F6:F8 A6:A8" xr:uid="{562AAE1C-6A27-4F4F-92D5-F677A5F01DD1}">
      <formula1>"Yes,No"</formula1>
    </dataValidation>
    <dataValidation type="list" allowBlank="1" showInputMessage="1" showErrorMessage="1" sqref="B3:G3" xr:uid="{2CA33FA1-97B7-4C7F-900E-334463785AF0}">
      <formula1>"Verifiable Credentials,Encrypted Verifiable Credential,Sub-Schema"</formula1>
    </dataValidation>
  </dataValidations>
  <hyperlinks>
    <hyperlink ref="B5" location="QA1_CH4_Soil_Methan_Project!A1" display="QA1_CH4_Soil_Methan_Project" xr:uid="{84336ABB-BDDE-4B23-8EFF-853AFE5E0D62}"/>
  </hyperlinks>
  <pageMargins left="0.7" right="0.7" top="0.75" bottom="0.75" header="0.3" footer="0.3"/>
  <pageSetup orientation="portrait" horizontalDpi="4294967295" verticalDpi="4294967295"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6113-992F-4C09-A9EC-FD83235072C9}">
  <sheetPr codeName="Sheet22">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668</v>
      </c>
      <c r="B1" s="32"/>
      <c r="C1" s="32"/>
      <c r="D1" s="32"/>
      <c r="E1" s="32"/>
      <c r="F1" s="32"/>
      <c r="G1" s="32"/>
    </row>
    <row r="2" spans="1:7" ht="18.75">
      <c r="A2" s="1" t="s">
        <v>1</v>
      </c>
      <c r="B2" s="33" t="s">
        <v>669</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ollapsed="1">
      <c r="A5" s="3" t="s">
        <v>14</v>
      </c>
      <c r="B5" s="3" t="s">
        <v>82</v>
      </c>
      <c r="C5" s="3"/>
      <c r="D5" s="3" t="s">
        <v>48</v>
      </c>
      <c r="E5" s="3" t="s">
        <v>102</v>
      </c>
      <c r="F5" s="3" t="s">
        <v>14</v>
      </c>
      <c r="G5" s="3">
        <f>G6*G7</f>
        <v>560</v>
      </c>
    </row>
    <row r="6" spans="1:7">
      <c r="A6" s="3" t="s">
        <v>11</v>
      </c>
      <c r="B6" s="3" t="s">
        <v>82</v>
      </c>
      <c r="C6" s="3" t="s">
        <v>47</v>
      </c>
      <c r="D6" s="3"/>
      <c r="E6" s="3" t="s">
        <v>96</v>
      </c>
      <c r="F6" s="3" t="s">
        <v>14</v>
      </c>
      <c r="G6" s="3">
        <v>28</v>
      </c>
    </row>
    <row r="7" spans="1:7" ht="45">
      <c r="A7" s="3" t="s">
        <v>11</v>
      </c>
      <c r="B7" s="3" t="s">
        <v>82</v>
      </c>
      <c r="C7" s="3" t="s">
        <v>47</v>
      </c>
      <c r="D7" s="3"/>
      <c r="E7" s="3" t="s">
        <v>103</v>
      </c>
      <c r="F7" s="3" t="s">
        <v>14</v>
      </c>
      <c r="G7" s="3">
        <v>20</v>
      </c>
    </row>
  </sheetData>
  <mergeCells count="3">
    <mergeCell ref="A1:G1"/>
    <mergeCell ref="B2:G2"/>
    <mergeCell ref="B3:G3"/>
  </mergeCells>
  <dataValidations count="2">
    <dataValidation type="list" allowBlank="1" showInputMessage="1" showErrorMessage="1" sqref="A5:A7 F5:F7" xr:uid="{DCB329CC-CE3A-454F-9B24-CD60B86C9A72}">
      <formula1>"Yes,No"</formula1>
    </dataValidation>
    <dataValidation type="list" allowBlank="1" showInputMessage="1" showErrorMessage="1" sqref="B3:G3" xr:uid="{AEF63B03-FA7C-4F7C-900C-D8C126D4559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76F0-3468-4237-B658-CAA079C925E7}">
  <sheetPr codeName="Sheet23">
    <tabColor rgb="FF0070C0"/>
    <outlinePr summaryBelow="0" summaryRight="0"/>
  </sheetPr>
  <dimension ref="A1:G18"/>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2" t="s">
        <v>105</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107</v>
      </c>
      <c r="C5" s="3"/>
      <c r="D5" s="3"/>
      <c r="E5" s="3" t="s">
        <v>108</v>
      </c>
      <c r="F5" s="3" t="s">
        <v>14</v>
      </c>
      <c r="G5" s="3"/>
    </row>
    <row r="6" spans="1:7" ht="14.25" customHeight="1" outlineLevel="1">
      <c r="A6" s="3" t="s">
        <v>11</v>
      </c>
      <c r="B6" s="3" t="s">
        <v>46</v>
      </c>
      <c r="C6" s="3"/>
      <c r="D6" s="3"/>
      <c r="E6" s="3" t="s">
        <v>88</v>
      </c>
      <c r="F6" s="3" t="s">
        <v>14</v>
      </c>
      <c r="G6" s="3" t="s">
        <v>89</v>
      </c>
    </row>
    <row r="7" spans="1:7" outlineLevel="1">
      <c r="A7" s="3" t="s">
        <v>11</v>
      </c>
      <c r="B7" s="3" t="s">
        <v>82</v>
      </c>
      <c r="C7" s="3"/>
      <c r="D7" s="3"/>
      <c r="E7" s="3" t="s">
        <v>90</v>
      </c>
      <c r="F7" s="3" t="s">
        <v>14</v>
      </c>
      <c r="G7" s="3">
        <v>1148.7226376613501</v>
      </c>
    </row>
    <row r="8" spans="1:7" outlineLevel="1">
      <c r="A8" s="3" t="s">
        <v>11</v>
      </c>
      <c r="B8" s="9" t="s">
        <v>109</v>
      </c>
      <c r="C8" s="3"/>
      <c r="D8" s="3"/>
      <c r="E8" s="3" t="s">
        <v>110</v>
      </c>
      <c r="F8" s="3" t="s">
        <v>14</v>
      </c>
      <c r="G8" s="3"/>
    </row>
    <row r="9" spans="1:7" outlineLevel="2">
      <c r="A9" s="3" t="s">
        <v>11</v>
      </c>
      <c r="B9" s="9" t="s">
        <v>111</v>
      </c>
      <c r="C9" s="3"/>
      <c r="D9" s="3"/>
      <c r="E9" s="3" t="s">
        <v>112</v>
      </c>
      <c r="F9" s="3" t="s">
        <v>14</v>
      </c>
      <c r="G9" s="3"/>
    </row>
    <row r="10" spans="1:7" ht="45" outlineLevel="3" collapsed="1">
      <c r="A10" s="3" t="s">
        <v>14</v>
      </c>
      <c r="B10" s="3" t="s">
        <v>82</v>
      </c>
      <c r="C10" s="3" t="s">
        <v>47</v>
      </c>
      <c r="D10" s="3" t="s">
        <v>48</v>
      </c>
      <c r="E10" s="3" t="s">
        <v>113</v>
      </c>
      <c r="F10" s="3" t="s">
        <v>14</v>
      </c>
      <c r="G10" s="3">
        <f>G11*G12</f>
        <v>265</v>
      </c>
    </row>
    <row r="11" spans="1:7" outlineLevel="3">
      <c r="A11" s="3" t="s">
        <v>11</v>
      </c>
      <c r="B11" s="3" t="s">
        <v>82</v>
      </c>
      <c r="C11" s="3" t="s">
        <v>47</v>
      </c>
      <c r="D11" s="3"/>
      <c r="E11" s="3" t="s">
        <v>114</v>
      </c>
      <c r="F11" s="3" t="s">
        <v>14</v>
      </c>
      <c r="G11" s="3">
        <v>265</v>
      </c>
    </row>
    <row r="12" spans="1:7" ht="45" outlineLevel="3">
      <c r="A12" s="3" t="s">
        <v>11</v>
      </c>
      <c r="B12" s="3" t="s">
        <v>82</v>
      </c>
      <c r="C12" s="3" t="s">
        <v>47</v>
      </c>
      <c r="D12" s="3"/>
      <c r="E12" s="3" t="s">
        <v>115</v>
      </c>
      <c r="F12" s="3" t="s">
        <v>14</v>
      </c>
      <c r="G12" s="3">
        <v>1</v>
      </c>
    </row>
    <row r="13" spans="1:7" ht="14.25" customHeight="1" outlineLevel="1">
      <c r="A13" s="3" t="s">
        <v>11</v>
      </c>
      <c r="B13" s="9" t="s">
        <v>116</v>
      </c>
      <c r="C13" s="3"/>
      <c r="D13" s="3"/>
      <c r="E13" s="3" t="s">
        <v>117</v>
      </c>
      <c r="F13" s="3" t="s">
        <v>14</v>
      </c>
      <c r="G13" s="3"/>
    </row>
    <row r="14" spans="1:7" outlineLevel="2">
      <c r="A14" s="3" t="s">
        <v>11</v>
      </c>
      <c r="B14" s="9" t="s">
        <v>118</v>
      </c>
      <c r="C14" s="3"/>
      <c r="D14" s="3"/>
      <c r="E14" s="3" t="s">
        <v>119</v>
      </c>
      <c r="F14" s="3" t="s">
        <v>14</v>
      </c>
      <c r="G14" s="3"/>
    </row>
    <row r="15" spans="1:7" ht="45" outlineLevel="3" collapsed="1">
      <c r="A15" s="3" t="s">
        <v>14</v>
      </c>
      <c r="B15" s="3" t="s">
        <v>82</v>
      </c>
      <c r="C15" s="3" t="s">
        <v>47</v>
      </c>
      <c r="D15" s="3" t="s">
        <v>48</v>
      </c>
      <c r="E15" s="3" t="s">
        <v>120</v>
      </c>
      <c r="F15" s="3" t="s">
        <v>14</v>
      </c>
      <c r="G15" s="3">
        <f>G16*G17</f>
        <v>132.5</v>
      </c>
    </row>
    <row r="16" spans="1:7" outlineLevel="3">
      <c r="A16" s="3" t="s">
        <v>11</v>
      </c>
      <c r="B16" s="3" t="s">
        <v>82</v>
      </c>
      <c r="C16" s="3" t="s">
        <v>47</v>
      </c>
      <c r="D16" s="3"/>
      <c r="E16" s="3" t="s">
        <v>114</v>
      </c>
      <c r="F16" s="3" t="s">
        <v>14</v>
      </c>
      <c r="G16" s="3">
        <v>265</v>
      </c>
    </row>
    <row r="17" spans="1:7" ht="45" outlineLevel="3">
      <c r="A17" s="3" t="s">
        <v>11</v>
      </c>
      <c r="B17" s="3" t="s">
        <v>82</v>
      </c>
      <c r="C17" s="3" t="s">
        <v>47</v>
      </c>
      <c r="D17" s="3"/>
      <c r="E17" s="3" t="s">
        <v>121</v>
      </c>
      <c r="F17" s="3" t="s">
        <v>14</v>
      </c>
      <c r="G17" s="3">
        <v>0.5</v>
      </c>
    </row>
    <row r="18" spans="1:7" ht="14.25" customHeight="1">
      <c r="A18" s="3" t="s">
        <v>14</v>
      </c>
      <c r="B18" s="3" t="s">
        <v>82</v>
      </c>
      <c r="C18" s="3"/>
      <c r="D18" s="3" t="s">
        <v>48</v>
      </c>
      <c r="E18" s="3" t="s">
        <v>122</v>
      </c>
      <c r="F18" s="3" t="s">
        <v>14</v>
      </c>
      <c r="G18" s="3">
        <f>SUM(G10-G15)*G7</f>
        <v>152205.74949012889</v>
      </c>
    </row>
  </sheetData>
  <mergeCells count="3">
    <mergeCell ref="A1:G1"/>
    <mergeCell ref="B2:G2"/>
    <mergeCell ref="B3:G3"/>
  </mergeCells>
  <dataValidations disablePrompts="1" count="2">
    <dataValidation type="list" allowBlank="1" showInputMessage="1" showErrorMessage="1" sqref="A10:A12 F10:F12 F15:F17 A15:A17" xr:uid="{66138449-BBC9-4BEF-ABBA-B006854FC8DF}">
      <formula1>"Yes,No"</formula1>
    </dataValidation>
    <dataValidation type="list" allowBlank="1" showInputMessage="1" showErrorMessage="1" sqref="B3:G3" xr:uid="{148F5477-828F-467B-A8B1-61F5F318F7AC}">
      <formula1>"Verifiable Credentials,Encrypted Verifiable Credential,Sub-Schema"</formula1>
    </dataValidation>
  </dataValidations>
  <hyperlinks>
    <hyperlink ref="B9" location="QA1_N2O_Fertilizers_NFixing_Bas!A1" display="QA1_N2O_Fertilizers_NFixing_Bas" xr:uid="{E7A12286-E8A0-447F-A6AB-47FACFE6AF11}"/>
    <hyperlink ref="B14" location="QA1_N2O_Fertilizers_NFixing_Pro!A1" display="QA1_N2O_Fertilizers_NFixing_Pro" xr:uid="{C3233A06-89E1-4677-B78E-857BF993C26C}"/>
    <hyperlink ref="B5" location="QA1_N2O_ERs_Unit_i!A1" display="QA1_N2O_ERs_Unit_i" xr:uid="{75A3DAD1-31DA-4455-8216-BD264E2B8E3D}"/>
    <hyperlink ref="B8" location="QA1_N2O_Baseline!A1" display="QA1_N2O_Baseline" xr:uid="{B1E500ED-C7D4-499B-AAC4-17BAAB668F54}"/>
    <hyperlink ref="B13" location="QA1_N2O_Project!A1" display="QA1_N2O_Project" xr:uid="{C160D982-8671-47E8-A437-A5031BDCEE84}"/>
  </hyperlinks>
  <pageMargins left="0.7" right="0.7" top="0.75" bottom="0.75" header="0.3" footer="0.3"/>
  <pageSetup orientation="portrait" horizontalDpi="4294967295" verticalDpi="4294967295"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3E5C1-BFBE-474B-9D7D-7CA5FAE4A76E}">
  <sheetPr codeName="Sheet24">
    <tabColor rgb="FF0070C0"/>
    <outlinePr summaryBelow="0" summaryRight="0"/>
  </sheetPr>
  <dimension ref="A1:G16"/>
  <sheetViews>
    <sheetView workbookViewId="0">
      <selection activeCell="D20" sqref="D20"/>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107</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4.25" customHeight="1">
      <c r="A5" s="3" t="s">
        <v>11</v>
      </c>
      <c r="B5" s="3" t="s">
        <v>46</v>
      </c>
      <c r="C5" s="3"/>
      <c r="D5" s="3"/>
      <c r="E5" s="3" t="s">
        <v>88</v>
      </c>
      <c r="F5" s="3" t="s">
        <v>14</v>
      </c>
      <c r="G5" s="3" t="s">
        <v>89</v>
      </c>
    </row>
    <row r="6" spans="1:7">
      <c r="A6" s="3" t="s">
        <v>11</v>
      </c>
      <c r="B6" s="3" t="s">
        <v>82</v>
      </c>
      <c r="C6" s="3"/>
      <c r="D6" s="3"/>
      <c r="E6" s="3" t="s">
        <v>90</v>
      </c>
      <c r="F6" s="3" t="s">
        <v>14</v>
      </c>
      <c r="G6" s="3">
        <v>1148.7226376613501</v>
      </c>
    </row>
    <row r="7" spans="1:7">
      <c r="A7" s="3" t="s">
        <v>11</v>
      </c>
      <c r="B7" s="9" t="s">
        <v>109</v>
      </c>
      <c r="C7" s="3"/>
      <c r="D7" s="3"/>
      <c r="E7" s="3" t="s">
        <v>110</v>
      </c>
      <c r="F7" s="3" t="s">
        <v>14</v>
      </c>
      <c r="G7" s="3"/>
    </row>
    <row r="8" spans="1:7" outlineLevel="1">
      <c r="A8" s="3" t="s">
        <v>11</v>
      </c>
      <c r="B8" s="9" t="s">
        <v>111</v>
      </c>
      <c r="C8" s="3"/>
      <c r="D8" s="3"/>
      <c r="E8" s="3" t="s">
        <v>112</v>
      </c>
      <c r="F8" s="3" t="s">
        <v>14</v>
      </c>
      <c r="G8" s="3"/>
    </row>
    <row r="9" spans="1:7" ht="45" outlineLevel="2" collapsed="1">
      <c r="A9" s="3" t="s">
        <v>14</v>
      </c>
      <c r="B9" s="3" t="s">
        <v>82</v>
      </c>
      <c r="C9" s="3" t="s">
        <v>47</v>
      </c>
      <c r="D9" s="3" t="s">
        <v>48</v>
      </c>
      <c r="E9" s="3" t="s">
        <v>113</v>
      </c>
      <c r="F9" s="3" t="s">
        <v>14</v>
      </c>
      <c r="G9" s="3">
        <f>G10*G11</f>
        <v>265</v>
      </c>
    </row>
    <row r="10" spans="1:7" outlineLevel="2">
      <c r="A10" s="3" t="s">
        <v>11</v>
      </c>
      <c r="B10" s="3" t="s">
        <v>82</v>
      </c>
      <c r="C10" s="3" t="s">
        <v>47</v>
      </c>
      <c r="D10" s="3"/>
      <c r="E10" s="3" t="s">
        <v>114</v>
      </c>
      <c r="F10" s="3" t="s">
        <v>14</v>
      </c>
      <c r="G10" s="3">
        <v>265</v>
      </c>
    </row>
    <row r="11" spans="1:7" ht="45" outlineLevel="2">
      <c r="A11" s="3" t="s">
        <v>11</v>
      </c>
      <c r="B11" s="3" t="s">
        <v>82</v>
      </c>
      <c r="C11" s="3" t="s">
        <v>47</v>
      </c>
      <c r="D11" s="3"/>
      <c r="E11" s="3" t="s">
        <v>115</v>
      </c>
      <c r="F11" s="3" t="s">
        <v>14</v>
      </c>
      <c r="G11" s="3">
        <v>1</v>
      </c>
    </row>
    <row r="12" spans="1:7" ht="14.25" customHeight="1">
      <c r="A12" s="3" t="s">
        <v>11</v>
      </c>
      <c r="B12" s="9" t="s">
        <v>116</v>
      </c>
      <c r="C12" s="3"/>
      <c r="D12" s="3"/>
      <c r="E12" s="3" t="s">
        <v>117</v>
      </c>
      <c r="F12" s="3" t="s">
        <v>14</v>
      </c>
      <c r="G12" s="3"/>
    </row>
    <row r="13" spans="1:7" outlineLevel="1">
      <c r="A13" s="3" t="s">
        <v>11</v>
      </c>
      <c r="B13" s="9" t="s">
        <v>118</v>
      </c>
      <c r="C13" s="3"/>
      <c r="D13" s="3"/>
      <c r="E13" s="3" t="s">
        <v>119</v>
      </c>
      <c r="F13" s="3" t="s">
        <v>14</v>
      </c>
      <c r="G13" s="3"/>
    </row>
    <row r="14" spans="1:7" ht="45" outlineLevel="2" collapsed="1">
      <c r="A14" s="3" t="s">
        <v>14</v>
      </c>
      <c r="B14" s="3" t="s">
        <v>82</v>
      </c>
      <c r="C14" s="3" t="s">
        <v>47</v>
      </c>
      <c r="D14" s="3" t="s">
        <v>48</v>
      </c>
      <c r="E14" s="3" t="s">
        <v>120</v>
      </c>
      <c r="F14" s="3" t="s">
        <v>14</v>
      </c>
      <c r="G14" s="3">
        <f>G15*G16</f>
        <v>132.5</v>
      </c>
    </row>
    <row r="15" spans="1:7" outlineLevel="2">
      <c r="A15" s="3" t="s">
        <v>11</v>
      </c>
      <c r="B15" s="3" t="s">
        <v>82</v>
      </c>
      <c r="C15" s="3" t="s">
        <v>47</v>
      </c>
      <c r="D15" s="3"/>
      <c r="E15" s="3" t="s">
        <v>114</v>
      </c>
      <c r="F15" s="3" t="s">
        <v>14</v>
      </c>
      <c r="G15" s="3">
        <v>265</v>
      </c>
    </row>
    <row r="16" spans="1:7" ht="45" outlineLevel="2">
      <c r="A16" s="3" t="s">
        <v>11</v>
      </c>
      <c r="B16" s="3" t="s">
        <v>82</v>
      </c>
      <c r="C16" s="3" t="s">
        <v>47</v>
      </c>
      <c r="D16" s="3"/>
      <c r="E16" s="3" t="s">
        <v>121</v>
      </c>
      <c r="F16" s="3" t="s">
        <v>14</v>
      </c>
      <c r="G16" s="3">
        <v>0.5</v>
      </c>
    </row>
  </sheetData>
  <mergeCells count="3">
    <mergeCell ref="A1:G1"/>
    <mergeCell ref="B2:G2"/>
    <mergeCell ref="B3:G3"/>
  </mergeCells>
  <dataValidations count="2">
    <dataValidation type="list" allowBlank="1" showInputMessage="1" showErrorMessage="1" sqref="A9:A11 F9:F11 F14:F16 A14:A16" xr:uid="{E6ED5F5C-722B-46C6-A280-5B0C39D244AE}">
      <formula1>"Yes,No"</formula1>
    </dataValidation>
    <dataValidation type="list" allowBlank="1" showInputMessage="1" showErrorMessage="1" sqref="B3:G3" xr:uid="{25FC4FED-2232-4584-889F-CEB1852739E7}">
      <formula1>"Verifiable Credentials,Encrypted Verifiable Credential,Sub-Schema"</formula1>
    </dataValidation>
  </dataValidations>
  <hyperlinks>
    <hyperlink ref="B8" location="QA1_N2O_Fertilizers_NFixing_Bas!A1" display="QA1_N2O_Fertilizers_NFixing_Bas" xr:uid="{9D7EAF83-BACF-473A-AD05-0B3071871F2C}"/>
    <hyperlink ref="B13" location="QA1_N2O_Fertilizers_NFixing_Pro!A1" display="QA1_N2O_Fertilizers_NFixing_Pro" xr:uid="{4D5998A0-DF69-4D27-8884-DE5AEC1CFAAC}"/>
    <hyperlink ref="B7" location="QA1_N2O_Baseline!A1" display="QA1_N2O_Baseline" xr:uid="{BB9F1236-CD29-4BEC-8FB2-06C4B8A54D5E}"/>
    <hyperlink ref="B12" location="QA1_N2O_Project!A1" display="QA1_N2O_Project" xr:uid="{20E598D8-87D4-440A-91C0-35C11A2789E1}"/>
  </hyperlinks>
  <pageMargins left="0.7" right="0.7" top="0.75" bottom="0.75" header="0.3" footer="0.3"/>
  <pageSetup orientation="portrait" horizontalDpi="4294967295" verticalDpi="4294967295"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491F-A436-4390-96F0-CD66BB76C44E}">
  <sheetPr codeName="Sheet25">
    <tabColor rgb="FF0070C0"/>
    <outlinePr summaryBelow="0" summaryRight="0"/>
  </sheetPr>
  <dimension ref="A1:G8"/>
  <sheetViews>
    <sheetView workbookViewId="0">
      <selection activeCell="E12" sqref="E12"/>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109</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111</v>
      </c>
      <c r="C5" s="3"/>
      <c r="D5" s="3"/>
      <c r="E5" s="3" t="s">
        <v>112</v>
      </c>
      <c r="F5" s="3" t="s">
        <v>14</v>
      </c>
      <c r="G5" s="3"/>
    </row>
    <row r="6" spans="1:7" ht="45" outlineLevel="1" collapsed="1">
      <c r="A6" s="3" t="s">
        <v>14</v>
      </c>
      <c r="B6" s="3" t="s">
        <v>82</v>
      </c>
      <c r="C6" s="3" t="s">
        <v>47</v>
      </c>
      <c r="D6" s="3" t="s">
        <v>48</v>
      </c>
      <c r="E6" s="3" t="s">
        <v>113</v>
      </c>
      <c r="F6" s="3" t="s">
        <v>14</v>
      </c>
      <c r="G6" s="3">
        <f>G7*G8</f>
        <v>265</v>
      </c>
    </row>
    <row r="7" spans="1:7" outlineLevel="1">
      <c r="A7" s="3" t="s">
        <v>11</v>
      </c>
      <c r="B7" s="3" t="s">
        <v>82</v>
      </c>
      <c r="C7" s="3" t="s">
        <v>47</v>
      </c>
      <c r="D7" s="3"/>
      <c r="E7" s="3" t="s">
        <v>114</v>
      </c>
      <c r="F7" s="3" t="s">
        <v>14</v>
      </c>
      <c r="G7" s="3">
        <v>265</v>
      </c>
    </row>
    <row r="8" spans="1:7" ht="45" outlineLevel="1">
      <c r="A8" s="3" t="s">
        <v>11</v>
      </c>
      <c r="B8" s="3" t="s">
        <v>82</v>
      </c>
      <c r="C8" s="3" t="s">
        <v>47</v>
      </c>
      <c r="D8" s="3"/>
      <c r="E8" s="3" t="s">
        <v>115</v>
      </c>
      <c r="F8" s="3" t="s">
        <v>14</v>
      </c>
      <c r="G8" s="3">
        <v>1</v>
      </c>
    </row>
  </sheetData>
  <mergeCells count="3">
    <mergeCell ref="A1:G1"/>
    <mergeCell ref="B2:G2"/>
    <mergeCell ref="B3:G3"/>
  </mergeCells>
  <dataValidations count="2">
    <dataValidation type="list" allowBlank="1" showInputMessage="1" showErrorMessage="1" sqref="A6:A8 F6:F8" xr:uid="{9759AC3C-5580-4B75-8906-E9CA7E7AC954}">
      <formula1>"Yes,No"</formula1>
    </dataValidation>
    <dataValidation type="list" allowBlank="1" showInputMessage="1" showErrorMessage="1" sqref="B3:G3" xr:uid="{F22B96FC-4188-4E93-9337-9CF733006CBD}">
      <formula1>"Verifiable Credentials,Encrypted Verifiable Credential,Sub-Schema"</formula1>
    </dataValidation>
  </dataValidations>
  <hyperlinks>
    <hyperlink ref="B5" location="QA1_N2O_Fertilizers_NFixing_Bas!A1" display="QA1_N2O_Fertilizers_NFixing_Bas" xr:uid="{4935B599-F552-4D78-99E4-43B04A4474C7}"/>
  </hyperlinks>
  <pageMargins left="0.7" right="0.7" top="0.75" bottom="0.75" header="0.3" footer="0.3"/>
  <pageSetup orientation="portrait" horizontalDpi="4294967295" verticalDpi="4294967295"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B4BC-4F0C-42D1-925D-11D0550C4ED6}">
  <sheetPr codeName="Sheet26">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670</v>
      </c>
      <c r="B1" s="32"/>
      <c r="C1" s="32"/>
      <c r="D1" s="32"/>
      <c r="E1" s="32"/>
      <c r="F1" s="32"/>
      <c r="G1" s="32"/>
    </row>
    <row r="2" spans="1:7" ht="37.5" customHeight="1">
      <c r="A2" s="1" t="s">
        <v>1</v>
      </c>
      <c r="B2" s="33" t="s">
        <v>671</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45" collapsed="1">
      <c r="A5" s="3" t="s">
        <v>14</v>
      </c>
      <c r="B5" s="3" t="s">
        <v>82</v>
      </c>
      <c r="C5" s="3" t="s">
        <v>47</v>
      </c>
      <c r="D5" s="3" t="s">
        <v>48</v>
      </c>
      <c r="E5" s="3" t="s">
        <v>113</v>
      </c>
      <c r="F5" s="3" t="s">
        <v>14</v>
      </c>
      <c r="G5" s="3">
        <f>G6*G7</f>
        <v>265</v>
      </c>
    </row>
    <row r="6" spans="1:7">
      <c r="A6" s="3" t="s">
        <v>11</v>
      </c>
      <c r="B6" s="3" t="s">
        <v>82</v>
      </c>
      <c r="C6" s="3" t="s">
        <v>47</v>
      </c>
      <c r="D6" s="3"/>
      <c r="E6" s="3" t="s">
        <v>114</v>
      </c>
      <c r="F6" s="3" t="s">
        <v>14</v>
      </c>
      <c r="G6" s="3">
        <v>265</v>
      </c>
    </row>
    <row r="7" spans="1:7" ht="45">
      <c r="A7" s="3" t="s">
        <v>11</v>
      </c>
      <c r="B7" s="3" t="s">
        <v>82</v>
      </c>
      <c r="C7" s="3" t="s">
        <v>47</v>
      </c>
      <c r="D7" s="3"/>
      <c r="E7" s="3" t="s">
        <v>115</v>
      </c>
      <c r="F7" s="3" t="s">
        <v>14</v>
      </c>
      <c r="G7" s="3">
        <v>1</v>
      </c>
    </row>
  </sheetData>
  <mergeCells count="3">
    <mergeCell ref="A1:G1"/>
    <mergeCell ref="B2:G2"/>
    <mergeCell ref="B3:G3"/>
  </mergeCells>
  <dataValidations count="2">
    <dataValidation type="list" allowBlank="1" showInputMessage="1" showErrorMessage="1" sqref="A5:A7 F5:F7" xr:uid="{32696BD3-FF30-4B6E-AEF2-980D83476905}">
      <formula1>"Yes,No"</formula1>
    </dataValidation>
    <dataValidation type="list" allowBlank="1" showInputMessage="1" showErrorMessage="1" sqref="B3:G3" xr:uid="{14A77C6E-4E6C-4C0F-AF42-86C715497C2D}">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35E60-E8C8-48E1-9154-A9615F8E6D56}">
  <sheetPr codeName="Sheet27">
    <tabColor rgb="FF0070C0"/>
    <outlinePr summaryBelow="0" summaryRight="0"/>
  </sheetPr>
  <dimension ref="A1:G8"/>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672</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9" t="s">
        <v>118</v>
      </c>
      <c r="C5" s="3"/>
      <c r="D5" s="3"/>
      <c r="E5" s="3" t="s">
        <v>119</v>
      </c>
      <c r="F5" s="3" t="s">
        <v>14</v>
      </c>
      <c r="G5" s="3"/>
    </row>
    <row r="6" spans="1:7" ht="45" outlineLevel="1" collapsed="1">
      <c r="A6" s="3" t="s">
        <v>14</v>
      </c>
      <c r="B6" s="3" t="s">
        <v>82</v>
      </c>
      <c r="C6" s="3" t="s">
        <v>47</v>
      </c>
      <c r="D6" s="3" t="s">
        <v>48</v>
      </c>
      <c r="E6" s="3" t="s">
        <v>120</v>
      </c>
      <c r="F6" s="3" t="s">
        <v>14</v>
      </c>
      <c r="G6" s="3">
        <f>G7*G8</f>
        <v>132.5</v>
      </c>
    </row>
    <row r="7" spans="1:7" outlineLevel="1">
      <c r="A7" s="3" t="s">
        <v>11</v>
      </c>
      <c r="B7" s="3" t="s">
        <v>82</v>
      </c>
      <c r="C7" s="3" t="s">
        <v>47</v>
      </c>
      <c r="D7" s="3"/>
      <c r="E7" s="3" t="s">
        <v>114</v>
      </c>
      <c r="F7" s="3" t="s">
        <v>14</v>
      </c>
      <c r="G7" s="3">
        <v>265</v>
      </c>
    </row>
    <row r="8" spans="1:7" ht="45" outlineLevel="1">
      <c r="A8" s="3" t="s">
        <v>11</v>
      </c>
      <c r="B8" s="3" t="s">
        <v>82</v>
      </c>
      <c r="C8" s="3" t="s">
        <v>47</v>
      </c>
      <c r="D8" s="3"/>
      <c r="E8" s="3" t="s">
        <v>121</v>
      </c>
      <c r="F8" s="3" t="s">
        <v>14</v>
      </c>
      <c r="G8" s="3">
        <v>0.5</v>
      </c>
    </row>
  </sheetData>
  <mergeCells count="3">
    <mergeCell ref="A1:G1"/>
    <mergeCell ref="B2:G2"/>
    <mergeCell ref="B3:G3"/>
  </mergeCells>
  <dataValidations count="2">
    <dataValidation type="list" allowBlank="1" showInputMessage="1" showErrorMessage="1" sqref="F6:F8 A6:A8" xr:uid="{B719054A-1C61-4D72-BD7E-2F5B2474D768}">
      <formula1>"Yes,No"</formula1>
    </dataValidation>
    <dataValidation type="list" allowBlank="1" showInputMessage="1" showErrorMessage="1" sqref="B3:G3" xr:uid="{F48B1696-B94F-4118-8B35-8AE959D8A156}">
      <formula1>"Verifiable Credentials,Encrypted Verifiable Credential,Sub-Schema"</formula1>
    </dataValidation>
  </dataValidations>
  <hyperlinks>
    <hyperlink ref="B5" location="QA1_N2O_Fertilizers_NFixing_Pro!A1" display="QA1_N2O_Fertilizers_NFixing_Pro" xr:uid="{7EFD5219-72F9-4E61-98A6-00F23C824A6A}"/>
  </hyperlinks>
  <pageMargins left="0.7" right="0.7" top="0.75" bottom="0.75" header="0.3" footer="0.3"/>
  <pageSetup orientation="portrait" horizontalDpi="4294967295" verticalDpi="4294967295"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7620-4D9A-4B51-B7D7-016D4BE18F97}">
  <sheetPr codeName="Sheet28">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673</v>
      </c>
      <c r="B1" s="32"/>
      <c r="C1" s="32"/>
      <c r="D1" s="32"/>
      <c r="E1" s="32"/>
      <c r="F1" s="32"/>
      <c r="G1" s="32"/>
    </row>
    <row r="2" spans="1:7" ht="37.5" customHeight="1">
      <c r="A2" s="1" t="s">
        <v>1</v>
      </c>
      <c r="B2" s="33" t="s">
        <v>674</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45" collapsed="1">
      <c r="A5" s="3" t="s">
        <v>14</v>
      </c>
      <c r="B5" s="3" t="s">
        <v>82</v>
      </c>
      <c r="C5" s="3" t="s">
        <v>47</v>
      </c>
      <c r="D5" s="3" t="s">
        <v>48</v>
      </c>
      <c r="E5" s="3" t="s">
        <v>120</v>
      </c>
      <c r="F5" s="3" t="s">
        <v>14</v>
      </c>
      <c r="G5" s="3">
        <f>G6*G7</f>
        <v>132.5</v>
      </c>
    </row>
    <row r="6" spans="1:7">
      <c r="A6" s="3" t="s">
        <v>11</v>
      </c>
      <c r="B6" s="3" t="s">
        <v>82</v>
      </c>
      <c r="C6" s="3" t="s">
        <v>47</v>
      </c>
      <c r="D6" s="3"/>
      <c r="E6" s="3" t="s">
        <v>114</v>
      </c>
      <c r="F6" s="3" t="s">
        <v>14</v>
      </c>
      <c r="G6" s="3">
        <v>265</v>
      </c>
    </row>
    <row r="7" spans="1:7" ht="45">
      <c r="A7" s="3" t="s">
        <v>11</v>
      </c>
      <c r="B7" s="3" t="s">
        <v>82</v>
      </c>
      <c r="C7" s="3" t="s">
        <v>47</v>
      </c>
      <c r="D7" s="3"/>
      <c r="E7" s="3" t="s">
        <v>121</v>
      </c>
      <c r="F7" s="3" t="s">
        <v>14</v>
      </c>
      <c r="G7" s="3">
        <v>0.5</v>
      </c>
    </row>
  </sheetData>
  <mergeCells count="3">
    <mergeCell ref="A1:G1"/>
    <mergeCell ref="B2:G2"/>
    <mergeCell ref="B3:G3"/>
  </mergeCells>
  <dataValidations count="2">
    <dataValidation type="list" allowBlank="1" showInputMessage="1" showErrorMessage="1" sqref="A5:A7 F5:F7" xr:uid="{4634730A-AC0E-46AC-8391-796E6A21EDE6}">
      <formula1>"Yes,No"</formula1>
    </dataValidation>
    <dataValidation type="list" allowBlank="1" showInputMessage="1" showErrorMessage="1" sqref="B3:G3" xr:uid="{454D4037-78A0-483E-A55D-4E7D94505E16}">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BE0A-C961-4DBB-BC86-0AB61D017354}">
  <sheetPr codeName="Sheet3">
    <outlinePr summaryBelow="0" summaryRight="0"/>
  </sheetPr>
  <dimension ref="A1:G17"/>
  <sheetViews>
    <sheetView workbookViewId="0">
      <selection activeCell="A4" sqref="A4:XFD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61</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ollapsed="1">
      <c r="A5" s="3" t="s">
        <v>11</v>
      </c>
      <c r="B5" s="3" t="s">
        <v>17</v>
      </c>
      <c r="C5" s="10" t="s">
        <v>63</v>
      </c>
      <c r="D5" s="3"/>
      <c r="E5" s="3" t="s">
        <v>64</v>
      </c>
      <c r="F5" s="3" t="s">
        <v>14</v>
      </c>
      <c r="G5" s="3" t="s">
        <v>65</v>
      </c>
    </row>
    <row r="6" spans="1:7" ht="60">
      <c r="A6" s="3" t="s">
        <v>11</v>
      </c>
      <c r="B6" s="3" t="s">
        <v>17</v>
      </c>
      <c r="C6" s="10" t="s">
        <v>66</v>
      </c>
      <c r="D6" s="3"/>
      <c r="E6" s="3" t="s">
        <v>67</v>
      </c>
      <c r="F6" s="3" t="s">
        <v>14</v>
      </c>
      <c r="G6" s="3" t="s">
        <v>68</v>
      </c>
    </row>
    <row r="7" spans="1:7">
      <c r="A7" s="3" t="s">
        <v>14</v>
      </c>
      <c r="B7" s="3" t="s">
        <v>46</v>
      </c>
      <c r="C7" s="3"/>
      <c r="D7" s="3" t="s">
        <v>48</v>
      </c>
      <c r="E7" s="3" t="s">
        <v>69</v>
      </c>
      <c r="F7" s="3" t="s">
        <v>14</v>
      </c>
      <c r="G7" s="3" t="str">
        <f>"Approach 3"</f>
        <v>Approach 3</v>
      </c>
    </row>
    <row r="8" spans="1:7">
      <c r="A8" s="3" t="s">
        <v>14</v>
      </c>
      <c r="B8" s="3" t="s">
        <v>46</v>
      </c>
      <c r="C8" s="3"/>
      <c r="D8" s="3" t="s">
        <v>48</v>
      </c>
      <c r="E8" s="3" t="s">
        <v>70</v>
      </c>
      <c r="F8" s="3" t="s">
        <v>14</v>
      </c>
      <c r="G8" s="3" t="str">
        <f>"Approach 3"</f>
        <v>Approach 3</v>
      </c>
    </row>
    <row r="9" spans="1:7">
      <c r="A9" s="3" t="s">
        <v>14</v>
      </c>
      <c r="B9" s="3" t="s">
        <v>46</v>
      </c>
      <c r="C9" s="3"/>
      <c r="D9" s="3" t="s">
        <v>48</v>
      </c>
      <c r="E9" s="3" t="s">
        <v>71</v>
      </c>
      <c r="F9" s="3" t="s">
        <v>14</v>
      </c>
      <c r="G9" s="3" t="str">
        <f>IF(AND(G5="Approach 1: Measure and Model"),"Approach 1",IF(AND(G5="Approach 3: Default Factors"),"Approach 3"))</f>
        <v>Approach 1</v>
      </c>
    </row>
    <row r="10" spans="1:7">
      <c r="A10" s="3" t="s">
        <v>14</v>
      </c>
      <c r="B10" s="3" t="s">
        <v>46</v>
      </c>
      <c r="C10" s="3"/>
      <c r="D10" s="3" t="s">
        <v>48</v>
      </c>
      <c r="E10" s="3" t="s">
        <v>72</v>
      </c>
      <c r="F10" s="3" t="s">
        <v>14</v>
      </c>
      <c r="G10" s="3" t="str">
        <f>"Approach 3"</f>
        <v>Approach 3</v>
      </c>
    </row>
    <row r="11" spans="1:7">
      <c r="A11" s="3" t="s">
        <v>14</v>
      </c>
      <c r="B11" s="3" t="s">
        <v>46</v>
      </c>
      <c r="C11" s="3"/>
      <c r="D11" s="3" t="s">
        <v>48</v>
      </c>
      <c r="E11" s="3" t="s">
        <v>73</v>
      </c>
      <c r="F11" s="3" t="s">
        <v>14</v>
      </c>
      <c r="G11" s="3" t="str">
        <f>IF(AND(G5="Approach 1: Measure and Model"),"Approach 1",IF(AND(G5="Approach 3: Default Factors"),"Approach 3"))</f>
        <v>Approach 1</v>
      </c>
    </row>
    <row r="12" spans="1:7">
      <c r="A12" s="3" t="s">
        <v>14</v>
      </c>
      <c r="B12" s="3" t="s">
        <v>46</v>
      </c>
      <c r="C12" s="3"/>
      <c r="D12" s="3" t="s">
        <v>48</v>
      </c>
      <c r="E12" s="3" t="s">
        <v>74</v>
      </c>
      <c r="F12" s="3" t="s">
        <v>14</v>
      </c>
      <c r="G12" s="3" t="str">
        <f>IF(AND(G6="Approach 1: Measure and Model"),"Approach 1",IF(AND(G6="Approach 2: Measure and Remeasure"),"Approach 2"))</f>
        <v>Approach 2</v>
      </c>
    </row>
    <row r="13" spans="1:7">
      <c r="A13" s="3" t="s">
        <v>14</v>
      </c>
      <c r="B13" s="3" t="s">
        <v>46</v>
      </c>
      <c r="C13" s="3"/>
      <c r="D13" s="3" t="s">
        <v>48</v>
      </c>
      <c r="E13" s="3" t="s">
        <v>75</v>
      </c>
      <c r="F13" s="3" t="s">
        <v>14</v>
      </c>
      <c r="G13" s="3" t="str">
        <f>"Approach 1"</f>
        <v>Approach 1</v>
      </c>
    </row>
    <row r="14" spans="1:7">
      <c r="A14" s="3" t="s">
        <v>14</v>
      </c>
      <c r="B14" s="3" t="s">
        <v>46</v>
      </c>
      <c r="C14" s="3"/>
      <c r="D14" s="3" t="s">
        <v>48</v>
      </c>
      <c r="E14" s="3" t="s">
        <v>76</v>
      </c>
      <c r="F14" s="3" t="s">
        <v>14</v>
      </c>
      <c r="G14" s="3" t="str">
        <f>"CDM AR-TOOL 14 &amp; AR-AMS0007"</f>
        <v>CDM AR-TOOL 14 &amp; AR-AMS0007</v>
      </c>
    </row>
    <row r="15" spans="1:7">
      <c r="A15" s="3" t="s">
        <v>14</v>
      </c>
      <c r="B15" s="3" t="s">
        <v>46</v>
      </c>
      <c r="C15" s="3"/>
      <c r="D15" s="3" t="s">
        <v>48</v>
      </c>
      <c r="E15" s="3" t="s">
        <v>77</v>
      </c>
      <c r="F15" s="3" t="s">
        <v>14</v>
      </c>
      <c r="G15" s="3" t="str">
        <f>"Approach 3"</f>
        <v>Approach 3</v>
      </c>
    </row>
    <row r="16" spans="1:7">
      <c r="A16" s="3" t="s">
        <v>14</v>
      </c>
      <c r="B16" s="3" t="s">
        <v>46</v>
      </c>
      <c r="C16" s="3"/>
      <c r="D16" s="3" t="s">
        <v>48</v>
      </c>
      <c r="E16" s="3" t="s">
        <v>78</v>
      </c>
      <c r="F16" s="3" t="s">
        <v>14</v>
      </c>
      <c r="G16" s="3" t="str">
        <f>IF(AND(G5="Approach 1: Measure and Model"),"Approach 1",IF(AND(G5="Approach 3: Default Factors"),"Approach 3"))</f>
        <v>Approach 1</v>
      </c>
    </row>
    <row r="17" spans="1:7">
      <c r="A17" s="3" t="s">
        <v>14</v>
      </c>
      <c r="B17" s="3" t="s">
        <v>46</v>
      </c>
      <c r="C17" s="3"/>
      <c r="D17" s="3" t="s">
        <v>48</v>
      </c>
      <c r="E17" s="3" t="s">
        <v>79</v>
      </c>
      <c r="F17" s="3" t="s">
        <v>14</v>
      </c>
      <c r="G17" s="3" t="str">
        <f>"Approach 3"</f>
        <v>Approach 3</v>
      </c>
    </row>
  </sheetData>
  <mergeCells count="3">
    <mergeCell ref="A1:G1"/>
    <mergeCell ref="B2:G2"/>
    <mergeCell ref="B3:G3"/>
  </mergeCells>
  <dataValidations count="2">
    <dataValidation type="list" allowBlank="1" showInputMessage="1" showErrorMessage="1" sqref="F5:F17 A5:A17" xr:uid="{351E5EDB-EEB5-4BDC-9C5E-3BE60080AF46}">
      <formula1>"Yes,No"</formula1>
    </dataValidation>
    <dataValidation type="list" allowBlank="1" showInputMessage="1" showErrorMessage="1" sqref="B3:G3" xr:uid="{05E20254-12C0-4FCA-AADA-AC0856CED124}">
      <formula1>"Verifiable Credentials,Encrypted Verifiable Credential,Sub-Schema"</formula1>
    </dataValidation>
  </dataValidations>
  <hyperlinks>
    <hyperlink ref="C6" location="'SOC (enum)'!A1" display="'SOC (enum)" xr:uid="{6FC2432B-6930-469E-B8E3-A26626E411CD}"/>
    <hyperlink ref="C5" location="'N2O (Nitrogen fertilizer (enum)'!A1" display="'N2O (Nitrogen fertilizer (enum)" xr:uid="{3EE66EF8-4258-4452-AF28-F8D6A4BC113D}"/>
  </hyperlinks>
  <pageMargins left="0.7" right="0.7" top="0.75" bottom="0.75" header="0.3" footer="0.3"/>
  <pageSetup orientation="portrait" horizontalDpi="4294967295" verticalDpi="4294967295" r:id="rId1"/>
  <ignoredErrors>
    <ignoredError sqref="G16 G9"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86D0B028-5027-445B-8408-C7475E8E15B7}">
          <x14:formula1>
            <xm:f>'N2O (Nitrogen fertilizer (enum)'!$A$3:$A$4</xm:f>
          </x14:formula1>
          <xm:sqref>G5</xm:sqref>
        </x14:dataValidation>
        <x14:dataValidation type="list" allowBlank="1" showInputMessage="1" showErrorMessage="1" xr:uid="{6ED4EA84-3AF6-4FFB-89FC-6DAD62A11CAA}">
          <x14:formula1>
            <xm:f>'SOC (enum)'!$A$3:$A$4</xm:f>
          </x14:formula1>
          <xm:sqref>G6</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14C1-F36B-4F91-8CCD-76A19C9D49DD}">
  <sheetPr codeName="Sheet29">
    <tabColor rgb="FF0070C0"/>
    <outlinePr summaryBelow="0" summaryRight="0"/>
  </sheetPr>
  <dimension ref="A1:G38"/>
  <sheetViews>
    <sheetView workbookViewId="0">
      <selection activeCell="E4" sqref="E1:E1048576"/>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123</v>
      </c>
      <c r="B1" s="32"/>
      <c r="C1" s="32"/>
      <c r="D1" s="32"/>
      <c r="E1" s="32"/>
      <c r="F1" s="32"/>
      <c r="G1" s="32"/>
    </row>
    <row r="2" spans="1:7" ht="18.75">
      <c r="A2" s="1" t="s">
        <v>1</v>
      </c>
      <c r="B2" s="33" t="s">
        <v>675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125</v>
      </c>
      <c r="C5" s="10"/>
      <c r="D5" s="3"/>
      <c r="E5" s="3" t="s">
        <v>676</v>
      </c>
      <c r="F5" s="3" t="s">
        <v>11</v>
      </c>
      <c r="G5" s="3"/>
    </row>
    <row r="6" spans="1:7" outlineLevel="2">
      <c r="A6" s="3" t="s">
        <v>11</v>
      </c>
      <c r="B6" s="3" t="s">
        <v>46</v>
      </c>
      <c r="C6" s="10"/>
      <c r="D6" s="3"/>
      <c r="E6" s="3" t="s">
        <v>88</v>
      </c>
      <c r="F6" s="3" t="s">
        <v>14</v>
      </c>
      <c r="G6" s="3" t="s">
        <v>89</v>
      </c>
    </row>
    <row r="7" spans="1:7" outlineLevel="2">
      <c r="A7" s="3" t="s">
        <v>11</v>
      </c>
      <c r="B7" s="3" t="s">
        <v>82</v>
      </c>
      <c r="C7" s="10"/>
      <c r="D7" s="3"/>
      <c r="E7" s="3" t="s">
        <v>90</v>
      </c>
      <c r="F7" s="3" t="s">
        <v>14</v>
      </c>
      <c r="G7" s="3">
        <v>1148.7226376613501</v>
      </c>
    </row>
    <row r="8" spans="1:7" outlineLevel="1" collapsed="1">
      <c r="A8" s="3" t="s">
        <v>11</v>
      </c>
      <c r="B8" s="9" t="s">
        <v>127</v>
      </c>
      <c r="C8" s="10"/>
      <c r="D8" s="3"/>
      <c r="E8" s="3" t="s">
        <v>128</v>
      </c>
      <c r="F8" s="3" t="s">
        <v>14</v>
      </c>
      <c r="G8" s="3"/>
    </row>
    <row r="9" spans="1:7" ht="60" hidden="1" outlineLevel="2">
      <c r="A9" s="3" t="s">
        <v>14</v>
      </c>
      <c r="B9" s="3" t="s">
        <v>44</v>
      </c>
      <c r="C9" s="10"/>
      <c r="D9" s="3"/>
      <c r="E9" s="3" t="s">
        <v>129</v>
      </c>
      <c r="F9" s="3" t="s">
        <v>14</v>
      </c>
      <c r="G9" s="3"/>
    </row>
    <row r="10" spans="1:7" hidden="1" outlineLevel="4">
      <c r="A10" s="3" t="s">
        <v>11</v>
      </c>
      <c r="B10" s="9" t="s">
        <v>130</v>
      </c>
      <c r="C10" s="10"/>
      <c r="D10" s="3"/>
      <c r="E10" s="3" t="s">
        <v>131</v>
      </c>
      <c r="F10" s="3" t="s">
        <v>11</v>
      </c>
      <c r="G10" s="3"/>
    </row>
    <row r="11" spans="1:7" hidden="1" outlineLevel="5">
      <c r="A11" s="3" t="s">
        <v>11</v>
      </c>
      <c r="B11" s="3" t="s">
        <v>82</v>
      </c>
      <c r="C11" s="10"/>
      <c r="D11" s="3"/>
      <c r="E11" s="3" t="s">
        <v>132</v>
      </c>
      <c r="F11" s="3" t="s">
        <v>14</v>
      </c>
      <c r="G11" s="3">
        <v>0</v>
      </c>
    </row>
    <row r="12" spans="1:7" hidden="1" outlineLevel="5">
      <c r="A12" s="3" t="s">
        <v>11</v>
      </c>
      <c r="B12" s="3" t="s">
        <v>46</v>
      </c>
      <c r="C12" s="10"/>
      <c r="D12" s="3"/>
      <c r="E12" s="3" t="s">
        <v>133</v>
      </c>
      <c r="F12" s="3" t="s">
        <v>14</v>
      </c>
      <c r="G12" s="3">
        <v>1704871</v>
      </c>
    </row>
    <row r="13" spans="1:7" hidden="1" outlineLevel="5">
      <c r="A13" s="3" t="s">
        <v>11</v>
      </c>
      <c r="B13" s="9" t="s">
        <v>134</v>
      </c>
      <c r="C13" s="10"/>
      <c r="D13" s="3"/>
      <c r="E13" s="3" t="s">
        <v>135</v>
      </c>
      <c r="F13" s="3" t="s">
        <v>11</v>
      </c>
      <c r="G13" s="3"/>
    </row>
    <row r="14" spans="1:7" hidden="1" outlineLevel="5">
      <c r="A14" s="3" t="s">
        <v>11</v>
      </c>
      <c r="B14" s="3" t="s">
        <v>46</v>
      </c>
      <c r="C14" s="10"/>
      <c r="D14" s="3"/>
      <c r="E14" s="3" t="s">
        <v>136</v>
      </c>
      <c r="F14" s="3" t="s">
        <v>14</v>
      </c>
      <c r="G14" s="3" t="s">
        <v>137</v>
      </c>
    </row>
    <row r="15" spans="1:7" hidden="1" outlineLevel="5">
      <c r="A15" s="3" t="s">
        <v>11</v>
      </c>
      <c r="B15" s="3" t="s">
        <v>82</v>
      </c>
      <c r="C15" s="10"/>
      <c r="D15" s="3"/>
      <c r="E15" s="3" t="s">
        <v>138</v>
      </c>
      <c r="F15" s="3" t="s">
        <v>14</v>
      </c>
      <c r="G15" s="3">
        <v>36.170999999999999</v>
      </c>
    </row>
    <row r="16" spans="1:7" hidden="1" outlineLevel="5">
      <c r="A16" s="3" t="s">
        <v>11</v>
      </c>
      <c r="B16" s="3" t="s">
        <v>46</v>
      </c>
      <c r="C16" s="10"/>
      <c r="D16" s="3"/>
      <c r="E16" s="3" t="s">
        <v>139</v>
      </c>
      <c r="F16" s="3" t="s">
        <v>14</v>
      </c>
      <c r="G16" s="3" t="s">
        <v>140</v>
      </c>
    </row>
    <row r="17" spans="1:7" hidden="1" outlineLevel="5">
      <c r="A17" s="3" t="s">
        <v>14</v>
      </c>
      <c r="B17" s="3" t="s">
        <v>82</v>
      </c>
      <c r="C17" s="10"/>
      <c r="D17" s="3" t="s">
        <v>48</v>
      </c>
      <c r="E17" s="3" t="s">
        <v>141</v>
      </c>
      <c r="F17" s="3" t="s">
        <v>14</v>
      </c>
      <c r="G17" s="3" t="e">
        <f>#REF!</f>
        <v>#REF!</v>
      </c>
    </row>
    <row r="18" spans="1:7" ht="17.25" hidden="1" customHeight="1" outlineLevel="5">
      <c r="A18" s="3" t="s">
        <v>14</v>
      </c>
      <c r="B18" s="3" t="s">
        <v>82</v>
      </c>
      <c r="C18" s="10"/>
      <c r="D18" s="3" t="s">
        <v>48</v>
      </c>
      <c r="E18" s="3" t="s">
        <v>142</v>
      </c>
      <c r="F18" s="3" t="s">
        <v>14</v>
      </c>
      <c r="G18" s="3" t="e">
        <f>(G17*G15/SUM(G15,#REF!)+#REF!*#REF!/SUM(G15,#REF!))*44/12</f>
        <v>#REF!</v>
      </c>
    </row>
    <row r="19" spans="1:7" outlineLevel="1">
      <c r="A19" s="3" t="s">
        <v>14</v>
      </c>
      <c r="B19" s="3" t="s">
        <v>82</v>
      </c>
      <c r="C19" s="10"/>
      <c r="D19" s="3" t="s">
        <v>48</v>
      </c>
      <c r="E19" s="3" t="s">
        <v>143</v>
      </c>
      <c r="F19" s="3" t="s">
        <v>14</v>
      </c>
      <c r="G19" s="3" t="e">
        <f>((#REF!-G18)*(1/(#REF!-G11)))*G7</f>
        <v>#REF!</v>
      </c>
    </row>
    <row r="20" spans="1:7" ht="45" outlineLevel="1">
      <c r="A20" s="3" t="s">
        <v>14</v>
      </c>
      <c r="B20" s="3" t="s">
        <v>82</v>
      </c>
      <c r="C20" s="10"/>
      <c r="D20" s="3" t="s">
        <v>48</v>
      </c>
      <c r="E20" s="3" t="s">
        <v>144</v>
      </c>
      <c r="F20" s="3" t="s">
        <v>14</v>
      </c>
      <c r="G20" s="3" t="e">
        <f>SUM(G19)</f>
        <v>#REF!</v>
      </c>
    </row>
    <row r="21" spans="1:7" ht="30" outlineLevel="1">
      <c r="A21" s="3" t="s">
        <v>14</v>
      </c>
      <c r="B21" s="3" t="s">
        <v>82</v>
      </c>
      <c r="C21" s="10"/>
      <c r="D21" s="3" t="s">
        <v>48</v>
      </c>
      <c r="E21" s="3" t="s">
        <v>145</v>
      </c>
      <c r="F21" s="3" t="s">
        <v>14</v>
      </c>
      <c r="G21" s="3" t="e">
        <f>G20</f>
        <v>#REF!</v>
      </c>
    </row>
    <row r="22" spans="1:7" outlineLevel="1" collapsed="1">
      <c r="A22" s="3" t="s">
        <v>11</v>
      </c>
      <c r="B22" s="9" t="s">
        <v>146</v>
      </c>
      <c r="C22" s="10"/>
      <c r="D22" s="3" t="s">
        <v>48</v>
      </c>
      <c r="E22" s="3" t="s">
        <v>147</v>
      </c>
      <c r="F22" s="3" t="s">
        <v>14</v>
      </c>
      <c r="G22" s="3" t="e">
        <f>G21</f>
        <v>#REF!</v>
      </c>
    </row>
    <row r="23" spans="1:7" ht="60" hidden="1" outlineLevel="2">
      <c r="A23" s="3" t="s">
        <v>14</v>
      </c>
      <c r="B23" s="3" t="s">
        <v>44</v>
      </c>
      <c r="C23" s="10"/>
      <c r="D23" s="3"/>
      <c r="E23" s="3" t="s">
        <v>129</v>
      </c>
      <c r="F23" s="3" t="s">
        <v>14</v>
      </c>
      <c r="G23" s="3"/>
    </row>
    <row r="24" spans="1:7" hidden="1" outlineLevel="4">
      <c r="A24" s="3" t="s">
        <v>11</v>
      </c>
      <c r="B24" s="9" t="s">
        <v>130</v>
      </c>
      <c r="C24" s="10"/>
      <c r="D24" s="3"/>
      <c r="E24" s="3" t="s">
        <v>131</v>
      </c>
      <c r="F24" s="3" t="s">
        <v>11</v>
      </c>
      <c r="G24" s="3"/>
    </row>
    <row r="25" spans="1:7" hidden="1" outlineLevel="5">
      <c r="A25" s="3" t="s">
        <v>11</v>
      </c>
      <c r="B25" s="3" t="s">
        <v>82</v>
      </c>
      <c r="C25" s="10"/>
      <c r="D25" s="3"/>
      <c r="E25" s="3" t="s">
        <v>132</v>
      </c>
      <c r="F25" s="3" t="s">
        <v>14</v>
      </c>
      <c r="G25" s="3">
        <v>0</v>
      </c>
    </row>
    <row r="26" spans="1:7" hidden="1" outlineLevel="5">
      <c r="A26" s="3" t="s">
        <v>11</v>
      </c>
      <c r="B26" s="3" t="s">
        <v>46</v>
      </c>
      <c r="C26" s="10"/>
      <c r="D26" s="3"/>
      <c r="E26" s="3" t="s">
        <v>133</v>
      </c>
      <c r="F26" s="3" t="s">
        <v>14</v>
      </c>
      <c r="G26" s="3">
        <v>1704871</v>
      </c>
    </row>
    <row r="27" spans="1:7" hidden="1" outlineLevel="5">
      <c r="A27" s="3" t="s">
        <v>11</v>
      </c>
      <c r="B27" s="9" t="s">
        <v>134</v>
      </c>
      <c r="C27" s="10"/>
      <c r="D27" s="3"/>
      <c r="E27" s="3" t="s">
        <v>135</v>
      </c>
      <c r="F27" s="3" t="s">
        <v>11</v>
      </c>
      <c r="G27" s="3"/>
    </row>
    <row r="28" spans="1:7" hidden="1" outlineLevel="5">
      <c r="A28" s="3" t="s">
        <v>11</v>
      </c>
      <c r="B28" s="3" t="s">
        <v>46</v>
      </c>
      <c r="C28" s="10"/>
      <c r="D28" s="3"/>
      <c r="E28" s="3" t="s">
        <v>136</v>
      </c>
      <c r="F28" s="3" t="s">
        <v>14</v>
      </c>
      <c r="G28" s="3" t="s">
        <v>137</v>
      </c>
    </row>
    <row r="29" spans="1:7" hidden="1" outlineLevel="5">
      <c r="A29" s="3" t="s">
        <v>11</v>
      </c>
      <c r="B29" s="3" t="s">
        <v>82</v>
      </c>
      <c r="C29" s="10"/>
      <c r="D29" s="3"/>
      <c r="E29" s="3" t="s">
        <v>138</v>
      </c>
      <c r="F29" s="3" t="s">
        <v>14</v>
      </c>
      <c r="G29" s="3">
        <v>36.170999999999999</v>
      </c>
    </row>
    <row r="30" spans="1:7" hidden="1" outlineLevel="5">
      <c r="A30" s="3" t="s">
        <v>11</v>
      </c>
      <c r="B30" s="3" t="s">
        <v>46</v>
      </c>
      <c r="C30" s="10"/>
      <c r="D30" s="3"/>
      <c r="E30" s="3" t="s">
        <v>139</v>
      </c>
      <c r="F30" s="3" t="s">
        <v>14</v>
      </c>
      <c r="G30" s="3" t="s">
        <v>140</v>
      </c>
    </row>
    <row r="31" spans="1:7" hidden="1" outlineLevel="5">
      <c r="A31" s="3" t="s">
        <v>14</v>
      </c>
      <c r="B31" s="3" t="s">
        <v>82</v>
      </c>
      <c r="C31" s="10"/>
      <c r="D31" s="3" t="s">
        <v>48</v>
      </c>
      <c r="E31" s="3" t="s">
        <v>141</v>
      </c>
      <c r="F31" s="3" t="s">
        <v>14</v>
      </c>
      <c r="G31" s="3" t="e">
        <f>#REF!</f>
        <v>#REF!</v>
      </c>
    </row>
    <row r="32" spans="1:7" hidden="1" outlineLevel="5">
      <c r="A32" s="3" t="s">
        <v>14</v>
      </c>
      <c r="B32" s="3" t="s">
        <v>82</v>
      </c>
      <c r="C32" s="10"/>
      <c r="D32" s="3" t="s">
        <v>48</v>
      </c>
      <c r="E32" s="3" t="s">
        <v>142</v>
      </c>
      <c r="F32" s="3" t="s">
        <v>14</v>
      </c>
      <c r="G32" s="3" t="e">
        <f>(G31*G29/SUM(G29,#REF!)+#REF!*#REF!/SUM(G29,#REF!))*44/12</f>
        <v>#REF!</v>
      </c>
    </row>
    <row r="33" spans="1:7" outlineLevel="1">
      <c r="A33" s="3" t="s">
        <v>14</v>
      </c>
      <c r="B33" s="3" t="s">
        <v>82</v>
      </c>
      <c r="C33" s="10"/>
      <c r="D33" s="3" t="s">
        <v>48</v>
      </c>
      <c r="E33" s="3" t="s">
        <v>148</v>
      </c>
      <c r="F33" s="3" t="s">
        <v>14</v>
      </c>
      <c r="G33" s="3" t="e">
        <f>((#REF!-G32)*(1/(#REF!-G25)))*G7</f>
        <v>#REF!</v>
      </c>
    </row>
    <row r="34" spans="1:7" ht="45" outlineLevel="1">
      <c r="A34" s="3" t="s">
        <v>14</v>
      </c>
      <c r="B34" s="3" t="s">
        <v>82</v>
      </c>
      <c r="C34" s="10"/>
      <c r="D34" s="3" t="s">
        <v>48</v>
      </c>
      <c r="E34" s="3" t="s">
        <v>149</v>
      </c>
      <c r="F34" s="3" t="s">
        <v>14</v>
      </c>
      <c r="G34" s="3" t="e">
        <f>SUM(G33)</f>
        <v>#REF!</v>
      </c>
    </row>
    <row r="35" spans="1:7" ht="30" outlineLevel="1">
      <c r="A35" s="3" t="s">
        <v>14</v>
      </c>
      <c r="B35" s="3" t="s">
        <v>82</v>
      </c>
      <c r="C35" s="10"/>
      <c r="D35" s="3" t="s">
        <v>48</v>
      </c>
      <c r="E35" s="3" t="s">
        <v>150</v>
      </c>
      <c r="F35" s="3" t="s">
        <v>14</v>
      </c>
      <c r="G35" s="3" t="e">
        <f>G34</f>
        <v>#REF!</v>
      </c>
    </row>
    <row r="36" spans="1:7">
      <c r="A36" s="3" t="s">
        <v>14</v>
      </c>
      <c r="B36" s="3" t="s">
        <v>82</v>
      </c>
      <c r="C36" s="10"/>
      <c r="D36" s="3" t="s">
        <v>48</v>
      </c>
      <c r="E36" s="3" t="s">
        <v>151</v>
      </c>
      <c r="F36" s="3" t="s">
        <v>14</v>
      </c>
      <c r="G36" s="3" t="e">
        <f>SUM(G19)</f>
        <v>#REF!</v>
      </c>
    </row>
    <row r="37" spans="1:7">
      <c r="A37" s="3" t="s">
        <v>14</v>
      </c>
      <c r="B37" s="3" t="s">
        <v>82</v>
      </c>
      <c r="C37" s="10"/>
      <c r="D37" s="3" t="s">
        <v>48</v>
      </c>
      <c r="E37" s="3" t="s">
        <v>152</v>
      </c>
      <c r="F37" s="3" t="s">
        <v>14</v>
      </c>
      <c r="G37" s="3" t="e">
        <f>SUM(G33)</f>
        <v>#REF!</v>
      </c>
    </row>
    <row r="38" spans="1:7" ht="60">
      <c r="A38" s="3" t="s">
        <v>14</v>
      </c>
      <c r="B38" s="3" t="s">
        <v>82</v>
      </c>
      <c r="C38" s="10"/>
      <c r="D38" s="3" t="s">
        <v>48</v>
      </c>
      <c r="E38" s="3" t="s">
        <v>153</v>
      </c>
      <c r="F38" s="3" t="s">
        <v>14</v>
      </c>
      <c r="G38" s="3" t="e">
        <f>IF((G37-G36)&gt;=0,1,-1)</f>
        <v>#REF!</v>
      </c>
    </row>
  </sheetData>
  <mergeCells count="3">
    <mergeCell ref="A1:G1"/>
    <mergeCell ref="B2:G2"/>
    <mergeCell ref="B3:G3"/>
  </mergeCells>
  <dataValidations count="3">
    <dataValidation type="list" allowBlank="1" showInputMessage="1" showErrorMessage="1" sqref="A6:A7 F6:F7 A25:A35 A11:A22 F11:F22 F25:F35" xr:uid="{C9B7B009-38C4-479A-860B-E1B442A5FB0B}">
      <formula1>"Yes,No"</formula1>
    </dataValidation>
    <dataValidation allowBlank="1" showInputMessage="1" showErrorMessage="1" sqref="G6:G7 G11:G22 G25:G35" xr:uid="{C80AA6F0-EF3F-4F74-B3F3-5B8A35B90FA8}"/>
    <dataValidation type="list" allowBlank="1" showInputMessage="1" showErrorMessage="1" sqref="B3:G3" xr:uid="{443AF09F-5C57-4F51-9FFE-A51B44D7D81D}">
      <formula1>"Verifiable Credentials,Encrypted Verifiable Credential,Sub-Schema"</formula1>
    </dataValidation>
  </dataValidations>
  <hyperlinks>
    <hyperlink ref="B10" location="QA1_CO2_SOC_Input_Year_t!A1" display="QA1_CO2_SOC_Input_Year_t" xr:uid="{0E89251A-D880-47B1-93E6-9F906540DF08}"/>
    <hyperlink ref="B13" location="QA1_CO2_SOC_Input_Stratum_ID!A1" display="QA1_CO2_SOC_Input_Stratum_ID" xr:uid="{3562E95F-5FE7-4D7E-9471-0B558A978F2F}"/>
    <hyperlink ref="B24" location="QA1_CO2_SOC_Input_Year_t!A1" display="QA1_CO2_SOC_Input_Year_t" xr:uid="{88984838-FD9C-467A-B59B-E34D96A0E09B}"/>
    <hyperlink ref="B27" location="QA1_CO2_SOC_Input_Stratum_ID!A1" display="QA1_CO2_SOC_Input_Stratum_ID" xr:uid="{39584D70-3A3D-4741-9DDD-2ACACF444B52}"/>
    <hyperlink ref="B22" location="QA1_CO2_SOC_Project!A1" display="QA1_CO2_SOC_Project" xr:uid="{A0C5FC7B-0D26-4FA0-9B69-118B2322AF04}"/>
    <hyperlink ref="B8" location="QA1_CO2_SOC_Baseline!A1" display="QA1_CO2_SOC_Baseline" xr:uid="{D8E30867-B2E1-4D37-96B4-17E0BCB69E33}"/>
    <hyperlink ref="B5" location="QA1_CO2_SOC_ERs_Unit_i!A1" display="QA1_CO2_SOC_ERs_Unit_i" xr:uid="{174DD461-09D4-49AA-8D10-4D0FE0A35708}"/>
  </hyperlinks>
  <pageMargins left="0.7" right="0.7" top="0.75" bottom="0.75" header="0.3" footer="0.3"/>
  <pageSetup orientation="portrait" horizontalDpi="4294967295" verticalDpi="4294967295"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33F0-98A3-414A-BDFE-8F7567DC9890}">
  <sheetPr codeName="Sheet30">
    <tabColor rgb="FF0070C0"/>
    <outlinePr summaryBelow="0" summaryRight="0"/>
  </sheetPr>
  <dimension ref="A1:G34"/>
  <sheetViews>
    <sheetView workbookViewId="0">
      <selection activeCell="E4" sqref="E1:E1048576"/>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125</v>
      </c>
      <c r="B1" s="32"/>
      <c r="C1" s="32"/>
      <c r="D1" s="32"/>
      <c r="E1" s="32"/>
      <c r="F1" s="32"/>
      <c r="G1" s="32"/>
    </row>
    <row r="2" spans="1:7" ht="18.75">
      <c r="A2" s="1" t="s">
        <v>1</v>
      </c>
      <c r="B2" s="33" t="s">
        <v>675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10"/>
      <c r="D5" s="3"/>
      <c r="E5" s="3" t="s">
        <v>88</v>
      </c>
      <c r="F5" s="3" t="s">
        <v>14</v>
      </c>
      <c r="G5" s="3" t="s">
        <v>89</v>
      </c>
    </row>
    <row r="6" spans="1:7">
      <c r="A6" s="3" t="s">
        <v>11</v>
      </c>
      <c r="B6" s="3" t="s">
        <v>82</v>
      </c>
      <c r="C6" s="10"/>
      <c r="D6" s="3"/>
      <c r="E6" s="3" t="s">
        <v>90</v>
      </c>
      <c r="F6" s="3" t="s">
        <v>14</v>
      </c>
      <c r="G6" s="3">
        <v>1148.7226376613501</v>
      </c>
    </row>
    <row r="7" spans="1:7">
      <c r="A7" s="3" t="s">
        <v>11</v>
      </c>
      <c r="B7" s="9" t="s">
        <v>127</v>
      </c>
      <c r="C7" s="10"/>
      <c r="D7" s="3"/>
      <c r="E7" s="3" t="s">
        <v>128</v>
      </c>
      <c r="F7" s="3" t="s">
        <v>14</v>
      </c>
      <c r="G7" s="3"/>
    </row>
    <row r="8" spans="1:7" ht="60" outlineLevel="1">
      <c r="A8" s="3" t="s">
        <v>14</v>
      </c>
      <c r="B8" s="3" t="s">
        <v>44</v>
      </c>
      <c r="C8" s="10"/>
      <c r="D8" s="3"/>
      <c r="E8" s="3" t="s">
        <v>129</v>
      </c>
      <c r="F8" s="3" t="s">
        <v>14</v>
      </c>
      <c r="G8" s="3"/>
    </row>
    <row r="9" spans="1:7" outlineLevel="3">
      <c r="A9" s="3" t="s">
        <v>11</v>
      </c>
      <c r="B9" s="9" t="s">
        <v>130</v>
      </c>
      <c r="C9" s="10"/>
      <c r="D9" s="3"/>
      <c r="E9" s="3" t="s">
        <v>131</v>
      </c>
      <c r="F9" s="3" t="s">
        <v>11</v>
      </c>
      <c r="G9" s="3"/>
    </row>
    <row r="10" spans="1:7" outlineLevel="4">
      <c r="A10" s="3" t="s">
        <v>11</v>
      </c>
      <c r="B10" s="3" t="s">
        <v>82</v>
      </c>
      <c r="C10" s="10"/>
      <c r="D10" s="3"/>
      <c r="E10" s="3" t="s">
        <v>132</v>
      </c>
      <c r="F10" s="3" t="s">
        <v>14</v>
      </c>
      <c r="G10" s="3">
        <v>0</v>
      </c>
    </row>
    <row r="11" spans="1:7" outlineLevel="4">
      <c r="A11" s="3" t="s">
        <v>11</v>
      </c>
      <c r="B11" s="3" t="s">
        <v>46</v>
      </c>
      <c r="C11" s="10"/>
      <c r="D11" s="3"/>
      <c r="E11" s="3" t="s">
        <v>133</v>
      </c>
      <c r="F11" s="3" t="s">
        <v>14</v>
      </c>
      <c r="G11" s="3">
        <v>1704871</v>
      </c>
    </row>
    <row r="12" spans="1:7" outlineLevel="4">
      <c r="A12" s="3" t="s">
        <v>11</v>
      </c>
      <c r="B12" s="9" t="s">
        <v>134</v>
      </c>
      <c r="C12" s="10"/>
      <c r="D12" s="3"/>
      <c r="E12" s="3" t="s">
        <v>135</v>
      </c>
      <c r="F12" s="3" t="s">
        <v>11</v>
      </c>
      <c r="G12" s="3"/>
    </row>
    <row r="13" spans="1:7" outlineLevel="5">
      <c r="A13" s="3" t="s">
        <v>11</v>
      </c>
      <c r="B13" s="3" t="s">
        <v>46</v>
      </c>
      <c r="C13" s="10"/>
      <c r="D13" s="3"/>
      <c r="E13" s="3" t="s">
        <v>136</v>
      </c>
      <c r="F13" s="3" t="s">
        <v>14</v>
      </c>
      <c r="G13" s="3" t="s">
        <v>137</v>
      </c>
    </row>
    <row r="14" spans="1:7" outlineLevel="5">
      <c r="A14" s="3" t="s">
        <v>11</v>
      </c>
      <c r="B14" s="3" t="s">
        <v>82</v>
      </c>
      <c r="C14" s="10"/>
      <c r="D14" s="3"/>
      <c r="E14" s="3" t="s">
        <v>138</v>
      </c>
      <c r="F14" s="3" t="s">
        <v>14</v>
      </c>
      <c r="G14" s="3">
        <v>36.170999999999999</v>
      </c>
    </row>
    <row r="15" spans="1:7" outlineLevel="5">
      <c r="A15" s="3" t="s">
        <v>11</v>
      </c>
      <c r="B15" s="3" t="s">
        <v>46</v>
      </c>
      <c r="C15" s="10"/>
      <c r="D15" s="3"/>
      <c r="E15" s="3" t="s">
        <v>139</v>
      </c>
      <c r="F15" s="3" t="s">
        <v>14</v>
      </c>
      <c r="G15" s="3" t="s">
        <v>140</v>
      </c>
    </row>
    <row r="16" spans="1:7" outlineLevel="5">
      <c r="A16" s="3" t="s">
        <v>14</v>
      </c>
      <c r="B16" s="3" t="s">
        <v>82</v>
      </c>
      <c r="C16" s="10"/>
      <c r="D16" s="3" t="s">
        <v>48</v>
      </c>
      <c r="E16" s="3" t="s">
        <v>141</v>
      </c>
      <c r="F16" s="3" t="s">
        <v>14</v>
      </c>
      <c r="G16" s="3" t="e">
        <f>#REF!</f>
        <v>#REF!</v>
      </c>
    </row>
    <row r="17" spans="1:7" ht="17.25" customHeight="1" outlineLevel="4">
      <c r="A17" s="3" t="s">
        <v>14</v>
      </c>
      <c r="B17" s="3" t="s">
        <v>82</v>
      </c>
      <c r="C17" s="10"/>
      <c r="D17" s="3" t="s">
        <v>48</v>
      </c>
      <c r="E17" s="3" t="s">
        <v>142</v>
      </c>
      <c r="F17" s="3" t="s">
        <v>14</v>
      </c>
      <c r="G17" s="3" t="e">
        <f>(G16*G14/SUM(G14,#REF!)+#REF!*#REF!/SUM(G14,#REF!))*44/12</f>
        <v>#REF!</v>
      </c>
    </row>
    <row r="18" spans="1:7">
      <c r="A18" s="3" t="s">
        <v>14</v>
      </c>
      <c r="B18" s="3" t="s">
        <v>82</v>
      </c>
      <c r="C18" s="10"/>
      <c r="D18" s="3" t="s">
        <v>48</v>
      </c>
      <c r="E18" s="3" t="s">
        <v>143</v>
      </c>
      <c r="F18" s="3" t="s">
        <v>14</v>
      </c>
      <c r="G18" s="3" t="e">
        <f>((#REF!-G17)*(1/(#REF!-G10)))*G6</f>
        <v>#REF!</v>
      </c>
    </row>
    <row r="19" spans="1:7" ht="45">
      <c r="A19" s="3" t="s">
        <v>14</v>
      </c>
      <c r="B19" s="3" t="s">
        <v>82</v>
      </c>
      <c r="C19" s="10"/>
      <c r="D19" s="3" t="s">
        <v>48</v>
      </c>
      <c r="E19" s="3" t="s">
        <v>144</v>
      </c>
      <c r="F19" s="3" t="s">
        <v>14</v>
      </c>
      <c r="G19" s="3" t="e">
        <f>SUM(G18)</f>
        <v>#REF!</v>
      </c>
    </row>
    <row r="20" spans="1:7" ht="30">
      <c r="A20" s="3" t="s">
        <v>14</v>
      </c>
      <c r="B20" s="3" t="s">
        <v>82</v>
      </c>
      <c r="C20" s="10"/>
      <c r="D20" s="3" t="s">
        <v>48</v>
      </c>
      <c r="E20" s="3" t="s">
        <v>145</v>
      </c>
      <c r="F20" s="3" t="s">
        <v>14</v>
      </c>
      <c r="G20" s="3" t="e">
        <f>G19</f>
        <v>#REF!</v>
      </c>
    </row>
    <row r="21" spans="1:7">
      <c r="A21" s="3" t="s">
        <v>11</v>
      </c>
      <c r="B21" s="9" t="s">
        <v>146</v>
      </c>
      <c r="C21" s="10"/>
      <c r="D21" s="3" t="s">
        <v>48</v>
      </c>
      <c r="E21" s="3" t="s">
        <v>147</v>
      </c>
      <c r="F21" s="3" t="s">
        <v>14</v>
      </c>
      <c r="G21" s="3" t="e">
        <f>G20</f>
        <v>#REF!</v>
      </c>
    </row>
    <row r="22" spans="1:7" ht="60" outlineLevel="1">
      <c r="A22" s="3" t="s">
        <v>14</v>
      </c>
      <c r="B22" s="3" t="s">
        <v>44</v>
      </c>
      <c r="C22" s="10"/>
      <c r="D22" s="3"/>
      <c r="E22" s="3" t="s">
        <v>129</v>
      </c>
      <c r="F22" s="3" t="s">
        <v>14</v>
      </c>
      <c r="G22" s="3"/>
    </row>
    <row r="23" spans="1:7" outlineLevel="3">
      <c r="A23" s="3" t="s">
        <v>11</v>
      </c>
      <c r="B23" s="9" t="s">
        <v>130</v>
      </c>
      <c r="C23" s="10"/>
      <c r="D23" s="3"/>
      <c r="E23" s="3" t="s">
        <v>131</v>
      </c>
      <c r="F23" s="3" t="s">
        <v>11</v>
      </c>
      <c r="G23" s="3"/>
    </row>
    <row r="24" spans="1:7" outlineLevel="4">
      <c r="A24" s="3" t="s">
        <v>11</v>
      </c>
      <c r="B24" s="3" t="s">
        <v>82</v>
      </c>
      <c r="C24" s="10"/>
      <c r="D24" s="3"/>
      <c r="E24" s="3" t="s">
        <v>132</v>
      </c>
      <c r="F24" s="3" t="s">
        <v>14</v>
      </c>
      <c r="G24" s="3">
        <v>0</v>
      </c>
    </row>
    <row r="25" spans="1:7" outlineLevel="4">
      <c r="A25" s="3" t="s">
        <v>11</v>
      </c>
      <c r="B25" s="3" t="s">
        <v>46</v>
      </c>
      <c r="C25" s="10"/>
      <c r="D25" s="3"/>
      <c r="E25" s="3" t="s">
        <v>133</v>
      </c>
      <c r="F25" s="3" t="s">
        <v>14</v>
      </c>
      <c r="G25" s="3">
        <v>1704871</v>
      </c>
    </row>
    <row r="26" spans="1:7" outlineLevel="4">
      <c r="A26" s="3" t="s">
        <v>11</v>
      </c>
      <c r="B26" s="9" t="s">
        <v>134</v>
      </c>
      <c r="C26" s="10"/>
      <c r="D26" s="3"/>
      <c r="E26" s="3" t="s">
        <v>135</v>
      </c>
      <c r="F26" s="3" t="s">
        <v>11</v>
      </c>
      <c r="G26" s="3"/>
    </row>
    <row r="27" spans="1:7" outlineLevel="5">
      <c r="A27" s="3" t="s">
        <v>11</v>
      </c>
      <c r="B27" s="3" t="s">
        <v>46</v>
      </c>
      <c r="C27" s="10"/>
      <c r="D27" s="3"/>
      <c r="E27" s="3" t="s">
        <v>136</v>
      </c>
      <c r="F27" s="3" t="s">
        <v>14</v>
      </c>
      <c r="G27" s="3" t="s">
        <v>137</v>
      </c>
    </row>
    <row r="28" spans="1:7" outlineLevel="5">
      <c r="A28" s="3" t="s">
        <v>11</v>
      </c>
      <c r="B28" s="3" t="s">
        <v>82</v>
      </c>
      <c r="C28" s="10"/>
      <c r="D28" s="3"/>
      <c r="E28" s="3" t="s">
        <v>138</v>
      </c>
      <c r="F28" s="3" t="s">
        <v>14</v>
      </c>
      <c r="G28" s="3">
        <v>36.170999999999999</v>
      </c>
    </row>
    <row r="29" spans="1:7" outlineLevel="5">
      <c r="A29" s="3" t="s">
        <v>11</v>
      </c>
      <c r="B29" s="3" t="s">
        <v>46</v>
      </c>
      <c r="C29" s="10"/>
      <c r="D29" s="3"/>
      <c r="E29" s="3" t="s">
        <v>139</v>
      </c>
      <c r="F29" s="3" t="s">
        <v>14</v>
      </c>
      <c r="G29" s="3" t="s">
        <v>140</v>
      </c>
    </row>
    <row r="30" spans="1:7" outlineLevel="5">
      <c r="A30" s="3" t="s">
        <v>14</v>
      </c>
      <c r="B30" s="3" t="s">
        <v>82</v>
      </c>
      <c r="C30" s="10"/>
      <c r="D30" s="3" t="s">
        <v>48</v>
      </c>
      <c r="E30" s="3" t="s">
        <v>141</v>
      </c>
      <c r="F30" s="3" t="s">
        <v>14</v>
      </c>
      <c r="G30" s="3" t="e">
        <f>#REF!</f>
        <v>#REF!</v>
      </c>
    </row>
    <row r="31" spans="1:7" outlineLevel="4">
      <c r="A31" s="3" t="s">
        <v>14</v>
      </c>
      <c r="B31" s="3" t="s">
        <v>82</v>
      </c>
      <c r="C31" s="10"/>
      <c r="D31" s="3" t="s">
        <v>48</v>
      </c>
      <c r="E31" s="3" t="s">
        <v>142</v>
      </c>
      <c r="F31" s="3" t="s">
        <v>14</v>
      </c>
      <c r="G31" s="3" t="e">
        <f>(G30*G28/SUM(G28,#REF!)+#REF!*#REF!/SUM(G28,#REF!))*44/12</f>
        <v>#REF!</v>
      </c>
    </row>
    <row r="32" spans="1:7">
      <c r="A32" s="3" t="s">
        <v>14</v>
      </c>
      <c r="B32" s="3" t="s">
        <v>82</v>
      </c>
      <c r="C32" s="10"/>
      <c r="D32" s="3" t="s">
        <v>48</v>
      </c>
      <c r="E32" s="3" t="s">
        <v>148</v>
      </c>
      <c r="F32" s="3" t="s">
        <v>14</v>
      </c>
      <c r="G32" s="3" t="e">
        <f>((#REF!-G31)*(1/(#REF!-G24)))*G6</f>
        <v>#REF!</v>
      </c>
    </row>
    <row r="33" spans="1:7" ht="45">
      <c r="A33" s="3" t="s">
        <v>14</v>
      </c>
      <c r="B33" s="3" t="s">
        <v>82</v>
      </c>
      <c r="C33" s="10"/>
      <c r="D33" s="3" t="s">
        <v>48</v>
      </c>
      <c r="E33" s="3" t="s">
        <v>149</v>
      </c>
      <c r="F33" s="3" t="s">
        <v>14</v>
      </c>
      <c r="G33" s="3" t="e">
        <f>SUM(G32)</f>
        <v>#REF!</v>
      </c>
    </row>
    <row r="34" spans="1:7" ht="30">
      <c r="A34" s="3" t="s">
        <v>14</v>
      </c>
      <c r="B34" s="3" t="s">
        <v>82</v>
      </c>
      <c r="C34" s="10"/>
      <c r="D34" s="3" t="s">
        <v>48</v>
      </c>
      <c r="E34" s="3" t="s">
        <v>150</v>
      </c>
      <c r="F34" s="3" t="s">
        <v>14</v>
      </c>
      <c r="G34" s="3" t="e">
        <f>G33</f>
        <v>#REF!</v>
      </c>
    </row>
  </sheetData>
  <mergeCells count="3">
    <mergeCell ref="A1:G1"/>
    <mergeCell ref="B2:G2"/>
    <mergeCell ref="B3:G3"/>
  </mergeCells>
  <dataValidations count="3">
    <dataValidation type="list" allowBlank="1" showInputMessage="1" showErrorMessage="1" sqref="A5:A6 F5:F6 A24:A34 A10:A21 F10:F21 F24:F34" xr:uid="{758E2BA0-FBB9-4EFB-91BE-E2E9E0E402E4}">
      <formula1>"Yes,No"</formula1>
    </dataValidation>
    <dataValidation allowBlank="1" showInputMessage="1" showErrorMessage="1" sqref="G5:G6 G10:G21 G24:G34" xr:uid="{56BF358E-EEAF-4DFC-BFF5-81E08E26FE7A}"/>
    <dataValidation type="list" allowBlank="1" showInputMessage="1" showErrorMessage="1" sqref="B3:G3" xr:uid="{3A38BA04-6088-463A-A786-1F1BFFF68AAB}">
      <formula1>"Verifiable Credentials,Encrypted Verifiable Credential,Sub-Schema"</formula1>
    </dataValidation>
  </dataValidations>
  <hyperlinks>
    <hyperlink ref="B9" location="QA1_CO2_SOC_Input_Year_t!A1" display="QA1_CO2_SOC_Input_Year_t" xr:uid="{82675CE9-8966-46E2-B57D-9074B1CBB5E1}"/>
    <hyperlink ref="B12" location="QA1_CO2_SOC_Input_Stratum_ID!A1" display="QA1_CO2_SOC_Input_Stratum_ID" xr:uid="{F1975C83-8714-4C1E-9BBA-EA1341B11110}"/>
    <hyperlink ref="B23" location="QA1_CO2_SOC_Input_Year_t!A1" display="QA1_CO2_SOC_Input_Year_t" xr:uid="{3DAB18FD-38A5-4087-ADBA-2DE231168940}"/>
    <hyperlink ref="B26" location="QA1_CO2_SOC_Input_Stratum_ID!A1" display="QA1_CO2_SOC_Input_Stratum_ID" xr:uid="{3893808A-16B3-4FCF-8085-980AB330BD1B}"/>
    <hyperlink ref="B21" location="QA1_CO2_SOC_Project!A1" display="QA1_CO2_SOC_Project" xr:uid="{2BA6CD0B-7C41-4F59-AA2B-43E2C024CDD9}"/>
    <hyperlink ref="B7" location="QA1_CO2_SOC_Baseline!A1" display="QA1_CO2_SOC_Baseline" xr:uid="{9D6A31D6-9CB2-4C0B-9D31-8D852E67C671}"/>
  </hyperlinks>
  <pageMargins left="0.7" right="0.7" top="0.75" bottom="0.75" header="0.3" footer="0.3"/>
  <pageSetup orientation="portrait" horizontalDpi="4294967295" verticalDpi="4294967295"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5E27-49D4-4622-BE23-8CC82CF2575D}">
  <sheetPr codeName="Sheet31">
    <tabColor rgb="FF0070C0"/>
    <outlinePr summaryBelow="0" summaryRight="0"/>
  </sheetPr>
  <dimension ref="A1:G14"/>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127</v>
      </c>
      <c r="B1" s="32"/>
      <c r="C1" s="32"/>
      <c r="D1" s="32"/>
      <c r="E1" s="32"/>
      <c r="F1" s="32"/>
      <c r="G1" s="32"/>
    </row>
    <row r="2" spans="1:7" ht="18.75">
      <c r="A2" s="1" t="s">
        <v>1</v>
      </c>
      <c r="B2" s="33" t="s">
        <v>677</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60">
      <c r="A5" s="3" t="s">
        <v>14</v>
      </c>
      <c r="B5" s="3" t="s">
        <v>44</v>
      </c>
      <c r="C5" s="10"/>
      <c r="D5" s="3"/>
      <c r="E5" s="3" t="s">
        <v>129</v>
      </c>
      <c r="F5" s="3" t="s">
        <v>14</v>
      </c>
      <c r="G5" s="3"/>
    </row>
    <row r="6" spans="1:7">
      <c r="A6" s="3" t="s">
        <v>11</v>
      </c>
      <c r="B6" s="9" t="s">
        <v>130</v>
      </c>
      <c r="C6" s="10"/>
      <c r="D6" s="3"/>
      <c r="E6" s="3" t="s">
        <v>131</v>
      </c>
      <c r="F6" s="3" t="s">
        <v>11</v>
      </c>
      <c r="G6" s="3"/>
    </row>
    <row r="7" spans="1:7" outlineLevel="1">
      <c r="A7" s="3" t="s">
        <v>11</v>
      </c>
      <c r="B7" s="3" t="s">
        <v>82</v>
      </c>
      <c r="C7" s="10"/>
      <c r="D7" s="3"/>
      <c r="E7" s="3" t="s">
        <v>132</v>
      </c>
      <c r="F7" s="3" t="s">
        <v>14</v>
      </c>
      <c r="G7" s="3">
        <v>0</v>
      </c>
    </row>
    <row r="8" spans="1:7" outlineLevel="1">
      <c r="A8" s="3" t="s">
        <v>11</v>
      </c>
      <c r="B8" s="3" t="s">
        <v>46</v>
      </c>
      <c r="C8" s="10"/>
      <c r="D8" s="3"/>
      <c r="E8" s="3" t="s">
        <v>133</v>
      </c>
      <c r="F8" s="3" t="s">
        <v>14</v>
      </c>
      <c r="G8" s="3">
        <v>1704871</v>
      </c>
    </row>
    <row r="9" spans="1:7" outlineLevel="1">
      <c r="A9" s="3" t="s">
        <v>11</v>
      </c>
      <c r="B9" s="9" t="s">
        <v>134</v>
      </c>
      <c r="C9" s="10"/>
      <c r="D9" s="3"/>
      <c r="E9" s="3" t="s">
        <v>135</v>
      </c>
      <c r="F9" s="3" t="s">
        <v>11</v>
      </c>
      <c r="G9" s="3"/>
    </row>
    <row r="10" spans="1:7" outlineLevel="2">
      <c r="A10" s="3" t="s">
        <v>11</v>
      </c>
      <c r="B10" s="3" t="s">
        <v>46</v>
      </c>
      <c r="C10" s="10"/>
      <c r="D10" s="3"/>
      <c r="E10" s="3" t="s">
        <v>136</v>
      </c>
      <c r="F10" s="3" t="s">
        <v>14</v>
      </c>
      <c r="G10" s="3" t="s">
        <v>137</v>
      </c>
    </row>
    <row r="11" spans="1:7" outlineLevel="2">
      <c r="A11" s="3" t="s">
        <v>11</v>
      </c>
      <c r="B11" s="3" t="s">
        <v>82</v>
      </c>
      <c r="C11" s="10"/>
      <c r="D11" s="3"/>
      <c r="E11" s="3" t="s">
        <v>138</v>
      </c>
      <c r="F11" s="3" t="s">
        <v>14</v>
      </c>
      <c r="G11" s="3">
        <v>36.170999999999999</v>
      </c>
    </row>
    <row r="12" spans="1:7" outlineLevel="2">
      <c r="A12" s="3" t="s">
        <v>11</v>
      </c>
      <c r="B12" s="3" t="s">
        <v>46</v>
      </c>
      <c r="C12" s="10"/>
      <c r="D12" s="3"/>
      <c r="E12" s="3" t="s">
        <v>139</v>
      </c>
      <c r="F12" s="3" t="s">
        <v>14</v>
      </c>
      <c r="G12" s="3" t="s">
        <v>140</v>
      </c>
    </row>
    <row r="13" spans="1:7" outlineLevel="2">
      <c r="A13" s="3" t="s">
        <v>14</v>
      </c>
      <c r="B13" s="3" t="s">
        <v>82</v>
      </c>
      <c r="C13" s="10"/>
      <c r="D13" s="3" t="s">
        <v>48</v>
      </c>
      <c r="E13" s="3" t="s">
        <v>141</v>
      </c>
      <c r="F13" s="3" t="s">
        <v>14</v>
      </c>
      <c r="G13" s="3" t="e">
        <f>#REF!</f>
        <v>#REF!</v>
      </c>
    </row>
    <row r="14" spans="1:7" ht="17.25" customHeight="1" outlineLevel="1">
      <c r="A14" s="3" t="s">
        <v>14</v>
      </c>
      <c r="B14" s="3" t="s">
        <v>82</v>
      </c>
      <c r="C14" s="10"/>
      <c r="D14" s="3" t="s">
        <v>48</v>
      </c>
      <c r="E14" s="3" t="s">
        <v>142</v>
      </c>
      <c r="F14" s="3" t="s">
        <v>14</v>
      </c>
      <c r="G14" s="3" t="e">
        <f>(G13*G11/SUM(G11,#REF!)+#REF!*#REF!/SUM(G11,#REF!))*44/12</f>
        <v>#REF!</v>
      </c>
    </row>
  </sheetData>
  <mergeCells count="3">
    <mergeCell ref="A1:G1"/>
    <mergeCell ref="B2:G2"/>
    <mergeCell ref="B3:G3"/>
  </mergeCells>
  <dataValidations count="3">
    <dataValidation allowBlank="1" showInputMessage="1" showErrorMessage="1" sqref="G7:G14" xr:uid="{F0E4F332-5B1B-4A37-9E8A-51E4861E22BD}"/>
    <dataValidation type="list" allowBlank="1" showInputMessage="1" showErrorMessage="1" sqref="A7:A14 F7:F14" xr:uid="{C08D1868-9740-49E2-A6E0-D133EBE789E7}">
      <formula1>"Yes,No"</formula1>
    </dataValidation>
    <dataValidation type="list" allowBlank="1" showInputMessage="1" showErrorMessage="1" sqref="B3:G3" xr:uid="{C7E8DAB8-3580-43B0-9421-28FE16D6E482}">
      <formula1>"Verifiable Credentials,Encrypted Verifiable Credential,Sub-Schema"</formula1>
    </dataValidation>
  </dataValidations>
  <hyperlinks>
    <hyperlink ref="B6" location="QA1_CO2_SOC_Input_Year_t!A1" display="QA1_CO2_SOC_Input_Year_t" xr:uid="{BB7E9AD2-E68B-443B-A8EF-271CB62B5C85}"/>
    <hyperlink ref="B9" location="QA1_CO2_SOC_Input_Stratum_ID!A1" display="QA1_CO2_SOC_Input_Stratum_ID" xr:uid="{5C58ADCA-E282-4771-92B2-F23CEC1B94F1}"/>
  </hyperlinks>
  <pageMargins left="0.7" right="0.7" top="0.75" bottom="0.75" header="0.3" footer="0.3"/>
  <pageSetup orientation="portrait" horizontalDpi="4294967295" verticalDpi="4294967295"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FB2EC-7682-4419-BAE2-33D4B364D760}">
  <sheetPr codeName="Sheet32">
    <tabColor rgb="FF0070C0"/>
    <outlinePr summaryBelow="0" summaryRight="0"/>
  </sheetPr>
  <dimension ref="A1:G14"/>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146</v>
      </c>
      <c r="B1" s="32"/>
      <c r="C1" s="32"/>
      <c r="D1" s="32"/>
      <c r="E1" s="32"/>
      <c r="F1" s="32"/>
      <c r="G1" s="32"/>
    </row>
    <row r="2" spans="1:7" ht="18.75">
      <c r="A2" s="1" t="s">
        <v>1</v>
      </c>
      <c r="B2" s="33" t="s">
        <v>678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60">
      <c r="A5" s="3" t="s">
        <v>14</v>
      </c>
      <c r="B5" s="3" t="s">
        <v>44</v>
      </c>
      <c r="C5" s="10"/>
      <c r="D5" s="3"/>
      <c r="E5" s="3" t="s">
        <v>129</v>
      </c>
      <c r="F5" s="3" t="s">
        <v>14</v>
      </c>
      <c r="G5" s="3"/>
    </row>
    <row r="6" spans="1:7">
      <c r="A6" s="3" t="s">
        <v>11</v>
      </c>
      <c r="B6" s="9" t="s">
        <v>130</v>
      </c>
      <c r="C6" s="10"/>
      <c r="D6" s="3"/>
      <c r="E6" s="3" t="s">
        <v>131</v>
      </c>
      <c r="F6" s="3" t="s">
        <v>11</v>
      </c>
      <c r="G6" s="3"/>
    </row>
    <row r="7" spans="1:7" outlineLevel="1">
      <c r="A7" s="3" t="s">
        <v>11</v>
      </c>
      <c r="B7" s="3" t="s">
        <v>82</v>
      </c>
      <c r="C7" s="10"/>
      <c r="D7" s="3"/>
      <c r="E7" s="3" t="s">
        <v>132</v>
      </c>
      <c r="F7" s="3" t="s">
        <v>14</v>
      </c>
      <c r="G7" s="3">
        <v>0</v>
      </c>
    </row>
    <row r="8" spans="1:7" outlineLevel="1">
      <c r="A8" s="3" t="s">
        <v>11</v>
      </c>
      <c r="B8" s="3" t="s">
        <v>46</v>
      </c>
      <c r="C8" s="10"/>
      <c r="D8" s="3"/>
      <c r="E8" s="3" t="s">
        <v>133</v>
      </c>
      <c r="F8" s="3" t="s">
        <v>14</v>
      </c>
      <c r="G8" s="3">
        <v>1704871</v>
      </c>
    </row>
    <row r="9" spans="1:7" outlineLevel="1">
      <c r="A9" s="3" t="s">
        <v>11</v>
      </c>
      <c r="B9" s="9" t="s">
        <v>134</v>
      </c>
      <c r="C9" s="10"/>
      <c r="D9" s="3"/>
      <c r="E9" s="3" t="s">
        <v>135</v>
      </c>
      <c r="F9" s="3" t="s">
        <v>11</v>
      </c>
      <c r="G9" s="3"/>
    </row>
    <row r="10" spans="1:7" outlineLevel="2">
      <c r="A10" s="3" t="s">
        <v>11</v>
      </c>
      <c r="B10" s="3" t="s">
        <v>46</v>
      </c>
      <c r="C10" s="10"/>
      <c r="D10" s="3"/>
      <c r="E10" s="3" t="s">
        <v>136</v>
      </c>
      <c r="F10" s="3" t="s">
        <v>14</v>
      </c>
      <c r="G10" s="3" t="s">
        <v>137</v>
      </c>
    </row>
    <row r="11" spans="1:7" outlineLevel="2">
      <c r="A11" s="3" t="s">
        <v>11</v>
      </c>
      <c r="B11" s="3" t="s">
        <v>82</v>
      </c>
      <c r="C11" s="10"/>
      <c r="D11" s="3"/>
      <c r="E11" s="3" t="s">
        <v>138</v>
      </c>
      <c r="F11" s="3" t="s">
        <v>14</v>
      </c>
      <c r="G11" s="3">
        <v>36.170999999999999</v>
      </c>
    </row>
    <row r="12" spans="1:7" outlineLevel="2">
      <c r="A12" s="3" t="s">
        <v>11</v>
      </c>
      <c r="B12" s="3" t="s">
        <v>46</v>
      </c>
      <c r="C12" s="10"/>
      <c r="D12" s="3"/>
      <c r="E12" s="3" t="s">
        <v>139</v>
      </c>
      <c r="F12" s="3" t="s">
        <v>14</v>
      </c>
      <c r="G12" s="3" t="s">
        <v>140</v>
      </c>
    </row>
    <row r="13" spans="1:7" outlineLevel="2">
      <c r="A13" s="3" t="s">
        <v>14</v>
      </c>
      <c r="B13" s="3" t="s">
        <v>82</v>
      </c>
      <c r="C13" s="10"/>
      <c r="D13" s="3" t="s">
        <v>48</v>
      </c>
      <c r="E13" s="3" t="s">
        <v>141</v>
      </c>
      <c r="F13" s="3" t="s">
        <v>14</v>
      </c>
      <c r="G13" s="3" t="e">
        <f>#REF!</f>
        <v>#REF!</v>
      </c>
    </row>
    <row r="14" spans="1:7" outlineLevel="1">
      <c r="A14" s="3" t="s">
        <v>14</v>
      </c>
      <c r="B14" s="3" t="s">
        <v>82</v>
      </c>
      <c r="C14" s="10"/>
      <c r="D14" s="3" t="s">
        <v>48</v>
      </c>
      <c r="E14" s="3" t="s">
        <v>142</v>
      </c>
      <c r="F14" s="3" t="s">
        <v>14</v>
      </c>
      <c r="G14" s="3" t="e">
        <f>(G13*G11/SUM(G11,#REF!)+#REF!*#REF!/SUM(G11,#REF!))*44/12</f>
        <v>#REF!</v>
      </c>
    </row>
  </sheetData>
  <mergeCells count="3">
    <mergeCell ref="A1:G1"/>
    <mergeCell ref="B2:G2"/>
    <mergeCell ref="B3:G3"/>
  </mergeCells>
  <dataValidations count="3">
    <dataValidation allowBlank="1" showInputMessage="1" showErrorMessage="1" sqref="G7:G14" xr:uid="{146FF85A-0AD8-4CFA-A06D-BEE770B2924F}"/>
    <dataValidation type="list" allowBlank="1" showInputMessage="1" showErrorMessage="1" sqref="A7:A14 F7:F14" xr:uid="{578C9E95-1F91-4219-9E80-84575AFCFE55}">
      <formula1>"Yes,No"</formula1>
    </dataValidation>
    <dataValidation type="list" allowBlank="1" showInputMessage="1" showErrorMessage="1" sqref="B3:G3" xr:uid="{7C7E8A6F-892B-4A8F-B2DA-1308830FC5E7}">
      <formula1>"Verifiable Credentials,Encrypted Verifiable Credential,Sub-Schema"</formula1>
    </dataValidation>
  </dataValidations>
  <hyperlinks>
    <hyperlink ref="B6" location="QA1_CO2_SOC_Input_Year_t!A1" display="QA1_CO2_SOC_Input_Year_t" xr:uid="{26E31AC1-3F31-401B-B3C2-0C4C7C7B1D9E}"/>
    <hyperlink ref="B9" location="QA1_CO2_SOC_Input_Stratum_ID!A1" display="QA1_CO2_SOC_Input_Stratum_ID" xr:uid="{33D24094-9482-42B3-98CC-625C10CCCDC1}"/>
  </hyperlinks>
  <pageMargins left="0.7" right="0.7" top="0.75" bottom="0.75" header="0.3" footer="0.3"/>
  <pageSetup orientation="portrait" horizontalDpi="4294967295" verticalDpi="4294967295"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2064-8B6E-41FF-B1FA-DBF53485C6B3}">
  <sheetPr codeName="Sheet33">
    <tabColor rgb="FF0070C0"/>
    <outlinePr summaryBelow="0" summaryRight="0"/>
  </sheetPr>
  <dimension ref="A1:G12"/>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130</v>
      </c>
      <c r="B1" s="32"/>
      <c r="C1" s="32"/>
      <c r="D1" s="32"/>
      <c r="E1" s="32"/>
      <c r="F1" s="32"/>
      <c r="G1" s="32"/>
    </row>
    <row r="2" spans="1:7" ht="18.75">
      <c r="A2" s="1" t="s">
        <v>1</v>
      </c>
      <c r="B2" s="33" t="s">
        <v>679</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82</v>
      </c>
      <c r="C5" s="10"/>
      <c r="D5" s="3"/>
      <c r="E5" s="3" t="s">
        <v>132</v>
      </c>
      <c r="F5" s="3" t="s">
        <v>14</v>
      </c>
      <c r="G5" s="3">
        <v>0</v>
      </c>
    </row>
    <row r="6" spans="1:7">
      <c r="A6" s="3" t="s">
        <v>11</v>
      </c>
      <c r="B6" s="3" t="s">
        <v>46</v>
      </c>
      <c r="C6" s="10"/>
      <c r="D6" s="3"/>
      <c r="E6" s="3" t="s">
        <v>133</v>
      </c>
      <c r="F6" s="3" t="s">
        <v>14</v>
      </c>
      <c r="G6" s="3">
        <v>1704871</v>
      </c>
    </row>
    <row r="7" spans="1:7">
      <c r="A7" s="3" t="s">
        <v>11</v>
      </c>
      <c r="B7" s="9" t="s">
        <v>134</v>
      </c>
      <c r="C7" s="10"/>
      <c r="D7" s="3"/>
      <c r="E7" s="3" t="s">
        <v>135</v>
      </c>
      <c r="F7" s="3" t="s">
        <v>11</v>
      </c>
      <c r="G7" s="3"/>
    </row>
    <row r="8" spans="1:7" outlineLevel="1">
      <c r="A8" s="3" t="s">
        <v>11</v>
      </c>
      <c r="B8" s="3" t="s">
        <v>46</v>
      </c>
      <c r="C8" s="10"/>
      <c r="D8" s="3"/>
      <c r="E8" s="3" t="s">
        <v>136</v>
      </c>
      <c r="F8" s="3" t="s">
        <v>14</v>
      </c>
      <c r="G8" s="3" t="s">
        <v>137</v>
      </c>
    </row>
    <row r="9" spans="1:7" outlineLevel="1">
      <c r="A9" s="3" t="s">
        <v>11</v>
      </c>
      <c r="B9" s="3" t="s">
        <v>82</v>
      </c>
      <c r="C9" s="10"/>
      <c r="D9" s="3"/>
      <c r="E9" s="3" t="s">
        <v>138</v>
      </c>
      <c r="F9" s="3" t="s">
        <v>14</v>
      </c>
      <c r="G9" s="3">
        <v>36.170999999999999</v>
      </c>
    </row>
    <row r="10" spans="1:7" outlineLevel="1">
      <c r="A10" s="3" t="s">
        <v>11</v>
      </c>
      <c r="B10" s="3" t="s">
        <v>46</v>
      </c>
      <c r="C10" s="10"/>
      <c r="D10" s="3"/>
      <c r="E10" s="3" t="s">
        <v>139</v>
      </c>
      <c r="F10" s="3" t="s">
        <v>14</v>
      </c>
      <c r="G10" s="3" t="s">
        <v>140</v>
      </c>
    </row>
    <row r="11" spans="1:7" outlineLevel="1">
      <c r="A11" s="3" t="s">
        <v>14</v>
      </c>
      <c r="B11" s="3" t="s">
        <v>82</v>
      </c>
      <c r="C11" s="10"/>
      <c r="D11" s="3" t="s">
        <v>48</v>
      </c>
      <c r="E11" s="3" t="s">
        <v>141</v>
      </c>
      <c r="F11" s="3" t="s">
        <v>14</v>
      </c>
      <c r="G11" s="3" t="e">
        <f>#REF!</f>
        <v>#REF!</v>
      </c>
    </row>
    <row r="12" spans="1:7" ht="17.25" customHeight="1">
      <c r="A12" s="3" t="s">
        <v>14</v>
      </c>
      <c r="B12" s="3" t="s">
        <v>82</v>
      </c>
      <c r="C12" s="10"/>
      <c r="D12" s="3" t="s">
        <v>48</v>
      </c>
      <c r="E12" s="3" t="s">
        <v>142</v>
      </c>
      <c r="F12" s="3" t="s">
        <v>14</v>
      </c>
      <c r="G12" s="3" t="e">
        <f>(G11*G9/SUM(G9,#REF!)+#REF!*#REF!/SUM(G9,#REF!))*44/12</f>
        <v>#REF!</v>
      </c>
    </row>
  </sheetData>
  <mergeCells count="3">
    <mergeCell ref="A1:G1"/>
    <mergeCell ref="B2:G2"/>
    <mergeCell ref="B3:G3"/>
  </mergeCells>
  <dataValidations count="3">
    <dataValidation type="list" allowBlank="1" showInputMessage="1" showErrorMessage="1" sqref="A5:A12 F5:F12" xr:uid="{B6DF4C22-C49A-4EF0-A6C5-37A91E213455}">
      <formula1>"Yes,No"</formula1>
    </dataValidation>
    <dataValidation allowBlank="1" showInputMessage="1" showErrorMessage="1" sqref="G5:G12" xr:uid="{AC580A9A-A606-4167-9C35-FAFA09B821A7}"/>
    <dataValidation type="list" allowBlank="1" showInputMessage="1" showErrorMessage="1" sqref="B3:G3" xr:uid="{99A39DC2-822F-4217-A9EC-3AA8271D13ED}">
      <formula1>"Verifiable Credentials,Encrypted Verifiable Credential,Sub-Schema"</formula1>
    </dataValidation>
  </dataValidations>
  <hyperlinks>
    <hyperlink ref="B7" location="QA1_CO2_SOC_Input_Stratum_ID!A1" display="QA1_CO2_SOC_Input_Stratum_ID" xr:uid="{E0B05281-2F72-42A1-8A31-DAA867A9B6FC}"/>
  </hyperlinks>
  <pageMargins left="0.7" right="0.7" top="0.75" bottom="0.75" header="0.3" footer="0.3"/>
  <pageSetup orientation="portrait" horizontalDpi="4294967295" verticalDpi="4294967295"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F9A4-506E-4482-96B5-153E316342D0}">
  <sheetPr codeName="Sheet34">
    <tabColor rgb="FF0070C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134</v>
      </c>
      <c r="B1" s="32"/>
      <c r="C1" s="32"/>
      <c r="D1" s="32"/>
      <c r="E1" s="32"/>
      <c r="F1" s="32"/>
      <c r="G1" s="32"/>
    </row>
    <row r="2" spans="1:7" ht="18.75">
      <c r="A2" s="1" t="s">
        <v>1</v>
      </c>
      <c r="B2" s="33" t="s">
        <v>680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10"/>
      <c r="D5" s="3"/>
      <c r="E5" s="3" t="s">
        <v>136</v>
      </c>
      <c r="F5" s="3" t="s">
        <v>14</v>
      </c>
      <c r="G5" s="3" t="s">
        <v>137</v>
      </c>
    </row>
    <row r="6" spans="1:7">
      <c r="A6" s="3" t="s">
        <v>11</v>
      </c>
      <c r="B6" s="3" t="s">
        <v>82</v>
      </c>
      <c r="C6" s="10"/>
      <c r="D6" s="3"/>
      <c r="E6" s="3" t="s">
        <v>138</v>
      </c>
      <c r="F6" s="3" t="s">
        <v>14</v>
      </c>
      <c r="G6" s="3">
        <v>36.170999999999999</v>
      </c>
    </row>
    <row r="7" spans="1:7">
      <c r="A7" s="3" t="s">
        <v>11</v>
      </c>
      <c r="B7" s="3" t="s">
        <v>46</v>
      </c>
      <c r="C7" s="10"/>
      <c r="D7" s="3"/>
      <c r="E7" s="3" t="s">
        <v>139</v>
      </c>
      <c r="F7" s="3" t="s">
        <v>14</v>
      </c>
      <c r="G7" s="3" t="s">
        <v>140</v>
      </c>
    </row>
    <row r="8" spans="1:7">
      <c r="A8" s="3" t="s">
        <v>14</v>
      </c>
      <c r="B8" s="3" t="s">
        <v>82</v>
      </c>
      <c r="C8" s="10"/>
      <c r="D8" s="3" t="s">
        <v>48</v>
      </c>
      <c r="E8" s="3" t="s">
        <v>141</v>
      </c>
      <c r="F8" s="3" t="s">
        <v>14</v>
      </c>
      <c r="G8" s="3" t="e">
        <f>#REF!</f>
        <v>#REF!</v>
      </c>
    </row>
  </sheetData>
  <mergeCells count="3">
    <mergeCell ref="A1:G1"/>
    <mergeCell ref="B2:G2"/>
    <mergeCell ref="B3:G3"/>
  </mergeCells>
  <dataValidations count="3">
    <dataValidation type="list" allowBlank="1" showInputMessage="1" showErrorMessage="1" sqref="F5:F8 A5:A8" xr:uid="{45FF8BF3-B766-4387-AB92-1ACE346168E7}">
      <formula1>"Yes,No"</formula1>
    </dataValidation>
    <dataValidation allowBlank="1" showInputMessage="1" showErrorMessage="1" sqref="G5:G8" xr:uid="{331F54BB-74C8-499E-AE47-DA1B2A636531}"/>
    <dataValidation type="list" allowBlank="1" showInputMessage="1" showErrorMessage="1" sqref="B3:G3" xr:uid="{58382108-00AD-4B07-8263-F3ADAAC0A6B2}">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B982-6CEA-4048-9FE6-7D1811CB04B0}">
  <sheetPr codeName="Sheet35">
    <tabColor rgb="FF92D050"/>
    <outlinePr summaryBelow="0" summaryRight="0"/>
  </sheetPr>
  <dimension ref="A1:G34"/>
  <sheetViews>
    <sheetView workbookViewId="0">
      <selection activeCell="E6" sqref="E1:E1048576"/>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154</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156</v>
      </c>
      <c r="C5" s="10"/>
      <c r="D5" s="3"/>
      <c r="E5" s="3" t="s">
        <v>157</v>
      </c>
      <c r="F5" s="3" t="s">
        <v>11</v>
      </c>
      <c r="G5" s="3"/>
    </row>
    <row r="6" spans="1:7" outlineLevel="2">
      <c r="A6" s="3" t="s">
        <v>11</v>
      </c>
      <c r="B6" s="3" t="s">
        <v>46</v>
      </c>
      <c r="C6" s="10"/>
      <c r="D6" s="3"/>
      <c r="E6" s="3" t="s">
        <v>88</v>
      </c>
      <c r="F6" s="3" t="s">
        <v>14</v>
      </c>
      <c r="G6" s="3" t="s">
        <v>89</v>
      </c>
    </row>
    <row r="7" spans="1:7" outlineLevel="2">
      <c r="A7" s="3" t="s">
        <v>11</v>
      </c>
      <c r="B7" s="3" t="s">
        <v>82</v>
      </c>
      <c r="C7" s="10"/>
      <c r="D7" s="3"/>
      <c r="E7" s="3" t="s">
        <v>90</v>
      </c>
      <c r="F7" s="3" t="s">
        <v>14</v>
      </c>
      <c r="G7" s="3">
        <v>1148.7226376613501</v>
      </c>
    </row>
    <row r="8" spans="1:7" outlineLevel="1">
      <c r="A8" s="3" t="s">
        <v>11</v>
      </c>
      <c r="B8" s="9" t="s">
        <v>158</v>
      </c>
      <c r="C8" s="10"/>
      <c r="D8" s="3"/>
      <c r="E8" s="3" t="s">
        <v>159</v>
      </c>
      <c r="F8" s="3" t="s">
        <v>14</v>
      </c>
      <c r="G8" s="3"/>
    </row>
    <row r="9" spans="1:7" ht="60" outlineLevel="2">
      <c r="A9" s="3" t="s">
        <v>14</v>
      </c>
      <c r="B9" s="3" t="s">
        <v>44</v>
      </c>
      <c r="C9" s="10"/>
      <c r="D9" s="3"/>
      <c r="E9" s="3" t="s">
        <v>160</v>
      </c>
      <c r="F9" s="3" t="s">
        <v>14</v>
      </c>
      <c r="G9" s="3"/>
    </row>
    <row r="10" spans="1:7" outlineLevel="4">
      <c r="A10" s="3" t="s">
        <v>11</v>
      </c>
      <c r="B10" s="9" t="s">
        <v>161</v>
      </c>
      <c r="C10" s="10"/>
      <c r="D10" s="3"/>
      <c r="E10" s="3" t="s">
        <v>162</v>
      </c>
      <c r="F10" s="3" t="s">
        <v>11</v>
      </c>
      <c r="G10" s="3"/>
    </row>
    <row r="11" spans="1:7" outlineLevel="5">
      <c r="A11" s="3" t="s">
        <v>11</v>
      </c>
      <c r="B11" s="3" t="s">
        <v>82</v>
      </c>
      <c r="C11" s="10"/>
      <c r="D11" s="3"/>
      <c r="E11" s="3" t="s">
        <v>132</v>
      </c>
      <c r="F11" s="3" t="s">
        <v>14</v>
      </c>
      <c r="G11" s="3">
        <v>0</v>
      </c>
    </row>
    <row r="12" spans="1:7" outlineLevel="5">
      <c r="A12" s="3" t="s">
        <v>11</v>
      </c>
      <c r="B12" s="3" t="s">
        <v>46</v>
      </c>
      <c r="C12" s="10"/>
      <c r="D12" s="3"/>
      <c r="E12" s="3" t="s">
        <v>133</v>
      </c>
      <c r="F12" s="3" t="s">
        <v>14</v>
      </c>
      <c r="G12" s="3">
        <v>1704871</v>
      </c>
    </row>
    <row r="13" spans="1:7" outlineLevel="5">
      <c r="A13" s="3" t="s">
        <v>11</v>
      </c>
      <c r="B13" s="9" t="s">
        <v>163</v>
      </c>
      <c r="C13" s="10"/>
      <c r="D13" s="3"/>
      <c r="E13" s="3" t="s">
        <v>164</v>
      </c>
      <c r="F13" s="3" t="s">
        <v>11</v>
      </c>
      <c r="G13" s="3"/>
    </row>
    <row r="14" spans="1:7" outlineLevel="5">
      <c r="A14" s="3" t="s">
        <v>11</v>
      </c>
      <c r="B14" s="3" t="s">
        <v>46</v>
      </c>
      <c r="C14" s="10"/>
      <c r="D14" s="3"/>
      <c r="E14" s="3" t="s">
        <v>136</v>
      </c>
      <c r="F14" s="3" t="s">
        <v>14</v>
      </c>
      <c r="G14" s="3" t="s">
        <v>137</v>
      </c>
    </row>
    <row r="15" spans="1:7" outlineLevel="5">
      <c r="A15" s="3" t="s">
        <v>11</v>
      </c>
      <c r="B15" s="3" t="s">
        <v>82</v>
      </c>
      <c r="C15" s="10"/>
      <c r="D15" s="3"/>
      <c r="E15" s="3" t="s">
        <v>138</v>
      </c>
      <c r="F15" s="3" t="s">
        <v>14</v>
      </c>
      <c r="G15" s="3">
        <v>36.170999999999999</v>
      </c>
    </row>
    <row r="16" spans="1:7" outlineLevel="5">
      <c r="A16" s="3" t="s">
        <v>11</v>
      </c>
      <c r="B16" s="3" t="s">
        <v>46</v>
      </c>
      <c r="C16" s="10"/>
      <c r="D16" s="3"/>
      <c r="E16" s="3" t="s">
        <v>139</v>
      </c>
      <c r="F16" s="3" t="s">
        <v>14</v>
      </c>
      <c r="G16" s="3" t="s">
        <v>140</v>
      </c>
    </row>
    <row r="17" spans="1:7" outlineLevel="5">
      <c r="A17" s="3" t="s">
        <v>14</v>
      </c>
      <c r="B17" s="3" t="s">
        <v>82</v>
      </c>
      <c r="C17" s="10"/>
      <c r="D17" s="3" t="s">
        <v>48</v>
      </c>
      <c r="E17" s="3" t="s">
        <v>141</v>
      </c>
      <c r="F17" s="3" t="s">
        <v>14</v>
      </c>
      <c r="G17" s="3" t="e">
        <f>#REF!</f>
        <v>#REF!</v>
      </c>
    </row>
    <row r="18" spans="1:7" ht="17.25" customHeight="1" outlineLevel="5">
      <c r="A18" s="3" t="s">
        <v>14</v>
      </c>
      <c r="B18" s="3" t="s">
        <v>82</v>
      </c>
      <c r="C18" s="10"/>
      <c r="D18" s="3" t="s">
        <v>48</v>
      </c>
      <c r="E18" s="3" t="s">
        <v>142</v>
      </c>
      <c r="F18" s="3" t="s">
        <v>14</v>
      </c>
      <c r="G18" s="3" t="e">
        <f>(G17*G15/SUM(G15,#REF!)+#REF!*#REF!/SUM(G15,#REF!))*44/12</f>
        <v>#REF!</v>
      </c>
    </row>
    <row r="19" spans="1:7" outlineLevel="1">
      <c r="A19" s="3" t="s">
        <v>14</v>
      </c>
      <c r="B19" s="3" t="s">
        <v>82</v>
      </c>
      <c r="C19" s="10"/>
      <c r="D19" s="3" t="s">
        <v>48</v>
      </c>
      <c r="E19" s="3" t="s">
        <v>143</v>
      </c>
      <c r="F19" s="3" t="s">
        <v>14</v>
      </c>
      <c r="G19" s="3" t="e">
        <f>((#REF!-G18)*(1/(#REF!-G11)))*G7</f>
        <v>#REF!</v>
      </c>
    </row>
    <row r="20" spans="1:7" outlineLevel="1">
      <c r="A20" s="3" t="s">
        <v>11</v>
      </c>
      <c r="B20" s="9" t="s">
        <v>165</v>
      </c>
      <c r="C20" s="10"/>
      <c r="D20" s="3" t="s">
        <v>48</v>
      </c>
      <c r="E20" s="3" t="s">
        <v>166</v>
      </c>
      <c r="F20" s="3" t="s">
        <v>14</v>
      </c>
      <c r="G20" s="3" t="e">
        <f>#REF!</f>
        <v>#REF!</v>
      </c>
    </row>
    <row r="21" spans="1:7" ht="60" outlineLevel="2">
      <c r="A21" s="3" t="s">
        <v>14</v>
      </c>
      <c r="B21" s="3" t="s">
        <v>44</v>
      </c>
      <c r="C21" s="10"/>
      <c r="D21" s="3"/>
      <c r="E21" s="3" t="s">
        <v>160</v>
      </c>
      <c r="F21" s="3" t="s">
        <v>14</v>
      </c>
      <c r="G21" s="3"/>
    </row>
    <row r="22" spans="1:7" outlineLevel="4">
      <c r="A22" s="3" t="s">
        <v>11</v>
      </c>
      <c r="B22" s="9" t="s">
        <v>161</v>
      </c>
      <c r="C22" s="10"/>
      <c r="D22" s="3"/>
      <c r="E22" s="3" t="s">
        <v>162</v>
      </c>
      <c r="F22" s="3" t="s">
        <v>11</v>
      </c>
      <c r="G22" s="3"/>
    </row>
    <row r="23" spans="1:7" outlineLevel="5">
      <c r="A23" s="3" t="s">
        <v>11</v>
      </c>
      <c r="B23" s="3" t="s">
        <v>82</v>
      </c>
      <c r="C23" s="10"/>
      <c r="D23" s="3"/>
      <c r="E23" s="3" t="s">
        <v>132</v>
      </c>
      <c r="F23" s="3" t="s">
        <v>14</v>
      </c>
      <c r="G23" s="3">
        <v>0</v>
      </c>
    </row>
    <row r="24" spans="1:7" outlineLevel="5">
      <c r="A24" s="3" t="s">
        <v>11</v>
      </c>
      <c r="B24" s="3" t="s">
        <v>46</v>
      </c>
      <c r="C24" s="10"/>
      <c r="D24" s="3"/>
      <c r="E24" s="3" t="s">
        <v>133</v>
      </c>
      <c r="F24" s="3" t="s">
        <v>14</v>
      </c>
      <c r="G24" s="3">
        <v>1704871</v>
      </c>
    </row>
    <row r="25" spans="1:7" outlineLevel="5">
      <c r="A25" s="3" t="s">
        <v>11</v>
      </c>
      <c r="B25" s="9" t="s">
        <v>163</v>
      </c>
      <c r="C25" s="10"/>
      <c r="D25" s="3"/>
      <c r="E25" s="3" t="s">
        <v>164</v>
      </c>
      <c r="F25" s="3" t="s">
        <v>11</v>
      </c>
      <c r="G25" s="3"/>
    </row>
    <row r="26" spans="1:7" outlineLevel="5">
      <c r="A26" s="3" t="s">
        <v>11</v>
      </c>
      <c r="B26" s="3" t="s">
        <v>46</v>
      </c>
      <c r="C26" s="10"/>
      <c r="D26" s="3"/>
      <c r="E26" s="3" t="s">
        <v>136</v>
      </c>
      <c r="F26" s="3" t="s">
        <v>14</v>
      </c>
      <c r="G26" s="3" t="s">
        <v>137</v>
      </c>
    </row>
    <row r="27" spans="1:7" outlineLevel="5">
      <c r="A27" s="3" t="s">
        <v>11</v>
      </c>
      <c r="B27" s="3" t="s">
        <v>82</v>
      </c>
      <c r="C27" s="10"/>
      <c r="D27" s="3"/>
      <c r="E27" s="3" t="s">
        <v>138</v>
      </c>
      <c r="F27" s="3" t="s">
        <v>14</v>
      </c>
      <c r="G27" s="3">
        <v>36.170999999999999</v>
      </c>
    </row>
    <row r="28" spans="1:7" outlineLevel="5">
      <c r="A28" s="3" t="s">
        <v>11</v>
      </c>
      <c r="B28" s="3" t="s">
        <v>46</v>
      </c>
      <c r="C28" s="10"/>
      <c r="D28" s="3"/>
      <c r="E28" s="3" t="s">
        <v>139</v>
      </c>
      <c r="F28" s="3" t="s">
        <v>14</v>
      </c>
      <c r="G28" s="3" t="s">
        <v>140</v>
      </c>
    </row>
    <row r="29" spans="1:7" outlineLevel="5">
      <c r="A29" s="3" t="s">
        <v>14</v>
      </c>
      <c r="B29" s="3" t="s">
        <v>82</v>
      </c>
      <c r="C29" s="10"/>
      <c r="D29" s="3" t="s">
        <v>48</v>
      </c>
      <c r="E29" s="3" t="s">
        <v>141</v>
      </c>
      <c r="F29" s="3" t="s">
        <v>14</v>
      </c>
      <c r="G29" s="3" t="e">
        <f>#REF!</f>
        <v>#REF!</v>
      </c>
    </row>
    <row r="30" spans="1:7" outlineLevel="5">
      <c r="A30" s="3" t="s">
        <v>14</v>
      </c>
      <c r="B30" s="3" t="s">
        <v>82</v>
      </c>
      <c r="C30" s="10"/>
      <c r="D30" s="3" t="s">
        <v>48</v>
      </c>
      <c r="E30" s="3" t="s">
        <v>142</v>
      </c>
      <c r="F30" s="3" t="s">
        <v>14</v>
      </c>
      <c r="G30" s="3" t="e">
        <f>(G29*G27/SUM(G27,#REF!)+#REF!*#REF!/SUM(G27,#REF!))*44/12</f>
        <v>#REF!</v>
      </c>
    </row>
    <row r="31" spans="1:7" outlineLevel="1">
      <c r="A31" s="3" t="s">
        <v>14</v>
      </c>
      <c r="B31" s="3" t="s">
        <v>82</v>
      </c>
      <c r="C31" s="10"/>
      <c r="D31" s="3" t="s">
        <v>48</v>
      </c>
      <c r="E31" s="3" t="s">
        <v>148</v>
      </c>
      <c r="F31" s="3" t="s">
        <v>14</v>
      </c>
      <c r="G31" s="3" t="e">
        <f>((#REF!-G30)*(1/(#REF!-G23)))*G7</f>
        <v>#REF!</v>
      </c>
    </row>
    <row r="32" spans="1:7">
      <c r="A32" s="3" t="s">
        <v>14</v>
      </c>
      <c r="B32" s="3" t="s">
        <v>82</v>
      </c>
      <c r="C32" s="10"/>
      <c r="D32" s="3" t="s">
        <v>48</v>
      </c>
      <c r="E32" s="3" t="s">
        <v>151</v>
      </c>
      <c r="F32" s="3" t="s">
        <v>14</v>
      </c>
      <c r="G32" s="3" t="e">
        <f>SUM(G19)</f>
        <v>#REF!</v>
      </c>
    </row>
    <row r="33" spans="1:7">
      <c r="A33" s="3" t="s">
        <v>14</v>
      </c>
      <c r="B33" s="3" t="s">
        <v>82</v>
      </c>
      <c r="C33" s="10"/>
      <c r="D33" s="3" t="s">
        <v>48</v>
      </c>
      <c r="E33" s="3" t="s">
        <v>152</v>
      </c>
      <c r="F33" s="3" t="s">
        <v>14</v>
      </c>
      <c r="G33" s="3" t="e">
        <f>SUM(G31)</f>
        <v>#REF!</v>
      </c>
    </row>
    <row r="34" spans="1:7" ht="60">
      <c r="A34" s="3" t="s">
        <v>14</v>
      </c>
      <c r="B34" s="3" t="s">
        <v>82</v>
      </c>
      <c r="C34" s="10"/>
      <c r="D34" s="3" t="s">
        <v>48</v>
      </c>
      <c r="E34" s="3" t="s">
        <v>153</v>
      </c>
      <c r="F34" s="3" t="s">
        <v>14</v>
      </c>
      <c r="G34" s="3" t="e">
        <f>IF((G33-G32)&gt;=0,1,-1)</f>
        <v>#REF!</v>
      </c>
    </row>
  </sheetData>
  <mergeCells count="3">
    <mergeCell ref="A1:G1"/>
    <mergeCell ref="B2:G2"/>
    <mergeCell ref="B3:G3"/>
  </mergeCells>
  <dataValidations count="3">
    <dataValidation allowBlank="1" showInputMessage="1" showErrorMessage="1" sqref="G6:G7 G23:G31 G11:G20" xr:uid="{2B72DAC4-BEF7-4F90-B937-078D56D31D71}"/>
    <dataValidation type="list" allowBlank="1" showInputMessage="1" showErrorMessage="1" sqref="A6:A7 F6:F7 A23:A31 F23:F31 F11:F20 A11:A20" xr:uid="{F5C46CBC-D879-4C6B-81D5-34C76A3A13A6}">
      <formula1>"Yes,No"</formula1>
    </dataValidation>
    <dataValidation type="list" allowBlank="1" showInputMessage="1" showErrorMessage="1" sqref="B3:G3" xr:uid="{665ED3CF-029E-41B0-930D-862C01B50723}">
      <formula1>"Verifiable Credentials,Encrypted Verifiable Credential,Sub-Schema"</formula1>
    </dataValidation>
  </dataValidations>
  <hyperlinks>
    <hyperlink ref="B5" location="QA2_CO2_SOC_ERs_Unit_i!A1" display="QA2_CO2_SOC_ERs_Unit_i" xr:uid="{BA93F33D-5077-421A-93DB-0E28EE008364}"/>
    <hyperlink ref="B8" location="QA2_CO2_SOC_Baseline!A1" display="QA2_CO2_SOC_Baseline" xr:uid="{74D9F815-46FA-41D6-9E8A-66CECDB54D06}"/>
    <hyperlink ref="B10" location="QA2_CO2_SOC_Input_Year_t!A1" display="QA2_CO2_SOC_Input_Year_t" xr:uid="{11F41AD1-58CE-4337-AD59-4412B2715537}"/>
    <hyperlink ref="B13" location="QA2_CO2_SOC_Input_Stratum!A1" display="QA2_CO2_SOC_Input_Stratum" xr:uid="{019ED4FE-3726-4FDB-9149-EB130E72F8A1}"/>
    <hyperlink ref="B20" location="QA2_CO2_SOC_Project!A1" display="QA2_CO2_SOC_Project" xr:uid="{931EB9E3-FD4A-4C96-AB73-F975B5067FE5}"/>
    <hyperlink ref="B22" location="QA2_CO2_SOC_Input_Year_t!A1" display="QA2_CO2_SOC_Input_Year_t" xr:uid="{4ECAB075-51B0-43F7-BBE7-C26DC279472A}"/>
    <hyperlink ref="B25" location="QA2_CO2_SOC_Input_Stratum!A1" display="QA2_CO2_SOC_Input_Stratum" xr:uid="{D9E6F141-47AE-4EDD-BC53-13EDB076BC51}"/>
  </hyperlinks>
  <pageMargins left="0.7" right="0.7" top="0.75" bottom="0.75" header="0.3" footer="0.3"/>
  <pageSetup orientation="portrait" horizontalDpi="4294967295" verticalDpi="4294967295"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EDD8-767B-4BBA-B6B2-4C5755C17AB4}">
  <sheetPr codeName="Sheet36">
    <tabColor rgb="FF92D050"/>
    <outlinePr summaryBelow="0" summaryRight="0"/>
  </sheetPr>
  <dimension ref="A1:G30"/>
  <sheetViews>
    <sheetView workbookViewId="0">
      <selection activeCell="E4" sqref="E1:E1048576"/>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156</v>
      </c>
      <c r="B1" s="32"/>
      <c r="C1" s="32"/>
      <c r="D1" s="32"/>
      <c r="E1" s="32"/>
      <c r="F1" s="32"/>
      <c r="G1" s="32"/>
    </row>
    <row r="2" spans="1:7" ht="18.75">
      <c r="A2" s="1" t="s">
        <v>1</v>
      </c>
      <c r="B2" s="33" t="s">
        <v>681</v>
      </c>
      <c r="C2" s="33"/>
      <c r="D2" s="33"/>
      <c r="E2" s="33"/>
      <c r="F2" s="33"/>
      <c r="G2" s="33"/>
    </row>
    <row r="3" spans="1:7" ht="18.75">
      <c r="A3" s="1" t="s">
        <v>2</v>
      </c>
      <c r="B3" s="33" t="s">
        <v>633</v>
      </c>
      <c r="C3" s="33"/>
      <c r="D3" s="33"/>
      <c r="E3" s="33"/>
      <c r="F3" s="33"/>
      <c r="G3" s="33"/>
    </row>
    <row r="4" spans="1:7" ht="18" customHeight="1">
      <c r="A4" s="2" t="s">
        <v>4</v>
      </c>
      <c r="B4" s="2" t="s">
        <v>5</v>
      </c>
      <c r="C4" s="2" t="s">
        <v>6</v>
      </c>
      <c r="D4" s="2" t="s">
        <v>7</v>
      </c>
      <c r="E4" s="2" t="s">
        <v>8</v>
      </c>
      <c r="F4" s="2" t="s">
        <v>9</v>
      </c>
      <c r="G4" s="2" t="s">
        <v>10</v>
      </c>
    </row>
    <row r="5" spans="1:7">
      <c r="A5" s="3" t="s">
        <v>11</v>
      </c>
      <c r="B5" s="3" t="s">
        <v>46</v>
      </c>
      <c r="C5" s="10"/>
      <c r="D5" s="3"/>
      <c r="E5" s="3" t="s">
        <v>88</v>
      </c>
      <c r="F5" s="3" t="s">
        <v>14</v>
      </c>
      <c r="G5" s="3" t="s">
        <v>89</v>
      </c>
    </row>
    <row r="6" spans="1:7">
      <c r="A6" s="3" t="s">
        <v>11</v>
      </c>
      <c r="B6" s="3" t="s">
        <v>82</v>
      </c>
      <c r="C6" s="10"/>
      <c r="D6" s="3"/>
      <c r="E6" s="3" t="s">
        <v>90</v>
      </c>
      <c r="F6" s="3" t="s">
        <v>14</v>
      </c>
      <c r="G6" s="3">
        <v>1148.7226376613501</v>
      </c>
    </row>
    <row r="7" spans="1:7">
      <c r="A7" s="3" t="s">
        <v>11</v>
      </c>
      <c r="B7" s="9" t="s">
        <v>127</v>
      </c>
      <c r="C7" s="10"/>
      <c r="D7" s="3"/>
      <c r="E7" s="3" t="s">
        <v>159</v>
      </c>
      <c r="F7" s="3" t="s">
        <v>14</v>
      </c>
      <c r="G7" s="3"/>
    </row>
    <row r="8" spans="1:7" ht="60" outlineLevel="1">
      <c r="A8" s="3" t="s">
        <v>14</v>
      </c>
      <c r="B8" s="3" t="s">
        <v>44</v>
      </c>
      <c r="C8" s="10"/>
      <c r="D8" s="3"/>
      <c r="E8" s="3" t="s">
        <v>160</v>
      </c>
      <c r="F8" s="3" t="s">
        <v>14</v>
      </c>
      <c r="G8" s="3"/>
    </row>
    <row r="9" spans="1:7" outlineLevel="3">
      <c r="A9" s="3" t="s">
        <v>11</v>
      </c>
      <c r="B9" s="9" t="s">
        <v>130</v>
      </c>
      <c r="C9" s="10"/>
      <c r="D9" s="3"/>
      <c r="E9" s="3" t="s">
        <v>162</v>
      </c>
      <c r="F9" s="3" t="s">
        <v>11</v>
      </c>
      <c r="G9" s="3"/>
    </row>
    <row r="10" spans="1:7" outlineLevel="4">
      <c r="A10" s="3" t="s">
        <v>11</v>
      </c>
      <c r="B10" s="3" t="s">
        <v>82</v>
      </c>
      <c r="C10" s="10"/>
      <c r="D10" s="3"/>
      <c r="E10" s="3" t="s">
        <v>132</v>
      </c>
      <c r="F10" s="3" t="s">
        <v>14</v>
      </c>
      <c r="G10" s="3">
        <v>0</v>
      </c>
    </row>
    <row r="11" spans="1:7" outlineLevel="4">
      <c r="A11" s="3" t="s">
        <v>11</v>
      </c>
      <c r="B11" s="3" t="s">
        <v>46</v>
      </c>
      <c r="C11" s="10"/>
      <c r="D11" s="3"/>
      <c r="E11" s="3" t="s">
        <v>133</v>
      </c>
      <c r="F11" s="3" t="s">
        <v>14</v>
      </c>
      <c r="G11" s="3">
        <v>1704871</v>
      </c>
    </row>
    <row r="12" spans="1:7" outlineLevel="4">
      <c r="A12" s="3" t="s">
        <v>11</v>
      </c>
      <c r="B12" s="9" t="s">
        <v>134</v>
      </c>
      <c r="C12" s="10"/>
      <c r="D12" s="3"/>
      <c r="E12" s="3" t="s">
        <v>164</v>
      </c>
      <c r="F12" s="3" t="s">
        <v>11</v>
      </c>
      <c r="G12" s="3"/>
    </row>
    <row r="13" spans="1:7" outlineLevel="5">
      <c r="A13" s="3" t="s">
        <v>11</v>
      </c>
      <c r="B13" s="3" t="s">
        <v>46</v>
      </c>
      <c r="C13" s="10"/>
      <c r="D13" s="3"/>
      <c r="E13" s="3" t="s">
        <v>136</v>
      </c>
      <c r="F13" s="3" t="s">
        <v>14</v>
      </c>
      <c r="G13" s="3" t="s">
        <v>137</v>
      </c>
    </row>
    <row r="14" spans="1:7" outlineLevel="5">
      <c r="A14" s="3" t="s">
        <v>11</v>
      </c>
      <c r="B14" s="3" t="s">
        <v>82</v>
      </c>
      <c r="C14" s="10"/>
      <c r="D14" s="3"/>
      <c r="E14" s="3" t="s">
        <v>138</v>
      </c>
      <c r="F14" s="3" t="s">
        <v>14</v>
      </c>
      <c r="G14" s="3">
        <v>36.170999999999999</v>
      </c>
    </row>
    <row r="15" spans="1:7" outlineLevel="5">
      <c r="A15" s="3" t="s">
        <v>11</v>
      </c>
      <c r="B15" s="3" t="s">
        <v>46</v>
      </c>
      <c r="C15" s="10"/>
      <c r="D15" s="3"/>
      <c r="E15" s="3" t="s">
        <v>139</v>
      </c>
      <c r="F15" s="3" t="s">
        <v>14</v>
      </c>
      <c r="G15" s="3" t="s">
        <v>140</v>
      </c>
    </row>
    <row r="16" spans="1:7" outlineLevel="5">
      <c r="A16" s="3" t="s">
        <v>14</v>
      </c>
      <c r="B16" s="3" t="s">
        <v>82</v>
      </c>
      <c r="C16" s="10"/>
      <c r="D16" s="3" t="s">
        <v>48</v>
      </c>
      <c r="E16" s="3" t="s">
        <v>141</v>
      </c>
      <c r="F16" s="3" t="s">
        <v>14</v>
      </c>
      <c r="G16" s="3" t="e">
        <f>#REF!</f>
        <v>#REF!</v>
      </c>
    </row>
    <row r="17" spans="1:7" ht="17.25" customHeight="1" outlineLevel="4">
      <c r="A17" s="3" t="s">
        <v>14</v>
      </c>
      <c r="B17" s="3" t="s">
        <v>82</v>
      </c>
      <c r="C17" s="10"/>
      <c r="D17" s="3" t="s">
        <v>48</v>
      </c>
      <c r="E17" s="3" t="s">
        <v>142</v>
      </c>
      <c r="F17" s="3" t="s">
        <v>14</v>
      </c>
      <c r="G17" s="3" t="e">
        <f>(G16*G14/SUM(G14,#REF!)+#REF!*#REF!/SUM(G14,#REF!))*44/12</f>
        <v>#REF!</v>
      </c>
    </row>
    <row r="18" spans="1:7">
      <c r="A18" s="3" t="s">
        <v>14</v>
      </c>
      <c r="B18" s="3" t="s">
        <v>82</v>
      </c>
      <c r="C18" s="10"/>
      <c r="D18" s="3" t="s">
        <v>48</v>
      </c>
      <c r="E18" s="3" t="s">
        <v>143</v>
      </c>
      <c r="F18" s="3" t="s">
        <v>14</v>
      </c>
      <c r="G18" s="3" t="e">
        <f>((#REF!-G17)*(1/(#REF!-G10)))*G6</f>
        <v>#REF!</v>
      </c>
    </row>
    <row r="19" spans="1:7">
      <c r="A19" s="3" t="s">
        <v>11</v>
      </c>
      <c r="B19" s="9" t="s">
        <v>146</v>
      </c>
      <c r="C19" s="10"/>
      <c r="D19" s="3" t="s">
        <v>48</v>
      </c>
      <c r="E19" s="3" t="s">
        <v>166</v>
      </c>
      <c r="F19" s="3" t="s">
        <v>14</v>
      </c>
      <c r="G19" s="3" t="e">
        <f>#REF!</f>
        <v>#REF!</v>
      </c>
    </row>
    <row r="20" spans="1:7" ht="60" outlineLevel="1">
      <c r="A20" s="3" t="s">
        <v>14</v>
      </c>
      <c r="B20" s="3" t="s">
        <v>44</v>
      </c>
      <c r="C20" s="10"/>
      <c r="D20" s="3"/>
      <c r="E20" s="3" t="s">
        <v>160</v>
      </c>
      <c r="F20" s="3" t="s">
        <v>14</v>
      </c>
      <c r="G20" s="3"/>
    </row>
    <row r="21" spans="1:7" outlineLevel="3">
      <c r="A21" s="3" t="s">
        <v>11</v>
      </c>
      <c r="B21" s="9" t="s">
        <v>130</v>
      </c>
      <c r="C21" s="10"/>
      <c r="D21" s="3"/>
      <c r="E21" s="3" t="s">
        <v>162</v>
      </c>
      <c r="F21" s="3" t="s">
        <v>11</v>
      </c>
      <c r="G21" s="3"/>
    </row>
    <row r="22" spans="1:7" outlineLevel="4">
      <c r="A22" s="3" t="s">
        <v>11</v>
      </c>
      <c r="B22" s="3" t="s">
        <v>82</v>
      </c>
      <c r="C22" s="10"/>
      <c r="D22" s="3"/>
      <c r="E22" s="3" t="s">
        <v>132</v>
      </c>
      <c r="F22" s="3" t="s">
        <v>14</v>
      </c>
      <c r="G22" s="3">
        <v>0</v>
      </c>
    </row>
    <row r="23" spans="1:7" outlineLevel="4">
      <c r="A23" s="3" t="s">
        <v>11</v>
      </c>
      <c r="B23" s="3" t="s">
        <v>46</v>
      </c>
      <c r="C23" s="10"/>
      <c r="D23" s="3"/>
      <c r="E23" s="3" t="s">
        <v>133</v>
      </c>
      <c r="F23" s="3" t="s">
        <v>14</v>
      </c>
      <c r="G23" s="3">
        <v>1704871</v>
      </c>
    </row>
    <row r="24" spans="1:7" outlineLevel="4">
      <c r="A24" s="3" t="s">
        <v>11</v>
      </c>
      <c r="B24" s="9" t="s">
        <v>134</v>
      </c>
      <c r="C24" s="10"/>
      <c r="D24" s="3"/>
      <c r="E24" s="3" t="s">
        <v>164</v>
      </c>
      <c r="F24" s="3" t="s">
        <v>11</v>
      </c>
      <c r="G24" s="3"/>
    </row>
    <row r="25" spans="1:7" outlineLevel="5">
      <c r="A25" s="3" t="s">
        <v>11</v>
      </c>
      <c r="B25" s="3" t="s">
        <v>46</v>
      </c>
      <c r="C25" s="10"/>
      <c r="D25" s="3"/>
      <c r="E25" s="3" t="s">
        <v>136</v>
      </c>
      <c r="F25" s="3" t="s">
        <v>14</v>
      </c>
      <c r="G25" s="3" t="s">
        <v>137</v>
      </c>
    </row>
    <row r="26" spans="1:7" outlineLevel="5">
      <c r="A26" s="3" t="s">
        <v>11</v>
      </c>
      <c r="B26" s="3" t="s">
        <v>82</v>
      </c>
      <c r="C26" s="10"/>
      <c r="D26" s="3"/>
      <c r="E26" s="3" t="s">
        <v>138</v>
      </c>
      <c r="F26" s="3" t="s">
        <v>14</v>
      </c>
      <c r="G26" s="3">
        <v>36.170999999999999</v>
      </c>
    </row>
    <row r="27" spans="1:7" outlineLevel="5">
      <c r="A27" s="3" t="s">
        <v>11</v>
      </c>
      <c r="B27" s="3" t="s">
        <v>46</v>
      </c>
      <c r="C27" s="10"/>
      <c r="D27" s="3"/>
      <c r="E27" s="3" t="s">
        <v>139</v>
      </c>
      <c r="F27" s="3" t="s">
        <v>14</v>
      </c>
      <c r="G27" s="3" t="s">
        <v>140</v>
      </c>
    </row>
    <row r="28" spans="1:7" outlineLevel="5">
      <c r="A28" s="3" t="s">
        <v>14</v>
      </c>
      <c r="B28" s="3" t="s">
        <v>82</v>
      </c>
      <c r="C28" s="10"/>
      <c r="D28" s="3" t="s">
        <v>48</v>
      </c>
      <c r="E28" s="3" t="s">
        <v>141</v>
      </c>
      <c r="F28" s="3" t="s">
        <v>14</v>
      </c>
      <c r="G28" s="3" t="e">
        <f>#REF!</f>
        <v>#REF!</v>
      </c>
    </row>
    <row r="29" spans="1:7" outlineLevel="4">
      <c r="A29" s="3" t="s">
        <v>14</v>
      </c>
      <c r="B29" s="3" t="s">
        <v>82</v>
      </c>
      <c r="C29" s="10"/>
      <c r="D29" s="3" t="s">
        <v>48</v>
      </c>
      <c r="E29" s="3" t="s">
        <v>142</v>
      </c>
      <c r="F29" s="3" t="s">
        <v>14</v>
      </c>
      <c r="G29" s="3" t="e">
        <f>(G28*G26/SUM(G26,#REF!)+#REF!*#REF!/SUM(G26,#REF!))*44/12</f>
        <v>#REF!</v>
      </c>
    </row>
    <row r="30" spans="1:7">
      <c r="A30" s="3" t="s">
        <v>14</v>
      </c>
      <c r="B30" s="3" t="s">
        <v>82</v>
      </c>
      <c r="C30" s="10"/>
      <c r="D30" s="3" t="s">
        <v>48</v>
      </c>
      <c r="E30" s="3" t="s">
        <v>148</v>
      </c>
      <c r="F30" s="3" t="s">
        <v>14</v>
      </c>
      <c r="G30" s="3" t="e">
        <f>((#REF!-G29)*(1/(#REF!-G22)))*G6</f>
        <v>#REF!</v>
      </c>
    </row>
  </sheetData>
  <mergeCells count="3">
    <mergeCell ref="A1:G1"/>
    <mergeCell ref="B2:G2"/>
    <mergeCell ref="B3:G3"/>
  </mergeCells>
  <dataValidations count="3">
    <dataValidation allowBlank="1" showInputMessage="1" showErrorMessage="1" sqref="G5:G6 G22:G30 G10:G19" xr:uid="{A2E01F95-3757-4BF4-9A4F-84D9F15FA417}"/>
    <dataValidation type="list" allowBlank="1" showInputMessage="1" showErrorMessage="1" sqref="A5:A6 F5:F6 A22:A30 F22:F30 F10:F19 A10:A19" xr:uid="{1AF433A3-BF08-422D-BE65-3AAAD5BD482B}">
      <formula1>"Yes,No"</formula1>
    </dataValidation>
    <dataValidation type="list" allowBlank="1" showInputMessage="1" showErrorMessage="1" sqref="B3:G3" xr:uid="{0EEE755E-AF74-46B9-BDCC-05EDFE18D30F}">
      <formula1>"Verifiable Credentials,Encrypted Verifiable Credential,Sub-Schema"</formula1>
    </dataValidation>
  </dataValidations>
  <hyperlinks>
    <hyperlink ref="B9" location="QA1_CO2_SOC_Input_Year_t!A1" display="QA1_CO2_SOC_Input_Year_t" xr:uid="{BA26C693-9D6E-4670-8E3F-D2AA3D40FB8A}"/>
    <hyperlink ref="B12" location="QA1_CO2_SOC_Input_Stratum_ID!A1" display="QA1_CO2_SOC_Input_Stratum_ID" xr:uid="{669239CF-6FB7-4771-8EB1-606FAFA2B11B}"/>
    <hyperlink ref="B21" location="QA1_CO2_SOC_Input_Year_t!A1" display="QA1_CO2_SOC_Input_Year_t" xr:uid="{2BBBAC95-B6DA-4D28-8541-D1FE24C3018A}"/>
    <hyperlink ref="B24" location="QA1_CO2_SOC_Input_Stratum_ID!A1" display="QA1_CO2_SOC_Input_Stratum_ID" xr:uid="{AA6422EA-7333-4165-BE51-5FFF7584DB83}"/>
    <hyperlink ref="B19" location="QA1_CO2_SOC_Project!A1" display="QA1_CO2_SOC_Project" xr:uid="{23C2DDD9-61BE-4EFE-A54F-B8DF799D0A91}"/>
    <hyperlink ref="B7" location="QA1_CO2_SOC_Baseline!A1" display="QA1_CO2_SOC_Baseline" xr:uid="{A49E9E2D-8068-43CD-B070-867461DA1F98}"/>
  </hyperlinks>
  <pageMargins left="0.7" right="0.7" top="0.75" bottom="0.75" header="0.3" footer="0.3"/>
  <pageSetup orientation="portrait" horizontalDpi="4294967295" verticalDpi="4294967295"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7303-2323-4950-898C-E79AD70C53B9}">
  <sheetPr codeName="Sheet37">
    <tabColor rgb="FF92D050"/>
    <outlinePr summaryBelow="0" summaryRight="0"/>
  </sheetPr>
  <dimension ref="A1:G15"/>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158</v>
      </c>
      <c r="B1" s="32"/>
      <c r="C1" s="32"/>
      <c r="D1" s="32"/>
      <c r="E1" s="32"/>
      <c r="F1" s="32"/>
      <c r="G1" s="32"/>
    </row>
    <row r="2" spans="1:7" ht="18.75">
      <c r="A2" s="1" t="s">
        <v>1</v>
      </c>
      <c r="B2" s="33" t="s">
        <v>682</v>
      </c>
      <c r="C2" s="33"/>
      <c r="D2" s="33"/>
      <c r="E2" s="33"/>
      <c r="F2" s="33"/>
      <c r="G2" s="33"/>
    </row>
    <row r="3" spans="1:7" ht="18.75">
      <c r="A3" s="1" t="s">
        <v>2</v>
      </c>
      <c r="B3" s="33" t="s">
        <v>633</v>
      </c>
      <c r="C3" s="33"/>
      <c r="D3" s="33"/>
      <c r="E3" s="33"/>
      <c r="F3" s="33"/>
      <c r="G3" s="33"/>
    </row>
    <row r="4" spans="1:7" ht="18" customHeight="1">
      <c r="A4" s="2" t="s">
        <v>4</v>
      </c>
      <c r="B4" s="2" t="s">
        <v>5</v>
      </c>
      <c r="C4" s="2" t="s">
        <v>6</v>
      </c>
      <c r="D4" s="2" t="s">
        <v>7</v>
      </c>
      <c r="E4" s="2" t="s">
        <v>8</v>
      </c>
      <c r="F4" s="2" t="s">
        <v>9</v>
      </c>
      <c r="G4" s="2" t="s">
        <v>10</v>
      </c>
    </row>
    <row r="5" spans="1:7" ht="60">
      <c r="A5" s="3" t="s">
        <v>14</v>
      </c>
      <c r="B5" s="3" t="s">
        <v>44</v>
      </c>
      <c r="C5" s="10"/>
      <c r="D5" s="3"/>
      <c r="E5" s="3" t="s">
        <v>160</v>
      </c>
      <c r="F5" s="3" t="s">
        <v>14</v>
      </c>
      <c r="G5" s="3"/>
    </row>
    <row r="6" spans="1:7">
      <c r="A6" s="3" t="s">
        <v>11</v>
      </c>
      <c r="B6" s="9" t="s">
        <v>161</v>
      </c>
      <c r="C6" s="10"/>
      <c r="D6" s="3"/>
      <c r="E6" s="3" t="s">
        <v>162</v>
      </c>
      <c r="F6" s="3" t="s">
        <v>11</v>
      </c>
      <c r="G6" s="3"/>
    </row>
    <row r="7" spans="1:7" outlineLevel="1">
      <c r="A7" s="3" t="s">
        <v>11</v>
      </c>
      <c r="B7" s="3" t="s">
        <v>82</v>
      </c>
      <c r="C7" s="10"/>
      <c r="D7" s="3"/>
      <c r="E7" s="3" t="s">
        <v>132</v>
      </c>
      <c r="F7" s="3" t="s">
        <v>14</v>
      </c>
      <c r="G7" s="3">
        <v>0</v>
      </c>
    </row>
    <row r="8" spans="1:7" outlineLevel="1">
      <c r="A8" s="3" t="s">
        <v>11</v>
      </c>
      <c r="B8" s="3" t="s">
        <v>46</v>
      </c>
      <c r="C8" s="10"/>
      <c r="D8" s="3"/>
      <c r="E8" s="3" t="s">
        <v>133</v>
      </c>
      <c r="F8" s="3" t="s">
        <v>14</v>
      </c>
      <c r="G8" s="3">
        <v>1704871</v>
      </c>
    </row>
    <row r="9" spans="1:7" outlineLevel="1">
      <c r="A9" s="3" t="s">
        <v>11</v>
      </c>
      <c r="B9" s="9" t="s">
        <v>163</v>
      </c>
      <c r="C9" s="10"/>
      <c r="D9" s="3"/>
      <c r="E9" s="3" t="s">
        <v>164</v>
      </c>
      <c r="F9" s="3" t="s">
        <v>11</v>
      </c>
      <c r="G9" s="3"/>
    </row>
    <row r="10" spans="1:7" outlineLevel="2">
      <c r="A10" s="3" t="s">
        <v>11</v>
      </c>
      <c r="B10" s="3" t="s">
        <v>46</v>
      </c>
      <c r="C10" s="10"/>
      <c r="D10" s="3"/>
      <c r="E10" s="3" t="s">
        <v>136</v>
      </c>
      <c r="F10" s="3" t="s">
        <v>14</v>
      </c>
      <c r="G10" s="3" t="s">
        <v>137</v>
      </c>
    </row>
    <row r="11" spans="1:7" outlineLevel="2">
      <c r="A11" s="3" t="s">
        <v>11</v>
      </c>
      <c r="B11" s="3" t="s">
        <v>82</v>
      </c>
      <c r="C11" s="10"/>
      <c r="D11" s="3"/>
      <c r="E11" s="3" t="s">
        <v>138</v>
      </c>
      <c r="F11" s="3" t="s">
        <v>14</v>
      </c>
      <c r="G11" s="3">
        <v>36.170999999999999</v>
      </c>
    </row>
    <row r="12" spans="1:7" outlineLevel="2">
      <c r="A12" s="3" t="s">
        <v>11</v>
      </c>
      <c r="B12" s="3" t="s">
        <v>46</v>
      </c>
      <c r="C12" s="10"/>
      <c r="D12" s="3"/>
      <c r="E12" s="3" t="s">
        <v>139</v>
      </c>
      <c r="F12" s="3" t="s">
        <v>14</v>
      </c>
      <c r="G12" s="3" t="s">
        <v>140</v>
      </c>
    </row>
    <row r="13" spans="1:7" outlineLevel="2">
      <c r="A13" s="3" t="s">
        <v>14</v>
      </c>
      <c r="B13" s="3" t="s">
        <v>82</v>
      </c>
      <c r="C13" s="10"/>
      <c r="D13" s="3" t="s">
        <v>48</v>
      </c>
      <c r="E13" s="3" t="s">
        <v>141</v>
      </c>
      <c r="F13" s="3" t="s">
        <v>14</v>
      </c>
      <c r="G13" s="3" t="e">
        <f>#REF!</f>
        <v>#REF!</v>
      </c>
    </row>
    <row r="14" spans="1:7" ht="17.25" customHeight="1" outlineLevel="1">
      <c r="A14" s="3" t="s">
        <v>14</v>
      </c>
      <c r="B14" s="3" t="s">
        <v>82</v>
      </c>
      <c r="C14" s="10"/>
      <c r="D14" s="3" t="s">
        <v>48</v>
      </c>
      <c r="E14" s="3" t="s">
        <v>142</v>
      </c>
      <c r="F14" s="3" t="s">
        <v>14</v>
      </c>
      <c r="G14" s="3" t="e">
        <f>(G13*G11/SUM(G11,#REF!)+#REF!*#REF!/SUM(G11,#REF!))*44/12</f>
        <v>#REF!</v>
      </c>
    </row>
    <row r="15" spans="1:7">
      <c r="A15" s="3" t="s">
        <v>14</v>
      </c>
      <c r="B15" s="3" t="s">
        <v>82</v>
      </c>
      <c r="C15" s="10"/>
      <c r="D15" s="3" t="s">
        <v>48</v>
      </c>
      <c r="E15" s="3" t="s">
        <v>143</v>
      </c>
      <c r="F15" s="3" t="s">
        <v>14</v>
      </c>
      <c r="G15" s="3" t="e">
        <f>((#REF!-G14)*(1/(#REF!-G7)))*#REF!</f>
        <v>#REF!</v>
      </c>
    </row>
  </sheetData>
  <mergeCells count="3">
    <mergeCell ref="A1:G1"/>
    <mergeCell ref="B2:G2"/>
    <mergeCell ref="B3:G3"/>
  </mergeCells>
  <dataValidations count="3">
    <dataValidation type="list" allowBlank="1" showInputMessage="1" showErrorMessage="1" sqref="F7:F15 A7:A15" xr:uid="{03E3C59E-F060-40AC-953D-B8AD40FB5D24}">
      <formula1>"Yes,No"</formula1>
    </dataValidation>
    <dataValidation allowBlank="1" showInputMessage="1" showErrorMessage="1" sqref="G7:G15" xr:uid="{50DFD600-DA67-462A-A855-61A032DB54A0}"/>
    <dataValidation type="list" allowBlank="1" showInputMessage="1" showErrorMessage="1" sqref="B3:G3" xr:uid="{67C650E2-9A10-49F7-BCA2-373E94777D40}">
      <formula1>"Verifiable Credentials,Encrypted Verifiable Credential,Sub-Schema"</formula1>
    </dataValidation>
  </dataValidations>
  <hyperlinks>
    <hyperlink ref="B6" location="QA2_CO2_SOC_Input_Year_t!A1" display="QA2_CO2_SOC_Input_Year_t" xr:uid="{025AFC3E-4B08-4BFC-89BB-966A2E686AE9}"/>
    <hyperlink ref="B9" location="QA2_CO2_SOC_Input_Stratum!A1" display="QA2_CO2_SOC_Input_Stratum" xr:uid="{527A74A0-FB79-4BF1-AFB4-5FD2AF5EB2A4}"/>
  </hyperlinks>
  <pageMargins left="0.7" right="0.7" top="0.75" bottom="0.75" header="0.3" footer="0.3"/>
  <pageSetup orientation="portrait" horizontalDpi="4294967295" verticalDpi="4294967295"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549B-973B-4E38-8631-CF70DB0DF197}">
  <sheetPr codeName="Sheet38">
    <tabColor rgb="FF92D050"/>
    <outlinePr summaryBelow="0" summaryRight="0"/>
  </sheetPr>
  <dimension ref="A1:G15"/>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2" t="s">
        <v>165</v>
      </c>
      <c r="B1" s="32"/>
      <c r="C1" s="32"/>
      <c r="D1" s="32"/>
      <c r="E1" s="32"/>
      <c r="F1" s="32"/>
      <c r="G1" s="32"/>
    </row>
    <row r="2" spans="1:7" ht="18.75">
      <c r="A2" s="1" t="s">
        <v>1</v>
      </c>
      <c r="B2" s="33" t="s">
        <v>683</v>
      </c>
      <c r="C2" s="33"/>
      <c r="D2" s="33"/>
      <c r="E2" s="33"/>
      <c r="F2" s="33"/>
      <c r="G2" s="33"/>
    </row>
    <row r="3" spans="1:7" ht="18.75">
      <c r="A3" s="1" t="s">
        <v>2</v>
      </c>
      <c r="B3" s="33" t="s">
        <v>633</v>
      </c>
      <c r="C3" s="33"/>
      <c r="D3" s="33"/>
      <c r="E3" s="33"/>
      <c r="F3" s="33"/>
      <c r="G3" s="33"/>
    </row>
    <row r="4" spans="1:7" ht="18" customHeight="1">
      <c r="A4" s="2" t="s">
        <v>4</v>
      </c>
      <c r="B4" s="2" t="s">
        <v>5</v>
      </c>
      <c r="C4" s="2" t="s">
        <v>6</v>
      </c>
      <c r="D4" s="2" t="s">
        <v>7</v>
      </c>
      <c r="E4" s="2" t="s">
        <v>8</v>
      </c>
      <c r="F4" s="2" t="s">
        <v>9</v>
      </c>
      <c r="G4" s="2" t="s">
        <v>10</v>
      </c>
    </row>
    <row r="5" spans="1:7" ht="60">
      <c r="A5" s="3" t="s">
        <v>14</v>
      </c>
      <c r="B5" s="3" t="s">
        <v>44</v>
      </c>
      <c r="C5" s="10"/>
      <c r="D5" s="3"/>
      <c r="E5" s="3" t="s">
        <v>160</v>
      </c>
      <c r="F5" s="3" t="s">
        <v>14</v>
      </c>
      <c r="G5" s="3"/>
    </row>
    <row r="6" spans="1:7">
      <c r="A6" s="3" t="s">
        <v>11</v>
      </c>
      <c r="B6" s="9" t="s">
        <v>161</v>
      </c>
      <c r="C6" s="10"/>
      <c r="D6" s="3"/>
      <c r="E6" s="3" t="s">
        <v>162</v>
      </c>
      <c r="F6" s="3" t="s">
        <v>11</v>
      </c>
      <c r="G6" s="3"/>
    </row>
    <row r="7" spans="1:7" outlineLevel="1">
      <c r="A7" s="3" t="s">
        <v>11</v>
      </c>
      <c r="B7" s="3" t="s">
        <v>82</v>
      </c>
      <c r="C7" s="10"/>
      <c r="D7" s="3"/>
      <c r="E7" s="3" t="s">
        <v>132</v>
      </c>
      <c r="F7" s="3" t="s">
        <v>14</v>
      </c>
      <c r="G7" s="3">
        <v>0</v>
      </c>
    </row>
    <row r="8" spans="1:7" outlineLevel="1">
      <c r="A8" s="3" t="s">
        <v>11</v>
      </c>
      <c r="B8" s="3" t="s">
        <v>46</v>
      </c>
      <c r="C8" s="10"/>
      <c r="D8" s="3"/>
      <c r="E8" s="3" t="s">
        <v>133</v>
      </c>
      <c r="F8" s="3" t="s">
        <v>14</v>
      </c>
      <c r="G8" s="3">
        <v>1704871</v>
      </c>
    </row>
    <row r="9" spans="1:7" outlineLevel="1">
      <c r="A9" s="3" t="s">
        <v>11</v>
      </c>
      <c r="B9" s="9" t="s">
        <v>163</v>
      </c>
      <c r="C9" s="10"/>
      <c r="D9" s="3"/>
      <c r="E9" s="3" t="s">
        <v>164</v>
      </c>
      <c r="F9" s="3" t="s">
        <v>11</v>
      </c>
      <c r="G9" s="3"/>
    </row>
    <row r="10" spans="1:7" outlineLevel="2">
      <c r="A10" s="3" t="s">
        <v>11</v>
      </c>
      <c r="B10" s="3" t="s">
        <v>46</v>
      </c>
      <c r="C10" s="10"/>
      <c r="D10" s="3"/>
      <c r="E10" s="3" t="s">
        <v>136</v>
      </c>
      <c r="F10" s="3" t="s">
        <v>14</v>
      </c>
      <c r="G10" s="3" t="s">
        <v>137</v>
      </c>
    </row>
    <row r="11" spans="1:7" outlineLevel="2">
      <c r="A11" s="3" t="s">
        <v>11</v>
      </c>
      <c r="B11" s="3" t="s">
        <v>82</v>
      </c>
      <c r="C11" s="10"/>
      <c r="D11" s="3"/>
      <c r="E11" s="3" t="s">
        <v>138</v>
      </c>
      <c r="F11" s="3" t="s">
        <v>14</v>
      </c>
      <c r="G11" s="3">
        <v>36.170999999999999</v>
      </c>
    </row>
    <row r="12" spans="1:7" outlineLevel="2">
      <c r="A12" s="3" t="s">
        <v>11</v>
      </c>
      <c r="B12" s="3" t="s">
        <v>46</v>
      </c>
      <c r="C12" s="10"/>
      <c r="D12" s="3"/>
      <c r="E12" s="3" t="s">
        <v>139</v>
      </c>
      <c r="F12" s="3" t="s">
        <v>14</v>
      </c>
      <c r="G12" s="3" t="s">
        <v>140</v>
      </c>
    </row>
    <row r="13" spans="1:7" outlineLevel="2">
      <c r="A13" s="3" t="s">
        <v>14</v>
      </c>
      <c r="B13" s="3" t="s">
        <v>82</v>
      </c>
      <c r="C13" s="10"/>
      <c r="D13" s="3" t="s">
        <v>48</v>
      </c>
      <c r="E13" s="3" t="s">
        <v>141</v>
      </c>
      <c r="F13" s="3" t="s">
        <v>14</v>
      </c>
      <c r="G13" s="3" t="e">
        <f>#REF!</f>
        <v>#REF!</v>
      </c>
    </row>
    <row r="14" spans="1:7" outlineLevel="1">
      <c r="A14" s="3" t="s">
        <v>14</v>
      </c>
      <c r="B14" s="3" t="s">
        <v>82</v>
      </c>
      <c r="C14" s="10"/>
      <c r="D14" s="3" t="s">
        <v>48</v>
      </c>
      <c r="E14" s="3" t="s">
        <v>142</v>
      </c>
      <c r="F14" s="3" t="s">
        <v>14</v>
      </c>
      <c r="G14" s="3" t="e">
        <f>(G13*G11/SUM(G11,#REF!)+#REF!*#REF!/SUM(G11,#REF!))*44/12</f>
        <v>#REF!</v>
      </c>
    </row>
    <row r="15" spans="1:7">
      <c r="A15" s="3" t="s">
        <v>14</v>
      </c>
      <c r="B15" s="3" t="s">
        <v>82</v>
      </c>
      <c r="C15" s="10"/>
      <c r="D15" s="3" t="s">
        <v>48</v>
      </c>
      <c r="E15" s="3" t="s">
        <v>148</v>
      </c>
      <c r="F15" s="3" t="s">
        <v>14</v>
      </c>
      <c r="G15" s="3" t="e">
        <f>((#REF!-G14)*(1/(#REF!-G7)))*#REF!</f>
        <v>#REF!</v>
      </c>
    </row>
  </sheetData>
  <mergeCells count="3">
    <mergeCell ref="A1:G1"/>
    <mergeCell ref="B2:G2"/>
    <mergeCell ref="B3:G3"/>
  </mergeCells>
  <dataValidations count="3">
    <dataValidation type="list" allowBlank="1" showInputMessage="1" showErrorMessage="1" sqref="A7:A15 F7:F15" xr:uid="{66FCC634-D6C5-49A1-96BE-C059E605A419}">
      <formula1>"Yes,No"</formula1>
    </dataValidation>
    <dataValidation allowBlank="1" showInputMessage="1" showErrorMessage="1" sqref="G7:G15" xr:uid="{23948F4B-5BBA-4671-91D2-726A882D473A}"/>
    <dataValidation type="list" allowBlank="1" showInputMessage="1" showErrorMessage="1" sqref="B3:G3" xr:uid="{2420E227-325F-4824-958B-12C58B51719B}">
      <formula1>"Verifiable Credentials,Encrypted Verifiable Credential,Sub-Schema"</formula1>
    </dataValidation>
  </dataValidations>
  <hyperlinks>
    <hyperlink ref="B6" location="QA2_CO2_SOC_Input_Year_t!A1" display="QA2_CO2_SOC_Input_Year_t" xr:uid="{1A81DA0B-3BFD-4F5A-9437-CCDF15CC4E51}"/>
    <hyperlink ref="B9" location="QA2_CO2_SOC_Input_Stratum!A1" display="QA2_CO2_SOC_Input_Stratum" xr:uid="{FEC0D3D0-ECDF-4C98-8637-748E4998E543}"/>
  </hyperlink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2255-F477-4164-AE74-C84BC77F59CF}">
  <sheetPr codeName="Sheet4">
    <outlinePr summaryBelow="0" summaryRight="0"/>
  </sheetPr>
  <dimension ref="A1:L636"/>
  <sheetViews>
    <sheetView tabSelected="1" workbookViewId="0">
      <selection activeCell="A357" sqref="A357:XFD357"/>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2" t="s">
        <v>634</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82</v>
      </c>
      <c r="C5" s="3"/>
      <c r="D5" s="3"/>
      <c r="E5" s="3" t="s">
        <v>83</v>
      </c>
      <c r="F5" s="3" t="s">
        <v>14</v>
      </c>
      <c r="G5" s="3">
        <v>1</v>
      </c>
    </row>
    <row r="6" spans="1:7" collapsed="1">
      <c r="A6" s="3" t="s">
        <v>14</v>
      </c>
      <c r="B6" s="9" t="s">
        <v>84</v>
      </c>
      <c r="C6" s="3" t="s">
        <v>47</v>
      </c>
      <c r="D6" s="3" t="b">
        <f>EXACT(Quantification_Approach!G13,"Approach 1")</f>
        <v>1</v>
      </c>
      <c r="E6" s="3" t="s">
        <v>85</v>
      </c>
      <c r="F6" s="3" t="s">
        <v>14</v>
      </c>
      <c r="G6" s="3"/>
    </row>
    <row r="7" spans="1:7" hidden="1" outlineLevel="2">
      <c r="A7" s="3" t="s">
        <v>11</v>
      </c>
      <c r="B7" s="9" t="s">
        <v>635</v>
      </c>
      <c r="C7" s="3"/>
      <c r="D7" s="3"/>
      <c r="E7" s="3" t="s">
        <v>636</v>
      </c>
      <c r="F7" s="3" t="s">
        <v>11</v>
      </c>
      <c r="G7" s="3"/>
    </row>
    <row r="8" spans="1:7" ht="14.25" hidden="1" customHeight="1" outlineLevel="3">
      <c r="A8" s="3" t="s">
        <v>11</v>
      </c>
      <c r="B8" s="3" t="s">
        <v>46</v>
      </c>
      <c r="C8" s="3"/>
      <c r="D8" s="3"/>
      <c r="E8" s="3" t="s">
        <v>88</v>
      </c>
      <c r="F8" s="3" t="s">
        <v>14</v>
      </c>
      <c r="G8" s="3" t="s">
        <v>89</v>
      </c>
    </row>
    <row r="9" spans="1:7" hidden="1" outlineLevel="3">
      <c r="A9" s="3" t="s">
        <v>11</v>
      </c>
      <c r="B9" s="3" t="s">
        <v>82</v>
      </c>
      <c r="C9" s="3"/>
      <c r="D9" s="3"/>
      <c r="E9" s="3" t="s">
        <v>90</v>
      </c>
      <c r="F9" s="3" t="s">
        <v>14</v>
      </c>
      <c r="G9" s="3">
        <v>1148.7226376613501</v>
      </c>
    </row>
    <row r="10" spans="1:7" hidden="1" outlineLevel="3">
      <c r="A10" s="3" t="s">
        <v>11</v>
      </c>
      <c r="B10" s="9" t="s">
        <v>637</v>
      </c>
      <c r="C10" s="3"/>
      <c r="D10" s="3"/>
      <c r="E10" s="3" t="s">
        <v>92</v>
      </c>
      <c r="F10" s="3" t="s">
        <v>14</v>
      </c>
      <c r="G10" s="3"/>
    </row>
    <row r="11" spans="1:7" hidden="1" outlineLevel="4">
      <c r="A11" s="3" t="s">
        <v>11</v>
      </c>
      <c r="B11" s="9" t="s">
        <v>93</v>
      </c>
      <c r="C11" s="3"/>
      <c r="D11" s="3"/>
      <c r="E11" s="3" t="s">
        <v>94</v>
      </c>
      <c r="F11" s="3" t="s">
        <v>14</v>
      </c>
      <c r="G11" s="3"/>
    </row>
    <row r="12" spans="1:7" ht="30" hidden="1" outlineLevel="5" collapsed="1">
      <c r="A12" s="3" t="s">
        <v>14</v>
      </c>
      <c r="B12" s="3" t="s">
        <v>82</v>
      </c>
      <c r="C12" s="3" t="s">
        <v>47</v>
      </c>
      <c r="D12" s="3" t="s">
        <v>48</v>
      </c>
      <c r="E12" s="3" t="s">
        <v>95</v>
      </c>
      <c r="F12" s="3" t="s">
        <v>14</v>
      </c>
      <c r="G12" s="3">
        <f>G13*G14</f>
        <v>560</v>
      </c>
    </row>
    <row r="13" spans="1:7" hidden="1" outlineLevel="5">
      <c r="A13" s="3" t="s">
        <v>11</v>
      </c>
      <c r="B13" s="3" t="s">
        <v>82</v>
      </c>
      <c r="C13" s="3" t="s">
        <v>47</v>
      </c>
      <c r="D13" s="3"/>
      <c r="E13" s="3" t="s">
        <v>96</v>
      </c>
      <c r="F13" s="3" t="s">
        <v>14</v>
      </c>
      <c r="G13" s="3">
        <v>28</v>
      </c>
    </row>
    <row r="14" spans="1:7" ht="45" hidden="1" outlineLevel="5">
      <c r="A14" s="3" t="s">
        <v>11</v>
      </c>
      <c r="B14" s="3" t="s">
        <v>82</v>
      </c>
      <c r="C14" s="3" t="s">
        <v>47</v>
      </c>
      <c r="D14" s="3"/>
      <c r="E14" s="3" t="s">
        <v>97</v>
      </c>
      <c r="F14" s="3" t="s">
        <v>14</v>
      </c>
      <c r="G14" s="3">
        <v>20</v>
      </c>
    </row>
    <row r="15" spans="1:7" ht="14.25" hidden="1" customHeight="1" outlineLevel="3">
      <c r="A15" s="3" t="s">
        <v>11</v>
      </c>
      <c r="B15" s="9" t="s">
        <v>638</v>
      </c>
      <c r="C15" s="3"/>
      <c r="D15" s="3"/>
      <c r="E15" s="3" t="s">
        <v>99</v>
      </c>
      <c r="F15" s="3" t="s">
        <v>14</v>
      </c>
      <c r="G15" s="3"/>
    </row>
    <row r="16" spans="1:7" hidden="1" outlineLevel="4">
      <c r="A16" s="3" t="s">
        <v>11</v>
      </c>
      <c r="B16" s="9" t="s">
        <v>100</v>
      </c>
      <c r="C16" s="3"/>
      <c r="D16" s="3"/>
      <c r="E16" s="3" t="s">
        <v>101</v>
      </c>
      <c r="F16" s="3" t="s">
        <v>14</v>
      </c>
      <c r="G16" s="3"/>
    </row>
    <row r="17" spans="1:7" ht="30" hidden="1" outlineLevel="5" collapsed="1">
      <c r="A17" s="3" t="s">
        <v>14</v>
      </c>
      <c r="B17" s="3" t="s">
        <v>82</v>
      </c>
      <c r="C17" s="3"/>
      <c r="D17" s="3" t="s">
        <v>48</v>
      </c>
      <c r="E17" s="3" t="s">
        <v>102</v>
      </c>
      <c r="F17" s="3" t="s">
        <v>14</v>
      </c>
      <c r="G17" s="3">
        <f>G18*G19</f>
        <v>420</v>
      </c>
    </row>
    <row r="18" spans="1:7" hidden="1" outlineLevel="5">
      <c r="A18" s="3" t="s">
        <v>11</v>
      </c>
      <c r="B18" s="3" t="s">
        <v>82</v>
      </c>
      <c r="C18" s="3" t="s">
        <v>47</v>
      </c>
      <c r="D18" s="3"/>
      <c r="E18" s="3" t="s">
        <v>96</v>
      </c>
      <c r="F18" s="3" t="s">
        <v>14</v>
      </c>
      <c r="G18" s="3">
        <v>28</v>
      </c>
    </row>
    <row r="19" spans="1:7" ht="45" hidden="1" outlineLevel="5">
      <c r="A19" s="3" t="s">
        <v>11</v>
      </c>
      <c r="B19" s="3" t="s">
        <v>82</v>
      </c>
      <c r="C19" s="3" t="s">
        <v>47</v>
      </c>
      <c r="D19" s="3"/>
      <c r="E19" s="3" t="s">
        <v>103</v>
      </c>
      <c r="F19" s="3" t="s">
        <v>14</v>
      </c>
      <c r="G19" s="3">
        <v>15</v>
      </c>
    </row>
    <row r="20" spans="1:7" ht="14.25" hidden="1" customHeight="1" outlineLevel="2">
      <c r="A20" s="3" t="s">
        <v>14</v>
      </c>
      <c r="B20" s="3" t="s">
        <v>82</v>
      </c>
      <c r="C20" s="3"/>
      <c r="D20" s="3" t="s">
        <v>48</v>
      </c>
      <c r="E20" s="3" t="s">
        <v>104</v>
      </c>
      <c r="F20" s="3" t="s">
        <v>14</v>
      </c>
      <c r="G20" s="3">
        <f>SUM(G12-G17)*G9</f>
        <v>160821.169272589</v>
      </c>
    </row>
    <row r="21" spans="1:7" collapsed="1">
      <c r="A21" s="3" t="s">
        <v>14</v>
      </c>
      <c r="B21" s="9" t="s">
        <v>105</v>
      </c>
      <c r="C21" s="3" t="s">
        <v>47</v>
      </c>
      <c r="D21" s="3"/>
      <c r="E21" s="3" t="s">
        <v>106</v>
      </c>
      <c r="F21" s="3" t="s">
        <v>14</v>
      </c>
      <c r="G21" s="3"/>
    </row>
    <row r="22" spans="1:7" hidden="1" outlineLevel="2">
      <c r="A22" s="3" t="s">
        <v>11</v>
      </c>
      <c r="B22" s="9" t="s">
        <v>107</v>
      </c>
      <c r="C22" s="3"/>
      <c r="D22" s="3"/>
      <c r="E22" s="3" t="s">
        <v>636</v>
      </c>
      <c r="F22" s="3" t="s">
        <v>11</v>
      </c>
      <c r="G22" s="3"/>
    </row>
    <row r="23" spans="1:7" ht="14.25" hidden="1" customHeight="1" outlineLevel="3">
      <c r="A23" s="3" t="s">
        <v>11</v>
      </c>
      <c r="B23" s="3" t="s">
        <v>46</v>
      </c>
      <c r="C23" s="3"/>
      <c r="D23" s="3"/>
      <c r="E23" s="3" t="s">
        <v>88</v>
      </c>
      <c r="F23" s="3" t="s">
        <v>14</v>
      </c>
      <c r="G23" s="3" t="s">
        <v>89</v>
      </c>
    </row>
    <row r="24" spans="1:7" hidden="1" outlineLevel="3">
      <c r="A24" s="3" t="s">
        <v>11</v>
      </c>
      <c r="B24" s="3" t="s">
        <v>82</v>
      </c>
      <c r="C24" s="3"/>
      <c r="D24" s="3"/>
      <c r="E24" s="3" t="s">
        <v>90</v>
      </c>
      <c r="F24" s="3" t="s">
        <v>14</v>
      </c>
      <c r="G24" s="3">
        <v>1148.7226376613501</v>
      </c>
    </row>
    <row r="25" spans="1:7" hidden="1" outlineLevel="3">
      <c r="A25" s="3" t="s">
        <v>11</v>
      </c>
      <c r="B25" s="9" t="s">
        <v>109</v>
      </c>
      <c r="C25" s="3"/>
      <c r="D25" s="3"/>
      <c r="E25" s="3" t="s">
        <v>110</v>
      </c>
      <c r="F25" s="3" t="s">
        <v>14</v>
      </c>
      <c r="G25" s="3"/>
    </row>
    <row r="26" spans="1:7" hidden="1" outlineLevel="4">
      <c r="A26" s="3" t="s">
        <v>11</v>
      </c>
      <c r="B26" s="9" t="s">
        <v>111</v>
      </c>
      <c r="C26" s="3"/>
      <c r="D26" s="3"/>
      <c r="E26" s="3" t="s">
        <v>112</v>
      </c>
      <c r="F26" s="3" t="s">
        <v>14</v>
      </c>
      <c r="G26" s="3"/>
    </row>
    <row r="27" spans="1:7" ht="45" hidden="1" outlineLevel="5" collapsed="1">
      <c r="A27" s="3" t="s">
        <v>14</v>
      </c>
      <c r="B27" s="3" t="s">
        <v>82</v>
      </c>
      <c r="C27" s="3" t="s">
        <v>47</v>
      </c>
      <c r="D27" s="3" t="s">
        <v>48</v>
      </c>
      <c r="E27" s="3" t="s">
        <v>113</v>
      </c>
      <c r="F27" s="3" t="s">
        <v>14</v>
      </c>
      <c r="G27" s="3">
        <f>G28*G29</f>
        <v>265</v>
      </c>
    </row>
    <row r="28" spans="1:7" hidden="1" outlineLevel="5">
      <c r="A28" s="3" t="s">
        <v>11</v>
      </c>
      <c r="B28" s="3" t="s">
        <v>82</v>
      </c>
      <c r="C28" s="3" t="s">
        <v>47</v>
      </c>
      <c r="D28" s="3"/>
      <c r="E28" s="3" t="s">
        <v>114</v>
      </c>
      <c r="F28" s="3" t="s">
        <v>14</v>
      </c>
      <c r="G28" s="3">
        <v>265</v>
      </c>
    </row>
    <row r="29" spans="1:7" ht="45" hidden="1" outlineLevel="5">
      <c r="A29" s="3" t="s">
        <v>11</v>
      </c>
      <c r="B29" s="3" t="s">
        <v>82</v>
      </c>
      <c r="C29" s="3" t="s">
        <v>47</v>
      </c>
      <c r="D29" s="3"/>
      <c r="E29" s="3" t="s">
        <v>115</v>
      </c>
      <c r="F29" s="3" t="s">
        <v>14</v>
      </c>
      <c r="G29" s="3">
        <v>1</v>
      </c>
    </row>
    <row r="30" spans="1:7" ht="14.25" hidden="1" customHeight="1" outlineLevel="3">
      <c r="A30" s="3" t="s">
        <v>11</v>
      </c>
      <c r="B30" s="9" t="s">
        <v>116</v>
      </c>
      <c r="C30" s="3"/>
      <c r="D30" s="3"/>
      <c r="E30" s="3" t="s">
        <v>117</v>
      </c>
      <c r="F30" s="3" t="s">
        <v>14</v>
      </c>
      <c r="G30" s="3"/>
    </row>
    <row r="31" spans="1:7" hidden="1" outlineLevel="4">
      <c r="A31" s="3" t="s">
        <v>11</v>
      </c>
      <c r="B31" s="9" t="s">
        <v>118</v>
      </c>
      <c r="C31" s="3"/>
      <c r="D31" s="3"/>
      <c r="E31" s="3" t="s">
        <v>119</v>
      </c>
      <c r="F31" s="3" t="s">
        <v>14</v>
      </c>
      <c r="G31" s="3"/>
    </row>
    <row r="32" spans="1:7" ht="45" hidden="1" outlineLevel="5" collapsed="1">
      <c r="A32" s="3" t="s">
        <v>14</v>
      </c>
      <c r="B32" s="3" t="s">
        <v>82</v>
      </c>
      <c r="C32" s="3" t="s">
        <v>47</v>
      </c>
      <c r="D32" s="3" t="s">
        <v>48</v>
      </c>
      <c r="E32" s="3" t="s">
        <v>120</v>
      </c>
      <c r="F32" s="3" t="s">
        <v>14</v>
      </c>
      <c r="G32" s="3">
        <f>G33*G34</f>
        <v>132.5</v>
      </c>
    </row>
    <row r="33" spans="1:7" hidden="1" outlineLevel="5">
      <c r="A33" s="3" t="s">
        <v>11</v>
      </c>
      <c r="B33" s="3" t="s">
        <v>82</v>
      </c>
      <c r="C33" s="3" t="s">
        <v>47</v>
      </c>
      <c r="D33" s="3"/>
      <c r="E33" s="3" t="s">
        <v>114</v>
      </c>
      <c r="F33" s="3" t="s">
        <v>14</v>
      </c>
      <c r="G33" s="3">
        <v>265</v>
      </c>
    </row>
    <row r="34" spans="1:7" ht="45" hidden="1" outlineLevel="5">
      <c r="A34" s="3" t="s">
        <v>11</v>
      </c>
      <c r="B34" s="3" t="s">
        <v>82</v>
      </c>
      <c r="C34" s="3" t="s">
        <v>47</v>
      </c>
      <c r="D34" s="3"/>
      <c r="E34" s="3" t="s">
        <v>121</v>
      </c>
      <c r="F34" s="3" t="s">
        <v>14</v>
      </c>
      <c r="G34" s="3">
        <v>0.5</v>
      </c>
    </row>
    <row r="35" spans="1:7" ht="14.25" hidden="1" customHeight="1" outlineLevel="2">
      <c r="A35" s="3" t="s">
        <v>14</v>
      </c>
      <c r="B35" s="3" t="s">
        <v>82</v>
      </c>
      <c r="C35" s="3"/>
      <c r="D35" s="3" t="s">
        <v>48</v>
      </c>
      <c r="E35" s="3" t="s">
        <v>122</v>
      </c>
      <c r="F35" s="3" t="s">
        <v>14</v>
      </c>
      <c r="G35" s="3">
        <f>SUM(G27-G32)*G24</f>
        <v>152205.74949012889</v>
      </c>
    </row>
    <row r="36" spans="1:7" ht="14.25" customHeight="1" collapsed="1">
      <c r="A36" s="12" t="s">
        <v>14</v>
      </c>
      <c r="B36" s="14" t="s">
        <v>123</v>
      </c>
      <c r="C36" s="12"/>
      <c r="D36" s="12"/>
      <c r="E36" s="12" t="s">
        <v>124</v>
      </c>
      <c r="F36" s="12" t="s">
        <v>14</v>
      </c>
      <c r="G36" s="12"/>
    </row>
    <row r="37" spans="1:7" hidden="1" outlineLevel="3">
      <c r="A37" s="3" t="s">
        <v>11</v>
      </c>
      <c r="B37" s="10" t="s">
        <v>125</v>
      </c>
      <c r="C37" s="10"/>
      <c r="D37" s="3"/>
      <c r="E37" s="3" t="s">
        <v>126</v>
      </c>
      <c r="F37" s="3" t="s">
        <v>11</v>
      </c>
      <c r="G37" s="3"/>
    </row>
    <row r="38" spans="1:7" hidden="1" outlineLevel="5">
      <c r="A38" s="3" t="s">
        <v>11</v>
      </c>
      <c r="B38" s="3" t="s">
        <v>46</v>
      </c>
      <c r="C38" s="10"/>
      <c r="D38" s="3"/>
      <c r="E38" s="3" t="s">
        <v>88</v>
      </c>
      <c r="F38" s="3" t="s">
        <v>14</v>
      </c>
      <c r="G38" s="3" t="s">
        <v>89</v>
      </c>
    </row>
    <row r="39" spans="1:7" hidden="1" outlineLevel="5">
      <c r="A39" s="3" t="s">
        <v>11</v>
      </c>
      <c r="B39" s="3" t="s">
        <v>82</v>
      </c>
      <c r="C39" s="10"/>
      <c r="D39" s="3"/>
      <c r="E39" s="3" t="s">
        <v>90</v>
      </c>
      <c r="F39" s="3" t="s">
        <v>14</v>
      </c>
      <c r="G39" s="3">
        <v>1148.7226376613501</v>
      </c>
    </row>
    <row r="40" spans="1:7" hidden="1" outlineLevel="4">
      <c r="A40" s="3" t="s">
        <v>11</v>
      </c>
      <c r="B40" s="9" t="s">
        <v>127</v>
      </c>
      <c r="C40" s="10"/>
      <c r="D40" s="3"/>
      <c r="E40" s="3" t="s">
        <v>128</v>
      </c>
      <c r="F40" s="3" t="s">
        <v>14</v>
      </c>
      <c r="G40" s="3"/>
    </row>
    <row r="41" spans="1:7" ht="60" hidden="1" outlineLevel="5">
      <c r="A41" s="3" t="s">
        <v>14</v>
      </c>
      <c r="B41" s="3" t="s">
        <v>44</v>
      </c>
      <c r="C41" s="10"/>
      <c r="D41" s="3"/>
      <c r="E41" s="3" t="s">
        <v>129</v>
      </c>
      <c r="F41" s="3" t="s">
        <v>14</v>
      </c>
      <c r="G41" s="3"/>
    </row>
    <row r="42" spans="1:7" hidden="1" outlineLevel="6">
      <c r="A42" s="3" t="s">
        <v>11</v>
      </c>
      <c r="B42" s="9" t="s">
        <v>130</v>
      </c>
      <c r="C42" s="10"/>
      <c r="D42" s="3"/>
      <c r="E42" s="3" t="s">
        <v>131</v>
      </c>
      <c r="F42" s="3" t="s">
        <v>11</v>
      </c>
      <c r="G42" s="3"/>
    </row>
    <row r="43" spans="1:7" hidden="1" outlineLevel="6">
      <c r="A43" s="3" t="s">
        <v>11</v>
      </c>
      <c r="B43" s="3" t="s">
        <v>82</v>
      </c>
      <c r="C43" s="10"/>
      <c r="D43" s="3"/>
      <c r="E43" s="3" t="s">
        <v>132</v>
      </c>
      <c r="F43" s="3" t="s">
        <v>14</v>
      </c>
      <c r="G43" s="3">
        <v>0</v>
      </c>
    </row>
    <row r="44" spans="1:7" hidden="1" outlineLevel="6">
      <c r="A44" s="3" t="s">
        <v>11</v>
      </c>
      <c r="B44" s="3" t="s">
        <v>46</v>
      </c>
      <c r="C44" s="10"/>
      <c r="D44" s="3"/>
      <c r="E44" s="3" t="s">
        <v>133</v>
      </c>
      <c r="F44" s="3" t="s">
        <v>14</v>
      </c>
      <c r="G44" s="3">
        <v>1704871</v>
      </c>
    </row>
    <row r="45" spans="1:7" hidden="1" outlineLevel="6">
      <c r="A45" s="3" t="s">
        <v>11</v>
      </c>
      <c r="B45" s="9" t="s">
        <v>134</v>
      </c>
      <c r="C45" s="10"/>
      <c r="D45" s="3"/>
      <c r="E45" s="3" t="s">
        <v>135</v>
      </c>
      <c r="F45" s="3" t="s">
        <v>11</v>
      </c>
      <c r="G45" s="3"/>
    </row>
    <row r="46" spans="1:7" hidden="1" outlineLevel="6">
      <c r="A46" s="3" t="s">
        <v>11</v>
      </c>
      <c r="B46" s="3" t="s">
        <v>46</v>
      </c>
      <c r="C46" s="10"/>
      <c r="D46" s="3"/>
      <c r="E46" s="3" t="s">
        <v>136</v>
      </c>
      <c r="F46" s="3" t="s">
        <v>14</v>
      </c>
      <c r="G46" s="3" t="s">
        <v>137</v>
      </c>
    </row>
    <row r="47" spans="1:7" hidden="1" outlineLevel="6">
      <c r="A47" s="3" t="s">
        <v>11</v>
      </c>
      <c r="B47" s="3" t="s">
        <v>82</v>
      </c>
      <c r="C47" s="10"/>
      <c r="D47" s="3"/>
      <c r="E47" s="3" t="s">
        <v>138</v>
      </c>
      <c r="F47" s="3" t="s">
        <v>14</v>
      </c>
      <c r="G47" s="3">
        <v>36.170999999999999</v>
      </c>
    </row>
    <row r="48" spans="1:7" hidden="1" outlineLevel="6">
      <c r="A48" s="3" t="s">
        <v>11</v>
      </c>
      <c r="B48" s="3" t="s">
        <v>46</v>
      </c>
      <c r="C48" s="10"/>
      <c r="D48" s="3"/>
      <c r="E48" s="3" t="s">
        <v>139</v>
      </c>
      <c r="F48" s="3" t="s">
        <v>14</v>
      </c>
      <c r="G48" s="3" t="s">
        <v>140</v>
      </c>
    </row>
    <row r="49" spans="1:7" hidden="1" outlineLevel="6">
      <c r="A49" s="3" t="s">
        <v>14</v>
      </c>
      <c r="B49" s="3" t="s">
        <v>82</v>
      </c>
      <c r="C49" s="10"/>
      <c r="D49" s="3" t="s">
        <v>48</v>
      </c>
      <c r="E49" s="3" t="s">
        <v>141</v>
      </c>
      <c r="F49" s="3" t="s">
        <v>14</v>
      </c>
      <c r="G49" s="3" t="e">
        <f>#REF!</f>
        <v>#REF!</v>
      </c>
    </row>
    <row r="50" spans="1:7" ht="17.25" hidden="1" customHeight="1" outlineLevel="6">
      <c r="A50" s="3" t="s">
        <v>14</v>
      </c>
      <c r="B50" s="3" t="s">
        <v>82</v>
      </c>
      <c r="C50" s="10"/>
      <c r="D50" s="3" t="s">
        <v>48</v>
      </c>
      <c r="E50" s="3" t="s">
        <v>142</v>
      </c>
      <c r="F50" s="3" t="s">
        <v>14</v>
      </c>
      <c r="G50" s="3" t="e">
        <f>(#REF!*#REF!/SUM(#REF!,G47)+G49*G47/SUM(#REF!,G47))*44/12</f>
        <v>#REF!</v>
      </c>
    </row>
    <row r="51" spans="1:7" hidden="1" outlineLevel="4">
      <c r="A51" s="3" t="s">
        <v>14</v>
      </c>
      <c r="B51" s="3" t="s">
        <v>82</v>
      </c>
      <c r="C51" s="10"/>
      <c r="D51" s="3" t="s">
        <v>48</v>
      </c>
      <c r="E51" s="3" t="s">
        <v>143</v>
      </c>
      <c r="F51" s="3" t="s">
        <v>14</v>
      </c>
      <c r="G51" s="3" t="e">
        <f>((#REF!-G50)*(1/(#REF!-G43)))*G39</f>
        <v>#REF!</v>
      </c>
    </row>
    <row r="52" spans="1:7" ht="45" hidden="1" outlineLevel="4">
      <c r="A52" s="3" t="s">
        <v>14</v>
      </c>
      <c r="B52" s="3" t="s">
        <v>82</v>
      </c>
      <c r="C52" s="10"/>
      <c r="D52" s="3" t="s">
        <v>48</v>
      </c>
      <c r="E52" s="3" t="s">
        <v>144</v>
      </c>
      <c r="F52" s="3" t="s">
        <v>14</v>
      </c>
      <c r="G52" s="3" t="e">
        <f>SUM(G51)</f>
        <v>#REF!</v>
      </c>
    </row>
    <row r="53" spans="1:7" ht="30" hidden="1" outlineLevel="4">
      <c r="A53" s="3" t="s">
        <v>14</v>
      </c>
      <c r="B53" s="3" t="s">
        <v>82</v>
      </c>
      <c r="C53" s="10"/>
      <c r="D53" s="3" t="s">
        <v>48</v>
      </c>
      <c r="E53" s="3" t="s">
        <v>145</v>
      </c>
      <c r="F53" s="3" t="s">
        <v>14</v>
      </c>
      <c r="G53" s="3" t="e">
        <f>G52</f>
        <v>#REF!</v>
      </c>
    </row>
    <row r="54" spans="1:7" hidden="1" outlineLevel="4">
      <c r="A54" s="3" t="s">
        <v>11</v>
      </c>
      <c r="B54" s="9" t="s">
        <v>146</v>
      </c>
      <c r="C54" s="10"/>
      <c r="D54" s="3" t="s">
        <v>48</v>
      </c>
      <c r="E54" s="3" t="s">
        <v>147</v>
      </c>
      <c r="F54" s="3" t="s">
        <v>14</v>
      </c>
      <c r="G54" s="3" t="e">
        <f>G53</f>
        <v>#REF!</v>
      </c>
    </row>
    <row r="55" spans="1:7" ht="60" hidden="1" outlineLevel="5">
      <c r="A55" s="3" t="s">
        <v>14</v>
      </c>
      <c r="B55" s="3" t="s">
        <v>44</v>
      </c>
      <c r="C55" s="10"/>
      <c r="D55" s="3"/>
      <c r="E55" s="3" t="s">
        <v>129</v>
      </c>
      <c r="F55" s="3" t="s">
        <v>14</v>
      </c>
      <c r="G55" s="3"/>
    </row>
    <row r="56" spans="1:7" hidden="1" outlineLevel="6">
      <c r="A56" s="3" t="s">
        <v>11</v>
      </c>
      <c r="B56" s="9" t="s">
        <v>130</v>
      </c>
      <c r="C56" s="10"/>
      <c r="D56" s="3"/>
      <c r="E56" s="3" t="s">
        <v>131</v>
      </c>
      <c r="F56" s="3" t="s">
        <v>11</v>
      </c>
      <c r="G56" s="3"/>
    </row>
    <row r="57" spans="1:7" hidden="1" outlineLevel="6">
      <c r="A57" s="3" t="s">
        <v>11</v>
      </c>
      <c r="B57" s="3" t="s">
        <v>82</v>
      </c>
      <c r="C57" s="10"/>
      <c r="D57" s="3"/>
      <c r="E57" s="3" t="s">
        <v>132</v>
      </c>
      <c r="F57" s="3" t="s">
        <v>14</v>
      </c>
      <c r="G57" s="3">
        <v>0</v>
      </c>
    </row>
    <row r="58" spans="1:7" hidden="1" outlineLevel="6">
      <c r="A58" s="3" t="s">
        <v>11</v>
      </c>
      <c r="B58" s="3" t="s">
        <v>46</v>
      </c>
      <c r="C58" s="10"/>
      <c r="D58" s="3"/>
      <c r="E58" s="3" t="s">
        <v>133</v>
      </c>
      <c r="F58" s="3" t="s">
        <v>14</v>
      </c>
      <c r="G58" s="3">
        <v>1704871</v>
      </c>
    </row>
    <row r="59" spans="1:7" hidden="1" outlineLevel="6">
      <c r="A59" s="3" t="s">
        <v>11</v>
      </c>
      <c r="B59" s="9" t="s">
        <v>134</v>
      </c>
      <c r="C59" s="10"/>
      <c r="D59" s="3"/>
      <c r="E59" s="3" t="s">
        <v>135</v>
      </c>
      <c r="F59" s="3" t="s">
        <v>11</v>
      </c>
      <c r="G59" s="3"/>
    </row>
    <row r="60" spans="1:7" hidden="1" outlineLevel="6">
      <c r="A60" s="3" t="s">
        <v>11</v>
      </c>
      <c r="B60" s="3" t="s">
        <v>46</v>
      </c>
      <c r="C60" s="10"/>
      <c r="D60" s="3"/>
      <c r="E60" s="3" t="s">
        <v>136</v>
      </c>
      <c r="F60" s="3" t="s">
        <v>14</v>
      </c>
      <c r="G60" s="3" t="s">
        <v>137</v>
      </c>
    </row>
    <row r="61" spans="1:7" hidden="1" outlineLevel="6">
      <c r="A61" s="3" t="s">
        <v>11</v>
      </c>
      <c r="B61" s="3" t="s">
        <v>82</v>
      </c>
      <c r="C61" s="10"/>
      <c r="D61" s="3"/>
      <c r="E61" s="3" t="s">
        <v>138</v>
      </c>
      <c r="F61" s="3" t="s">
        <v>14</v>
      </c>
      <c r="G61" s="3">
        <v>36.170999999999999</v>
      </c>
    </row>
    <row r="62" spans="1:7" hidden="1" outlineLevel="6">
      <c r="A62" s="3" t="s">
        <v>11</v>
      </c>
      <c r="B62" s="3" t="s">
        <v>46</v>
      </c>
      <c r="C62" s="10"/>
      <c r="D62" s="3"/>
      <c r="E62" s="3" t="s">
        <v>139</v>
      </c>
      <c r="F62" s="3" t="s">
        <v>14</v>
      </c>
      <c r="G62" s="3" t="s">
        <v>140</v>
      </c>
    </row>
    <row r="63" spans="1:7" hidden="1" outlineLevel="6">
      <c r="A63" s="3" t="s">
        <v>14</v>
      </c>
      <c r="B63" s="3" t="s">
        <v>82</v>
      </c>
      <c r="C63" s="10"/>
      <c r="D63" s="3" t="s">
        <v>48</v>
      </c>
      <c r="E63" s="3" t="s">
        <v>141</v>
      </c>
      <c r="F63" s="3" t="s">
        <v>14</v>
      </c>
      <c r="G63" s="3" t="e">
        <f>#REF!</f>
        <v>#REF!</v>
      </c>
    </row>
    <row r="64" spans="1:7" hidden="1" outlineLevel="6">
      <c r="A64" s="3" t="s">
        <v>14</v>
      </c>
      <c r="B64" s="3" t="s">
        <v>82</v>
      </c>
      <c r="C64" s="10"/>
      <c r="D64" s="3" t="s">
        <v>48</v>
      </c>
      <c r="E64" s="3" t="s">
        <v>142</v>
      </c>
      <c r="F64" s="3" t="s">
        <v>14</v>
      </c>
      <c r="G64" s="3" t="e">
        <f>(G63*G61/SUM(G61,#REF!)+#REF!*#REF!/SUM(G61,#REF!))*44/12</f>
        <v>#REF!</v>
      </c>
    </row>
    <row r="65" spans="1:7" hidden="1" outlineLevel="4">
      <c r="A65" s="3" t="s">
        <v>14</v>
      </c>
      <c r="B65" s="3" t="s">
        <v>82</v>
      </c>
      <c r="C65" s="10"/>
      <c r="D65" s="3" t="s">
        <v>48</v>
      </c>
      <c r="E65" s="3" t="s">
        <v>148</v>
      </c>
      <c r="F65" s="3" t="s">
        <v>14</v>
      </c>
      <c r="G65" s="3" t="e">
        <f>((#REF!-G64)*(1/(#REF!-G57)))*G39</f>
        <v>#REF!</v>
      </c>
    </row>
    <row r="66" spans="1:7" ht="45" hidden="1" outlineLevel="4">
      <c r="A66" s="3" t="s">
        <v>14</v>
      </c>
      <c r="B66" s="3" t="s">
        <v>82</v>
      </c>
      <c r="C66" s="10"/>
      <c r="D66" s="3" t="s">
        <v>48</v>
      </c>
      <c r="E66" s="3" t="s">
        <v>149</v>
      </c>
      <c r="F66" s="3" t="s">
        <v>14</v>
      </c>
      <c r="G66" s="3" t="e">
        <f>SUM(G65)</f>
        <v>#REF!</v>
      </c>
    </row>
    <row r="67" spans="1:7" ht="30" hidden="1" outlineLevel="4">
      <c r="A67" s="3" t="s">
        <v>14</v>
      </c>
      <c r="B67" s="3" t="s">
        <v>82</v>
      </c>
      <c r="C67" s="10"/>
      <c r="D67" s="3" t="s">
        <v>48</v>
      </c>
      <c r="E67" s="3" t="s">
        <v>150</v>
      </c>
      <c r="F67" s="3" t="s">
        <v>14</v>
      </c>
      <c r="G67" s="3" t="e">
        <f>G66</f>
        <v>#REF!</v>
      </c>
    </row>
    <row r="68" spans="1:7" hidden="1" outlineLevel="2">
      <c r="A68" s="3" t="s">
        <v>14</v>
      </c>
      <c r="B68" s="3" t="s">
        <v>82</v>
      </c>
      <c r="C68" s="10"/>
      <c r="D68" s="3" t="s">
        <v>48</v>
      </c>
      <c r="E68" s="3" t="s">
        <v>151</v>
      </c>
      <c r="F68" s="3" t="s">
        <v>14</v>
      </c>
      <c r="G68" s="3" t="e">
        <f>SUM(G51)</f>
        <v>#REF!</v>
      </c>
    </row>
    <row r="69" spans="1:7" hidden="1" outlineLevel="2">
      <c r="A69" s="3" t="s">
        <v>14</v>
      </c>
      <c r="B69" s="3" t="s">
        <v>82</v>
      </c>
      <c r="C69" s="10"/>
      <c r="D69" s="3" t="s">
        <v>48</v>
      </c>
      <c r="E69" s="3" t="s">
        <v>152</v>
      </c>
      <c r="F69" s="3" t="s">
        <v>14</v>
      </c>
      <c r="G69" s="3" t="e">
        <f>SUM(G65)</f>
        <v>#REF!</v>
      </c>
    </row>
    <row r="70" spans="1:7" ht="60" hidden="1" outlineLevel="2">
      <c r="A70" s="3" t="s">
        <v>14</v>
      </c>
      <c r="B70" s="3" t="s">
        <v>82</v>
      </c>
      <c r="C70" s="10"/>
      <c r="D70" s="3" t="s">
        <v>48</v>
      </c>
      <c r="E70" s="3" t="s">
        <v>153</v>
      </c>
      <c r="F70" s="3" t="s">
        <v>14</v>
      </c>
      <c r="G70" s="3" t="e">
        <f>IF((G69-G68)&gt;=0,1,-1)</f>
        <v>#REF!</v>
      </c>
    </row>
    <row r="71" spans="1:7" ht="14.25" customHeight="1" collapsed="1">
      <c r="A71" s="12" t="s">
        <v>14</v>
      </c>
      <c r="B71" s="14" t="s">
        <v>154</v>
      </c>
      <c r="C71" s="12"/>
      <c r="D71" s="12"/>
      <c r="E71" s="12" t="s">
        <v>155</v>
      </c>
      <c r="F71" s="12" t="s">
        <v>14</v>
      </c>
      <c r="G71" s="12"/>
    </row>
    <row r="72" spans="1:7" hidden="1" outlineLevel="3">
      <c r="A72" s="3" t="s">
        <v>11</v>
      </c>
      <c r="B72" s="10" t="s">
        <v>156</v>
      </c>
      <c r="C72" s="10"/>
      <c r="D72" s="3"/>
      <c r="E72" s="3" t="s">
        <v>157</v>
      </c>
      <c r="F72" s="3" t="s">
        <v>11</v>
      </c>
      <c r="G72" s="3"/>
    </row>
    <row r="73" spans="1:7" hidden="1" outlineLevel="5">
      <c r="A73" s="3" t="s">
        <v>11</v>
      </c>
      <c r="B73" s="3" t="s">
        <v>46</v>
      </c>
      <c r="C73" s="10"/>
      <c r="D73" s="3"/>
      <c r="E73" s="3" t="s">
        <v>88</v>
      </c>
      <c r="F73" s="3" t="s">
        <v>14</v>
      </c>
      <c r="G73" s="3" t="s">
        <v>89</v>
      </c>
    </row>
    <row r="74" spans="1:7" hidden="1" outlineLevel="5">
      <c r="A74" s="3" t="s">
        <v>11</v>
      </c>
      <c r="B74" s="3" t="s">
        <v>82</v>
      </c>
      <c r="C74" s="10"/>
      <c r="D74" s="3"/>
      <c r="E74" s="3" t="s">
        <v>90</v>
      </c>
      <c r="F74" s="3" t="s">
        <v>14</v>
      </c>
      <c r="G74" s="3">
        <v>1148.7226376613501</v>
      </c>
    </row>
    <row r="75" spans="1:7" hidden="1" outlineLevel="4">
      <c r="A75" s="3" t="s">
        <v>11</v>
      </c>
      <c r="B75" s="9" t="s">
        <v>158</v>
      </c>
      <c r="C75" s="10"/>
      <c r="D75" s="3"/>
      <c r="E75" s="3" t="s">
        <v>159</v>
      </c>
      <c r="F75" s="3" t="s">
        <v>14</v>
      </c>
      <c r="G75" s="3"/>
    </row>
    <row r="76" spans="1:7" ht="60" hidden="1" outlineLevel="5">
      <c r="A76" s="3" t="s">
        <v>14</v>
      </c>
      <c r="B76" s="3" t="s">
        <v>44</v>
      </c>
      <c r="C76" s="10"/>
      <c r="D76" s="3"/>
      <c r="E76" s="3" t="s">
        <v>160</v>
      </c>
      <c r="F76" s="3" t="s">
        <v>14</v>
      </c>
      <c r="G76" s="3"/>
    </row>
    <row r="77" spans="1:7" hidden="1" outlineLevel="6">
      <c r="A77" s="3" t="s">
        <v>11</v>
      </c>
      <c r="B77" s="9" t="s">
        <v>161</v>
      </c>
      <c r="C77" s="10"/>
      <c r="D77" s="3"/>
      <c r="E77" s="3" t="s">
        <v>162</v>
      </c>
      <c r="F77" s="3" t="s">
        <v>11</v>
      </c>
      <c r="G77" s="3"/>
    </row>
    <row r="78" spans="1:7" hidden="1" outlineLevel="6">
      <c r="A78" s="3" t="s">
        <v>11</v>
      </c>
      <c r="B78" s="3" t="s">
        <v>82</v>
      </c>
      <c r="C78" s="10"/>
      <c r="D78" s="3"/>
      <c r="E78" s="3" t="s">
        <v>132</v>
      </c>
      <c r="F78" s="3" t="s">
        <v>14</v>
      </c>
      <c r="G78" s="3">
        <v>0</v>
      </c>
    </row>
    <row r="79" spans="1:7" hidden="1" outlineLevel="6">
      <c r="A79" s="3" t="s">
        <v>11</v>
      </c>
      <c r="B79" s="3" t="s">
        <v>46</v>
      </c>
      <c r="C79" s="10"/>
      <c r="D79" s="3"/>
      <c r="E79" s="3" t="s">
        <v>133</v>
      </c>
      <c r="F79" s="3" t="s">
        <v>14</v>
      </c>
      <c r="G79" s="3">
        <v>1704871</v>
      </c>
    </row>
    <row r="80" spans="1:7" hidden="1" outlineLevel="6">
      <c r="A80" s="3" t="s">
        <v>11</v>
      </c>
      <c r="B80" s="9" t="s">
        <v>163</v>
      </c>
      <c r="C80" s="10"/>
      <c r="D80" s="3"/>
      <c r="E80" s="3" t="s">
        <v>164</v>
      </c>
      <c r="F80" s="3" t="s">
        <v>11</v>
      </c>
      <c r="G80" s="3"/>
    </row>
    <row r="81" spans="1:7" hidden="1" outlineLevel="6">
      <c r="A81" s="3" t="s">
        <v>11</v>
      </c>
      <c r="B81" s="3" t="s">
        <v>46</v>
      </c>
      <c r="C81" s="10"/>
      <c r="D81" s="3"/>
      <c r="E81" s="3" t="s">
        <v>136</v>
      </c>
      <c r="F81" s="3" t="s">
        <v>14</v>
      </c>
      <c r="G81" s="3" t="s">
        <v>137</v>
      </c>
    </row>
    <row r="82" spans="1:7" hidden="1" outlineLevel="6">
      <c r="A82" s="3" t="s">
        <v>11</v>
      </c>
      <c r="B82" s="3" t="s">
        <v>82</v>
      </c>
      <c r="C82" s="10"/>
      <c r="D82" s="3"/>
      <c r="E82" s="3" t="s">
        <v>138</v>
      </c>
      <c r="F82" s="3" t="s">
        <v>14</v>
      </c>
      <c r="G82" s="3">
        <v>36.170999999999999</v>
      </c>
    </row>
    <row r="83" spans="1:7" hidden="1" outlineLevel="6">
      <c r="A83" s="3" t="s">
        <v>11</v>
      </c>
      <c r="B83" s="3" t="s">
        <v>46</v>
      </c>
      <c r="C83" s="10"/>
      <c r="D83" s="3"/>
      <c r="E83" s="3" t="s">
        <v>139</v>
      </c>
      <c r="F83" s="3" t="s">
        <v>14</v>
      </c>
      <c r="G83" s="3" t="s">
        <v>140</v>
      </c>
    </row>
    <row r="84" spans="1:7" hidden="1" outlineLevel="6">
      <c r="A84" s="3" t="s">
        <v>14</v>
      </c>
      <c r="B84" s="3" t="s">
        <v>82</v>
      </c>
      <c r="C84" s="10"/>
      <c r="D84" s="3" t="s">
        <v>48</v>
      </c>
      <c r="E84" s="3" t="s">
        <v>141</v>
      </c>
      <c r="F84" s="3" t="s">
        <v>14</v>
      </c>
      <c r="G84" s="3" t="e">
        <f>#REF!</f>
        <v>#REF!</v>
      </c>
    </row>
    <row r="85" spans="1:7" ht="17.25" hidden="1" customHeight="1" outlineLevel="6">
      <c r="A85" s="3" t="s">
        <v>14</v>
      </c>
      <c r="B85" s="3" t="s">
        <v>82</v>
      </c>
      <c r="C85" s="10"/>
      <c r="D85" s="3" t="s">
        <v>48</v>
      </c>
      <c r="E85" s="3" t="s">
        <v>142</v>
      </c>
      <c r="F85" s="3" t="s">
        <v>14</v>
      </c>
      <c r="G85" s="3" t="e">
        <f>(G84*G82/SUM(G82,#REF!)+#REF!*#REF!/SUM(G82,#REF!))*44/12</f>
        <v>#REF!</v>
      </c>
    </row>
    <row r="86" spans="1:7" hidden="1" outlineLevel="4">
      <c r="A86" s="3" t="s">
        <v>14</v>
      </c>
      <c r="B86" s="3" t="s">
        <v>82</v>
      </c>
      <c r="C86" s="10"/>
      <c r="D86" s="3" t="s">
        <v>48</v>
      </c>
      <c r="E86" s="3" t="s">
        <v>143</v>
      </c>
      <c r="F86" s="3" t="s">
        <v>14</v>
      </c>
      <c r="G86" s="3" t="e">
        <f>((#REF!-G85)*(1/(#REF!-G78)))*G74</f>
        <v>#REF!</v>
      </c>
    </row>
    <row r="87" spans="1:7" hidden="1" outlineLevel="4">
      <c r="A87" s="3" t="s">
        <v>11</v>
      </c>
      <c r="B87" s="9" t="s">
        <v>165</v>
      </c>
      <c r="C87" s="10"/>
      <c r="D87" s="3" t="s">
        <v>48</v>
      </c>
      <c r="E87" s="3" t="s">
        <v>166</v>
      </c>
      <c r="F87" s="3" t="s">
        <v>14</v>
      </c>
      <c r="G87" s="3" t="e">
        <f>#REF!</f>
        <v>#REF!</v>
      </c>
    </row>
    <row r="88" spans="1:7" ht="60" hidden="1" outlineLevel="5">
      <c r="A88" s="3" t="s">
        <v>14</v>
      </c>
      <c r="B88" s="3" t="s">
        <v>44</v>
      </c>
      <c r="C88" s="10"/>
      <c r="D88" s="3"/>
      <c r="E88" s="3" t="s">
        <v>160</v>
      </c>
      <c r="F88" s="3" t="s">
        <v>14</v>
      </c>
      <c r="G88" s="3"/>
    </row>
    <row r="89" spans="1:7" hidden="1" outlineLevel="6">
      <c r="A89" s="3" t="s">
        <v>11</v>
      </c>
      <c r="B89" s="9" t="s">
        <v>161</v>
      </c>
      <c r="C89" s="10"/>
      <c r="D89" s="3"/>
      <c r="E89" s="3" t="s">
        <v>162</v>
      </c>
      <c r="F89" s="3" t="s">
        <v>11</v>
      </c>
      <c r="G89" s="3"/>
    </row>
    <row r="90" spans="1:7" hidden="1" outlineLevel="6">
      <c r="A90" s="3" t="s">
        <v>11</v>
      </c>
      <c r="B90" s="3" t="s">
        <v>82</v>
      </c>
      <c r="C90" s="10"/>
      <c r="D90" s="3"/>
      <c r="E90" s="3" t="s">
        <v>132</v>
      </c>
      <c r="F90" s="3" t="s">
        <v>14</v>
      </c>
      <c r="G90" s="3">
        <v>0</v>
      </c>
    </row>
    <row r="91" spans="1:7" hidden="1" outlineLevel="6">
      <c r="A91" s="3" t="s">
        <v>11</v>
      </c>
      <c r="B91" s="3" t="s">
        <v>46</v>
      </c>
      <c r="C91" s="10"/>
      <c r="D91" s="3"/>
      <c r="E91" s="3" t="s">
        <v>133</v>
      </c>
      <c r="F91" s="3" t="s">
        <v>14</v>
      </c>
      <c r="G91" s="3">
        <v>1704871</v>
      </c>
    </row>
    <row r="92" spans="1:7" hidden="1" outlineLevel="6">
      <c r="A92" s="3" t="s">
        <v>11</v>
      </c>
      <c r="B92" s="9" t="s">
        <v>163</v>
      </c>
      <c r="C92" s="10"/>
      <c r="D92" s="3"/>
      <c r="E92" s="3" t="s">
        <v>164</v>
      </c>
      <c r="F92" s="3" t="s">
        <v>11</v>
      </c>
      <c r="G92" s="3"/>
    </row>
    <row r="93" spans="1:7" hidden="1" outlineLevel="6">
      <c r="A93" s="3" t="s">
        <v>11</v>
      </c>
      <c r="B93" s="3" t="s">
        <v>46</v>
      </c>
      <c r="C93" s="10"/>
      <c r="D93" s="3"/>
      <c r="E93" s="3" t="s">
        <v>136</v>
      </c>
      <c r="F93" s="3" t="s">
        <v>14</v>
      </c>
      <c r="G93" s="3" t="s">
        <v>137</v>
      </c>
    </row>
    <row r="94" spans="1:7" hidden="1" outlineLevel="6">
      <c r="A94" s="3" t="s">
        <v>11</v>
      </c>
      <c r="B94" s="3" t="s">
        <v>82</v>
      </c>
      <c r="C94" s="10"/>
      <c r="D94" s="3"/>
      <c r="E94" s="3" t="s">
        <v>138</v>
      </c>
      <c r="F94" s="3" t="s">
        <v>14</v>
      </c>
      <c r="G94" s="3">
        <v>36.170999999999999</v>
      </c>
    </row>
    <row r="95" spans="1:7" hidden="1" outlineLevel="6">
      <c r="A95" s="3" t="s">
        <v>11</v>
      </c>
      <c r="B95" s="3" t="s">
        <v>46</v>
      </c>
      <c r="C95" s="10"/>
      <c r="D95" s="3"/>
      <c r="E95" s="3" t="s">
        <v>139</v>
      </c>
      <c r="F95" s="3" t="s">
        <v>14</v>
      </c>
      <c r="G95" s="3" t="s">
        <v>140</v>
      </c>
    </row>
    <row r="96" spans="1:7" hidden="1" outlineLevel="6">
      <c r="A96" s="3" t="s">
        <v>14</v>
      </c>
      <c r="B96" s="3" t="s">
        <v>82</v>
      </c>
      <c r="C96" s="10"/>
      <c r="D96" s="3" t="s">
        <v>48</v>
      </c>
      <c r="E96" s="3" t="s">
        <v>141</v>
      </c>
      <c r="F96" s="3" t="s">
        <v>14</v>
      </c>
      <c r="G96" s="3" t="e">
        <f>#REF!</f>
        <v>#REF!</v>
      </c>
    </row>
    <row r="97" spans="1:7" hidden="1" outlineLevel="6">
      <c r="A97" s="3" t="s">
        <v>14</v>
      </c>
      <c r="B97" s="3" t="s">
        <v>82</v>
      </c>
      <c r="C97" s="10"/>
      <c r="D97" s="3" t="s">
        <v>48</v>
      </c>
      <c r="E97" s="3" t="s">
        <v>142</v>
      </c>
      <c r="F97" s="3" t="s">
        <v>14</v>
      </c>
      <c r="G97" s="3" t="e">
        <f>(G96*G94/SUM(G94,#REF!)+#REF!*#REF!/SUM(G94,#REF!))*44/12</f>
        <v>#REF!</v>
      </c>
    </row>
    <row r="98" spans="1:7" hidden="1" outlineLevel="4">
      <c r="A98" s="3" t="s">
        <v>14</v>
      </c>
      <c r="B98" s="3" t="s">
        <v>82</v>
      </c>
      <c r="C98" s="10"/>
      <c r="D98" s="3" t="s">
        <v>48</v>
      </c>
      <c r="E98" s="3" t="s">
        <v>148</v>
      </c>
      <c r="F98" s="3" t="s">
        <v>14</v>
      </c>
      <c r="G98" s="3" t="e">
        <f>((#REF!-G97)*(1/(#REF!-G90)))*G74</f>
        <v>#REF!</v>
      </c>
    </row>
    <row r="99" spans="1:7" hidden="1" outlineLevel="2">
      <c r="A99" s="3" t="s">
        <v>14</v>
      </c>
      <c r="B99" s="3" t="s">
        <v>82</v>
      </c>
      <c r="C99" s="10"/>
      <c r="D99" s="3" t="s">
        <v>48</v>
      </c>
      <c r="E99" s="3" t="s">
        <v>151</v>
      </c>
      <c r="F99" s="3" t="s">
        <v>14</v>
      </c>
      <c r="G99" s="3" t="e">
        <f>SUM(G86)</f>
        <v>#REF!</v>
      </c>
    </row>
    <row r="100" spans="1:7" hidden="1" outlineLevel="2">
      <c r="A100" s="3" t="s">
        <v>14</v>
      </c>
      <c r="B100" s="3" t="s">
        <v>82</v>
      </c>
      <c r="C100" s="10"/>
      <c r="D100" s="3" t="s">
        <v>48</v>
      </c>
      <c r="E100" s="3" t="s">
        <v>152</v>
      </c>
      <c r="F100" s="3" t="s">
        <v>14</v>
      </c>
      <c r="G100" s="3" t="e">
        <f>SUM(G98)</f>
        <v>#REF!</v>
      </c>
    </row>
    <row r="101" spans="1:7" ht="60" hidden="1" outlineLevel="2">
      <c r="A101" s="3" t="s">
        <v>14</v>
      </c>
      <c r="B101" s="3" t="s">
        <v>82</v>
      </c>
      <c r="C101" s="10"/>
      <c r="D101" s="3" t="s">
        <v>48</v>
      </c>
      <c r="E101" s="3" t="s">
        <v>153</v>
      </c>
      <c r="F101" s="3" t="s">
        <v>14</v>
      </c>
      <c r="G101" s="3" t="e">
        <f>IF((G100-G99)&gt;=0,1,-1)</f>
        <v>#REF!</v>
      </c>
    </row>
    <row r="102" spans="1:7" collapsed="1">
      <c r="A102" s="3" t="s">
        <v>11</v>
      </c>
      <c r="B102" s="10" t="s">
        <v>167</v>
      </c>
      <c r="C102" s="3" t="s">
        <v>47</v>
      </c>
      <c r="D102" s="3"/>
      <c r="E102" s="3" t="s">
        <v>168</v>
      </c>
      <c r="F102" s="3" t="s">
        <v>14</v>
      </c>
      <c r="G102" s="3"/>
    </row>
    <row r="103" spans="1:7" ht="14.25" hidden="1" customHeight="1" outlineLevel="2" collapsed="1">
      <c r="A103" s="3" t="s">
        <v>11</v>
      </c>
      <c r="B103" s="9" t="s">
        <v>169</v>
      </c>
      <c r="C103" s="3"/>
      <c r="D103" s="3"/>
      <c r="E103" s="3" t="s">
        <v>170</v>
      </c>
      <c r="F103" s="3" t="s">
        <v>11</v>
      </c>
      <c r="G103" s="3"/>
    </row>
    <row r="104" spans="1:7" ht="14.25" hidden="1" customHeight="1" outlineLevel="3">
      <c r="A104" s="3" t="s">
        <v>11</v>
      </c>
      <c r="B104" s="3" t="s">
        <v>46</v>
      </c>
      <c r="C104" s="3"/>
      <c r="D104" s="3"/>
      <c r="E104" s="3" t="s">
        <v>88</v>
      </c>
      <c r="F104" s="3" t="s">
        <v>14</v>
      </c>
      <c r="G104" s="3" t="s">
        <v>89</v>
      </c>
    </row>
    <row r="105" spans="1:7" hidden="1" outlineLevel="3">
      <c r="A105" s="3" t="s">
        <v>11</v>
      </c>
      <c r="B105" s="3" t="s">
        <v>82</v>
      </c>
      <c r="C105" s="3"/>
      <c r="D105" s="3"/>
      <c r="E105" s="3" t="s">
        <v>90</v>
      </c>
      <c r="F105" s="3" t="s">
        <v>14</v>
      </c>
      <c r="G105" s="3">
        <v>1148.7226376613501</v>
      </c>
    </row>
    <row r="106" spans="1:7" hidden="1" outlineLevel="3">
      <c r="A106" s="3" t="s">
        <v>11</v>
      </c>
      <c r="B106" s="9" t="s">
        <v>171</v>
      </c>
      <c r="C106" s="3"/>
      <c r="D106" s="3"/>
      <c r="E106" s="3" t="s">
        <v>172</v>
      </c>
      <c r="F106" s="3" t="s">
        <v>14</v>
      </c>
      <c r="G106" s="3"/>
    </row>
    <row r="107" spans="1:7" hidden="1" outlineLevel="5" collapsed="1">
      <c r="A107" s="3" t="s">
        <v>14</v>
      </c>
      <c r="B107" s="9" t="s">
        <v>173</v>
      </c>
      <c r="C107" s="3"/>
      <c r="D107" s="3" t="e">
        <f>EXACT(#REF!,"Approach 3")</f>
        <v>#REF!</v>
      </c>
      <c r="E107" s="3" t="s">
        <v>174</v>
      </c>
      <c r="F107" s="3" t="s">
        <v>14</v>
      </c>
      <c r="G107" s="3"/>
    </row>
    <row r="108" spans="1:7" hidden="1" outlineLevel="6">
      <c r="A108" s="3" t="s">
        <v>14</v>
      </c>
      <c r="B108" s="10" t="s">
        <v>175</v>
      </c>
      <c r="C108" s="3"/>
      <c r="D108" s="3"/>
      <c r="E108" s="3" t="s">
        <v>176</v>
      </c>
      <c r="F108" s="3" t="s">
        <v>11</v>
      </c>
      <c r="G108" s="3"/>
    </row>
    <row r="109" spans="1:7" hidden="1" outlineLevel="6">
      <c r="A109" s="4" t="s">
        <v>11</v>
      </c>
      <c r="B109" s="4" t="s">
        <v>46</v>
      </c>
      <c r="C109" s="5" t="s">
        <v>47</v>
      </c>
      <c r="D109" s="8"/>
      <c r="E109" s="4" t="s">
        <v>177</v>
      </c>
      <c r="F109" s="4" t="s">
        <v>14</v>
      </c>
      <c r="G109" s="4" t="s">
        <v>178</v>
      </c>
    </row>
    <row r="110" spans="1:7" ht="45" hidden="1" outlineLevel="6">
      <c r="A110" s="4" t="s">
        <v>14</v>
      </c>
      <c r="B110" s="4" t="s">
        <v>82</v>
      </c>
      <c r="C110" s="5" t="s">
        <v>47</v>
      </c>
      <c r="D110" s="8" t="s">
        <v>48</v>
      </c>
      <c r="E110" s="4" t="s">
        <v>179</v>
      </c>
      <c r="F110" s="4" t="s">
        <v>14</v>
      </c>
      <c r="G110" s="4">
        <f>G111*G112</f>
        <v>86.58</v>
      </c>
    </row>
    <row r="111" spans="1:7" hidden="1" outlineLevel="6">
      <c r="A111" s="4" t="s">
        <v>11</v>
      </c>
      <c r="B111" s="4" t="s">
        <v>82</v>
      </c>
      <c r="C111" s="5" t="s">
        <v>47</v>
      </c>
      <c r="D111" s="8"/>
      <c r="E111" s="4" t="s">
        <v>180</v>
      </c>
      <c r="F111" s="4" t="s">
        <v>14</v>
      </c>
      <c r="G111" s="4">
        <v>30000</v>
      </c>
    </row>
    <row r="112" spans="1:7" hidden="1" outlineLevel="6">
      <c r="A112" s="4" t="s">
        <v>11</v>
      </c>
      <c r="B112" s="4" t="s">
        <v>82</v>
      </c>
      <c r="C112" s="5" t="s">
        <v>47</v>
      </c>
      <c r="D112" s="8"/>
      <c r="E112" s="4" t="s">
        <v>181</v>
      </c>
      <c r="F112" s="4" t="s">
        <v>14</v>
      </c>
      <c r="G112" s="4">
        <v>2.8860000000000001E-3</v>
      </c>
    </row>
    <row r="113" spans="1:7" ht="30" hidden="1" outlineLevel="6" collapsed="1">
      <c r="A113" s="3" t="s">
        <v>14</v>
      </c>
      <c r="B113" s="3" t="s">
        <v>82</v>
      </c>
      <c r="C113" s="3" t="s">
        <v>47</v>
      </c>
      <c r="D113" s="3" t="s">
        <v>48</v>
      </c>
      <c r="E113" s="3" t="s">
        <v>182</v>
      </c>
      <c r="F113" s="3" t="s">
        <v>14</v>
      </c>
      <c r="G113" s="3">
        <f>G114/G105</f>
        <v>7.5370674487851674E-2</v>
      </c>
    </row>
    <row r="114" spans="1:7" ht="45" hidden="1" outlineLevel="6">
      <c r="A114" s="3" t="s">
        <v>14</v>
      </c>
      <c r="B114" s="3" t="s">
        <v>82</v>
      </c>
      <c r="C114" s="3"/>
      <c r="D114" s="3" t="s">
        <v>48</v>
      </c>
      <c r="E114" s="3" t="s">
        <v>183</v>
      </c>
      <c r="F114" s="3" t="s">
        <v>14</v>
      </c>
      <c r="G114" s="3">
        <f>SUM(G110)</f>
        <v>86.58</v>
      </c>
    </row>
    <row r="115" spans="1:7" hidden="1" outlineLevel="5">
      <c r="A115" s="3" t="s">
        <v>14</v>
      </c>
      <c r="B115" s="9" t="s">
        <v>184</v>
      </c>
      <c r="C115" s="3"/>
      <c r="D115" s="3" t="e">
        <f>EXACT(#REF!,"Approach 3")</f>
        <v>#REF!</v>
      </c>
      <c r="E115" s="3" t="s">
        <v>185</v>
      </c>
      <c r="F115" s="3" t="s">
        <v>14</v>
      </c>
      <c r="G115" s="3"/>
    </row>
    <row r="116" spans="1:7" ht="30" hidden="1" outlineLevel="6">
      <c r="A116" s="4" t="s">
        <v>11</v>
      </c>
      <c r="B116" s="4" t="s">
        <v>82</v>
      </c>
      <c r="C116" s="5" t="s">
        <v>47</v>
      </c>
      <c r="D116" s="8"/>
      <c r="E116" s="4" t="s">
        <v>186</v>
      </c>
      <c r="F116" s="4" t="s">
        <v>14</v>
      </c>
      <c r="G116" s="4">
        <v>10</v>
      </c>
    </row>
    <row r="117" spans="1:7" hidden="1" outlineLevel="6">
      <c r="A117" s="4" t="s">
        <v>14</v>
      </c>
      <c r="B117" s="4" t="s">
        <v>82</v>
      </c>
      <c r="C117" s="5"/>
      <c r="D117" s="8" t="s">
        <v>48</v>
      </c>
      <c r="E117" s="4" t="s">
        <v>187</v>
      </c>
      <c r="F117" s="4" t="s">
        <v>14</v>
      </c>
      <c r="G117" s="4">
        <f>0.12</f>
        <v>0.12</v>
      </c>
    </row>
    <row r="118" spans="1:7" ht="30" hidden="1" outlineLevel="6">
      <c r="A118" s="4" t="s">
        <v>11</v>
      </c>
      <c r="B118" s="4" t="s">
        <v>82</v>
      </c>
      <c r="C118" s="5"/>
      <c r="D118" s="8"/>
      <c r="E118" s="4" t="s">
        <v>188</v>
      </c>
      <c r="F118" s="4" t="s">
        <v>14</v>
      </c>
      <c r="G118" s="4">
        <v>5</v>
      </c>
    </row>
    <row r="119" spans="1:7" hidden="1" outlineLevel="6">
      <c r="A119" s="4" t="s">
        <v>14</v>
      </c>
      <c r="B119" s="4" t="s">
        <v>82</v>
      </c>
      <c r="C119" s="5"/>
      <c r="D119" s="8" t="s">
        <v>48</v>
      </c>
      <c r="E119" s="4" t="s">
        <v>189</v>
      </c>
      <c r="F119" s="4" t="s">
        <v>14</v>
      </c>
      <c r="G119" s="4">
        <f>0.13</f>
        <v>0.13</v>
      </c>
    </row>
    <row r="120" spans="1:7" ht="30" hidden="1" outlineLevel="6">
      <c r="A120" s="4" t="s">
        <v>14</v>
      </c>
      <c r="B120" s="4" t="s">
        <v>82</v>
      </c>
      <c r="C120" s="5"/>
      <c r="D120" s="8" t="s">
        <v>48</v>
      </c>
      <c r="E120" s="4" t="s">
        <v>190</v>
      </c>
      <c r="F120" s="4" t="s">
        <v>14</v>
      </c>
      <c r="G120" s="4">
        <f>((G116*G117)+(G118*G119))*G122</f>
        <v>6.7833333333333332</v>
      </c>
    </row>
    <row r="121" spans="1:7" ht="30" hidden="1" outlineLevel="6">
      <c r="A121" s="4" t="s">
        <v>14</v>
      </c>
      <c r="B121" s="4" t="s">
        <v>82</v>
      </c>
      <c r="C121" s="5"/>
      <c r="D121" s="8" t="s">
        <v>48</v>
      </c>
      <c r="E121" s="4" t="s">
        <v>191</v>
      </c>
      <c r="F121" s="4" t="s">
        <v>14</v>
      </c>
      <c r="G121" s="4">
        <f>G120/G105</f>
        <v>5.9051098245467837E-3</v>
      </c>
    </row>
    <row r="122" spans="1:7" ht="30" hidden="1" outlineLevel="6">
      <c r="A122" s="4" t="s">
        <v>14</v>
      </c>
      <c r="B122" s="4" t="s">
        <v>82</v>
      </c>
      <c r="C122" s="5"/>
      <c r="D122" s="8" t="s">
        <v>48</v>
      </c>
      <c r="E122" s="4" t="s">
        <v>192</v>
      </c>
      <c r="F122" s="4" t="s">
        <v>14</v>
      </c>
      <c r="G122" s="4">
        <f>44/12</f>
        <v>3.6666666666666665</v>
      </c>
    </row>
    <row r="123" spans="1:7" hidden="1" outlineLevel="5">
      <c r="A123" s="3" t="s">
        <v>14</v>
      </c>
      <c r="B123" s="9" t="s">
        <v>193</v>
      </c>
      <c r="C123" s="3"/>
      <c r="D123" s="3" t="e">
        <f>EXACT(#REF!,"Approach 3")</f>
        <v>#REF!</v>
      </c>
      <c r="E123" s="3" t="s">
        <v>194</v>
      </c>
      <c r="F123" s="3" t="s">
        <v>14</v>
      </c>
      <c r="G123" s="3"/>
    </row>
    <row r="124" spans="1:7" hidden="1" outlineLevel="6">
      <c r="A124" s="3" t="s">
        <v>14</v>
      </c>
      <c r="B124" s="10" t="s">
        <v>195</v>
      </c>
      <c r="C124" s="3"/>
      <c r="D124" s="3"/>
      <c r="E124" s="3" t="s">
        <v>196</v>
      </c>
      <c r="F124" s="3" t="s">
        <v>14</v>
      </c>
      <c r="G124" s="3"/>
    </row>
    <row r="125" spans="1:7" hidden="1" outlineLevel="6">
      <c r="A125" s="4" t="s">
        <v>11</v>
      </c>
      <c r="B125" s="4" t="s">
        <v>46</v>
      </c>
      <c r="C125" s="5" t="s">
        <v>47</v>
      </c>
      <c r="D125" s="8"/>
      <c r="E125" s="4" t="s">
        <v>197</v>
      </c>
      <c r="F125" s="4" t="s">
        <v>14</v>
      </c>
      <c r="G125" s="4" t="s">
        <v>198</v>
      </c>
    </row>
    <row r="126" spans="1:7" hidden="1" outlineLevel="6">
      <c r="A126" s="4" t="s">
        <v>11</v>
      </c>
      <c r="B126" s="4" t="s">
        <v>46</v>
      </c>
      <c r="C126" s="5"/>
      <c r="D126" s="8"/>
      <c r="E126" s="4" t="s">
        <v>199</v>
      </c>
      <c r="F126" s="4" t="s">
        <v>14</v>
      </c>
      <c r="G126" s="4" t="s">
        <v>200</v>
      </c>
    </row>
    <row r="127" spans="1:7" ht="30" hidden="1" outlineLevel="6">
      <c r="A127" s="4" t="s">
        <v>11</v>
      </c>
      <c r="B127" s="4" t="s">
        <v>82</v>
      </c>
      <c r="C127" s="5"/>
      <c r="D127" s="8"/>
      <c r="E127" s="4" t="s">
        <v>201</v>
      </c>
      <c r="F127" s="4" t="s">
        <v>14</v>
      </c>
      <c r="G127" s="4">
        <v>160</v>
      </c>
    </row>
    <row r="128" spans="1:7" ht="30" hidden="1" outlineLevel="6">
      <c r="A128" s="4" t="s">
        <v>11</v>
      </c>
      <c r="B128" s="4" t="s">
        <v>82</v>
      </c>
      <c r="C128" s="5"/>
      <c r="D128" s="8"/>
      <c r="E128" s="4" t="s">
        <v>202</v>
      </c>
      <c r="F128" s="4" t="s">
        <v>14</v>
      </c>
      <c r="G128" s="4">
        <v>13.289693946836101</v>
      </c>
    </row>
    <row r="129" spans="1:7" ht="30" hidden="1" outlineLevel="6">
      <c r="A129" s="4" t="s">
        <v>14</v>
      </c>
      <c r="B129" s="4" t="s">
        <v>82</v>
      </c>
      <c r="C129" s="5"/>
      <c r="D129" s="8" t="s">
        <v>48</v>
      </c>
      <c r="E129" s="4" t="s">
        <v>190</v>
      </c>
      <c r="F129" s="4" t="s">
        <v>14</v>
      </c>
      <c r="G129" s="4">
        <f>G127*G128</f>
        <v>2126.3510314937762</v>
      </c>
    </row>
    <row r="130" spans="1:7" ht="30" hidden="1" outlineLevel="6">
      <c r="A130" s="3" t="s">
        <v>14</v>
      </c>
      <c r="B130" s="3" t="s">
        <v>82</v>
      </c>
      <c r="C130" s="3"/>
      <c r="D130" s="3" t="s">
        <v>48</v>
      </c>
      <c r="E130" s="3" t="s">
        <v>191</v>
      </c>
      <c r="F130" s="3" t="s">
        <v>14</v>
      </c>
      <c r="G130" s="3">
        <f>SUM(G129)</f>
        <v>2126.3510314937762</v>
      </c>
    </row>
    <row r="131" spans="1:7" ht="30" hidden="1" outlineLevel="6">
      <c r="A131" s="3" t="s">
        <v>14</v>
      </c>
      <c r="B131" s="3" t="s">
        <v>82</v>
      </c>
      <c r="C131" s="3"/>
      <c r="D131" s="3" t="s">
        <v>48</v>
      </c>
      <c r="E131" s="3" t="s">
        <v>203</v>
      </c>
      <c r="F131" s="3" t="s">
        <v>14</v>
      </c>
      <c r="G131" s="3">
        <f>((G133*G130)/G132)/G105</f>
        <v>5.1829594829816368E-2</v>
      </c>
    </row>
    <row r="132" spans="1:7" hidden="1" outlineLevel="6">
      <c r="A132" s="3" t="s">
        <v>14</v>
      </c>
      <c r="B132" s="3" t="s">
        <v>82</v>
      </c>
      <c r="C132" s="3"/>
      <c r="D132" s="3" t="s">
        <v>48</v>
      </c>
      <c r="E132" s="3" t="s">
        <v>204</v>
      </c>
      <c r="F132" s="3" t="s">
        <v>14</v>
      </c>
      <c r="G132" s="3">
        <f>1000</f>
        <v>1000</v>
      </c>
    </row>
    <row r="133" spans="1:7" hidden="1" outlineLevel="6">
      <c r="A133" s="3" t="s">
        <v>11</v>
      </c>
      <c r="B133" s="3" t="s">
        <v>82</v>
      </c>
      <c r="C133" s="3"/>
      <c r="D133" s="3"/>
      <c r="E133" s="3" t="s">
        <v>96</v>
      </c>
      <c r="F133" s="3" t="s">
        <v>14</v>
      </c>
      <c r="G133" s="3">
        <v>28</v>
      </c>
    </row>
    <row r="134" spans="1:7" hidden="1" outlineLevel="5">
      <c r="A134" s="3" t="s">
        <v>14</v>
      </c>
      <c r="B134" s="9" t="s">
        <v>205</v>
      </c>
      <c r="C134" s="3"/>
      <c r="D134" s="3" t="e">
        <f>EXACT(#REF!,"Approach 3")</f>
        <v>#REF!</v>
      </c>
      <c r="E134" s="3" t="s">
        <v>206</v>
      </c>
      <c r="F134" s="3" t="s">
        <v>14</v>
      </c>
      <c r="G134" s="3"/>
    </row>
    <row r="135" spans="1:7" hidden="1" outlineLevel="6">
      <c r="A135" s="3" t="s">
        <v>14</v>
      </c>
      <c r="B135" s="10" t="s">
        <v>207</v>
      </c>
      <c r="C135" s="3"/>
      <c r="D135" s="3"/>
      <c r="E135" s="3" t="s">
        <v>208</v>
      </c>
      <c r="F135" s="3" t="s">
        <v>14</v>
      </c>
      <c r="G135" s="3"/>
    </row>
    <row r="136" spans="1:7" hidden="1" outlineLevel="6">
      <c r="A136" s="4" t="s">
        <v>11</v>
      </c>
      <c r="B136" s="4" t="s">
        <v>46</v>
      </c>
      <c r="C136" s="5" t="s">
        <v>47</v>
      </c>
      <c r="D136" s="8"/>
      <c r="E136" s="4" t="s">
        <v>197</v>
      </c>
      <c r="F136" s="4" t="s">
        <v>14</v>
      </c>
      <c r="G136" s="4" t="s">
        <v>198</v>
      </c>
    </row>
    <row r="137" spans="1:7" hidden="1" outlineLevel="6">
      <c r="A137" s="4" t="s">
        <v>11</v>
      </c>
      <c r="B137" s="4" t="s">
        <v>46</v>
      </c>
      <c r="C137" s="5"/>
      <c r="D137" s="8"/>
      <c r="E137" s="4" t="s">
        <v>199</v>
      </c>
      <c r="F137" s="4" t="s">
        <v>14</v>
      </c>
      <c r="G137" s="4" t="s">
        <v>200</v>
      </c>
    </row>
    <row r="138" spans="1:7" ht="30" hidden="1" outlineLevel="6">
      <c r="A138" s="4" t="s">
        <v>11</v>
      </c>
      <c r="B138" s="4" t="s">
        <v>82</v>
      </c>
      <c r="C138" s="5"/>
      <c r="D138" s="8"/>
      <c r="E138" s="4" t="s">
        <v>201</v>
      </c>
      <c r="F138" s="4" t="s">
        <v>14</v>
      </c>
      <c r="G138" s="4">
        <v>160</v>
      </c>
    </row>
    <row r="139" spans="1:7" hidden="1" outlineLevel="6">
      <c r="A139" s="4" t="s">
        <v>11</v>
      </c>
      <c r="B139" s="4" t="s">
        <v>46</v>
      </c>
      <c r="C139" s="5"/>
      <c r="D139" s="8"/>
      <c r="E139" s="4" t="s">
        <v>209</v>
      </c>
      <c r="F139" s="4" t="s">
        <v>14</v>
      </c>
      <c r="G139" s="4" t="s">
        <v>210</v>
      </c>
    </row>
    <row r="140" spans="1:7" ht="45" hidden="1" outlineLevel="6">
      <c r="A140" s="4" t="s">
        <v>14</v>
      </c>
      <c r="B140" s="4" t="s">
        <v>82</v>
      </c>
      <c r="C140" s="5"/>
      <c r="D140" s="8"/>
      <c r="E140" s="4" t="s">
        <v>211</v>
      </c>
      <c r="F140" s="4" t="s">
        <v>14</v>
      </c>
      <c r="G140" s="4">
        <v>1</v>
      </c>
    </row>
    <row r="141" spans="1:7" ht="30" hidden="1" outlineLevel="6">
      <c r="A141" s="4" t="s">
        <v>11</v>
      </c>
      <c r="B141" s="4" t="s">
        <v>82</v>
      </c>
      <c r="C141" s="5"/>
      <c r="D141" s="8"/>
      <c r="E141" s="4" t="s">
        <v>212</v>
      </c>
      <c r="F141" s="4" t="s">
        <v>14</v>
      </c>
      <c r="G141" s="4">
        <v>30</v>
      </c>
    </row>
    <row r="142" spans="1:7" ht="30" hidden="1" outlineLevel="6">
      <c r="A142" s="4" t="s">
        <v>11</v>
      </c>
      <c r="B142" s="4" t="s">
        <v>82</v>
      </c>
      <c r="C142" s="5"/>
      <c r="D142" s="8"/>
      <c r="E142" s="4" t="s">
        <v>213</v>
      </c>
      <c r="F142" s="4" t="s">
        <v>14</v>
      </c>
      <c r="G142" s="4">
        <v>8.3000000000000007</v>
      </c>
    </row>
    <row r="143" spans="1:7" ht="45" hidden="1" outlineLevel="6">
      <c r="A143" s="4" t="s">
        <v>14</v>
      </c>
      <c r="B143" s="4" t="s">
        <v>82</v>
      </c>
      <c r="C143" s="5"/>
      <c r="D143" s="8"/>
      <c r="E143" s="4" t="s">
        <v>214</v>
      </c>
      <c r="F143" s="4" t="s">
        <v>14</v>
      </c>
      <c r="G143" s="4">
        <v>0.6</v>
      </c>
    </row>
    <row r="144" spans="1:7" ht="45" hidden="1" outlineLevel="6">
      <c r="A144" s="4" t="s">
        <v>14</v>
      </c>
      <c r="B144" s="4" t="s">
        <v>82</v>
      </c>
      <c r="C144" s="5"/>
      <c r="D144" s="8" t="s">
        <v>48</v>
      </c>
      <c r="E144" s="4" t="s">
        <v>215</v>
      </c>
      <c r="F144" s="4" t="s">
        <v>14</v>
      </c>
      <c r="G144" s="4">
        <f>(G142*(G141/G145))*G146</f>
        <v>90.885000000000005</v>
      </c>
    </row>
    <row r="145" spans="1:7" hidden="1" outlineLevel="6">
      <c r="A145" s="4" t="s">
        <v>14</v>
      </c>
      <c r="B145" s="4" t="s">
        <v>82</v>
      </c>
      <c r="C145" s="5"/>
      <c r="D145" s="8" t="s">
        <v>48</v>
      </c>
      <c r="E145" s="4" t="s">
        <v>216</v>
      </c>
      <c r="F145" s="4" t="s">
        <v>14</v>
      </c>
      <c r="G145" s="4">
        <v>1000</v>
      </c>
    </row>
    <row r="146" spans="1:7" hidden="1" outlineLevel="6">
      <c r="A146" s="4" t="s">
        <v>14</v>
      </c>
      <c r="B146" s="4" t="s">
        <v>82</v>
      </c>
      <c r="C146" s="5"/>
      <c r="D146" s="8" t="s">
        <v>48</v>
      </c>
      <c r="E146" s="4" t="s">
        <v>217</v>
      </c>
      <c r="F146" s="4" t="s">
        <v>14</v>
      </c>
      <c r="G146" s="4">
        <f>365</f>
        <v>365</v>
      </c>
    </row>
    <row r="147" spans="1:7" ht="18" hidden="1" outlineLevel="6">
      <c r="A147" s="3" t="s">
        <v>14</v>
      </c>
      <c r="B147" s="3" t="s">
        <v>82</v>
      </c>
      <c r="C147" s="3"/>
      <c r="D147" s="3" t="s">
        <v>48</v>
      </c>
      <c r="E147" s="3" t="s">
        <v>218</v>
      </c>
      <c r="F147" s="3" t="s">
        <v>14</v>
      </c>
      <c r="G147" s="3">
        <f>SUM((G138*G144*G140*G143))</f>
        <v>8724.9599999999991</v>
      </c>
    </row>
    <row r="148" spans="1:7" ht="30" hidden="1" outlineLevel="6">
      <c r="A148" s="3" t="s">
        <v>14</v>
      </c>
      <c r="B148" s="3" t="s">
        <v>82</v>
      </c>
      <c r="C148" s="3"/>
      <c r="D148" s="3" t="s">
        <v>48</v>
      </c>
      <c r="E148" s="3" t="s">
        <v>219</v>
      </c>
      <c r="F148" s="3" t="s">
        <v>14</v>
      </c>
      <c r="G148" s="3">
        <f>G149*G147/(G150*G105)</f>
        <v>2.126700319037507E-4</v>
      </c>
    </row>
    <row r="149" spans="1:7" hidden="1" outlineLevel="6">
      <c r="A149" s="3" t="s">
        <v>11</v>
      </c>
      <c r="B149" s="3" t="s">
        <v>82</v>
      </c>
      <c r="C149" s="3"/>
      <c r="D149" s="3"/>
      <c r="E149" s="3" t="s">
        <v>96</v>
      </c>
      <c r="F149" s="3" t="s">
        <v>14</v>
      </c>
      <c r="G149" s="3">
        <v>28</v>
      </c>
    </row>
    <row r="150" spans="1:7" hidden="1" outlineLevel="6">
      <c r="A150" s="3" t="s">
        <v>14</v>
      </c>
      <c r="B150" s="3" t="s">
        <v>82</v>
      </c>
      <c r="C150" s="3"/>
      <c r="D150" s="3" t="s">
        <v>48</v>
      </c>
      <c r="E150" s="3" t="s">
        <v>220</v>
      </c>
      <c r="F150" s="3" t="s">
        <v>14</v>
      </c>
      <c r="G150" s="3">
        <f>10^6</f>
        <v>1000000</v>
      </c>
    </row>
    <row r="151" spans="1:7" hidden="1" outlineLevel="5">
      <c r="A151" s="3" t="s">
        <v>14</v>
      </c>
      <c r="B151" s="9" t="s">
        <v>221</v>
      </c>
      <c r="C151" s="3"/>
      <c r="D151" s="3" t="e">
        <f>EXACT(#REF!,"Approach 3")</f>
        <v>#REF!</v>
      </c>
      <c r="E151" s="3" t="s">
        <v>222</v>
      </c>
      <c r="F151" s="3" t="s">
        <v>14</v>
      </c>
      <c r="G151" s="3"/>
    </row>
    <row r="152" spans="1:7" hidden="1" outlineLevel="6">
      <c r="A152" s="3" t="s">
        <v>14</v>
      </c>
      <c r="B152" s="10" t="s">
        <v>223</v>
      </c>
      <c r="C152" s="3"/>
      <c r="D152" s="3"/>
      <c r="E152" s="3" t="s">
        <v>224</v>
      </c>
      <c r="F152" s="3" t="s">
        <v>14</v>
      </c>
      <c r="G152" s="3"/>
    </row>
    <row r="153" spans="1:7" hidden="1" outlineLevel="6">
      <c r="A153" s="4" t="s">
        <v>11</v>
      </c>
      <c r="B153" s="4" t="s">
        <v>46</v>
      </c>
      <c r="C153" s="5" t="s">
        <v>47</v>
      </c>
      <c r="D153" s="8"/>
      <c r="E153" s="4" t="s">
        <v>225</v>
      </c>
      <c r="F153" s="4" t="s">
        <v>14</v>
      </c>
      <c r="G153" s="4" t="s">
        <v>226</v>
      </c>
    </row>
    <row r="154" spans="1:7" ht="30" hidden="1" outlineLevel="6">
      <c r="A154" s="4" t="s">
        <v>11</v>
      </c>
      <c r="B154" s="4" t="s">
        <v>82</v>
      </c>
      <c r="C154" s="5"/>
      <c r="D154" s="8"/>
      <c r="E154" s="4" t="s">
        <v>227</v>
      </c>
      <c r="F154" s="4" t="s">
        <v>14</v>
      </c>
      <c r="G154" s="4">
        <v>0.92</v>
      </c>
    </row>
    <row r="155" spans="1:7" ht="30" hidden="1" outlineLevel="6">
      <c r="A155" s="4" t="s">
        <v>11</v>
      </c>
      <c r="B155" s="4" t="s">
        <v>82</v>
      </c>
      <c r="C155" s="5"/>
      <c r="D155" s="8"/>
      <c r="E155" s="4" t="s">
        <v>228</v>
      </c>
      <c r="F155" s="4" t="s">
        <v>14</v>
      </c>
      <c r="G155" s="4">
        <v>2.2999999999999998</v>
      </c>
    </row>
    <row r="156" spans="1:7" ht="30" hidden="1" outlineLevel="6">
      <c r="A156" s="4" t="s">
        <v>11</v>
      </c>
      <c r="B156" s="4" t="s">
        <v>82</v>
      </c>
      <c r="C156" s="5"/>
      <c r="D156" s="8"/>
      <c r="E156" s="4" t="s">
        <v>229</v>
      </c>
      <c r="F156" s="4" t="s">
        <v>14</v>
      </c>
      <c r="G156" s="4">
        <v>1423149.0296307299</v>
      </c>
    </row>
    <row r="157" spans="1:7" ht="18" hidden="1" outlineLevel="6">
      <c r="A157" s="4" t="s">
        <v>14</v>
      </c>
      <c r="B157" s="4" t="s">
        <v>82</v>
      </c>
      <c r="C157" s="5"/>
      <c r="D157" s="8" t="s">
        <v>48</v>
      </c>
      <c r="E157" s="4" t="s">
        <v>230</v>
      </c>
      <c r="F157" s="4" t="s">
        <v>14</v>
      </c>
      <c r="G157" s="4">
        <f>G156*G154*G155</f>
        <v>3011383.3466986245</v>
      </c>
    </row>
    <row r="158" spans="1:7" ht="18" hidden="1" outlineLevel="6">
      <c r="A158" s="3" t="s">
        <v>11</v>
      </c>
      <c r="B158" s="3" t="s">
        <v>82</v>
      </c>
      <c r="C158" s="3"/>
      <c r="D158" s="3"/>
      <c r="E158" s="3" t="s">
        <v>231</v>
      </c>
      <c r="F158" s="3" t="s">
        <v>14</v>
      </c>
      <c r="G158" s="3">
        <f>SUM(G157)</f>
        <v>3011383.3466986245</v>
      </c>
    </row>
    <row r="159" spans="1:7" ht="30" hidden="1" outlineLevel="6">
      <c r="A159" s="3" t="s">
        <v>14</v>
      </c>
      <c r="B159" s="3" t="s">
        <v>82</v>
      </c>
      <c r="C159" s="3"/>
      <c r="D159" s="3" t="s">
        <v>48</v>
      </c>
      <c r="E159" s="3" t="s">
        <v>232</v>
      </c>
      <c r="F159" s="3" t="s">
        <v>14</v>
      </c>
      <c r="G159" s="3">
        <f>((G160*G158)/G161)/G105</f>
        <v>7.3402169455999811E-2</v>
      </c>
    </row>
    <row r="160" spans="1:7" hidden="1" outlineLevel="6">
      <c r="A160" s="3" t="s">
        <v>11</v>
      </c>
      <c r="B160" s="3" t="s">
        <v>82</v>
      </c>
      <c r="C160" s="3"/>
      <c r="D160" s="3"/>
      <c r="E160" s="3" t="s">
        <v>96</v>
      </c>
      <c r="F160" s="3" t="s">
        <v>14</v>
      </c>
      <c r="G160" s="3">
        <v>28</v>
      </c>
    </row>
    <row r="161" spans="1:7" hidden="1" outlineLevel="6">
      <c r="A161" s="3" t="s">
        <v>14</v>
      </c>
      <c r="B161" s="3" t="s">
        <v>82</v>
      </c>
      <c r="C161" s="3"/>
      <c r="D161" s="3" t="s">
        <v>48</v>
      </c>
      <c r="E161" s="3" t="s">
        <v>220</v>
      </c>
      <c r="F161" s="3" t="s">
        <v>14</v>
      </c>
      <c r="G161" s="3">
        <f>10^6</f>
        <v>1000000</v>
      </c>
    </row>
    <row r="162" spans="1:7" hidden="1" outlineLevel="5">
      <c r="A162" s="3" t="s">
        <v>14</v>
      </c>
      <c r="B162" s="9" t="s">
        <v>233</v>
      </c>
      <c r="C162" s="3"/>
      <c r="D162" s="3" t="e">
        <f>EXACT(#REF!,"Approach 3")</f>
        <v>#REF!</v>
      </c>
      <c r="E162" s="3" t="s">
        <v>234</v>
      </c>
      <c r="F162" s="3" t="s">
        <v>14</v>
      </c>
      <c r="G162" s="3"/>
    </row>
    <row r="163" spans="1:7" hidden="1" outlineLevel="6">
      <c r="A163" s="3" t="s">
        <v>11</v>
      </c>
      <c r="B163" s="3" t="s">
        <v>82</v>
      </c>
      <c r="C163" s="3" t="s">
        <v>47</v>
      </c>
      <c r="D163" s="3"/>
      <c r="E163" s="3" t="s">
        <v>90</v>
      </c>
      <c r="F163" s="3" t="s">
        <v>14</v>
      </c>
      <c r="G163" s="3">
        <v>1148.722638</v>
      </c>
    </row>
    <row r="164" spans="1:7" hidden="1" outlineLevel="6">
      <c r="A164" s="3" t="s">
        <v>14</v>
      </c>
      <c r="B164" s="10" t="s">
        <v>235</v>
      </c>
      <c r="C164" s="3"/>
      <c r="D164" s="3"/>
      <c r="E164" s="3" t="s">
        <v>236</v>
      </c>
      <c r="F164" s="3" t="s">
        <v>11</v>
      </c>
      <c r="G164" s="3"/>
    </row>
    <row r="165" spans="1:7" hidden="1" outlineLevel="6">
      <c r="A165" s="4" t="s">
        <v>11</v>
      </c>
      <c r="B165" s="4" t="s">
        <v>46</v>
      </c>
      <c r="C165" s="5"/>
      <c r="D165" s="8"/>
      <c r="E165" s="4" t="s">
        <v>237</v>
      </c>
      <c r="F165" s="4" t="s">
        <v>14</v>
      </c>
      <c r="G165" s="4" t="s">
        <v>238</v>
      </c>
    </row>
    <row r="166" spans="1:7" ht="30" hidden="1" outlineLevel="6">
      <c r="A166" s="4" t="s">
        <v>11</v>
      </c>
      <c r="B166" s="4" t="s">
        <v>46</v>
      </c>
      <c r="C166" s="5" t="s">
        <v>47</v>
      </c>
      <c r="D166" s="8"/>
      <c r="E166" s="4" t="s">
        <v>239</v>
      </c>
      <c r="F166" s="4" t="s">
        <v>14</v>
      </c>
      <c r="G166" s="4">
        <v>314.03539242142602</v>
      </c>
    </row>
    <row r="167" spans="1:7" hidden="1" outlineLevel="6">
      <c r="A167" s="4" t="s">
        <v>11</v>
      </c>
      <c r="B167" s="4" t="s">
        <v>82</v>
      </c>
      <c r="C167" s="5"/>
      <c r="D167" s="8"/>
      <c r="E167" s="4" t="s">
        <v>240</v>
      </c>
      <c r="F167" s="4" t="s">
        <v>14</v>
      </c>
      <c r="G167" s="4">
        <v>0.82</v>
      </c>
    </row>
    <row r="168" spans="1:7" ht="30" hidden="1" outlineLevel="6">
      <c r="A168" s="3" t="s">
        <v>14</v>
      </c>
      <c r="B168" s="3" t="s">
        <v>82</v>
      </c>
      <c r="C168" s="3"/>
      <c r="D168" s="3" t="s">
        <v>48</v>
      </c>
      <c r="E168" s="3" t="s">
        <v>241</v>
      </c>
      <c r="F168" s="3" t="s">
        <v>14</v>
      </c>
      <c r="G168" s="3">
        <f>SUM(G166*G167)</f>
        <v>257.5090217855693</v>
      </c>
    </row>
    <row r="169" spans="1:7" hidden="1" outlineLevel="6">
      <c r="A169" s="3" t="s">
        <v>14</v>
      </c>
      <c r="B169" s="10" t="s">
        <v>242</v>
      </c>
      <c r="C169" s="3"/>
      <c r="D169" s="3"/>
      <c r="E169" s="3" t="s">
        <v>243</v>
      </c>
      <c r="F169" s="3" t="s">
        <v>11</v>
      </c>
      <c r="G169" s="3"/>
    </row>
    <row r="170" spans="1:7" hidden="1" outlineLevel="6">
      <c r="A170" s="4" t="s">
        <v>11</v>
      </c>
      <c r="B170" s="4" t="s">
        <v>46</v>
      </c>
      <c r="C170" s="5"/>
      <c r="D170" s="8"/>
      <c r="E170" s="4" t="s">
        <v>244</v>
      </c>
      <c r="F170" s="4" t="s">
        <v>14</v>
      </c>
      <c r="G170" s="4" t="s">
        <v>245</v>
      </c>
    </row>
    <row r="171" spans="1:7" ht="30" hidden="1" outlineLevel="6">
      <c r="A171" s="4" t="s">
        <v>11</v>
      </c>
      <c r="B171" s="4" t="s">
        <v>82</v>
      </c>
      <c r="C171" s="5"/>
      <c r="D171" s="8"/>
      <c r="E171" s="4" t="s">
        <v>246</v>
      </c>
      <c r="F171" s="4" t="s">
        <v>14</v>
      </c>
      <c r="G171" s="4">
        <v>483.31272857651902</v>
      </c>
    </row>
    <row r="172" spans="1:7" hidden="1" outlineLevel="6">
      <c r="A172" s="4" t="s">
        <v>11</v>
      </c>
      <c r="B172" s="4" t="s">
        <v>82</v>
      </c>
      <c r="C172" s="5"/>
      <c r="D172" s="8"/>
      <c r="E172" s="4" t="s">
        <v>247</v>
      </c>
      <c r="F172" s="4" t="s">
        <v>14</v>
      </c>
      <c r="G172" s="4">
        <v>6.6600000000000006E-2</v>
      </c>
    </row>
    <row r="173" spans="1:7" ht="30" hidden="1" outlineLevel="6">
      <c r="A173" s="3" t="s">
        <v>14</v>
      </c>
      <c r="B173" s="3" t="s">
        <v>82</v>
      </c>
      <c r="C173" s="3"/>
      <c r="D173" s="3" t="s">
        <v>48</v>
      </c>
      <c r="E173" s="3" t="s">
        <v>248</v>
      </c>
      <c r="F173" s="3" t="s">
        <v>14</v>
      </c>
      <c r="G173" s="3">
        <f>SUM(G171*G172)</f>
        <v>32.18862772319617</v>
      </c>
    </row>
    <row r="174" spans="1:7" ht="30" hidden="1" outlineLevel="6">
      <c r="A174" s="3" t="s">
        <v>11</v>
      </c>
      <c r="B174" s="3" t="s">
        <v>82</v>
      </c>
      <c r="C174" s="3"/>
      <c r="D174" s="3"/>
      <c r="E174" s="3" t="s">
        <v>249</v>
      </c>
      <c r="F174" s="3" t="s">
        <v>14</v>
      </c>
      <c r="G174" s="3">
        <v>0.01</v>
      </c>
    </row>
    <row r="175" spans="1:7" ht="30" hidden="1" outlineLevel="6">
      <c r="A175" s="3" t="s">
        <v>14</v>
      </c>
      <c r="B175" s="3" t="s">
        <v>82</v>
      </c>
      <c r="C175" s="3"/>
      <c r="D175" s="3" t="s">
        <v>48</v>
      </c>
      <c r="E175" s="3" t="s">
        <v>250</v>
      </c>
      <c r="F175" s="3" t="s">
        <v>14</v>
      </c>
      <c r="G175" s="3">
        <f>((G168+G173)*G174*44/28*G185)/G105</f>
        <v>1.0501958817208847</v>
      </c>
    </row>
    <row r="176" spans="1:7" ht="30" hidden="1" outlineLevel="6">
      <c r="A176" s="3" t="s">
        <v>11</v>
      </c>
      <c r="B176" s="3" t="s">
        <v>82</v>
      </c>
      <c r="C176" s="3"/>
      <c r="D176" s="3"/>
      <c r="E176" s="3" t="s">
        <v>251</v>
      </c>
      <c r="F176" s="3" t="s">
        <v>14</v>
      </c>
      <c r="G176" s="3">
        <v>0.11</v>
      </c>
    </row>
    <row r="177" spans="1:7" ht="30" hidden="1" outlineLevel="6">
      <c r="A177" s="3" t="s">
        <v>11</v>
      </c>
      <c r="B177" s="3" t="s">
        <v>82</v>
      </c>
      <c r="C177" s="3"/>
      <c r="D177" s="3"/>
      <c r="E177" s="3" t="s">
        <v>252</v>
      </c>
      <c r="F177" s="3" t="s">
        <v>14</v>
      </c>
      <c r="G177" s="3">
        <v>0.21</v>
      </c>
    </row>
    <row r="178" spans="1:7" ht="30" hidden="1" outlineLevel="6">
      <c r="A178" s="3" t="s">
        <v>11</v>
      </c>
      <c r="B178" s="3" t="s">
        <v>82</v>
      </c>
      <c r="C178" s="3"/>
      <c r="D178" s="3"/>
      <c r="E178" s="3" t="s">
        <v>253</v>
      </c>
      <c r="F178" s="3" t="s">
        <v>14</v>
      </c>
      <c r="G178" s="3">
        <v>0.01</v>
      </c>
    </row>
    <row r="179" spans="1:7" ht="45" hidden="1" outlineLevel="6">
      <c r="A179" s="3" t="s">
        <v>14</v>
      </c>
      <c r="B179" s="3" t="s">
        <v>82</v>
      </c>
      <c r="C179" s="3"/>
      <c r="D179" s="3" t="s">
        <v>48</v>
      </c>
      <c r="E179" s="3" t="s">
        <v>254</v>
      </c>
      <c r="F179" s="3" t="s">
        <v>14</v>
      </c>
      <c r="G179" s="3">
        <f>((G168*G176)+(G173*G177))*G178*(44/28)*G185</f>
        <v>146.10648042328191</v>
      </c>
    </row>
    <row r="180" spans="1:7" ht="45" hidden="1" outlineLevel="6">
      <c r="A180" s="3" t="s">
        <v>11</v>
      </c>
      <c r="B180" s="3" t="s">
        <v>82</v>
      </c>
      <c r="C180" s="3"/>
      <c r="D180" s="3"/>
      <c r="E180" s="3" t="s">
        <v>255</v>
      </c>
      <c r="F180" s="3" t="s">
        <v>14</v>
      </c>
      <c r="G180" s="3">
        <v>0.24</v>
      </c>
    </row>
    <row r="181" spans="1:7" ht="30" hidden="1" outlineLevel="6">
      <c r="A181" s="3" t="s">
        <v>11</v>
      </c>
      <c r="B181" s="3" t="s">
        <v>82</v>
      </c>
      <c r="C181" s="3"/>
      <c r="D181" s="3"/>
      <c r="E181" s="3" t="s">
        <v>256</v>
      </c>
      <c r="F181" s="3" t="s">
        <v>14</v>
      </c>
      <c r="G181" s="3">
        <v>1.0999999999999999E-2</v>
      </c>
    </row>
    <row r="182" spans="1:7" ht="45" hidden="1" outlineLevel="6">
      <c r="A182" s="3" t="s">
        <v>14</v>
      </c>
      <c r="B182" s="3" t="s">
        <v>82</v>
      </c>
      <c r="C182" s="3"/>
      <c r="D182" s="3" t="s">
        <v>48</v>
      </c>
      <c r="E182" s="3" t="s">
        <v>257</v>
      </c>
      <c r="F182" s="3" t="s">
        <v>14</v>
      </c>
      <c r="G182" s="3">
        <f>(G168+G173)*G180*G181*(44/28)*G185</f>
        <v>318.48531879423649</v>
      </c>
    </row>
    <row r="183" spans="1:7" ht="30" hidden="1" outlineLevel="6">
      <c r="A183" s="3" t="s">
        <v>14</v>
      </c>
      <c r="B183" s="3" t="s">
        <v>82</v>
      </c>
      <c r="C183" s="3"/>
      <c r="D183" s="3" t="s">
        <v>48</v>
      </c>
      <c r="E183" s="3" t="s">
        <v>258</v>
      </c>
      <c r="F183" s="3" t="s">
        <v>14</v>
      </c>
      <c r="G183" s="3">
        <f>(G179+G182)/G105</f>
        <v>0.40444210289384297</v>
      </c>
    </row>
    <row r="184" spans="1:7" ht="30" hidden="1" outlineLevel="6">
      <c r="A184" s="3" t="s">
        <v>14</v>
      </c>
      <c r="B184" s="3" t="s">
        <v>82</v>
      </c>
      <c r="C184" s="3"/>
      <c r="D184" s="3" t="s">
        <v>48</v>
      </c>
      <c r="E184" s="3" t="s">
        <v>259</v>
      </c>
      <c r="F184" s="3" t="s">
        <v>14</v>
      </c>
      <c r="G184" s="3">
        <f>G175+G183</f>
        <v>1.4546379846147277</v>
      </c>
    </row>
    <row r="185" spans="1:7" hidden="1" outlineLevel="6">
      <c r="A185" s="3" t="s">
        <v>11</v>
      </c>
      <c r="B185" s="3" t="s">
        <v>82</v>
      </c>
      <c r="C185" s="3"/>
      <c r="D185" s="3"/>
      <c r="E185" s="3" t="s">
        <v>114</v>
      </c>
      <c r="F185" s="3" t="s">
        <v>14</v>
      </c>
      <c r="G185" s="3">
        <v>265</v>
      </c>
    </row>
    <row r="186" spans="1:7" hidden="1" outlineLevel="5">
      <c r="A186" s="3" t="s">
        <v>14</v>
      </c>
      <c r="B186" s="9" t="s">
        <v>260</v>
      </c>
      <c r="C186" s="3"/>
      <c r="D186" s="3" t="e">
        <f>EXACT(#REF!,"Approach 3")</f>
        <v>#REF!</v>
      </c>
      <c r="E186" s="3" t="s">
        <v>261</v>
      </c>
      <c r="F186" s="3" t="s">
        <v>14</v>
      </c>
      <c r="G186" s="3"/>
    </row>
    <row r="187" spans="1:7" hidden="1" outlineLevel="6">
      <c r="A187" s="3" t="s">
        <v>14</v>
      </c>
      <c r="B187" s="10" t="s">
        <v>262</v>
      </c>
      <c r="C187" s="3"/>
      <c r="D187" s="3"/>
      <c r="E187" s="3" t="s">
        <v>263</v>
      </c>
      <c r="F187" s="3" t="s">
        <v>11</v>
      </c>
      <c r="G187" s="3"/>
    </row>
    <row r="188" spans="1:7" hidden="1" outlineLevel="6">
      <c r="A188" s="4" t="s">
        <v>11</v>
      </c>
      <c r="B188" s="4" t="s">
        <v>46</v>
      </c>
      <c r="C188" s="5"/>
      <c r="D188" s="8"/>
      <c r="E188" s="4" t="s">
        <v>264</v>
      </c>
      <c r="F188" s="4" t="s">
        <v>14</v>
      </c>
      <c r="G188" s="4" t="s">
        <v>198</v>
      </c>
    </row>
    <row r="189" spans="1:7" ht="30" hidden="1" outlineLevel="6">
      <c r="A189" s="4" t="s">
        <v>11</v>
      </c>
      <c r="B189" s="4" t="s">
        <v>82</v>
      </c>
      <c r="C189" s="5"/>
      <c r="D189" s="8"/>
      <c r="E189" s="4" t="s">
        <v>201</v>
      </c>
      <c r="F189" s="4" t="s">
        <v>14</v>
      </c>
      <c r="G189" s="4">
        <v>160</v>
      </c>
    </row>
    <row r="190" spans="1:7" hidden="1" outlineLevel="6">
      <c r="A190" s="4" t="s">
        <v>11</v>
      </c>
      <c r="B190" s="4" t="s">
        <v>46</v>
      </c>
      <c r="C190" s="5" t="s">
        <v>47</v>
      </c>
      <c r="D190" s="8"/>
      <c r="E190" s="4" t="s">
        <v>199</v>
      </c>
      <c r="F190" s="4" t="s">
        <v>14</v>
      </c>
      <c r="G190" s="4" t="s">
        <v>200</v>
      </c>
    </row>
    <row r="191" spans="1:7" hidden="1" outlineLevel="6">
      <c r="A191" s="4" t="s">
        <v>11</v>
      </c>
      <c r="B191" s="4" t="s">
        <v>46</v>
      </c>
      <c r="C191" s="5"/>
      <c r="D191" s="8"/>
      <c r="E191" s="4" t="s">
        <v>265</v>
      </c>
      <c r="F191" s="4" t="s">
        <v>14</v>
      </c>
      <c r="G191" s="4" t="s">
        <v>266</v>
      </c>
    </row>
    <row r="192" spans="1:7" ht="45" hidden="1" outlineLevel="6">
      <c r="A192" s="4" t="s">
        <v>14</v>
      </c>
      <c r="B192" s="4" t="s">
        <v>82</v>
      </c>
      <c r="C192" s="5"/>
      <c r="D192" s="8"/>
      <c r="E192" s="4" t="s">
        <v>267</v>
      </c>
      <c r="F192" s="4" t="s">
        <v>14</v>
      </c>
      <c r="G192" s="4">
        <v>1</v>
      </c>
    </row>
    <row r="193" spans="1:7" ht="30" hidden="1" outlineLevel="6">
      <c r="A193" s="4" t="s">
        <v>11</v>
      </c>
      <c r="B193" s="4"/>
      <c r="C193" s="5"/>
      <c r="D193" s="8"/>
      <c r="E193" s="4" t="s">
        <v>268</v>
      </c>
      <c r="F193" s="4" t="s">
        <v>14</v>
      </c>
      <c r="G193" s="4">
        <v>3.504</v>
      </c>
    </row>
    <row r="194" spans="1:7" ht="30" hidden="1" outlineLevel="6">
      <c r="A194" s="4" t="s">
        <v>11</v>
      </c>
      <c r="B194" s="4" t="s">
        <v>82</v>
      </c>
      <c r="C194" s="5"/>
      <c r="D194" s="8"/>
      <c r="E194" s="4" t="s">
        <v>269</v>
      </c>
      <c r="F194" s="4" t="s">
        <v>14</v>
      </c>
      <c r="G194" s="4">
        <v>3.0000000000000001E-3</v>
      </c>
    </row>
    <row r="195" spans="1:7" ht="30" hidden="1" outlineLevel="6">
      <c r="A195" s="4" t="s">
        <v>11</v>
      </c>
      <c r="B195" s="4" t="s">
        <v>82</v>
      </c>
      <c r="C195" s="5"/>
      <c r="D195" s="8"/>
      <c r="E195" s="4" t="s">
        <v>270</v>
      </c>
      <c r="F195" s="4" t="s">
        <v>14</v>
      </c>
      <c r="G195" s="4">
        <v>1</v>
      </c>
    </row>
    <row r="196" spans="1:7" ht="30" hidden="1" outlineLevel="6">
      <c r="A196" s="4" t="s">
        <v>14</v>
      </c>
      <c r="B196" s="4" t="s">
        <v>82</v>
      </c>
      <c r="C196" s="5"/>
      <c r="D196" s="8" t="s">
        <v>48</v>
      </c>
      <c r="E196" s="4" t="s">
        <v>271</v>
      </c>
      <c r="F196" s="4" t="s">
        <v>14</v>
      </c>
      <c r="G196" s="4">
        <f>(G189*G193)*G192*G195/1000</f>
        <v>0.56064000000000003</v>
      </c>
    </row>
    <row r="197" spans="1:7" ht="45" hidden="1" outlineLevel="6">
      <c r="A197" s="4"/>
      <c r="B197" s="4" t="s">
        <v>82</v>
      </c>
      <c r="C197" s="5"/>
      <c r="D197" s="8"/>
      <c r="E197" s="4" t="s">
        <v>255</v>
      </c>
      <c r="F197" s="4" t="s">
        <v>14</v>
      </c>
      <c r="G197" s="4">
        <v>0.24</v>
      </c>
    </row>
    <row r="198" spans="1:7" ht="30" hidden="1" outlineLevel="6">
      <c r="A198" s="4" t="s">
        <v>11</v>
      </c>
      <c r="B198" s="4" t="s">
        <v>82</v>
      </c>
      <c r="C198" s="5"/>
      <c r="D198" s="8"/>
      <c r="E198" s="4" t="s">
        <v>252</v>
      </c>
      <c r="F198" s="4" t="s">
        <v>14</v>
      </c>
      <c r="G198" s="4">
        <v>0.21</v>
      </c>
    </row>
    <row r="199" spans="1:7" ht="30" hidden="1" outlineLevel="6">
      <c r="A199" s="4" t="s">
        <v>11</v>
      </c>
      <c r="B199" s="4" t="s">
        <v>82</v>
      </c>
      <c r="C199" s="5"/>
      <c r="D199" s="8"/>
      <c r="E199" s="4" t="s">
        <v>256</v>
      </c>
      <c r="F199" s="4" t="s">
        <v>14</v>
      </c>
      <c r="G199" s="4">
        <v>1.0999999999999999E-2</v>
      </c>
    </row>
    <row r="200" spans="1:7" ht="30" hidden="1" outlineLevel="6">
      <c r="A200" s="4" t="s">
        <v>11</v>
      </c>
      <c r="B200" s="4" t="s">
        <v>82</v>
      </c>
      <c r="C200" s="5"/>
      <c r="D200" s="8"/>
      <c r="E200" s="4" t="s">
        <v>253</v>
      </c>
      <c r="F200" s="4" t="s">
        <v>14</v>
      </c>
      <c r="G200" s="4">
        <v>0.01</v>
      </c>
    </row>
    <row r="201" spans="1:7" ht="75" hidden="1" outlineLevel="6">
      <c r="A201" s="4" t="s">
        <v>14</v>
      </c>
      <c r="B201" s="4" t="s">
        <v>82</v>
      </c>
      <c r="C201" s="5"/>
      <c r="D201" s="8" t="s">
        <v>48</v>
      </c>
      <c r="E201" s="4" t="s">
        <v>272</v>
      </c>
      <c r="F201" s="4" t="s">
        <v>14</v>
      </c>
      <c r="G201" s="4">
        <f>G196*G197*G199*(44/28)*G206</f>
        <v>0.6163515977142856</v>
      </c>
    </row>
    <row r="202" spans="1:7" ht="45" hidden="1" outlineLevel="6">
      <c r="A202" s="4" t="s">
        <v>14</v>
      </c>
      <c r="B202" s="4" t="s">
        <v>82</v>
      </c>
      <c r="C202" s="5"/>
      <c r="D202" s="8" t="s">
        <v>48</v>
      </c>
      <c r="E202" s="4" t="s">
        <v>273</v>
      </c>
      <c r="F202" s="4" t="s">
        <v>14</v>
      </c>
      <c r="G202" s="4">
        <f>G196*G198*G200*(44/28)*G206</f>
        <v>0.49027968000000005</v>
      </c>
    </row>
    <row r="203" spans="1:7" ht="45" hidden="1" outlineLevel="6">
      <c r="A203" s="3" t="s">
        <v>14</v>
      </c>
      <c r="B203" s="3" t="s">
        <v>82</v>
      </c>
      <c r="C203" s="3"/>
      <c r="D203" s="3" t="s">
        <v>48</v>
      </c>
      <c r="E203" s="3" t="s">
        <v>274</v>
      </c>
      <c r="F203" s="3" t="s">
        <v>14</v>
      </c>
      <c r="G203" s="3">
        <f>SUM((G196*G194*(44/28)*G206))/G105</f>
        <v>6.0972032751358094E-4</v>
      </c>
    </row>
    <row r="204" spans="1:7" ht="30" hidden="1" outlineLevel="6">
      <c r="A204" s="3" t="s">
        <v>14</v>
      </c>
      <c r="B204" s="3" t="s">
        <v>82</v>
      </c>
      <c r="C204" s="3"/>
      <c r="D204" s="3" t="s">
        <v>48</v>
      </c>
      <c r="E204" s="3" t="s">
        <v>275</v>
      </c>
      <c r="F204" s="3" t="s">
        <v>14</v>
      </c>
      <c r="G204" s="3">
        <f>SUM((G202+G201))/G105</f>
        <v>9.6335811747145779E-4</v>
      </c>
    </row>
    <row r="205" spans="1:7" ht="30" hidden="1" outlineLevel="6">
      <c r="A205" s="3" t="s">
        <v>14</v>
      </c>
      <c r="B205" s="3" t="s">
        <v>82</v>
      </c>
      <c r="C205" s="3"/>
      <c r="D205" s="3" t="s">
        <v>48</v>
      </c>
      <c r="E205" s="3" t="s">
        <v>276</v>
      </c>
      <c r="F205" s="3" t="s">
        <v>14</v>
      </c>
      <c r="G205" s="3">
        <f>G203+G204</f>
        <v>1.5730784449850387E-3</v>
      </c>
    </row>
    <row r="206" spans="1:7" hidden="1" outlineLevel="6">
      <c r="A206" s="3" t="s">
        <v>11</v>
      </c>
      <c r="B206" s="3" t="s">
        <v>82</v>
      </c>
      <c r="C206" s="3"/>
      <c r="D206" s="3"/>
      <c r="E206" s="3" t="s">
        <v>114</v>
      </c>
      <c r="F206" s="3" t="s">
        <v>14</v>
      </c>
      <c r="G206" s="3">
        <v>265</v>
      </c>
    </row>
    <row r="207" spans="1:7" hidden="1" outlineLevel="5">
      <c r="A207" s="3" t="s">
        <v>14</v>
      </c>
      <c r="B207" s="9" t="s">
        <v>277</v>
      </c>
      <c r="C207" s="3"/>
      <c r="D207" s="3"/>
      <c r="E207" s="3" t="s">
        <v>278</v>
      </c>
      <c r="F207" s="3" t="s">
        <v>14</v>
      </c>
      <c r="G207" s="3"/>
    </row>
    <row r="208" spans="1:7" hidden="1" outlineLevel="6">
      <c r="A208" s="3" t="s">
        <v>14</v>
      </c>
      <c r="B208" s="10" t="s">
        <v>279</v>
      </c>
      <c r="C208" s="3"/>
      <c r="D208" s="3"/>
      <c r="E208" s="3" t="s">
        <v>280</v>
      </c>
      <c r="F208" s="3" t="s">
        <v>11</v>
      </c>
      <c r="G208" s="3"/>
    </row>
    <row r="209" spans="1:7" hidden="1" outlineLevel="6">
      <c r="A209" s="4" t="s">
        <v>11</v>
      </c>
      <c r="B209" s="4" t="s">
        <v>46</v>
      </c>
      <c r="C209" s="5"/>
      <c r="D209" s="8"/>
      <c r="E209" s="4" t="s">
        <v>281</v>
      </c>
      <c r="F209" s="4" t="s">
        <v>14</v>
      </c>
      <c r="G209" s="4" t="s">
        <v>282</v>
      </c>
    </row>
    <row r="210" spans="1:7" ht="30" hidden="1" outlineLevel="6">
      <c r="A210" s="4" t="s">
        <v>11</v>
      </c>
      <c r="B210" s="4" t="s">
        <v>82</v>
      </c>
      <c r="C210" s="5"/>
      <c r="D210" s="8"/>
      <c r="E210" s="4" t="s">
        <v>283</v>
      </c>
      <c r="F210" s="4" t="s">
        <v>14</v>
      </c>
      <c r="G210" s="4">
        <v>10000</v>
      </c>
    </row>
    <row r="211" spans="1:7" hidden="1" outlineLevel="6">
      <c r="A211" s="4" t="s">
        <v>11</v>
      </c>
      <c r="B211" s="4" t="s">
        <v>82</v>
      </c>
      <c r="C211" s="5" t="s">
        <v>47</v>
      </c>
      <c r="D211" s="8"/>
      <c r="E211" s="4" t="s">
        <v>284</v>
      </c>
      <c r="F211" s="4" t="s">
        <v>14</v>
      </c>
      <c r="G211" s="4">
        <v>8.0000000000000002E-3</v>
      </c>
    </row>
    <row r="212" spans="1:7" hidden="1" outlineLevel="6">
      <c r="A212" s="3" t="s">
        <v>11</v>
      </c>
      <c r="B212" s="3" t="s">
        <v>82</v>
      </c>
      <c r="C212" s="3"/>
      <c r="D212" s="3"/>
      <c r="E212" s="3" t="s">
        <v>240</v>
      </c>
      <c r="F212" s="3" t="s">
        <v>14</v>
      </c>
      <c r="G212" s="3">
        <v>0.01</v>
      </c>
    </row>
    <row r="213" spans="1:7" ht="30" hidden="1" outlineLevel="6">
      <c r="A213" s="3" t="s">
        <v>14</v>
      </c>
      <c r="B213" s="3" t="s">
        <v>82</v>
      </c>
      <c r="C213" s="3"/>
      <c r="D213" s="3" t="s">
        <v>48</v>
      </c>
      <c r="E213" s="3" t="s">
        <v>285</v>
      </c>
      <c r="F213" s="3" t="s">
        <v>14</v>
      </c>
      <c r="G213" s="3">
        <f>SUM(G210*G211)</f>
        <v>80</v>
      </c>
    </row>
    <row r="214" spans="1:7" ht="45" hidden="1" outlineLevel="6">
      <c r="A214" s="3" t="s">
        <v>11</v>
      </c>
      <c r="B214" s="10"/>
      <c r="C214" s="3"/>
      <c r="D214" s="3" t="s">
        <v>48</v>
      </c>
      <c r="E214" s="3" t="s">
        <v>286</v>
      </c>
      <c r="F214" s="3" t="s">
        <v>14</v>
      </c>
      <c r="G214" s="3">
        <f>(G213*G212*(44/28)*G215)/G105</f>
        <v>0.29001157130592697</v>
      </c>
    </row>
    <row r="215" spans="1:7" hidden="1" outlineLevel="6">
      <c r="A215" s="3" t="s">
        <v>11</v>
      </c>
      <c r="B215" s="3" t="s">
        <v>82</v>
      </c>
      <c r="C215" s="3"/>
      <c r="D215" s="3"/>
      <c r="E215" s="3" t="s">
        <v>114</v>
      </c>
      <c r="F215" s="3" t="s">
        <v>14</v>
      </c>
      <c r="G215" s="3">
        <v>265</v>
      </c>
    </row>
    <row r="216" spans="1:7" hidden="1" outlineLevel="5">
      <c r="A216" s="3" t="s">
        <v>14</v>
      </c>
      <c r="B216" s="10" t="s">
        <v>287</v>
      </c>
      <c r="C216" s="3"/>
      <c r="D216" s="3"/>
      <c r="E216" s="3" t="s">
        <v>288</v>
      </c>
      <c r="F216" s="3" t="s">
        <v>14</v>
      </c>
      <c r="G216" s="3"/>
    </row>
    <row r="217" spans="1:7" hidden="1" outlineLevel="6">
      <c r="A217" s="3" t="s">
        <v>14</v>
      </c>
      <c r="B217" s="10" t="s">
        <v>289</v>
      </c>
      <c r="C217" s="3"/>
      <c r="D217" s="3"/>
      <c r="E217" s="3" t="s">
        <v>290</v>
      </c>
      <c r="F217" s="3" t="s">
        <v>11</v>
      </c>
      <c r="G217" s="3"/>
    </row>
    <row r="218" spans="1:7" hidden="1" outlineLevel="6">
      <c r="A218" s="4" t="s">
        <v>11</v>
      </c>
      <c r="B218" s="4" t="s">
        <v>46</v>
      </c>
      <c r="C218" s="5" t="s">
        <v>47</v>
      </c>
      <c r="D218" s="8"/>
      <c r="E218" s="4" t="s">
        <v>225</v>
      </c>
      <c r="F218" s="4" t="s">
        <v>14</v>
      </c>
      <c r="G218" s="4" t="s">
        <v>226</v>
      </c>
    </row>
    <row r="219" spans="1:7" ht="30" hidden="1" outlineLevel="6">
      <c r="A219" s="4" t="s">
        <v>11</v>
      </c>
      <c r="B219" s="4" t="s">
        <v>82</v>
      </c>
      <c r="C219" s="5"/>
      <c r="D219" s="8"/>
      <c r="E219" s="4" t="s">
        <v>227</v>
      </c>
      <c r="F219" s="4" t="s">
        <v>14</v>
      </c>
      <c r="G219" s="4">
        <v>0.92</v>
      </c>
    </row>
    <row r="220" spans="1:7" ht="30" hidden="1" outlineLevel="6">
      <c r="A220" s="4" t="s">
        <v>11</v>
      </c>
      <c r="B220" s="4" t="s">
        <v>82</v>
      </c>
      <c r="C220" s="5"/>
      <c r="D220" s="8"/>
      <c r="E220" s="4" t="s">
        <v>291</v>
      </c>
      <c r="F220" s="4" t="s">
        <v>14</v>
      </c>
      <c r="G220" s="4">
        <v>0.21</v>
      </c>
    </row>
    <row r="221" spans="1:7" ht="30" hidden="1" outlineLevel="6">
      <c r="A221" s="4" t="s">
        <v>11</v>
      </c>
      <c r="B221" s="4" t="s">
        <v>82</v>
      </c>
      <c r="C221" s="5"/>
      <c r="D221" s="8"/>
      <c r="E221" s="4" t="s">
        <v>229</v>
      </c>
      <c r="F221" s="4" t="s">
        <v>14</v>
      </c>
      <c r="G221" s="4">
        <v>1423149.0296307299</v>
      </c>
    </row>
    <row r="222" spans="1:7" ht="18" hidden="1" outlineLevel="6">
      <c r="A222" s="4" t="s">
        <v>14</v>
      </c>
      <c r="B222" s="4" t="s">
        <v>82</v>
      </c>
      <c r="C222" s="5"/>
      <c r="D222" s="8" t="s">
        <v>48</v>
      </c>
      <c r="E222" s="4" t="s">
        <v>292</v>
      </c>
      <c r="F222" s="4" t="s">
        <v>14</v>
      </c>
      <c r="G222" s="4">
        <f>G221*G219*G220</f>
        <v>274952.39252465701</v>
      </c>
    </row>
    <row r="223" spans="1:7" ht="18" hidden="1" outlineLevel="6">
      <c r="A223" s="3" t="s">
        <v>11</v>
      </c>
      <c r="B223" s="3" t="s">
        <v>82</v>
      </c>
      <c r="C223" s="3"/>
      <c r="D223" s="3"/>
      <c r="E223" s="3" t="s">
        <v>293</v>
      </c>
      <c r="F223" s="3" t="s">
        <v>14</v>
      </c>
      <c r="G223" s="3">
        <f>SUM(G222)</f>
        <v>274952.39252465701</v>
      </c>
    </row>
    <row r="224" spans="1:7" ht="30" hidden="1" outlineLevel="6">
      <c r="A224" s="3" t="s">
        <v>14</v>
      </c>
      <c r="B224" s="3" t="s">
        <v>82</v>
      </c>
      <c r="C224" s="3"/>
      <c r="D224" s="3" t="s">
        <v>48</v>
      </c>
      <c r="E224" s="3" t="s">
        <v>294</v>
      </c>
      <c r="F224" s="3" t="s">
        <v>14</v>
      </c>
      <c r="G224" s="3">
        <f>((G225*G223)/G226)/G105</f>
        <v>6.3429048605999822E-2</v>
      </c>
    </row>
    <row r="225" spans="1:7" hidden="1" outlineLevel="6">
      <c r="A225" s="3" t="s">
        <v>11</v>
      </c>
      <c r="B225" s="3" t="s">
        <v>82</v>
      </c>
      <c r="C225" s="3"/>
      <c r="D225" s="3"/>
      <c r="E225" s="3" t="s">
        <v>114</v>
      </c>
      <c r="F225" s="3" t="s">
        <v>14</v>
      </c>
      <c r="G225" s="3">
        <v>265</v>
      </c>
    </row>
    <row r="226" spans="1:7" hidden="1" outlineLevel="6">
      <c r="A226" s="3" t="s">
        <v>14</v>
      </c>
      <c r="B226" s="3" t="s">
        <v>82</v>
      </c>
      <c r="C226" s="3"/>
      <c r="D226" s="3" t="s">
        <v>48</v>
      </c>
      <c r="E226" s="3" t="s">
        <v>220</v>
      </c>
      <c r="F226" s="3" t="s">
        <v>14</v>
      </c>
      <c r="G226" s="3">
        <f>10^6</f>
        <v>1000000</v>
      </c>
    </row>
    <row r="227" spans="1:7" hidden="1" outlineLevel="5">
      <c r="A227" s="3" t="s">
        <v>14</v>
      </c>
      <c r="B227" s="9" t="s">
        <v>295</v>
      </c>
      <c r="C227" s="3"/>
      <c r="D227" s="3"/>
      <c r="E227" s="3" t="s">
        <v>296</v>
      </c>
      <c r="F227" s="3" t="s">
        <v>14</v>
      </c>
      <c r="G227" s="3"/>
    </row>
    <row r="228" spans="1:7" ht="30" hidden="1" outlineLevel="6">
      <c r="A228" s="3" t="s">
        <v>14</v>
      </c>
      <c r="B228" s="10"/>
      <c r="C228" s="3"/>
      <c r="D228" s="3" t="s">
        <v>48</v>
      </c>
      <c r="E228" s="3" t="s">
        <v>297</v>
      </c>
      <c r="F228" s="3" t="s">
        <v>14</v>
      </c>
      <c r="G228" s="11">
        <f>G184+G205+G214</f>
        <v>1.7462226343656397</v>
      </c>
    </row>
    <row r="229" spans="1:7" hidden="1" outlineLevel="3">
      <c r="A229" s="3" t="s">
        <v>11</v>
      </c>
      <c r="B229" s="9" t="s">
        <v>298</v>
      </c>
      <c r="C229" s="3"/>
      <c r="D229" s="3"/>
      <c r="E229" s="3" t="s">
        <v>299</v>
      </c>
      <c r="F229" s="3" t="s">
        <v>14</v>
      </c>
      <c r="G229" s="3"/>
    </row>
    <row r="230" spans="1:7" hidden="1" outlineLevel="6" collapsed="1">
      <c r="A230" s="3" t="s">
        <v>14</v>
      </c>
      <c r="B230" s="9" t="s">
        <v>300</v>
      </c>
      <c r="C230" s="3"/>
      <c r="D230" s="3"/>
      <c r="E230" s="3" t="s">
        <v>301</v>
      </c>
      <c r="F230" s="3" t="s">
        <v>14</v>
      </c>
      <c r="G230" s="3"/>
    </row>
    <row r="231" spans="1:7" hidden="1" outlineLevel="6">
      <c r="A231" s="3" t="s">
        <v>14</v>
      </c>
      <c r="B231" s="10" t="s">
        <v>302</v>
      </c>
      <c r="C231" s="3"/>
      <c r="D231" s="3"/>
      <c r="E231" s="3" t="s">
        <v>303</v>
      </c>
      <c r="F231" s="3" t="s">
        <v>11</v>
      </c>
      <c r="G231" s="3"/>
    </row>
    <row r="232" spans="1:7" hidden="1" outlineLevel="6">
      <c r="A232" s="4" t="s">
        <v>11</v>
      </c>
      <c r="B232" s="4" t="s">
        <v>46</v>
      </c>
      <c r="C232" s="5" t="s">
        <v>47</v>
      </c>
      <c r="D232" s="8"/>
      <c r="E232" s="4" t="s">
        <v>177</v>
      </c>
      <c r="F232" s="4" t="s">
        <v>14</v>
      </c>
      <c r="G232" s="4" t="s">
        <v>178</v>
      </c>
    </row>
    <row r="233" spans="1:7" ht="45" hidden="1" outlineLevel="6">
      <c r="A233" s="4" t="s">
        <v>14</v>
      </c>
      <c r="B233" s="4" t="s">
        <v>82</v>
      </c>
      <c r="C233" s="5" t="s">
        <v>47</v>
      </c>
      <c r="D233" s="8" t="s">
        <v>48</v>
      </c>
      <c r="E233" s="4" t="s">
        <v>304</v>
      </c>
      <c r="F233" s="4" t="s">
        <v>14</v>
      </c>
      <c r="G233" s="4">
        <f>G234*G235</f>
        <v>86.58</v>
      </c>
    </row>
    <row r="234" spans="1:7" hidden="1" outlineLevel="6">
      <c r="A234" s="4" t="s">
        <v>11</v>
      </c>
      <c r="B234" s="4" t="s">
        <v>82</v>
      </c>
      <c r="C234" s="5" t="s">
        <v>47</v>
      </c>
      <c r="D234" s="8"/>
      <c r="E234" s="4" t="s">
        <v>180</v>
      </c>
      <c r="F234" s="4" t="s">
        <v>14</v>
      </c>
      <c r="G234" s="4">
        <v>30000</v>
      </c>
    </row>
    <row r="235" spans="1:7" hidden="1" outlineLevel="6">
      <c r="A235" s="4" t="s">
        <v>11</v>
      </c>
      <c r="B235" s="4" t="s">
        <v>82</v>
      </c>
      <c r="C235" s="5" t="s">
        <v>47</v>
      </c>
      <c r="D235" s="8"/>
      <c r="E235" s="4" t="s">
        <v>181</v>
      </c>
      <c r="F235" s="4" t="s">
        <v>14</v>
      </c>
      <c r="G235" s="4">
        <v>2.8860000000000001E-3</v>
      </c>
    </row>
    <row r="236" spans="1:7" ht="30" hidden="1" outlineLevel="6" collapsed="1">
      <c r="A236" s="3" t="s">
        <v>14</v>
      </c>
      <c r="B236" s="3" t="s">
        <v>82</v>
      </c>
      <c r="C236" s="3" t="s">
        <v>47</v>
      </c>
      <c r="D236" s="3" t="s">
        <v>48</v>
      </c>
      <c r="E236" s="3" t="s">
        <v>305</v>
      </c>
      <c r="F236" s="3" t="s">
        <v>14</v>
      </c>
      <c r="G236" s="3">
        <f>G237/G105</f>
        <v>7.5370674487851674E-2</v>
      </c>
    </row>
    <row r="237" spans="1:7" ht="45" hidden="1" outlineLevel="6">
      <c r="A237" s="3" t="s">
        <v>14</v>
      </c>
      <c r="B237" s="3" t="s">
        <v>82</v>
      </c>
      <c r="C237" s="3"/>
      <c r="D237" s="3" t="s">
        <v>48</v>
      </c>
      <c r="E237" s="3" t="s">
        <v>306</v>
      </c>
      <c r="F237" s="3" t="s">
        <v>14</v>
      </c>
      <c r="G237" s="3">
        <f>SUM(G233)</f>
        <v>86.58</v>
      </c>
    </row>
    <row r="238" spans="1:7" hidden="1" outlineLevel="6" collapsed="1">
      <c r="A238" s="3" t="s">
        <v>14</v>
      </c>
      <c r="B238" s="9" t="s">
        <v>307</v>
      </c>
      <c r="C238" s="3"/>
      <c r="D238" s="3"/>
      <c r="E238" s="3" t="s">
        <v>308</v>
      </c>
      <c r="F238" s="3" t="s">
        <v>14</v>
      </c>
      <c r="G238" s="3"/>
    </row>
    <row r="239" spans="1:7" ht="30" hidden="1" outlineLevel="6">
      <c r="A239" s="4" t="s">
        <v>11</v>
      </c>
      <c r="B239" s="4" t="s">
        <v>82</v>
      </c>
      <c r="C239" s="5" t="s">
        <v>47</v>
      </c>
      <c r="D239" s="8"/>
      <c r="E239" s="4" t="s">
        <v>186</v>
      </c>
      <c r="F239" s="4" t="s">
        <v>14</v>
      </c>
      <c r="G239" s="4">
        <v>8</v>
      </c>
    </row>
    <row r="240" spans="1:7" hidden="1" outlineLevel="6">
      <c r="A240" s="4" t="s">
        <v>14</v>
      </c>
      <c r="B240" s="4" t="s">
        <v>82</v>
      </c>
      <c r="C240" s="5"/>
      <c r="D240" s="8" t="s">
        <v>48</v>
      </c>
      <c r="E240" s="4" t="s">
        <v>187</v>
      </c>
      <c r="F240" s="4" t="s">
        <v>14</v>
      </c>
      <c r="G240" s="4">
        <f>0.12</f>
        <v>0.12</v>
      </c>
    </row>
    <row r="241" spans="1:7" ht="30" hidden="1" outlineLevel="6">
      <c r="A241" s="4" t="s">
        <v>11</v>
      </c>
      <c r="B241" s="4" t="s">
        <v>82</v>
      </c>
      <c r="C241" s="5"/>
      <c r="D241" s="8"/>
      <c r="E241" s="4" t="s">
        <v>188</v>
      </c>
      <c r="F241" s="4" t="s">
        <v>14</v>
      </c>
      <c r="G241" s="4">
        <v>3</v>
      </c>
    </row>
    <row r="242" spans="1:7" hidden="1" outlineLevel="6">
      <c r="A242" s="4" t="s">
        <v>14</v>
      </c>
      <c r="B242" s="4" t="s">
        <v>82</v>
      </c>
      <c r="C242" s="5"/>
      <c r="D242" s="8" t="s">
        <v>48</v>
      </c>
      <c r="E242" s="4" t="s">
        <v>189</v>
      </c>
      <c r="F242" s="4" t="s">
        <v>14</v>
      </c>
      <c r="G242" s="4">
        <f>0.13</f>
        <v>0.13</v>
      </c>
    </row>
    <row r="243" spans="1:7" ht="30" hidden="1" outlineLevel="6">
      <c r="A243" s="4" t="s">
        <v>14</v>
      </c>
      <c r="B243" s="4" t="s">
        <v>82</v>
      </c>
      <c r="C243" s="5"/>
      <c r="D243" s="8" t="s">
        <v>48</v>
      </c>
      <c r="E243" s="4" t="s">
        <v>309</v>
      </c>
      <c r="F243" s="4" t="s">
        <v>14</v>
      </c>
      <c r="G243" s="4">
        <f>((G239*G240)+(G241*G242))*G245</f>
        <v>4.95</v>
      </c>
    </row>
    <row r="244" spans="1:7" ht="30" hidden="1" outlineLevel="6">
      <c r="A244" s="4" t="s">
        <v>14</v>
      </c>
      <c r="B244" s="4" t="s">
        <v>82</v>
      </c>
      <c r="C244" s="5"/>
      <c r="D244" s="8" t="s">
        <v>48</v>
      </c>
      <c r="E244" s="4" t="s">
        <v>310</v>
      </c>
      <c r="F244" s="4" t="s">
        <v>14</v>
      </c>
      <c r="G244" s="4">
        <f>G243/G105</f>
        <v>4.3091341962908959E-3</v>
      </c>
    </row>
    <row r="245" spans="1:7" ht="30" hidden="1" outlineLevel="6">
      <c r="A245" s="4" t="s">
        <v>14</v>
      </c>
      <c r="B245" s="4" t="s">
        <v>82</v>
      </c>
      <c r="C245" s="5"/>
      <c r="D245" s="8" t="s">
        <v>48</v>
      </c>
      <c r="E245" s="4" t="s">
        <v>192</v>
      </c>
      <c r="F245" s="4" t="s">
        <v>14</v>
      </c>
      <c r="G245" s="4">
        <f>44/12</f>
        <v>3.6666666666666665</v>
      </c>
    </row>
    <row r="246" spans="1:7" hidden="1" outlineLevel="6" collapsed="1">
      <c r="A246" s="3" t="s">
        <v>14</v>
      </c>
      <c r="B246" s="9" t="s">
        <v>311</v>
      </c>
      <c r="C246" s="3"/>
      <c r="D246" s="3"/>
      <c r="E246" s="3" t="s">
        <v>312</v>
      </c>
      <c r="F246" s="3" t="s">
        <v>14</v>
      </c>
      <c r="G246" s="3"/>
    </row>
    <row r="247" spans="1:7" hidden="1" outlineLevel="6">
      <c r="A247" s="3" t="s">
        <v>14</v>
      </c>
      <c r="B247" s="10" t="s">
        <v>313</v>
      </c>
      <c r="C247" s="3"/>
      <c r="D247" s="3"/>
      <c r="E247" s="3" t="s">
        <v>314</v>
      </c>
      <c r="F247" s="3" t="s">
        <v>11</v>
      </c>
      <c r="G247" s="3"/>
    </row>
    <row r="248" spans="1:7" hidden="1" outlineLevel="6">
      <c r="A248" s="4" t="s">
        <v>11</v>
      </c>
      <c r="B248" s="4" t="s">
        <v>46</v>
      </c>
      <c r="C248" s="5" t="s">
        <v>47</v>
      </c>
      <c r="D248" s="8"/>
      <c r="E248" s="4" t="s">
        <v>197</v>
      </c>
      <c r="F248" s="4" t="s">
        <v>14</v>
      </c>
      <c r="G248" s="4" t="s">
        <v>198</v>
      </c>
    </row>
    <row r="249" spans="1:7" hidden="1" outlineLevel="6">
      <c r="A249" s="4" t="s">
        <v>11</v>
      </c>
      <c r="B249" s="4" t="s">
        <v>46</v>
      </c>
      <c r="C249" s="5"/>
      <c r="D249" s="8"/>
      <c r="E249" s="4" t="s">
        <v>199</v>
      </c>
      <c r="F249" s="4" t="s">
        <v>14</v>
      </c>
      <c r="G249" s="4" t="s">
        <v>200</v>
      </c>
    </row>
    <row r="250" spans="1:7" ht="30" hidden="1" outlineLevel="6">
      <c r="A250" s="4" t="s">
        <v>11</v>
      </c>
      <c r="B250" s="4" t="s">
        <v>82</v>
      </c>
      <c r="C250" s="5"/>
      <c r="D250" s="8"/>
      <c r="E250" s="4" t="s">
        <v>315</v>
      </c>
      <c r="F250" s="4" t="s">
        <v>14</v>
      </c>
      <c r="G250" s="4">
        <v>160</v>
      </c>
    </row>
    <row r="251" spans="1:7" ht="30" hidden="1" outlineLevel="6">
      <c r="A251" s="4" t="s">
        <v>11</v>
      </c>
      <c r="B251" s="4" t="s">
        <v>82</v>
      </c>
      <c r="C251" s="5"/>
      <c r="D251" s="8"/>
      <c r="E251" s="4" t="s">
        <v>202</v>
      </c>
      <c r="F251" s="4" t="s">
        <v>14</v>
      </c>
      <c r="G251" s="4">
        <v>5.9951801952627202</v>
      </c>
    </row>
    <row r="252" spans="1:7" ht="30" hidden="1" outlineLevel="6">
      <c r="A252" s="4" t="s">
        <v>14</v>
      </c>
      <c r="B252" s="4" t="s">
        <v>82</v>
      </c>
      <c r="C252" s="5"/>
      <c r="D252" s="8" t="s">
        <v>48</v>
      </c>
      <c r="E252" s="4" t="s">
        <v>309</v>
      </c>
      <c r="F252" s="4" t="s">
        <v>14</v>
      </c>
      <c r="G252" s="4">
        <f>G250*G251</f>
        <v>959.2288312420352</v>
      </c>
    </row>
    <row r="253" spans="1:7" ht="30" hidden="1" outlineLevel="6">
      <c r="A253" s="3" t="s">
        <v>14</v>
      </c>
      <c r="B253" s="3" t="s">
        <v>82</v>
      </c>
      <c r="C253" s="3"/>
      <c r="D253" s="3" t="s">
        <v>48</v>
      </c>
      <c r="E253" s="3" t="s">
        <v>310</v>
      </c>
      <c r="F253" s="3" t="s">
        <v>14</v>
      </c>
      <c r="G253" s="3">
        <f>SUM(G252)</f>
        <v>959.2288312420352</v>
      </c>
    </row>
    <row r="254" spans="1:7" ht="30" hidden="1" outlineLevel="6">
      <c r="A254" s="3" t="s">
        <v>14</v>
      </c>
      <c r="B254" s="3" t="s">
        <v>82</v>
      </c>
      <c r="C254" s="3"/>
      <c r="D254" s="3" t="s">
        <v>48</v>
      </c>
      <c r="E254" s="3" t="s">
        <v>316</v>
      </c>
      <c r="F254" s="3" t="s">
        <v>14</v>
      </c>
      <c r="G254" s="3">
        <f>((G256*G253)/G255)/G105</f>
        <v>2.3381107322353472E-2</v>
      </c>
    </row>
    <row r="255" spans="1:7" hidden="1" outlineLevel="6">
      <c r="A255" s="3" t="s">
        <v>14</v>
      </c>
      <c r="B255" s="3" t="s">
        <v>82</v>
      </c>
      <c r="C255" s="3"/>
      <c r="D255" s="3" t="s">
        <v>48</v>
      </c>
      <c r="E255" s="3" t="s">
        <v>204</v>
      </c>
      <c r="F255" s="3" t="s">
        <v>14</v>
      </c>
      <c r="G255" s="3">
        <f>1000</f>
        <v>1000</v>
      </c>
    </row>
    <row r="256" spans="1:7" hidden="1" outlineLevel="6">
      <c r="A256" s="3" t="s">
        <v>11</v>
      </c>
      <c r="B256" s="3" t="s">
        <v>82</v>
      </c>
      <c r="C256" s="3"/>
      <c r="D256" s="3"/>
      <c r="E256" s="3" t="s">
        <v>96</v>
      </c>
      <c r="F256" s="3" t="s">
        <v>14</v>
      </c>
      <c r="G256" s="3">
        <v>28</v>
      </c>
    </row>
    <row r="257" spans="1:7" hidden="1" outlineLevel="6" collapsed="1">
      <c r="A257" s="3" t="s">
        <v>14</v>
      </c>
      <c r="B257" s="9" t="s">
        <v>317</v>
      </c>
      <c r="C257" s="3"/>
      <c r="D257" s="3"/>
      <c r="E257" s="3" t="s">
        <v>318</v>
      </c>
      <c r="F257" s="3" t="s">
        <v>14</v>
      </c>
      <c r="G257" s="3"/>
    </row>
    <row r="258" spans="1:7" hidden="1" outlineLevel="6">
      <c r="A258" s="3" t="s">
        <v>14</v>
      </c>
      <c r="B258" s="10" t="s">
        <v>319</v>
      </c>
      <c r="C258" s="3"/>
      <c r="D258" s="3"/>
      <c r="E258" s="3" t="s">
        <v>320</v>
      </c>
      <c r="F258" s="3" t="s">
        <v>11</v>
      </c>
      <c r="G258" s="3"/>
    </row>
    <row r="259" spans="1:7" hidden="1" outlineLevel="6">
      <c r="A259" s="4" t="s">
        <v>11</v>
      </c>
      <c r="B259" s="4" t="s">
        <v>46</v>
      </c>
      <c r="C259" s="5" t="s">
        <v>47</v>
      </c>
      <c r="D259" s="8"/>
      <c r="E259" s="4" t="s">
        <v>197</v>
      </c>
      <c r="F259" s="4" t="s">
        <v>14</v>
      </c>
      <c r="G259" s="4" t="s">
        <v>198</v>
      </c>
    </row>
    <row r="260" spans="1:7" hidden="1" outlineLevel="6">
      <c r="A260" s="4" t="s">
        <v>11</v>
      </c>
      <c r="B260" s="4" t="s">
        <v>46</v>
      </c>
      <c r="C260" s="5"/>
      <c r="D260" s="8"/>
      <c r="E260" s="4" t="s">
        <v>199</v>
      </c>
      <c r="F260" s="4" t="s">
        <v>14</v>
      </c>
      <c r="G260" s="4" t="s">
        <v>200</v>
      </c>
    </row>
    <row r="261" spans="1:7" ht="30" hidden="1" outlineLevel="6">
      <c r="A261" s="4" t="s">
        <v>11</v>
      </c>
      <c r="B261" s="4" t="s">
        <v>82</v>
      </c>
      <c r="C261" s="5"/>
      <c r="D261" s="8"/>
      <c r="E261" s="4" t="s">
        <v>315</v>
      </c>
      <c r="F261" s="4" t="s">
        <v>14</v>
      </c>
      <c r="G261" s="4">
        <v>160</v>
      </c>
    </row>
    <row r="262" spans="1:7" hidden="1" outlineLevel="6">
      <c r="A262" s="4" t="s">
        <v>11</v>
      </c>
      <c r="B262" s="4" t="s">
        <v>46</v>
      </c>
      <c r="C262" s="5"/>
      <c r="D262" s="8"/>
      <c r="E262" s="4" t="s">
        <v>209</v>
      </c>
      <c r="F262" s="4" t="s">
        <v>14</v>
      </c>
      <c r="G262" s="4" t="s">
        <v>210</v>
      </c>
    </row>
    <row r="263" spans="1:7" ht="45" hidden="1" outlineLevel="6">
      <c r="A263" s="4" t="s">
        <v>14</v>
      </c>
      <c r="B263" s="4" t="s">
        <v>82</v>
      </c>
      <c r="C263" s="5"/>
      <c r="D263" s="8"/>
      <c r="E263" s="4" t="s">
        <v>211</v>
      </c>
      <c r="F263" s="4" t="s">
        <v>14</v>
      </c>
      <c r="G263" s="4">
        <v>1</v>
      </c>
    </row>
    <row r="264" spans="1:7" ht="30" hidden="1" outlineLevel="6">
      <c r="A264" s="4" t="s">
        <v>11</v>
      </c>
      <c r="B264" s="4" t="s">
        <v>82</v>
      </c>
      <c r="C264" s="5"/>
      <c r="D264" s="8"/>
      <c r="E264" s="4" t="s">
        <v>321</v>
      </c>
      <c r="F264" s="4" t="s">
        <v>14</v>
      </c>
      <c r="G264" s="4">
        <v>30</v>
      </c>
    </row>
    <row r="265" spans="1:7" ht="30" hidden="1" outlineLevel="6">
      <c r="A265" s="4" t="s">
        <v>11</v>
      </c>
      <c r="B265" s="4" t="s">
        <v>82</v>
      </c>
      <c r="C265" s="5"/>
      <c r="D265" s="8"/>
      <c r="E265" s="4" t="s">
        <v>213</v>
      </c>
      <c r="F265" s="4" t="s">
        <v>14</v>
      </c>
      <c r="G265" s="4">
        <v>8.3000000000000007</v>
      </c>
    </row>
    <row r="266" spans="1:7" ht="45" hidden="1" outlineLevel="6">
      <c r="A266" s="4" t="s">
        <v>14</v>
      </c>
      <c r="B266" s="4" t="s">
        <v>82</v>
      </c>
      <c r="C266" s="5"/>
      <c r="D266" s="8"/>
      <c r="E266" s="4" t="s">
        <v>214</v>
      </c>
      <c r="F266" s="4" t="s">
        <v>14</v>
      </c>
      <c r="G266" s="4">
        <v>0.6</v>
      </c>
    </row>
    <row r="267" spans="1:7" ht="45" hidden="1" outlineLevel="6">
      <c r="A267" s="4" t="s">
        <v>14</v>
      </c>
      <c r="B267" s="4" t="s">
        <v>82</v>
      </c>
      <c r="C267" s="5"/>
      <c r="D267" s="8" t="s">
        <v>48</v>
      </c>
      <c r="E267" s="4" t="s">
        <v>215</v>
      </c>
      <c r="F267" s="4" t="s">
        <v>14</v>
      </c>
      <c r="G267" s="4">
        <f>(G265*(G264/G268))*G269</f>
        <v>90.885000000000005</v>
      </c>
    </row>
    <row r="268" spans="1:7" hidden="1" outlineLevel="6">
      <c r="A268" s="4" t="s">
        <v>14</v>
      </c>
      <c r="B268" s="4" t="s">
        <v>82</v>
      </c>
      <c r="C268" s="5"/>
      <c r="D268" s="8" t="s">
        <v>48</v>
      </c>
      <c r="E268" s="4" t="s">
        <v>216</v>
      </c>
      <c r="F268" s="4" t="s">
        <v>14</v>
      </c>
      <c r="G268" s="4">
        <v>1000</v>
      </c>
    </row>
    <row r="269" spans="1:7" hidden="1" outlineLevel="6">
      <c r="A269" s="4" t="s">
        <v>14</v>
      </c>
      <c r="B269" s="4" t="s">
        <v>82</v>
      </c>
      <c r="C269" s="5"/>
      <c r="D269" s="8" t="s">
        <v>48</v>
      </c>
      <c r="E269" s="4" t="s">
        <v>217</v>
      </c>
      <c r="F269" s="4" t="s">
        <v>14</v>
      </c>
      <c r="G269" s="4">
        <f>365</f>
        <v>365</v>
      </c>
    </row>
    <row r="270" spans="1:7" ht="18" hidden="1" outlineLevel="6">
      <c r="A270" s="3" t="s">
        <v>14</v>
      </c>
      <c r="B270" s="3" t="s">
        <v>82</v>
      </c>
      <c r="C270" s="3"/>
      <c r="D270" s="3" t="s">
        <v>48</v>
      </c>
      <c r="E270" s="3" t="s">
        <v>322</v>
      </c>
      <c r="F270" s="3" t="s">
        <v>14</v>
      </c>
      <c r="G270" s="3">
        <f>SUM(G261*G267*G263*G266)</f>
        <v>8724.9599999999991</v>
      </c>
    </row>
    <row r="271" spans="1:7" ht="30" hidden="1" outlineLevel="6">
      <c r="A271" s="3" t="s">
        <v>14</v>
      </c>
      <c r="B271" s="3" t="s">
        <v>82</v>
      </c>
      <c r="C271" s="3"/>
      <c r="D271" s="3" t="s">
        <v>48</v>
      </c>
      <c r="E271" s="3" t="s">
        <v>323</v>
      </c>
      <c r="F271" s="3" t="s">
        <v>14</v>
      </c>
      <c r="G271" s="3">
        <f>G272*G270/(G273*G105)</f>
        <v>2.126700319037507E-4</v>
      </c>
    </row>
    <row r="272" spans="1:7" hidden="1" outlineLevel="6">
      <c r="A272" s="3" t="s">
        <v>11</v>
      </c>
      <c r="B272" s="3" t="s">
        <v>82</v>
      </c>
      <c r="C272" s="3"/>
      <c r="D272" s="3"/>
      <c r="E272" s="3" t="s">
        <v>96</v>
      </c>
      <c r="F272" s="3" t="s">
        <v>14</v>
      </c>
      <c r="G272" s="3">
        <v>28</v>
      </c>
    </row>
    <row r="273" spans="1:7" hidden="1" outlineLevel="6">
      <c r="A273" s="3" t="s">
        <v>14</v>
      </c>
      <c r="B273" s="3" t="s">
        <v>82</v>
      </c>
      <c r="C273" s="3"/>
      <c r="D273" s="3" t="s">
        <v>48</v>
      </c>
      <c r="E273" s="3" t="s">
        <v>220</v>
      </c>
      <c r="F273" s="3" t="s">
        <v>14</v>
      </c>
      <c r="G273" s="3">
        <f>10^6</f>
        <v>1000000</v>
      </c>
    </row>
    <row r="274" spans="1:7" hidden="1" outlineLevel="6" collapsed="1">
      <c r="A274" s="3" t="s">
        <v>14</v>
      </c>
      <c r="B274" s="9" t="s">
        <v>324</v>
      </c>
      <c r="C274" s="3"/>
      <c r="D274" s="3" t="e">
        <f>EXACT(#REF!,"Approach 3")</f>
        <v>#REF!</v>
      </c>
      <c r="E274" s="3" t="s">
        <v>325</v>
      </c>
      <c r="F274" s="3" t="s">
        <v>14</v>
      </c>
      <c r="G274" s="3"/>
    </row>
    <row r="275" spans="1:7" hidden="1" outlineLevel="6">
      <c r="A275" s="3" t="s">
        <v>14</v>
      </c>
      <c r="B275" s="10" t="s">
        <v>326</v>
      </c>
      <c r="C275" s="3"/>
      <c r="D275" s="3"/>
      <c r="E275" s="3" t="s">
        <v>327</v>
      </c>
      <c r="F275" s="3" t="s">
        <v>11</v>
      </c>
      <c r="G275" s="3"/>
    </row>
    <row r="276" spans="1:7" hidden="1" outlineLevel="6">
      <c r="A276" s="4" t="s">
        <v>11</v>
      </c>
      <c r="B276" s="4" t="s">
        <v>46</v>
      </c>
      <c r="C276" s="5" t="s">
        <v>47</v>
      </c>
      <c r="D276" s="8"/>
      <c r="E276" s="4" t="s">
        <v>225</v>
      </c>
      <c r="F276" s="4" t="s">
        <v>14</v>
      </c>
      <c r="G276" s="4" t="s">
        <v>226</v>
      </c>
    </row>
    <row r="277" spans="1:7" ht="30" hidden="1" outlineLevel="6">
      <c r="A277" s="4" t="s">
        <v>11</v>
      </c>
      <c r="B277" s="4" t="s">
        <v>82</v>
      </c>
      <c r="C277" s="5"/>
      <c r="D277" s="8"/>
      <c r="E277" s="4" t="s">
        <v>227</v>
      </c>
      <c r="F277" s="4" t="s">
        <v>14</v>
      </c>
      <c r="G277" s="4">
        <v>0.92</v>
      </c>
    </row>
    <row r="278" spans="1:7" ht="30" hidden="1" outlineLevel="6">
      <c r="A278" s="4" t="s">
        <v>11</v>
      </c>
      <c r="B278" s="4" t="s">
        <v>82</v>
      </c>
      <c r="C278" s="5"/>
      <c r="D278" s="8"/>
      <c r="E278" s="4" t="s">
        <v>228</v>
      </c>
      <c r="F278" s="4" t="s">
        <v>14</v>
      </c>
      <c r="G278" s="4">
        <v>2.2999999999999998</v>
      </c>
    </row>
    <row r="279" spans="1:7" ht="30" hidden="1" outlineLevel="6">
      <c r="A279" s="4" t="s">
        <v>11</v>
      </c>
      <c r="B279" s="4" t="s">
        <v>82</v>
      </c>
      <c r="C279" s="5"/>
      <c r="D279" s="8"/>
      <c r="E279" s="4" t="s">
        <v>328</v>
      </c>
      <c r="F279" s="4" t="s">
        <v>14</v>
      </c>
      <c r="G279" s="4">
        <v>1281290.3410132199</v>
      </c>
    </row>
    <row r="280" spans="1:7" ht="18" hidden="1" outlineLevel="6">
      <c r="A280" s="4" t="s">
        <v>14</v>
      </c>
      <c r="B280" s="4" t="s">
        <v>82</v>
      </c>
      <c r="C280" s="5"/>
      <c r="D280" s="8" t="s">
        <v>48</v>
      </c>
      <c r="E280" s="4" t="s">
        <v>329</v>
      </c>
      <c r="F280" s="4" t="s">
        <v>14</v>
      </c>
      <c r="G280" s="4">
        <f>G279*G277*G278</f>
        <v>2711210.3615839733</v>
      </c>
    </row>
    <row r="281" spans="1:7" ht="18" hidden="1" outlineLevel="6">
      <c r="A281" s="3" t="s">
        <v>14</v>
      </c>
      <c r="B281" s="3" t="s">
        <v>82</v>
      </c>
      <c r="C281" s="3"/>
      <c r="D281" s="3" t="s">
        <v>48</v>
      </c>
      <c r="E281" s="3" t="s">
        <v>330</v>
      </c>
      <c r="F281" s="3" t="s">
        <v>14</v>
      </c>
      <c r="G281" s="3">
        <f>SUM(G280)</f>
        <v>2711210.3615839733</v>
      </c>
    </row>
    <row r="282" spans="1:7" ht="30" hidden="1" outlineLevel="6">
      <c r="A282" s="3" t="s">
        <v>14</v>
      </c>
      <c r="B282" s="3" t="s">
        <v>82</v>
      </c>
      <c r="C282" s="3"/>
      <c r="D282" s="3" t="s">
        <v>48</v>
      </c>
      <c r="E282" s="3" t="s">
        <v>331</v>
      </c>
      <c r="F282" s="3" t="s">
        <v>14</v>
      </c>
      <c r="G282" s="3">
        <f>((G283*G281)/G284)/G105</f>
        <v>6.6085482809759954E-2</v>
      </c>
    </row>
    <row r="283" spans="1:7" hidden="1" outlineLevel="6">
      <c r="A283" s="3" t="s">
        <v>11</v>
      </c>
      <c r="B283" s="3" t="s">
        <v>82</v>
      </c>
      <c r="C283" s="3"/>
      <c r="D283" s="3"/>
      <c r="E283" s="3" t="s">
        <v>96</v>
      </c>
      <c r="F283" s="3" t="s">
        <v>14</v>
      </c>
      <c r="G283" s="3">
        <v>28</v>
      </c>
    </row>
    <row r="284" spans="1:7" hidden="1" outlineLevel="6">
      <c r="A284" s="3" t="s">
        <v>14</v>
      </c>
      <c r="B284" s="3" t="s">
        <v>82</v>
      </c>
      <c r="C284" s="3"/>
      <c r="D284" s="3" t="s">
        <v>48</v>
      </c>
      <c r="E284" s="3" t="s">
        <v>220</v>
      </c>
      <c r="F284" s="3" t="s">
        <v>14</v>
      </c>
      <c r="G284" s="3">
        <f>10^6</f>
        <v>1000000</v>
      </c>
    </row>
    <row r="285" spans="1:7" hidden="1" outlineLevel="6" collapsed="1">
      <c r="A285" s="3" t="s">
        <v>14</v>
      </c>
      <c r="B285" s="9" t="s">
        <v>332</v>
      </c>
      <c r="C285" s="3"/>
      <c r="D285" s="3" t="e">
        <f>EXACT(#REF!,"Approach 3")</f>
        <v>#REF!</v>
      </c>
      <c r="E285" s="3" t="s">
        <v>333</v>
      </c>
      <c r="F285" s="3" t="s">
        <v>14</v>
      </c>
      <c r="G285" s="3"/>
    </row>
    <row r="286" spans="1:7" hidden="1" outlineLevel="6">
      <c r="A286" s="3" t="s">
        <v>14</v>
      </c>
      <c r="B286" s="10" t="s">
        <v>334</v>
      </c>
      <c r="C286" s="3"/>
      <c r="D286" s="3"/>
      <c r="E286" s="3" t="s">
        <v>335</v>
      </c>
      <c r="F286" s="3" t="s">
        <v>11</v>
      </c>
      <c r="G286" s="3"/>
    </row>
    <row r="287" spans="1:7" hidden="1" outlineLevel="6">
      <c r="A287" s="4" t="s">
        <v>11</v>
      </c>
      <c r="B287" s="4" t="s">
        <v>46</v>
      </c>
      <c r="C287" s="5"/>
      <c r="D287" s="8"/>
      <c r="E287" s="4" t="s">
        <v>237</v>
      </c>
      <c r="F287" s="4" t="s">
        <v>14</v>
      </c>
      <c r="G287" s="4" t="s">
        <v>238</v>
      </c>
    </row>
    <row r="288" spans="1:7" ht="30" hidden="1" outlineLevel="6">
      <c r="A288" s="4" t="s">
        <v>11</v>
      </c>
      <c r="B288" s="4" t="s">
        <v>46</v>
      </c>
      <c r="C288" s="5" t="s">
        <v>47</v>
      </c>
      <c r="D288" s="8"/>
      <c r="E288" s="4" t="s">
        <v>336</v>
      </c>
      <c r="F288" s="4" t="s">
        <v>14</v>
      </c>
      <c r="G288" s="4">
        <v>314.03539242142602</v>
      </c>
    </row>
    <row r="289" spans="1:7" hidden="1" outlineLevel="6">
      <c r="A289" s="4" t="s">
        <v>11</v>
      </c>
      <c r="B289" s="4" t="s">
        <v>82</v>
      </c>
      <c r="C289" s="5"/>
      <c r="D289" s="8"/>
      <c r="E289" s="4" t="s">
        <v>240</v>
      </c>
      <c r="F289" s="4" t="s">
        <v>14</v>
      </c>
      <c r="G289" s="4">
        <v>0.82</v>
      </c>
    </row>
    <row r="290" spans="1:7" ht="30" hidden="1" outlineLevel="6">
      <c r="A290" s="3" t="s">
        <v>14</v>
      </c>
      <c r="B290" s="3" t="s">
        <v>82</v>
      </c>
      <c r="C290" s="3"/>
      <c r="D290" s="3" t="s">
        <v>48</v>
      </c>
      <c r="E290" s="3" t="s">
        <v>337</v>
      </c>
      <c r="F290" s="3" t="s">
        <v>14</v>
      </c>
      <c r="G290" s="3">
        <f>SUM(G288*G289)</f>
        <v>257.5090217855693</v>
      </c>
    </row>
    <row r="291" spans="1:7" hidden="1" outlineLevel="6">
      <c r="A291" s="3" t="s">
        <v>14</v>
      </c>
      <c r="B291" s="10" t="s">
        <v>338</v>
      </c>
      <c r="C291" s="3"/>
      <c r="D291" s="3"/>
      <c r="E291" s="3" t="s">
        <v>339</v>
      </c>
      <c r="F291" s="3" t="s">
        <v>11</v>
      </c>
      <c r="G291" s="3"/>
    </row>
    <row r="292" spans="1:7" hidden="1" outlineLevel="6">
      <c r="A292" s="4" t="s">
        <v>11</v>
      </c>
      <c r="B292" s="4" t="s">
        <v>46</v>
      </c>
      <c r="C292" s="5"/>
      <c r="D292" s="8"/>
      <c r="E292" s="4" t="s">
        <v>244</v>
      </c>
      <c r="F292" s="4" t="s">
        <v>14</v>
      </c>
      <c r="G292" s="4" t="s">
        <v>245</v>
      </c>
    </row>
    <row r="293" spans="1:7" ht="30" hidden="1" outlineLevel="6">
      <c r="A293" s="4" t="s">
        <v>11</v>
      </c>
      <c r="B293" s="4" t="s">
        <v>82</v>
      </c>
      <c r="C293" s="5"/>
      <c r="D293" s="8"/>
      <c r="E293" s="4" t="s">
        <v>340</v>
      </c>
      <c r="F293" s="4" t="s">
        <v>14</v>
      </c>
      <c r="G293" s="4">
        <v>483.31272857651902</v>
      </c>
    </row>
    <row r="294" spans="1:7" hidden="1" outlineLevel="6">
      <c r="A294" s="4" t="s">
        <v>11</v>
      </c>
      <c r="B294" s="4" t="s">
        <v>82</v>
      </c>
      <c r="C294" s="5"/>
      <c r="D294" s="8"/>
      <c r="E294" s="4" t="s">
        <v>247</v>
      </c>
      <c r="F294" s="4" t="s">
        <v>14</v>
      </c>
      <c r="G294" s="4">
        <v>6.6600000000000006E-2</v>
      </c>
    </row>
    <row r="295" spans="1:7" ht="30" hidden="1" outlineLevel="6">
      <c r="A295" s="3" t="s">
        <v>14</v>
      </c>
      <c r="B295" s="3" t="s">
        <v>82</v>
      </c>
      <c r="C295" s="3"/>
      <c r="D295" s="3" t="s">
        <v>48</v>
      </c>
      <c r="E295" s="3" t="s">
        <v>341</v>
      </c>
      <c r="F295" s="3" t="s">
        <v>14</v>
      </c>
      <c r="G295" s="3">
        <f>SUM(G293*G294)</f>
        <v>32.18862772319617</v>
      </c>
    </row>
    <row r="296" spans="1:7" ht="30" hidden="1" outlineLevel="6">
      <c r="A296" s="3" t="s">
        <v>11</v>
      </c>
      <c r="B296" s="3" t="s">
        <v>82</v>
      </c>
      <c r="C296" s="3"/>
      <c r="D296" s="3"/>
      <c r="E296" s="3" t="s">
        <v>249</v>
      </c>
      <c r="F296" s="3" t="s">
        <v>14</v>
      </c>
      <c r="G296" s="3">
        <v>0.01</v>
      </c>
    </row>
    <row r="297" spans="1:7" ht="30" hidden="1" outlineLevel="6">
      <c r="A297" s="3" t="s">
        <v>14</v>
      </c>
      <c r="B297" s="3" t="s">
        <v>82</v>
      </c>
      <c r="C297" s="3"/>
      <c r="D297" s="3" t="s">
        <v>48</v>
      </c>
      <c r="E297" s="3" t="s">
        <v>342</v>
      </c>
      <c r="F297" s="3" t="s">
        <v>14</v>
      </c>
      <c r="G297" s="3">
        <f>((G290+G295)*G296*44/28*G307)/G105</f>
        <v>1.0501958817208847</v>
      </c>
    </row>
    <row r="298" spans="1:7" ht="30" hidden="1" outlineLevel="6">
      <c r="A298" s="3" t="s">
        <v>11</v>
      </c>
      <c r="B298" s="3" t="s">
        <v>82</v>
      </c>
      <c r="C298" s="3"/>
      <c r="D298" s="3"/>
      <c r="E298" s="3" t="s">
        <v>251</v>
      </c>
      <c r="F298" s="3" t="s">
        <v>14</v>
      </c>
      <c r="G298" s="3">
        <v>0.11</v>
      </c>
    </row>
    <row r="299" spans="1:7" ht="30" hidden="1" outlineLevel="6">
      <c r="A299" s="3" t="s">
        <v>11</v>
      </c>
      <c r="B299" s="3" t="s">
        <v>82</v>
      </c>
      <c r="C299" s="3"/>
      <c r="D299" s="3"/>
      <c r="E299" s="3" t="s">
        <v>252</v>
      </c>
      <c r="F299" s="3" t="s">
        <v>14</v>
      </c>
      <c r="G299" s="3">
        <v>0.21</v>
      </c>
    </row>
    <row r="300" spans="1:7" ht="30" hidden="1" outlineLevel="6">
      <c r="A300" s="3" t="s">
        <v>11</v>
      </c>
      <c r="B300" s="3" t="s">
        <v>82</v>
      </c>
      <c r="C300" s="3"/>
      <c r="D300" s="3"/>
      <c r="E300" s="3" t="s">
        <v>253</v>
      </c>
      <c r="F300" s="3" t="s">
        <v>14</v>
      </c>
      <c r="G300" s="3">
        <v>0.01</v>
      </c>
    </row>
    <row r="301" spans="1:7" ht="45" hidden="1" outlineLevel="6">
      <c r="A301" s="3" t="s">
        <v>14</v>
      </c>
      <c r="B301" s="3" t="s">
        <v>82</v>
      </c>
      <c r="C301" s="3"/>
      <c r="D301" s="3" t="s">
        <v>48</v>
      </c>
      <c r="E301" s="3" t="s">
        <v>343</v>
      </c>
      <c r="F301" s="3" t="s">
        <v>14</v>
      </c>
      <c r="G301" s="3">
        <f>((G290*G298)+(G295*G299))*G300*(44/28)*G307</f>
        <v>146.10648042328191</v>
      </c>
    </row>
    <row r="302" spans="1:7" ht="45" hidden="1" outlineLevel="6">
      <c r="A302" s="3" t="s">
        <v>11</v>
      </c>
      <c r="B302" s="3" t="s">
        <v>82</v>
      </c>
      <c r="C302" s="3"/>
      <c r="D302" s="3"/>
      <c r="E302" s="3" t="s">
        <v>255</v>
      </c>
      <c r="F302" s="3" t="s">
        <v>14</v>
      </c>
      <c r="G302" s="3">
        <v>0.24</v>
      </c>
    </row>
    <row r="303" spans="1:7" ht="30" hidden="1" outlineLevel="6">
      <c r="A303" s="3" t="s">
        <v>11</v>
      </c>
      <c r="B303" s="3" t="s">
        <v>82</v>
      </c>
      <c r="C303" s="3"/>
      <c r="D303" s="3"/>
      <c r="E303" s="3" t="s">
        <v>256</v>
      </c>
      <c r="F303" s="3" t="s">
        <v>14</v>
      </c>
      <c r="G303" s="3">
        <v>1.0999999999999999E-2</v>
      </c>
    </row>
    <row r="304" spans="1:7" ht="45" hidden="1" outlineLevel="6">
      <c r="A304" s="3" t="s">
        <v>14</v>
      </c>
      <c r="B304" s="3" t="s">
        <v>82</v>
      </c>
      <c r="C304" s="3"/>
      <c r="D304" s="3" t="s">
        <v>48</v>
      </c>
      <c r="E304" s="3" t="s">
        <v>344</v>
      </c>
      <c r="F304" s="3" t="s">
        <v>14</v>
      </c>
      <c r="G304" s="3">
        <f>(G290+G295)*G302*G303*(44/28)*G307</f>
        <v>318.48531879423649</v>
      </c>
    </row>
    <row r="305" spans="1:7" ht="30" hidden="1" outlineLevel="6">
      <c r="A305" s="3" t="s">
        <v>14</v>
      </c>
      <c r="B305" s="3" t="s">
        <v>82</v>
      </c>
      <c r="C305" s="3"/>
      <c r="D305" s="3" t="s">
        <v>48</v>
      </c>
      <c r="E305" s="3" t="s">
        <v>345</v>
      </c>
      <c r="F305" s="3" t="s">
        <v>14</v>
      </c>
      <c r="G305" s="3">
        <f>(G301+G304)/G105</f>
        <v>0.40444210289384297</v>
      </c>
    </row>
    <row r="306" spans="1:7" ht="30" hidden="1" outlineLevel="6">
      <c r="A306" s="3" t="s">
        <v>14</v>
      </c>
      <c r="B306" s="3" t="s">
        <v>82</v>
      </c>
      <c r="C306" s="3"/>
      <c r="D306" s="3" t="s">
        <v>48</v>
      </c>
      <c r="E306" s="3" t="s">
        <v>346</v>
      </c>
      <c r="F306" s="3" t="s">
        <v>14</v>
      </c>
      <c r="G306" s="3">
        <f>G297+G305</f>
        <v>1.4546379846147277</v>
      </c>
    </row>
    <row r="307" spans="1:7" hidden="1" outlineLevel="6">
      <c r="A307" s="3" t="s">
        <v>11</v>
      </c>
      <c r="B307" s="3" t="s">
        <v>82</v>
      </c>
      <c r="C307" s="3"/>
      <c r="D307" s="3"/>
      <c r="E307" s="3" t="s">
        <v>114</v>
      </c>
      <c r="F307" s="3" t="s">
        <v>14</v>
      </c>
      <c r="G307" s="3">
        <v>265</v>
      </c>
    </row>
    <row r="308" spans="1:7" hidden="1" outlineLevel="6" collapsed="1">
      <c r="A308" s="3" t="s">
        <v>14</v>
      </c>
      <c r="B308" s="9" t="s">
        <v>347</v>
      </c>
      <c r="C308" s="3"/>
      <c r="D308" s="3" t="e">
        <f>EXACT(#REF!,"Approach 3")</f>
        <v>#REF!</v>
      </c>
      <c r="E308" s="3" t="s">
        <v>348</v>
      </c>
      <c r="F308" s="3" t="s">
        <v>14</v>
      </c>
      <c r="G308" s="3"/>
    </row>
    <row r="309" spans="1:7" hidden="1" outlineLevel="6">
      <c r="A309" s="3" t="s">
        <v>14</v>
      </c>
      <c r="B309" s="10" t="s">
        <v>349</v>
      </c>
      <c r="C309" s="3"/>
      <c r="D309" s="3"/>
      <c r="E309" s="3" t="s">
        <v>350</v>
      </c>
      <c r="F309" s="3" t="s">
        <v>11</v>
      </c>
      <c r="G309" s="3"/>
    </row>
    <row r="310" spans="1:7" hidden="1" outlineLevel="6">
      <c r="A310" s="4" t="s">
        <v>11</v>
      </c>
      <c r="B310" s="4" t="s">
        <v>46</v>
      </c>
      <c r="C310" s="5"/>
      <c r="D310" s="8"/>
      <c r="E310" s="4" t="s">
        <v>264</v>
      </c>
      <c r="F310" s="4" t="s">
        <v>14</v>
      </c>
      <c r="G310" s="4" t="s">
        <v>198</v>
      </c>
    </row>
    <row r="311" spans="1:7" ht="30" hidden="1" outlineLevel="6">
      <c r="A311" s="4" t="s">
        <v>11</v>
      </c>
      <c r="B311" s="4" t="s">
        <v>82</v>
      </c>
      <c r="C311" s="5"/>
      <c r="D311" s="8"/>
      <c r="E311" s="4" t="s">
        <v>315</v>
      </c>
      <c r="F311" s="4" t="s">
        <v>14</v>
      </c>
      <c r="G311" s="4">
        <v>160</v>
      </c>
    </row>
    <row r="312" spans="1:7" hidden="1" outlineLevel="6">
      <c r="A312" s="4" t="s">
        <v>11</v>
      </c>
      <c r="B312" s="4" t="s">
        <v>46</v>
      </c>
      <c r="C312" s="5" t="s">
        <v>47</v>
      </c>
      <c r="D312" s="8"/>
      <c r="E312" s="4" t="s">
        <v>199</v>
      </c>
      <c r="F312" s="4" t="s">
        <v>14</v>
      </c>
      <c r="G312" s="4" t="s">
        <v>200</v>
      </c>
    </row>
    <row r="313" spans="1:7" hidden="1" outlineLevel="6">
      <c r="A313" s="4" t="s">
        <v>11</v>
      </c>
      <c r="B313" s="4" t="s">
        <v>46</v>
      </c>
      <c r="C313" s="5"/>
      <c r="D313" s="8"/>
      <c r="E313" s="4" t="s">
        <v>265</v>
      </c>
      <c r="F313" s="4" t="s">
        <v>14</v>
      </c>
      <c r="G313" s="4" t="s">
        <v>266</v>
      </c>
    </row>
    <row r="314" spans="1:7" ht="45" hidden="1" outlineLevel="6">
      <c r="A314" s="4" t="s">
        <v>14</v>
      </c>
      <c r="B314" s="4" t="s">
        <v>82</v>
      </c>
      <c r="C314" s="5"/>
      <c r="D314" s="8"/>
      <c r="E314" s="4" t="s">
        <v>267</v>
      </c>
      <c r="F314" s="4" t="s">
        <v>14</v>
      </c>
      <c r="G314" s="4">
        <v>1</v>
      </c>
    </row>
    <row r="315" spans="1:7" ht="30" hidden="1" outlineLevel="6">
      <c r="A315" s="4" t="s">
        <v>11</v>
      </c>
      <c r="B315" s="4"/>
      <c r="C315" s="5"/>
      <c r="D315" s="8"/>
      <c r="E315" s="4" t="s">
        <v>268</v>
      </c>
      <c r="F315" s="4" t="s">
        <v>14</v>
      </c>
      <c r="G315" s="4">
        <v>3.504</v>
      </c>
    </row>
    <row r="316" spans="1:7" ht="30" hidden="1" outlineLevel="6">
      <c r="A316" s="4" t="s">
        <v>11</v>
      </c>
      <c r="B316" s="4" t="s">
        <v>82</v>
      </c>
      <c r="C316" s="5"/>
      <c r="D316" s="8"/>
      <c r="E316" s="4" t="s">
        <v>269</v>
      </c>
      <c r="F316" s="4" t="s">
        <v>14</v>
      </c>
      <c r="G316" s="4">
        <v>3.0000000000000001E-3</v>
      </c>
    </row>
    <row r="317" spans="1:7" ht="30" hidden="1" outlineLevel="6">
      <c r="A317" s="4" t="s">
        <v>11</v>
      </c>
      <c r="B317" s="4" t="s">
        <v>82</v>
      </c>
      <c r="C317" s="5"/>
      <c r="D317" s="8"/>
      <c r="E317" s="4" t="s">
        <v>351</v>
      </c>
      <c r="F317" s="4" t="s">
        <v>14</v>
      </c>
      <c r="G317" s="4">
        <v>1</v>
      </c>
    </row>
    <row r="318" spans="1:7" ht="30" hidden="1" outlineLevel="6">
      <c r="A318" s="4" t="s">
        <v>14</v>
      </c>
      <c r="B318" s="4" t="s">
        <v>82</v>
      </c>
      <c r="C318" s="5"/>
      <c r="D318" s="8" t="s">
        <v>48</v>
      </c>
      <c r="E318" s="4" t="s">
        <v>271</v>
      </c>
      <c r="F318" s="4" t="s">
        <v>14</v>
      </c>
      <c r="G318" s="4">
        <f>(G311*G315)*G314*G317/1000</f>
        <v>0.56064000000000003</v>
      </c>
    </row>
    <row r="319" spans="1:7" ht="45" hidden="1" outlineLevel="6">
      <c r="A319" s="4"/>
      <c r="B319" s="4" t="s">
        <v>82</v>
      </c>
      <c r="C319" s="5"/>
      <c r="D319" s="8"/>
      <c r="E319" s="4" t="s">
        <v>255</v>
      </c>
      <c r="F319" s="4" t="s">
        <v>14</v>
      </c>
      <c r="G319" s="4">
        <v>0.24</v>
      </c>
    </row>
    <row r="320" spans="1:7" ht="30" hidden="1" outlineLevel="6">
      <c r="A320" s="4" t="s">
        <v>11</v>
      </c>
      <c r="B320" s="4" t="s">
        <v>82</v>
      </c>
      <c r="C320" s="5"/>
      <c r="D320" s="8"/>
      <c r="E320" s="4" t="s">
        <v>252</v>
      </c>
      <c r="F320" s="4" t="s">
        <v>14</v>
      </c>
      <c r="G320" s="4">
        <v>0.21</v>
      </c>
    </row>
    <row r="321" spans="1:7" ht="30" hidden="1" outlineLevel="6">
      <c r="A321" s="4" t="s">
        <v>11</v>
      </c>
      <c r="B321" s="4" t="s">
        <v>82</v>
      </c>
      <c r="C321" s="5"/>
      <c r="D321" s="8"/>
      <c r="E321" s="4" t="s">
        <v>256</v>
      </c>
      <c r="F321" s="4" t="s">
        <v>14</v>
      </c>
      <c r="G321" s="4">
        <v>1.0999999999999999E-2</v>
      </c>
    </row>
    <row r="322" spans="1:7" ht="30" hidden="1" outlineLevel="6">
      <c r="A322" s="4" t="s">
        <v>11</v>
      </c>
      <c r="B322" s="4" t="s">
        <v>82</v>
      </c>
      <c r="C322" s="5"/>
      <c r="D322" s="8"/>
      <c r="E322" s="4" t="s">
        <v>253</v>
      </c>
      <c r="F322" s="4" t="s">
        <v>14</v>
      </c>
      <c r="G322" s="4">
        <v>0.01</v>
      </c>
    </row>
    <row r="323" spans="1:7" ht="75" hidden="1" outlineLevel="6">
      <c r="A323" s="4" t="s">
        <v>14</v>
      </c>
      <c r="B323" s="4" t="s">
        <v>82</v>
      </c>
      <c r="C323" s="5"/>
      <c r="D323" s="8" t="s">
        <v>48</v>
      </c>
      <c r="E323" s="4" t="s">
        <v>272</v>
      </c>
      <c r="F323" s="4" t="s">
        <v>14</v>
      </c>
      <c r="G323" s="4">
        <f>G318*G319*G321*(44/28)*G328</f>
        <v>0.6163515977142856</v>
      </c>
    </row>
    <row r="324" spans="1:7" ht="45" hidden="1" outlineLevel="6">
      <c r="A324" s="4" t="s">
        <v>14</v>
      </c>
      <c r="B324" s="4" t="s">
        <v>82</v>
      </c>
      <c r="C324" s="5"/>
      <c r="D324" s="8" t="s">
        <v>48</v>
      </c>
      <c r="E324" s="4" t="s">
        <v>273</v>
      </c>
      <c r="F324" s="4" t="s">
        <v>14</v>
      </c>
      <c r="G324" s="4">
        <f>G318*G320*G322*(44/28)*G328</f>
        <v>0.49027968000000005</v>
      </c>
    </row>
    <row r="325" spans="1:7" ht="45" hidden="1" outlineLevel="6">
      <c r="A325" s="3" t="s">
        <v>14</v>
      </c>
      <c r="B325" s="3" t="s">
        <v>82</v>
      </c>
      <c r="C325" s="3"/>
      <c r="D325" s="3" t="s">
        <v>48</v>
      </c>
      <c r="E325" s="3" t="s">
        <v>352</v>
      </c>
      <c r="F325" s="3" t="s">
        <v>14</v>
      </c>
      <c r="G325" s="3">
        <f>SUM(G318*G316*(44/28)*G328)/G105</f>
        <v>6.0972032751358094E-4</v>
      </c>
    </row>
    <row r="326" spans="1:7" ht="30" hidden="1" outlineLevel="6">
      <c r="A326" s="3" t="s">
        <v>14</v>
      </c>
      <c r="B326" s="3" t="s">
        <v>82</v>
      </c>
      <c r="C326" s="3"/>
      <c r="D326" s="3" t="s">
        <v>48</v>
      </c>
      <c r="E326" s="3" t="s">
        <v>353</v>
      </c>
      <c r="F326" s="3" t="s">
        <v>14</v>
      </c>
      <c r="G326" s="3">
        <f>(G324+G323)/G105</f>
        <v>9.6335811747145779E-4</v>
      </c>
    </row>
    <row r="327" spans="1:7" ht="30" hidden="1" outlineLevel="6">
      <c r="A327" s="3" t="s">
        <v>14</v>
      </c>
      <c r="B327" s="3" t="s">
        <v>82</v>
      </c>
      <c r="C327" s="3"/>
      <c r="D327" s="3" t="s">
        <v>48</v>
      </c>
      <c r="E327" s="3" t="s">
        <v>354</v>
      </c>
      <c r="F327" s="3" t="s">
        <v>14</v>
      </c>
      <c r="G327" s="3">
        <f>G325+G326</f>
        <v>1.5730784449850387E-3</v>
      </c>
    </row>
    <row r="328" spans="1:7" hidden="1" outlineLevel="6">
      <c r="A328" s="3" t="s">
        <v>11</v>
      </c>
      <c r="B328" s="3" t="s">
        <v>82</v>
      </c>
      <c r="C328" s="3"/>
      <c r="D328" s="3"/>
      <c r="E328" s="3" t="s">
        <v>114</v>
      </c>
      <c r="F328" s="3" t="s">
        <v>14</v>
      </c>
      <c r="G328" s="3">
        <v>265</v>
      </c>
    </row>
    <row r="329" spans="1:7" hidden="1" outlineLevel="6" collapsed="1">
      <c r="A329" s="3" t="s">
        <v>14</v>
      </c>
      <c r="B329" s="9" t="s">
        <v>355</v>
      </c>
      <c r="C329" s="3"/>
      <c r="D329" s="3" t="e">
        <f>EXACT(#REF!,"Approach 3")</f>
        <v>#REF!</v>
      </c>
      <c r="E329" s="3" t="s">
        <v>356</v>
      </c>
      <c r="F329" s="3" t="s">
        <v>14</v>
      </c>
      <c r="G329" s="3"/>
    </row>
    <row r="330" spans="1:7" hidden="1" outlineLevel="6">
      <c r="A330" s="3" t="s">
        <v>14</v>
      </c>
      <c r="B330" s="10" t="s">
        <v>357</v>
      </c>
      <c r="C330" s="3"/>
      <c r="D330" s="3"/>
      <c r="E330" s="3" t="s">
        <v>280</v>
      </c>
      <c r="F330" s="3" t="s">
        <v>11</v>
      </c>
      <c r="G330" s="3"/>
    </row>
    <row r="331" spans="1:7" hidden="1" outlineLevel="6">
      <c r="A331" s="4" t="s">
        <v>11</v>
      </c>
      <c r="B331" s="4" t="s">
        <v>46</v>
      </c>
      <c r="C331" s="5"/>
      <c r="D331" s="8"/>
      <c r="E331" s="4" t="s">
        <v>281</v>
      </c>
      <c r="F331" s="4" t="s">
        <v>14</v>
      </c>
      <c r="G331" s="4" t="s">
        <v>282</v>
      </c>
    </row>
    <row r="332" spans="1:7" ht="30" hidden="1" outlineLevel="6">
      <c r="A332" s="4" t="s">
        <v>11</v>
      </c>
      <c r="B332" s="4" t="s">
        <v>82</v>
      </c>
      <c r="C332" s="5"/>
      <c r="D332" s="8"/>
      <c r="E332" s="4" t="s">
        <v>283</v>
      </c>
      <c r="F332" s="4" t="s">
        <v>14</v>
      </c>
      <c r="G332" s="4">
        <v>10000</v>
      </c>
    </row>
    <row r="333" spans="1:7" hidden="1" outlineLevel="6">
      <c r="A333" s="4" t="s">
        <v>11</v>
      </c>
      <c r="B333" s="4" t="s">
        <v>82</v>
      </c>
      <c r="C333" s="5" t="s">
        <v>47</v>
      </c>
      <c r="D333" s="8"/>
      <c r="E333" s="4" t="s">
        <v>284</v>
      </c>
      <c r="F333" s="4" t="s">
        <v>14</v>
      </c>
      <c r="G333" s="4">
        <v>8.0000000000000002E-3</v>
      </c>
    </row>
    <row r="334" spans="1:7" hidden="1" outlineLevel="6">
      <c r="A334" s="3" t="s">
        <v>11</v>
      </c>
      <c r="B334" s="3" t="s">
        <v>82</v>
      </c>
      <c r="C334" s="3"/>
      <c r="D334" s="3"/>
      <c r="E334" s="3" t="s">
        <v>240</v>
      </c>
      <c r="F334" s="3" t="s">
        <v>14</v>
      </c>
      <c r="G334" s="3">
        <v>0.01</v>
      </c>
    </row>
    <row r="335" spans="1:7" ht="30" hidden="1" outlineLevel="6">
      <c r="A335" s="3" t="s">
        <v>14</v>
      </c>
      <c r="B335" s="3" t="s">
        <v>82</v>
      </c>
      <c r="C335" s="3"/>
      <c r="D335" s="3" t="s">
        <v>48</v>
      </c>
      <c r="E335" s="3" t="s">
        <v>359</v>
      </c>
      <c r="F335" s="3" t="s">
        <v>14</v>
      </c>
      <c r="G335" s="3">
        <f>SUM(G332*G333)</f>
        <v>80</v>
      </c>
    </row>
    <row r="336" spans="1:7" ht="45" hidden="1" outlineLevel="6">
      <c r="A336" s="3" t="s">
        <v>11</v>
      </c>
      <c r="B336" s="10"/>
      <c r="C336" s="3"/>
      <c r="D336" s="3" t="s">
        <v>48</v>
      </c>
      <c r="E336" s="3" t="s">
        <v>360</v>
      </c>
      <c r="F336" s="3" t="s">
        <v>14</v>
      </c>
      <c r="G336" s="3">
        <f>(G335*G334*(44/28)*G337)/G105</f>
        <v>0.29001157130592697</v>
      </c>
    </row>
    <row r="337" spans="1:7" hidden="1" outlineLevel="6">
      <c r="A337" s="3" t="s">
        <v>11</v>
      </c>
      <c r="B337" s="3" t="s">
        <v>82</v>
      </c>
      <c r="C337" s="3"/>
      <c r="D337" s="3"/>
      <c r="E337" s="3" t="s">
        <v>114</v>
      </c>
      <c r="F337" s="3" t="s">
        <v>14</v>
      </c>
      <c r="G337" s="3">
        <v>265</v>
      </c>
    </row>
    <row r="338" spans="1:7" hidden="1" outlineLevel="6" collapsed="1">
      <c r="A338" s="3" t="s">
        <v>14</v>
      </c>
      <c r="B338" s="9" t="s">
        <v>361</v>
      </c>
      <c r="C338" s="3"/>
      <c r="D338" s="3" t="e">
        <f>EXACT(#REF!,"Approach 3")</f>
        <v>#REF!</v>
      </c>
      <c r="E338" s="3" t="s">
        <v>362</v>
      </c>
      <c r="F338" s="3" t="s">
        <v>14</v>
      </c>
      <c r="G338" s="3"/>
    </row>
    <row r="339" spans="1:7" hidden="1" outlineLevel="6">
      <c r="A339" s="3" t="s">
        <v>14</v>
      </c>
      <c r="B339" s="10" t="s">
        <v>363</v>
      </c>
      <c r="C339" s="3"/>
      <c r="D339" s="3"/>
      <c r="E339" s="3" t="s">
        <v>364</v>
      </c>
      <c r="F339" s="3" t="s">
        <v>11</v>
      </c>
      <c r="G339" s="3"/>
    </row>
    <row r="340" spans="1:7" hidden="1" outlineLevel="6">
      <c r="A340" s="4" t="s">
        <v>11</v>
      </c>
      <c r="B340" s="4" t="s">
        <v>46</v>
      </c>
      <c r="C340" s="5" t="s">
        <v>47</v>
      </c>
      <c r="D340" s="8"/>
      <c r="E340" s="4" t="s">
        <v>225</v>
      </c>
      <c r="F340" s="4" t="s">
        <v>14</v>
      </c>
      <c r="G340" s="4" t="s">
        <v>226</v>
      </c>
    </row>
    <row r="341" spans="1:7" ht="30" hidden="1" outlineLevel="6">
      <c r="A341" s="4" t="s">
        <v>11</v>
      </c>
      <c r="B341" s="4" t="s">
        <v>82</v>
      </c>
      <c r="C341" s="5"/>
      <c r="D341" s="8"/>
      <c r="E341" s="4" t="s">
        <v>227</v>
      </c>
      <c r="F341" s="4" t="s">
        <v>14</v>
      </c>
      <c r="G341" s="4">
        <v>0.92</v>
      </c>
    </row>
    <row r="342" spans="1:7" ht="30" hidden="1" outlineLevel="6">
      <c r="A342" s="4" t="s">
        <v>11</v>
      </c>
      <c r="B342" s="4" t="s">
        <v>82</v>
      </c>
      <c r="C342" s="5"/>
      <c r="D342" s="8"/>
      <c r="E342" s="4" t="s">
        <v>291</v>
      </c>
      <c r="F342" s="4" t="s">
        <v>14</v>
      </c>
      <c r="G342" s="4">
        <v>0.21</v>
      </c>
    </row>
    <row r="343" spans="1:7" ht="30" hidden="1" outlineLevel="6">
      <c r="A343" s="4" t="s">
        <v>11</v>
      </c>
      <c r="B343" s="4" t="s">
        <v>82</v>
      </c>
      <c r="C343" s="5"/>
      <c r="D343" s="8"/>
      <c r="E343" s="4" t="s">
        <v>328</v>
      </c>
      <c r="F343" s="4" t="s">
        <v>14</v>
      </c>
      <c r="G343" s="4">
        <v>1281290.3410132199</v>
      </c>
    </row>
    <row r="344" spans="1:7" ht="18" hidden="1" outlineLevel="6">
      <c r="A344" s="4" t="s">
        <v>14</v>
      </c>
      <c r="B344" s="4" t="s">
        <v>82</v>
      </c>
      <c r="C344" s="5"/>
      <c r="D344" s="8" t="s">
        <v>48</v>
      </c>
      <c r="E344" s="4" t="s">
        <v>365</v>
      </c>
      <c r="F344" s="4" t="s">
        <v>14</v>
      </c>
      <c r="G344" s="4">
        <f>G343*G341*G342</f>
        <v>247545.29388375409</v>
      </c>
    </row>
    <row r="345" spans="1:7" ht="18" hidden="1" outlineLevel="6">
      <c r="A345" s="3" t="s">
        <v>11</v>
      </c>
      <c r="B345" s="3" t="s">
        <v>82</v>
      </c>
      <c r="C345" s="3"/>
      <c r="D345" s="3"/>
      <c r="E345" s="3" t="s">
        <v>366</v>
      </c>
      <c r="F345" s="3" t="s">
        <v>14</v>
      </c>
      <c r="G345" s="3">
        <f>SUM(G344)</f>
        <v>247545.29388375409</v>
      </c>
    </row>
    <row r="346" spans="1:7" ht="30" hidden="1" outlineLevel="6">
      <c r="A346" s="3" t="s">
        <v>14</v>
      </c>
      <c r="B346" s="3" t="s">
        <v>82</v>
      </c>
      <c r="C346" s="3"/>
      <c r="D346" s="3" t="s">
        <v>48</v>
      </c>
      <c r="E346" s="3" t="s">
        <v>367</v>
      </c>
      <c r="F346" s="3" t="s">
        <v>14</v>
      </c>
      <c r="G346" s="3">
        <f>((G347*G345)/G348)/G105</f>
        <v>5.7106476993216471E-2</v>
      </c>
    </row>
    <row r="347" spans="1:7" hidden="1" outlineLevel="6">
      <c r="A347" s="3" t="s">
        <v>11</v>
      </c>
      <c r="B347" s="3" t="s">
        <v>82</v>
      </c>
      <c r="C347" s="3"/>
      <c r="D347" s="3"/>
      <c r="E347" s="3" t="s">
        <v>114</v>
      </c>
      <c r="F347" s="3" t="s">
        <v>14</v>
      </c>
      <c r="G347" s="3">
        <v>265</v>
      </c>
    </row>
    <row r="348" spans="1:7" hidden="1" outlineLevel="6">
      <c r="A348" s="3" t="s">
        <v>14</v>
      </c>
      <c r="B348" s="3" t="s">
        <v>82</v>
      </c>
      <c r="C348" s="3"/>
      <c r="D348" s="3" t="s">
        <v>48</v>
      </c>
      <c r="E348" s="3" t="s">
        <v>220</v>
      </c>
      <c r="F348" s="3" t="s">
        <v>14</v>
      </c>
      <c r="G348" s="3">
        <f>10^6</f>
        <v>1000000</v>
      </c>
    </row>
    <row r="349" spans="1:7" hidden="1" outlineLevel="6" collapsed="1">
      <c r="A349" s="3" t="s">
        <v>14</v>
      </c>
      <c r="B349" s="9" t="s">
        <v>368</v>
      </c>
      <c r="C349" s="3"/>
      <c r="D349" s="3"/>
      <c r="E349" s="3" t="s">
        <v>369</v>
      </c>
      <c r="F349" s="3" t="s">
        <v>14</v>
      </c>
      <c r="G349" s="3"/>
    </row>
    <row r="350" spans="1:7" ht="30" hidden="1" outlineLevel="6">
      <c r="A350" s="3" t="s">
        <v>14</v>
      </c>
      <c r="B350" s="3" t="s">
        <v>82</v>
      </c>
      <c r="C350" s="3"/>
      <c r="D350" s="3" t="s">
        <v>48</v>
      </c>
      <c r="E350" s="3" t="s">
        <v>370</v>
      </c>
      <c r="F350" s="3" t="s">
        <v>14</v>
      </c>
      <c r="G350" s="11">
        <f>G306+G327+G336</f>
        <v>1.7462226343656397</v>
      </c>
    </row>
    <row r="351" spans="1:7" hidden="1" outlineLevel="2">
      <c r="A351" s="3" t="s">
        <v>14</v>
      </c>
      <c r="B351" s="3" t="s">
        <v>82</v>
      </c>
      <c r="C351" s="3"/>
      <c r="D351" s="3" t="s">
        <v>48</v>
      </c>
      <c r="E351" s="3" t="s">
        <v>371</v>
      </c>
      <c r="F351" s="3" t="s">
        <v>14</v>
      </c>
      <c r="G351" s="3">
        <f>SUM(G113-G236)*G105</f>
        <v>0</v>
      </c>
    </row>
    <row r="352" spans="1:7" hidden="1" outlineLevel="2">
      <c r="A352" s="3" t="s">
        <v>14</v>
      </c>
      <c r="B352" s="3" t="s">
        <v>82</v>
      </c>
      <c r="C352" s="3"/>
      <c r="D352" s="3" t="s">
        <v>48</v>
      </c>
      <c r="E352" s="3" t="s">
        <v>372</v>
      </c>
      <c r="F352" s="3" t="s">
        <v>14</v>
      </c>
      <c r="G352" s="3">
        <f>SUM(G121-G244)*G105</f>
        <v>1.8333333333333337</v>
      </c>
    </row>
    <row r="353" spans="1:7" hidden="1" outlineLevel="2">
      <c r="A353" s="3" t="s">
        <v>14</v>
      </c>
      <c r="B353" s="3" t="s">
        <v>82</v>
      </c>
      <c r="C353" s="3"/>
      <c r="D353" s="3" t="s">
        <v>48</v>
      </c>
      <c r="E353" s="3" t="s">
        <v>373</v>
      </c>
      <c r="F353" s="3" t="s">
        <v>14</v>
      </c>
      <c r="G353" s="3">
        <f>SUM(G131-G254)*G105</f>
        <v>32.679421607048745</v>
      </c>
    </row>
    <row r="354" spans="1:7" hidden="1" outlineLevel="2">
      <c r="A354" s="3" t="s">
        <v>14</v>
      </c>
      <c r="B354" s="3" t="s">
        <v>82</v>
      </c>
      <c r="C354" s="3"/>
      <c r="D354" s="3" t="s">
        <v>48</v>
      </c>
      <c r="E354" s="3" t="s">
        <v>374</v>
      </c>
      <c r="F354" s="3" t="s">
        <v>14</v>
      </c>
      <c r="G354" s="3">
        <f>SUM(G148-G271)*G105</f>
        <v>0</v>
      </c>
    </row>
    <row r="355" spans="1:7" hidden="1" outlineLevel="2">
      <c r="A355" s="3" t="s">
        <v>14</v>
      </c>
      <c r="B355" s="3" t="s">
        <v>82</v>
      </c>
      <c r="C355" s="3"/>
      <c r="D355" s="3" t="s">
        <v>48</v>
      </c>
      <c r="E355" s="3" t="s">
        <v>375</v>
      </c>
      <c r="F355" s="3" t="s">
        <v>14</v>
      </c>
      <c r="G355" s="3">
        <f>SUM(G159-G282)*G105</f>
        <v>8.4048435832102246</v>
      </c>
    </row>
    <row r="356" spans="1:7" hidden="1" outlineLevel="2">
      <c r="A356" s="3" t="s">
        <v>14</v>
      </c>
      <c r="B356" s="3" t="s">
        <v>82</v>
      </c>
      <c r="C356" s="3"/>
      <c r="D356" s="3" t="s">
        <v>48</v>
      </c>
      <c r="E356" s="3" t="s">
        <v>376</v>
      </c>
      <c r="F356" s="3" t="s">
        <v>14</v>
      </c>
      <c r="G356" s="3">
        <f>SUM(G224-G346)*G105</f>
        <v>7.2628811398392665</v>
      </c>
    </row>
    <row r="357" spans="1:7">
      <c r="A357" s="3" t="s">
        <v>14</v>
      </c>
      <c r="B357" s="10" t="s">
        <v>377</v>
      </c>
      <c r="C357" s="3"/>
      <c r="D357" s="3"/>
      <c r="E357" s="3" t="s">
        <v>378</v>
      </c>
      <c r="F357" s="3" t="s">
        <v>14</v>
      </c>
      <c r="G357" s="3"/>
    </row>
    <row r="358" spans="1:7" outlineLevel="6">
      <c r="A358" s="3" t="s">
        <v>11</v>
      </c>
      <c r="B358" s="9" t="s">
        <v>379</v>
      </c>
      <c r="C358" s="3"/>
      <c r="D358" s="3"/>
      <c r="E358" s="3" t="s">
        <v>380</v>
      </c>
      <c r="F358" s="3" t="s">
        <v>11</v>
      </c>
      <c r="G358" s="3"/>
    </row>
    <row r="359" spans="1:7" ht="14.25" customHeight="1" outlineLevel="2">
      <c r="A359" s="3" t="s">
        <v>11</v>
      </c>
      <c r="B359" s="3" t="s">
        <v>46</v>
      </c>
      <c r="C359" s="3"/>
      <c r="D359" s="3"/>
      <c r="E359" s="3" t="s">
        <v>88</v>
      </c>
      <c r="F359" s="3" t="s">
        <v>14</v>
      </c>
      <c r="G359" s="3" t="s">
        <v>89</v>
      </c>
    </row>
    <row r="360" spans="1:7" outlineLevel="2">
      <c r="A360" s="3" t="s">
        <v>11</v>
      </c>
      <c r="B360" s="3" t="s">
        <v>82</v>
      </c>
      <c r="C360" s="3"/>
      <c r="D360" s="3"/>
      <c r="E360" s="3" t="s">
        <v>90</v>
      </c>
      <c r="F360" s="3" t="s">
        <v>14</v>
      </c>
      <c r="G360" s="3">
        <v>1148.7226376613501</v>
      </c>
    </row>
    <row r="361" spans="1:7" ht="14.25" customHeight="1" outlineLevel="2">
      <c r="A361" s="3"/>
      <c r="B361" s="10" t="s">
        <v>381</v>
      </c>
      <c r="C361" s="3"/>
      <c r="D361" s="3"/>
      <c r="E361" s="3" t="s">
        <v>381</v>
      </c>
      <c r="F361" s="3" t="s">
        <v>14</v>
      </c>
      <c r="G361" s="3"/>
    </row>
    <row r="362" spans="1:7" ht="29.25" customHeight="1" outlineLevel="3" collapsed="1">
      <c r="A362" s="18" t="s">
        <v>11</v>
      </c>
      <c r="B362" s="10" t="s">
        <v>382</v>
      </c>
      <c r="C362" s="19"/>
      <c r="D362" s="18"/>
      <c r="E362" s="18" t="s">
        <v>383</v>
      </c>
      <c r="F362" s="18" t="s">
        <v>14</v>
      </c>
      <c r="G362" s="18"/>
    </row>
    <row r="363" spans="1:7" ht="29.25" hidden="1" customHeight="1" outlineLevel="4">
      <c r="A363" s="18" t="s">
        <v>11</v>
      </c>
      <c r="B363" s="18" t="s">
        <v>17</v>
      </c>
      <c r="C363" s="10" t="s">
        <v>384</v>
      </c>
      <c r="D363" s="18"/>
      <c r="E363" s="18" t="s">
        <v>385</v>
      </c>
      <c r="F363" s="3" t="s">
        <v>14</v>
      </c>
      <c r="G363" s="18" t="s">
        <v>386</v>
      </c>
    </row>
    <row r="364" spans="1:7" ht="29.25" hidden="1" customHeight="1" outlineLevel="4">
      <c r="A364" s="3" t="s">
        <v>14</v>
      </c>
      <c r="B364" s="10" t="s">
        <v>387</v>
      </c>
      <c r="C364" s="10"/>
      <c r="D364" s="18" t="b">
        <f>EXACT(G363,"Estimating change in carbon stock in trees between two points in time")</f>
        <v>0</v>
      </c>
      <c r="E364" s="18" t="s">
        <v>388</v>
      </c>
      <c r="F364" s="3" t="s">
        <v>14</v>
      </c>
      <c r="G364" s="18"/>
    </row>
    <row r="365" spans="1:7" ht="29.25" hidden="1" customHeight="1" outlineLevel="5">
      <c r="A365" s="18" t="s">
        <v>11</v>
      </c>
      <c r="B365" s="18" t="s">
        <v>17</v>
      </c>
      <c r="C365" s="19" t="s">
        <v>389</v>
      </c>
      <c r="D365" s="18"/>
      <c r="E365" s="18" t="s">
        <v>390</v>
      </c>
      <c r="F365" s="18" t="s">
        <v>14</v>
      </c>
      <c r="G365" s="18" t="s">
        <v>391</v>
      </c>
    </row>
    <row r="366" spans="1:7" hidden="1" outlineLevel="5">
      <c r="A366" s="18" t="s">
        <v>14</v>
      </c>
      <c r="B366" s="10" t="s">
        <v>392</v>
      </c>
      <c r="C366" s="19"/>
      <c r="D366" s="18" t="b">
        <f>EXACT(G365,"no-decrease")</f>
        <v>1</v>
      </c>
      <c r="E366" s="18" t="s">
        <v>393</v>
      </c>
      <c r="F366" s="3" t="s">
        <v>14</v>
      </c>
      <c r="G366" s="18"/>
    </row>
    <row r="367" spans="1:7" ht="165" hidden="1" outlineLevel="6" collapsed="1">
      <c r="A367" s="20" t="s">
        <v>14</v>
      </c>
      <c r="B367" s="20" t="s">
        <v>44</v>
      </c>
      <c r="C367" s="20"/>
      <c r="D367" s="20"/>
      <c r="E367" s="20" t="s">
        <v>394</v>
      </c>
      <c r="F367" s="4" t="s">
        <v>14</v>
      </c>
      <c r="G367" s="20"/>
    </row>
    <row r="368" spans="1:7" ht="60" hidden="1" outlineLevel="6" collapsed="1">
      <c r="A368" s="20" t="s">
        <v>11</v>
      </c>
      <c r="B368" s="20" t="s">
        <v>17</v>
      </c>
      <c r="C368" s="21" t="s">
        <v>395</v>
      </c>
      <c r="D368" s="20"/>
      <c r="E368" s="20" t="s">
        <v>396</v>
      </c>
      <c r="F368" s="4" t="s">
        <v>14</v>
      </c>
      <c r="G368" s="20"/>
    </row>
    <row r="369" spans="1:8" hidden="1" outlineLevel="5">
      <c r="A369" s="18" t="s">
        <v>14</v>
      </c>
      <c r="B369" s="10" t="s">
        <v>397</v>
      </c>
      <c r="C369" s="18" t="s">
        <v>47</v>
      </c>
      <c r="D369" s="18" t="b">
        <f>EXACT(G365,"Estimation by proportionate crown cover")</f>
        <v>0</v>
      </c>
      <c r="E369" s="18" t="s">
        <v>398</v>
      </c>
      <c r="F369" s="18" t="s">
        <v>14</v>
      </c>
      <c r="G369" s="18" t="s">
        <v>47</v>
      </c>
    </row>
    <row r="370" spans="1:8" ht="30" hidden="1" outlineLevel="6" collapsed="1">
      <c r="A370" s="20" t="s">
        <v>14</v>
      </c>
      <c r="B370" s="20" t="s">
        <v>82</v>
      </c>
      <c r="C370" s="20" t="s">
        <v>47</v>
      </c>
      <c r="D370" s="20" t="s">
        <v>399</v>
      </c>
      <c r="E370" s="20" t="s">
        <v>400</v>
      </c>
      <c r="F370" s="20" t="s">
        <v>14</v>
      </c>
      <c r="G370" s="20">
        <f>SUM(G372)</f>
        <v>7.333333333333333</v>
      </c>
      <c r="H370" t="s">
        <v>401</v>
      </c>
    </row>
    <row r="371" spans="1:8" hidden="1" outlineLevel="6">
      <c r="A371" s="22" t="s">
        <v>11</v>
      </c>
      <c r="B371" s="23" t="s">
        <v>402</v>
      </c>
      <c r="C371" s="22" t="s">
        <v>47</v>
      </c>
      <c r="D371" s="22"/>
      <c r="E371" s="22" t="s">
        <v>403</v>
      </c>
      <c r="F371" s="22" t="s">
        <v>11</v>
      </c>
      <c r="G371" s="22" t="s">
        <v>47</v>
      </c>
      <c r="H371" t="s">
        <v>401</v>
      </c>
    </row>
    <row r="372" spans="1:8" ht="30" hidden="1" outlineLevel="7" collapsed="1">
      <c r="A372" s="20" t="s">
        <v>14</v>
      </c>
      <c r="B372" s="20" t="s">
        <v>82</v>
      </c>
      <c r="C372" s="20" t="s">
        <v>47</v>
      </c>
      <c r="D372" s="20" t="s">
        <v>399</v>
      </c>
      <c r="E372" s="20" t="s">
        <v>404</v>
      </c>
      <c r="F372" s="20" t="s">
        <v>14</v>
      </c>
      <c r="G372" s="20">
        <f>44/12*G373*G374*(1+G375)*G376*G377</f>
        <v>7.333333333333333</v>
      </c>
    </row>
    <row r="373" spans="1:8" hidden="1" outlineLevel="7" collapsed="1">
      <c r="A373" s="20" t="s">
        <v>11</v>
      </c>
      <c r="B373" s="20" t="s">
        <v>82</v>
      </c>
      <c r="C373" s="20" t="s">
        <v>47</v>
      </c>
      <c r="D373" s="20"/>
      <c r="E373" s="20" t="s">
        <v>405</v>
      </c>
      <c r="F373" s="20" t="s">
        <v>14</v>
      </c>
      <c r="G373" s="20">
        <v>1</v>
      </c>
    </row>
    <row r="374" spans="1:8" ht="30" hidden="1" outlineLevel="7" collapsed="1">
      <c r="A374" s="20" t="s">
        <v>11</v>
      </c>
      <c r="B374" s="20" t="s">
        <v>82</v>
      </c>
      <c r="C374" s="20" t="s">
        <v>47</v>
      </c>
      <c r="D374" s="20"/>
      <c r="E374" s="20" t="s">
        <v>406</v>
      </c>
      <c r="F374" s="20" t="s">
        <v>14</v>
      </c>
      <c r="G374" s="20">
        <v>1</v>
      </c>
    </row>
    <row r="375" spans="1:8" hidden="1" outlineLevel="7" collapsed="1">
      <c r="A375" s="20" t="s">
        <v>11</v>
      </c>
      <c r="B375" s="20" t="s">
        <v>82</v>
      </c>
      <c r="C375" s="20" t="s">
        <v>47</v>
      </c>
      <c r="D375" s="20"/>
      <c r="E375" s="20" t="s">
        <v>407</v>
      </c>
      <c r="F375" s="20" t="s">
        <v>14</v>
      </c>
      <c r="G375" s="20">
        <v>1</v>
      </c>
    </row>
    <row r="376" spans="1:8" ht="30" hidden="1" outlineLevel="7" collapsed="1">
      <c r="A376" s="20" t="s">
        <v>11</v>
      </c>
      <c r="B376" s="20" t="s">
        <v>82</v>
      </c>
      <c r="C376" s="20" t="s">
        <v>47</v>
      </c>
      <c r="D376" s="20"/>
      <c r="E376" s="20" t="s">
        <v>408</v>
      </c>
      <c r="F376" s="20" t="s">
        <v>14</v>
      </c>
      <c r="G376" s="20">
        <v>1</v>
      </c>
    </row>
    <row r="377" spans="1:8" ht="30" hidden="1" outlineLevel="7" collapsed="1">
      <c r="A377" s="20" t="s">
        <v>11</v>
      </c>
      <c r="B377" s="20" t="s">
        <v>82</v>
      </c>
      <c r="C377" s="20" t="s">
        <v>47</v>
      </c>
      <c r="D377" s="20"/>
      <c r="E377" s="20" t="s">
        <v>409</v>
      </c>
      <c r="F377" s="20" t="s">
        <v>14</v>
      </c>
      <c r="G377" s="20">
        <v>1</v>
      </c>
    </row>
    <row r="378" spans="1:8" hidden="1" outlineLevel="5">
      <c r="A378" s="18" t="s">
        <v>14</v>
      </c>
      <c r="B378" s="10" t="s">
        <v>410</v>
      </c>
      <c r="C378" s="18" t="s">
        <v>47</v>
      </c>
      <c r="D378" s="18" t="b">
        <f>EXACT(G365,"Direct estimation of change by re-measurement of sample plots")</f>
        <v>0</v>
      </c>
      <c r="E378" s="18" t="s">
        <v>411</v>
      </c>
      <c r="F378" s="18" t="s">
        <v>14</v>
      </c>
      <c r="G378" s="18" t="s">
        <v>47</v>
      </c>
    </row>
    <row r="379" spans="1:8" hidden="1" outlineLevel="6" collapsed="1">
      <c r="A379" s="20" t="s">
        <v>14</v>
      </c>
      <c r="B379" s="20" t="s">
        <v>82</v>
      </c>
      <c r="C379" s="20" t="s">
        <v>47</v>
      </c>
      <c r="D379" s="20" t="s">
        <v>399</v>
      </c>
      <c r="E379" s="20" t="s">
        <v>412</v>
      </c>
      <c r="F379" s="20" t="s">
        <v>14</v>
      </c>
      <c r="G379" s="20">
        <f>44/12*G380*G381</f>
        <v>3.6666666666666665</v>
      </c>
    </row>
    <row r="380" spans="1:8" hidden="1" outlineLevel="6" collapsed="1">
      <c r="A380" s="20" t="s">
        <v>11</v>
      </c>
      <c r="B380" s="20" t="s">
        <v>82</v>
      </c>
      <c r="C380" s="20" t="s">
        <v>47</v>
      </c>
      <c r="D380" s="20"/>
      <c r="E380" s="20" t="s">
        <v>405</v>
      </c>
      <c r="F380" s="20" t="s">
        <v>14</v>
      </c>
      <c r="G380" s="20">
        <v>1</v>
      </c>
    </row>
    <row r="381" spans="1:8" ht="30" hidden="1" outlineLevel="6" collapsed="1">
      <c r="A381" s="20" t="s">
        <v>14</v>
      </c>
      <c r="B381" s="20" t="s">
        <v>82</v>
      </c>
      <c r="C381" s="20" t="s">
        <v>47</v>
      </c>
      <c r="D381" s="20" t="s">
        <v>399</v>
      </c>
      <c r="E381" s="20" t="s">
        <v>413</v>
      </c>
      <c r="F381" s="20" t="s">
        <v>14</v>
      </c>
      <c r="G381" s="20">
        <f>G383*G382</f>
        <v>1</v>
      </c>
    </row>
    <row r="382" spans="1:8" ht="30" hidden="1" outlineLevel="6" collapsed="1">
      <c r="A382" s="20" t="s">
        <v>14</v>
      </c>
      <c r="B382" s="20" t="s">
        <v>82</v>
      </c>
      <c r="C382" s="20" t="s">
        <v>47</v>
      </c>
      <c r="D382" s="20" t="s">
        <v>399</v>
      </c>
      <c r="E382" s="20" t="s">
        <v>414</v>
      </c>
      <c r="F382" s="20" t="s">
        <v>14</v>
      </c>
      <c r="G382" s="20">
        <f>SUM((G388*G387))</f>
        <v>1</v>
      </c>
    </row>
    <row r="383" spans="1:8" hidden="1" outlineLevel="6" collapsed="1">
      <c r="A383" s="20" t="s">
        <v>11</v>
      </c>
      <c r="B383" s="20" t="s">
        <v>82</v>
      </c>
      <c r="C383" s="20" t="s">
        <v>47</v>
      </c>
      <c r="D383" s="20"/>
      <c r="E383" s="20" t="s">
        <v>415</v>
      </c>
      <c r="F383" s="20" t="s">
        <v>14</v>
      </c>
      <c r="G383" s="20">
        <v>1</v>
      </c>
    </row>
    <row r="384" spans="1:8" hidden="1" outlineLevel="6" collapsed="1">
      <c r="A384" s="20" t="s">
        <v>11</v>
      </c>
      <c r="B384" s="20" t="s">
        <v>82</v>
      </c>
      <c r="C384" s="20" t="s">
        <v>47</v>
      </c>
      <c r="D384" s="20"/>
      <c r="E384" s="20" t="s">
        <v>416</v>
      </c>
      <c r="F384" s="20" t="s">
        <v>14</v>
      </c>
      <c r="G384" s="20">
        <v>1</v>
      </c>
    </row>
    <row r="385" spans="1:12" hidden="1" outlineLevel="6" collapsed="1">
      <c r="A385" s="20" t="s">
        <v>11</v>
      </c>
      <c r="B385" s="20" t="s">
        <v>82</v>
      </c>
      <c r="C385" s="20" t="s">
        <v>47</v>
      </c>
      <c r="D385" s="20"/>
      <c r="E385" s="20" t="s">
        <v>417</v>
      </c>
      <c r="F385" s="20" t="s">
        <v>14</v>
      </c>
      <c r="G385" s="20">
        <v>1</v>
      </c>
    </row>
    <row r="386" spans="1:12" ht="30" hidden="1" outlineLevel="6">
      <c r="A386" s="22" t="s">
        <v>11</v>
      </c>
      <c r="B386" s="23" t="s">
        <v>418</v>
      </c>
      <c r="C386" s="22" t="s">
        <v>47</v>
      </c>
      <c r="D386" s="22"/>
      <c r="E386" s="22" t="s">
        <v>419</v>
      </c>
      <c r="F386" s="22" t="s">
        <v>11</v>
      </c>
      <c r="G386" s="22" t="s">
        <v>47</v>
      </c>
    </row>
    <row r="387" spans="1:12" ht="30" hidden="1" outlineLevel="7" collapsed="1">
      <c r="A387" s="20" t="s">
        <v>14</v>
      </c>
      <c r="B387" s="20" t="s">
        <v>82</v>
      </c>
      <c r="C387" s="20" t="s">
        <v>47</v>
      </c>
      <c r="D387" s="4" t="s">
        <v>399</v>
      </c>
      <c r="E387" s="20" t="s">
        <v>420</v>
      </c>
      <c r="F387" s="20" t="s">
        <v>14</v>
      </c>
      <c r="G387" s="20">
        <f>(SUM(G392))/G390</f>
        <v>1</v>
      </c>
    </row>
    <row r="388" spans="1:12" ht="30" hidden="1" outlineLevel="7" collapsed="1">
      <c r="A388" s="20" t="s">
        <v>11</v>
      </c>
      <c r="B388" s="20" t="s">
        <v>82</v>
      </c>
      <c r="C388" s="20" t="s">
        <v>47</v>
      </c>
      <c r="D388" s="20"/>
      <c r="E388" s="20" t="s">
        <v>421</v>
      </c>
      <c r="F388" s="20" t="s">
        <v>14</v>
      </c>
      <c r="G388" s="20">
        <v>1</v>
      </c>
    </row>
    <row r="389" spans="1:12" ht="30" hidden="1" outlineLevel="7" collapsed="1">
      <c r="A389" s="20" t="s">
        <v>11</v>
      </c>
      <c r="B389" s="20" t="s">
        <v>82</v>
      </c>
      <c r="C389" s="20" t="s">
        <v>47</v>
      </c>
      <c r="D389" s="20"/>
      <c r="E389" s="20" t="s">
        <v>422</v>
      </c>
      <c r="F389" s="20" t="s">
        <v>14</v>
      </c>
      <c r="G389" s="20">
        <v>1</v>
      </c>
    </row>
    <row r="390" spans="1:12" ht="30" hidden="1" outlineLevel="7" collapsed="1">
      <c r="A390" s="20" t="s">
        <v>11</v>
      </c>
      <c r="B390" s="20" t="s">
        <v>82</v>
      </c>
      <c r="C390" s="20" t="s">
        <v>47</v>
      </c>
      <c r="D390" s="20"/>
      <c r="E390" s="20" t="s">
        <v>423</v>
      </c>
      <c r="F390" s="20" t="s">
        <v>14</v>
      </c>
      <c r="G390" s="20">
        <v>1</v>
      </c>
    </row>
    <row r="391" spans="1:12" hidden="1" outlineLevel="6">
      <c r="A391" s="22" t="s">
        <v>11</v>
      </c>
      <c r="B391" s="23" t="s">
        <v>424</v>
      </c>
      <c r="C391" s="22"/>
      <c r="D391" s="22"/>
      <c r="E391" s="22" t="s">
        <v>425</v>
      </c>
      <c r="F391" s="22" t="s">
        <v>11</v>
      </c>
      <c r="G391" s="22"/>
    </row>
    <row r="392" spans="1:12" s="25" customFormat="1" ht="30" hidden="1" outlineLevel="7" collapsed="1">
      <c r="A392" s="24" t="s">
        <v>11</v>
      </c>
      <c r="B392" s="24" t="s">
        <v>82</v>
      </c>
      <c r="C392" s="24" t="s">
        <v>47</v>
      </c>
      <c r="D392" s="24"/>
      <c r="E392" s="24" t="s">
        <v>426</v>
      </c>
      <c r="F392" s="24" t="s">
        <v>14</v>
      </c>
      <c r="G392" s="24">
        <v>1</v>
      </c>
      <c r="H392"/>
      <c r="I392"/>
      <c r="J392"/>
      <c r="K392"/>
      <c r="L392"/>
    </row>
    <row r="393" spans="1:12" hidden="1" outlineLevel="5">
      <c r="A393" s="18" t="s">
        <v>14</v>
      </c>
      <c r="B393" s="10" t="s">
        <v>427</v>
      </c>
      <c r="C393" s="18" t="s">
        <v>47</v>
      </c>
      <c r="D393" s="18" t="b">
        <f>EXACT(G365,"Difference of two independent stock estimations")</f>
        <v>0</v>
      </c>
      <c r="E393" s="18" t="s">
        <v>428</v>
      </c>
      <c r="F393" s="18" t="s">
        <v>14</v>
      </c>
      <c r="G393" s="18" t="s">
        <v>47</v>
      </c>
    </row>
    <row r="394" spans="1:12" hidden="1" outlineLevel="6" collapsed="1">
      <c r="A394" s="20" t="s">
        <v>11</v>
      </c>
      <c r="B394" s="20" t="s">
        <v>82</v>
      </c>
      <c r="C394" s="20" t="s">
        <v>47</v>
      </c>
      <c r="D394" s="20"/>
      <c r="E394" s="20" t="s">
        <v>429</v>
      </c>
      <c r="F394" s="20" t="s">
        <v>14</v>
      </c>
      <c r="G394" s="20">
        <v>1</v>
      </c>
    </row>
    <row r="395" spans="1:12" hidden="1" outlineLevel="6" collapsed="1">
      <c r="A395" s="20" t="s">
        <v>11</v>
      </c>
      <c r="B395" s="20" t="s">
        <v>82</v>
      </c>
      <c r="C395" s="20" t="s">
        <v>47</v>
      </c>
      <c r="D395" s="20"/>
      <c r="E395" s="20" t="s">
        <v>430</v>
      </c>
      <c r="F395" s="20" t="s">
        <v>14</v>
      </c>
      <c r="G395" s="20">
        <v>1</v>
      </c>
    </row>
    <row r="396" spans="1:12" hidden="1" outlineLevel="6" collapsed="1">
      <c r="A396" s="20" t="s">
        <v>11</v>
      </c>
      <c r="B396" s="20" t="s">
        <v>82</v>
      </c>
      <c r="C396" s="20" t="s">
        <v>47</v>
      </c>
      <c r="D396" s="20"/>
      <c r="E396" s="20" t="s">
        <v>431</v>
      </c>
      <c r="F396" s="20" t="s">
        <v>14</v>
      </c>
      <c r="G396" s="20">
        <v>1</v>
      </c>
    </row>
    <row r="397" spans="1:12" hidden="1" outlineLevel="6" collapsed="1">
      <c r="A397" s="20" t="s">
        <v>11</v>
      </c>
      <c r="B397" s="20" t="s">
        <v>82</v>
      </c>
      <c r="C397" s="20" t="s">
        <v>47</v>
      </c>
      <c r="D397" s="20"/>
      <c r="E397" s="20" t="s">
        <v>432</v>
      </c>
      <c r="F397" s="20" t="s">
        <v>14</v>
      </c>
      <c r="G397" s="20">
        <v>1</v>
      </c>
    </row>
    <row r="398" spans="1:12" hidden="1" outlineLevel="6" collapsed="1">
      <c r="A398" s="20" t="s">
        <v>14</v>
      </c>
      <c r="B398" s="20" t="s">
        <v>82</v>
      </c>
      <c r="C398" s="20" t="s">
        <v>47</v>
      </c>
      <c r="D398" s="20" t="s">
        <v>399</v>
      </c>
      <c r="E398" s="24" t="s">
        <v>433</v>
      </c>
      <c r="F398" s="20" t="s">
        <v>14</v>
      </c>
      <c r="G398" s="20" t="e">
        <f>(SQRT((G396*G394)^2+(G397*G395)^2))/G399</f>
        <v>#DIV/0!</v>
      </c>
    </row>
    <row r="399" spans="1:12" hidden="1" outlineLevel="6" collapsed="1">
      <c r="A399" s="20" t="s">
        <v>14</v>
      </c>
      <c r="B399" s="20" t="s">
        <v>82</v>
      </c>
      <c r="C399" s="20" t="s">
        <v>47</v>
      </c>
      <c r="D399" s="20" t="s">
        <v>399</v>
      </c>
      <c r="E399" s="24" t="s">
        <v>434</v>
      </c>
      <c r="F399" s="20" t="s">
        <v>14</v>
      </c>
      <c r="G399" s="20">
        <f>G395-G394</f>
        <v>0</v>
      </c>
    </row>
    <row r="400" spans="1:12" hidden="1" outlineLevel="6" collapsed="1">
      <c r="A400" s="20" t="s">
        <v>11</v>
      </c>
      <c r="B400" s="20" t="s">
        <v>82</v>
      </c>
      <c r="C400" s="20" t="s">
        <v>47</v>
      </c>
      <c r="D400" s="20"/>
      <c r="E400" s="20" t="s">
        <v>435</v>
      </c>
      <c r="F400" s="20" t="s">
        <v>14</v>
      </c>
      <c r="G400" s="26">
        <v>7.0000000000000007E-2</v>
      </c>
    </row>
    <row r="401" spans="1:7" hidden="1" outlineLevel="4">
      <c r="A401" s="3" t="s">
        <v>14</v>
      </c>
      <c r="B401" s="10" t="s">
        <v>436</v>
      </c>
      <c r="C401" s="18" t="s">
        <v>47</v>
      </c>
      <c r="D401" s="18" t="b">
        <f>EXACT(G363,"Estimating change in carbon stock in trees in a year")</f>
        <v>1</v>
      </c>
      <c r="E401" s="18" t="s">
        <v>386</v>
      </c>
      <c r="F401" s="18" t="s">
        <v>14</v>
      </c>
      <c r="G401" s="18" t="s">
        <v>47</v>
      </c>
    </row>
    <row r="402" spans="1:7" ht="30" hidden="1" outlineLevel="5" collapsed="1">
      <c r="A402" s="20" t="s">
        <v>14</v>
      </c>
      <c r="B402" s="20" t="s">
        <v>82</v>
      </c>
      <c r="C402" s="20" t="s">
        <v>47</v>
      </c>
      <c r="D402" s="20" t="s">
        <v>399</v>
      </c>
      <c r="E402" s="20" t="s">
        <v>437</v>
      </c>
      <c r="F402" s="20" t="s">
        <v>14</v>
      </c>
      <c r="G402" s="20">
        <f>(G403-G404/G405)*1</f>
        <v>1</v>
      </c>
    </row>
    <row r="403" spans="1:7" ht="30" hidden="1" outlineLevel="5" collapsed="1">
      <c r="A403" s="20" t="s">
        <v>11</v>
      </c>
      <c r="B403" s="20" t="s">
        <v>82</v>
      </c>
      <c r="C403" s="20" t="s">
        <v>47</v>
      </c>
      <c r="D403" s="20"/>
      <c r="E403" s="20" t="s">
        <v>438</v>
      </c>
      <c r="F403" s="20" t="s">
        <v>14</v>
      </c>
      <c r="G403" s="20">
        <v>1</v>
      </c>
    </row>
    <row r="404" spans="1:7" ht="30" hidden="1" outlineLevel="5" collapsed="1">
      <c r="A404" s="20" t="s">
        <v>11</v>
      </c>
      <c r="B404" s="20" t="s">
        <v>82</v>
      </c>
      <c r="C404" s="20" t="s">
        <v>47</v>
      </c>
      <c r="D404" s="20"/>
      <c r="E404" s="20" t="s">
        <v>439</v>
      </c>
      <c r="F404" s="20" t="s">
        <v>14</v>
      </c>
      <c r="G404" s="20"/>
    </row>
    <row r="405" spans="1:7" hidden="1" outlineLevel="5" collapsed="1">
      <c r="A405" s="20" t="s">
        <v>11</v>
      </c>
      <c r="B405" s="20" t="s">
        <v>82</v>
      </c>
      <c r="C405" s="20" t="s">
        <v>47</v>
      </c>
      <c r="D405" s="20"/>
      <c r="E405" s="20" t="s">
        <v>440</v>
      </c>
      <c r="F405" s="20" t="s">
        <v>14</v>
      </c>
      <c r="G405" s="20">
        <v>1</v>
      </c>
    </row>
    <row r="406" spans="1:7" hidden="1" outlineLevel="4">
      <c r="A406" s="3" t="s">
        <v>11</v>
      </c>
      <c r="B406" s="10" t="s">
        <v>441</v>
      </c>
      <c r="C406" s="18" t="s">
        <v>47</v>
      </c>
      <c r="D406" s="18"/>
      <c r="E406" s="18" t="s">
        <v>442</v>
      </c>
      <c r="F406" s="18" t="s">
        <v>14</v>
      </c>
      <c r="G406" s="18" t="s">
        <v>47</v>
      </c>
    </row>
    <row r="407" spans="1:7" ht="30" hidden="1" outlineLevel="4" collapsed="1">
      <c r="A407" s="20" t="s">
        <v>11</v>
      </c>
      <c r="B407" s="20" t="s">
        <v>17</v>
      </c>
      <c r="C407" s="21" t="s">
        <v>443</v>
      </c>
      <c r="D407" s="20"/>
      <c r="E407" s="20" t="s">
        <v>444</v>
      </c>
      <c r="F407" s="20" t="s">
        <v>14</v>
      </c>
      <c r="G407" s="20" t="s">
        <v>445</v>
      </c>
    </row>
    <row r="408" spans="1:7" hidden="1" outlineLevel="4">
      <c r="A408" s="22" t="s">
        <v>14</v>
      </c>
      <c r="B408" s="23" t="s">
        <v>446</v>
      </c>
      <c r="C408" s="22" t="s">
        <v>47</v>
      </c>
      <c r="D408" s="22" t="b">
        <f>EXACT(G407,"Updating the previous stock by independent measurement of change")</f>
        <v>0</v>
      </c>
      <c r="E408" s="22" t="s">
        <v>447</v>
      </c>
      <c r="F408" s="22" t="s">
        <v>14</v>
      </c>
      <c r="G408" s="22" t="s">
        <v>47</v>
      </c>
    </row>
    <row r="409" spans="1:7" hidden="1" outlineLevel="5" collapsed="1">
      <c r="A409" s="20" t="s">
        <v>14</v>
      </c>
      <c r="B409" s="20" t="s">
        <v>82</v>
      </c>
      <c r="C409" s="20" t="s">
        <v>47</v>
      </c>
      <c r="D409" s="20" t="s">
        <v>399</v>
      </c>
      <c r="E409" s="20" t="s">
        <v>448</v>
      </c>
      <c r="F409" s="20" t="s">
        <v>14</v>
      </c>
      <c r="G409" s="20" t="e">
        <f>E410+E411</f>
        <v>#VALUE!</v>
      </c>
    </row>
    <row r="410" spans="1:7" ht="30" hidden="1" outlineLevel="5" collapsed="1">
      <c r="A410" s="20" t="s">
        <v>11</v>
      </c>
      <c r="B410" s="20" t="s">
        <v>82</v>
      </c>
      <c r="C410" s="20" t="s">
        <v>47</v>
      </c>
      <c r="D410" s="20"/>
      <c r="E410" s="20" t="s">
        <v>449</v>
      </c>
      <c r="F410" s="20" t="s">
        <v>14</v>
      </c>
      <c r="G410" s="20">
        <v>1</v>
      </c>
    </row>
    <row r="411" spans="1:7" ht="30" hidden="1" outlineLevel="5" collapsed="1">
      <c r="A411" s="20" t="s">
        <v>11</v>
      </c>
      <c r="B411" s="20" t="s">
        <v>82</v>
      </c>
      <c r="C411" s="20" t="s">
        <v>47</v>
      </c>
      <c r="D411" s="20"/>
      <c r="E411" s="20" t="s">
        <v>450</v>
      </c>
      <c r="F411" s="20" t="s">
        <v>14</v>
      </c>
      <c r="G411" s="20">
        <v>1</v>
      </c>
    </row>
    <row r="412" spans="1:7" hidden="1" outlineLevel="5" collapsed="1">
      <c r="A412" s="20" t="s">
        <v>11</v>
      </c>
      <c r="B412" s="20" t="s">
        <v>82</v>
      </c>
      <c r="C412" s="20" t="s">
        <v>47</v>
      </c>
      <c r="D412" s="20"/>
      <c r="E412" s="20" t="s">
        <v>451</v>
      </c>
      <c r="F412" s="20" t="s">
        <v>14</v>
      </c>
      <c r="G412" s="20"/>
    </row>
    <row r="413" spans="1:7" ht="30" hidden="1" outlineLevel="5" collapsed="1">
      <c r="A413" s="20" t="s">
        <v>14</v>
      </c>
      <c r="B413" s="20" t="s">
        <v>82</v>
      </c>
      <c r="C413" s="20" t="s">
        <v>47</v>
      </c>
      <c r="D413" s="20" t="s">
        <v>399</v>
      </c>
      <c r="E413" s="20" t="s">
        <v>452</v>
      </c>
      <c r="F413" s="20" t="s">
        <v>14</v>
      </c>
      <c r="G413" s="20" t="e">
        <f>(SQRT((G414*G410)^2+(G412*G411)^2))/G409</f>
        <v>#VALUE!</v>
      </c>
    </row>
    <row r="414" spans="1:7" ht="30" hidden="1" outlineLevel="5" collapsed="1">
      <c r="A414" s="20" t="s">
        <v>11</v>
      </c>
      <c r="B414" s="20" t="s">
        <v>82</v>
      </c>
      <c r="C414" s="20" t="s">
        <v>47</v>
      </c>
      <c r="D414" s="20"/>
      <c r="E414" s="20" t="s">
        <v>453</v>
      </c>
      <c r="F414" s="20" t="s">
        <v>14</v>
      </c>
      <c r="G414" s="20">
        <v>1</v>
      </c>
    </row>
    <row r="415" spans="1:7" hidden="1" outlineLevel="4">
      <c r="A415" s="22" t="s">
        <v>14</v>
      </c>
      <c r="B415" s="23" t="s">
        <v>454</v>
      </c>
      <c r="C415" s="22"/>
      <c r="D415" s="22" t="b">
        <f>EXACT(G407,"Estimation by modelling of tree growth and stand development")</f>
        <v>1</v>
      </c>
      <c r="E415" s="22" t="s">
        <v>445</v>
      </c>
      <c r="F415" s="22" t="s">
        <v>14</v>
      </c>
      <c r="G415" s="22"/>
    </row>
    <row r="416" spans="1:7" ht="60" hidden="1" outlineLevel="5">
      <c r="A416" s="20" t="s">
        <v>14</v>
      </c>
      <c r="B416" s="20" t="s">
        <v>44</v>
      </c>
      <c r="C416" s="20"/>
      <c r="D416" s="20"/>
      <c r="E416" s="20" t="s">
        <v>455</v>
      </c>
      <c r="F416" s="20" t="s">
        <v>14</v>
      </c>
      <c r="G416" s="20"/>
    </row>
    <row r="417" spans="1:7" ht="75" hidden="1" outlineLevel="5">
      <c r="A417" s="20" t="s">
        <v>14</v>
      </c>
      <c r="B417" s="20" t="s">
        <v>44</v>
      </c>
      <c r="C417" s="20"/>
      <c r="D417" s="20"/>
      <c r="E417" s="20" t="s">
        <v>456</v>
      </c>
      <c r="F417" s="20" t="s">
        <v>14</v>
      </c>
      <c r="G417" s="20"/>
    </row>
    <row r="418" spans="1:7" ht="60" hidden="1" outlineLevel="5">
      <c r="A418" s="20" t="s">
        <v>14</v>
      </c>
      <c r="B418" s="20" t="s">
        <v>44</v>
      </c>
      <c r="C418" s="20"/>
      <c r="D418" s="20"/>
      <c r="E418" s="20" t="s">
        <v>457</v>
      </c>
      <c r="F418" s="20" t="s">
        <v>14</v>
      </c>
      <c r="G418" s="20"/>
    </row>
    <row r="419" spans="1:7" ht="60" hidden="1" outlineLevel="5">
      <c r="A419" s="20" t="s">
        <v>14</v>
      </c>
      <c r="B419" s="20" t="s">
        <v>44</v>
      </c>
      <c r="C419" s="20"/>
      <c r="D419" s="20"/>
      <c r="E419" s="20" t="s">
        <v>458</v>
      </c>
      <c r="F419" s="20" t="s">
        <v>14</v>
      </c>
      <c r="G419" s="20"/>
    </row>
    <row r="420" spans="1:7" ht="135" hidden="1" outlineLevel="5">
      <c r="A420" s="20" t="s">
        <v>11</v>
      </c>
      <c r="B420" s="20" t="s">
        <v>17</v>
      </c>
      <c r="C420" s="21" t="s">
        <v>459</v>
      </c>
      <c r="D420" s="20"/>
      <c r="E420" s="20" t="s">
        <v>460</v>
      </c>
      <c r="F420" s="20" t="s">
        <v>14</v>
      </c>
      <c r="G420" s="20" t="s">
        <v>11</v>
      </c>
    </row>
    <row r="421" spans="1:7" ht="30" hidden="1" outlineLevel="5">
      <c r="A421" s="20" t="s">
        <v>14</v>
      </c>
      <c r="B421" s="20" t="s">
        <v>44</v>
      </c>
      <c r="C421" s="20"/>
      <c r="D421" s="20" t="b">
        <f>EXACT(G420,"No")</f>
        <v>0</v>
      </c>
      <c r="E421" s="20" t="s">
        <v>461</v>
      </c>
      <c r="F421" s="20" t="s">
        <v>14</v>
      </c>
      <c r="G421" s="20"/>
    </row>
    <row r="422" spans="1:7" hidden="1" outlineLevel="5">
      <c r="A422" s="22" t="s">
        <v>14</v>
      </c>
      <c r="B422" s="23" t="s">
        <v>462</v>
      </c>
      <c r="C422" s="22"/>
      <c r="D422" s="22" t="b">
        <f>EXACT(G420,"Yes")</f>
        <v>1</v>
      </c>
      <c r="E422" s="22" t="s">
        <v>463</v>
      </c>
      <c r="F422" s="22" t="s">
        <v>14</v>
      </c>
      <c r="G422" s="22"/>
    </row>
    <row r="423" spans="1:7" ht="30" hidden="1" outlineLevel="6">
      <c r="A423" s="20" t="s">
        <v>11</v>
      </c>
      <c r="B423" s="20" t="s">
        <v>82</v>
      </c>
      <c r="C423" s="20"/>
      <c r="D423" s="20"/>
      <c r="E423" s="20" t="s">
        <v>464</v>
      </c>
      <c r="F423" s="20" t="s">
        <v>14</v>
      </c>
      <c r="G423" s="20"/>
    </row>
    <row r="424" spans="1:7" hidden="1" outlineLevel="6">
      <c r="A424" s="20" t="s">
        <v>11</v>
      </c>
      <c r="B424" s="20" t="s">
        <v>82</v>
      </c>
      <c r="C424" s="20"/>
      <c r="D424" s="20"/>
      <c r="E424" s="20" t="s">
        <v>465</v>
      </c>
      <c r="F424" s="20" t="s">
        <v>14</v>
      </c>
      <c r="G424" s="20"/>
    </row>
    <row r="425" spans="1:7" hidden="1" outlineLevel="6">
      <c r="A425" s="20" t="s">
        <v>11</v>
      </c>
      <c r="B425" s="20" t="s">
        <v>82</v>
      </c>
      <c r="C425" s="20"/>
      <c r="D425" s="20"/>
      <c r="E425" s="20" t="s">
        <v>466</v>
      </c>
      <c r="F425" s="20" t="s">
        <v>14</v>
      </c>
      <c r="G425" s="20"/>
    </row>
    <row r="426" spans="1:7" hidden="1" outlineLevel="4">
      <c r="A426" s="22" t="s">
        <v>14</v>
      </c>
      <c r="B426" s="23" t="s">
        <v>467</v>
      </c>
      <c r="C426" s="22" t="s">
        <v>47</v>
      </c>
      <c r="D426" s="22" t="b">
        <f>EXACT(G407,"Proportionate crown cover")</f>
        <v>0</v>
      </c>
      <c r="E426" s="22" t="s">
        <v>468</v>
      </c>
      <c r="F426" s="22" t="s">
        <v>14</v>
      </c>
      <c r="G426" s="22" t="s">
        <v>47</v>
      </c>
    </row>
    <row r="427" spans="1:7" ht="30" hidden="1" outlineLevel="5" collapsed="1">
      <c r="A427" s="20" t="s">
        <v>14</v>
      </c>
      <c r="B427" s="20" t="s">
        <v>82</v>
      </c>
      <c r="C427" s="20" t="s">
        <v>47</v>
      </c>
      <c r="D427" s="20" t="s">
        <v>399</v>
      </c>
      <c r="E427" s="20" t="s">
        <v>469</v>
      </c>
      <c r="F427" s="20" t="s">
        <v>14</v>
      </c>
      <c r="G427" s="20">
        <f>SUM(G429)</f>
        <v>7.333333333333333</v>
      </c>
    </row>
    <row r="428" spans="1:7" hidden="1" outlineLevel="5">
      <c r="A428" s="22" t="s">
        <v>11</v>
      </c>
      <c r="B428" s="23" t="s">
        <v>470</v>
      </c>
      <c r="C428" s="22" t="s">
        <v>47</v>
      </c>
      <c r="D428" s="22"/>
      <c r="E428" s="22" t="s">
        <v>403</v>
      </c>
      <c r="F428" s="22" t="s">
        <v>11</v>
      </c>
      <c r="G428" s="22" t="s">
        <v>47</v>
      </c>
    </row>
    <row r="429" spans="1:7" ht="30" hidden="1" outlineLevel="6" collapsed="1">
      <c r="A429" s="20" t="s">
        <v>14</v>
      </c>
      <c r="B429" s="20" t="s">
        <v>82</v>
      </c>
      <c r="C429" s="20" t="s">
        <v>47</v>
      </c>
      <c r="D429" s="20" t="s">
        <v>399</v>
      </c>
      <c r="E429" s="20" t="s">
        <v>471</v>
      </c>
      <c r="F429" s="20" t="s">
        <v>14</v>
      </c>
      <c r="G429" s="20">
        <f>44/12*G430*G431*(1+G432)*G433*G434</f>
        <v>7.333333333333333</v>
      </c>
    </row>
    <row r="430" spans="1:7" hidden="1" outlineLevel="6" collapsed="1">
      <c r="A430" s="20" t="s">
        <v>11</v>
      </c>
      <c r="B430" s="20" t="s">
        <v>82</v>
      </c>
      <c r="C430" s="20" t="s">
        <v>47</v>
      </c>
      <c r="D430" s="20"/>
      <c r="E430" s="20" t="s">
        <v>405</v>
      </c>
      <c r="F430" s="20" t="s">
        <v>14</v>
      </c>
      <c r="G430" s="20">
        <v>1</v>
      </c>
    </row>
    <row r="431" spans="1:7" ht="30" hidden="1" outlineLevel="6" collapsed="1">
      <c r="A431" s="20" t="s">
        <v>11</v>
      </c>
      <c r="B431" s="20" t="s">
        <v>82</v>
      </c>
      <c r="C431" s="20" t="s">
        <v>47</v>
      </c>
      <c r="D431" s="20"/>
      <c r="E431" s="20" t="s">
        <v>472</v>
      </c>
      <c r="F431" s="20" t="s">
        <v>14</v>
      </c>
      <c r="G431" s="20">
        <v>1</v>
      </c>
    </row>
    <row r="432" spans="1:7" hidden="1" outlineLevel="6" collapsed="1">
      <c r="A432" s="20" t="s">
        <v>11</v>
      </c>
      <c r="B432" s="20" t="s">
        <v>82</v>
      </c>
      <c r="C432" s="20" t="s">
        <v>47</v>
      </c>
      <c r="D432" s="20"/>
      <c r="E432" s="20" t="s">
        <v>407</v>
      </c>
      <c r="F432" s="20" t="s">
        <v>14</v>
      </c>
      <c r="G432" s="20">
        <v>1</v>
      </c>
    </row>
    <row r="433" spans="1:12" ht="30" hidden="1" outlineLevel="6" collapsed="1">
      <c r="A433" s="20" t="s">
        <v>11</v>
      </c>
      <c r="B433" s="20" t="s">
        <v>82</v>
      </c>
      <c r="C433" s="20" t="s">
        <v>47</v>
      </c>
      <c r="D433" s="20"/>
      <c r="E433" s="20" t="s">
        <v>473</v>
      </c>
      <c r="F433" s="20" t="s">
        <v>14</v>
      </c>
      <c r="G433" s="20">
        <v>1</v>
      </c>
    </row>
    <row r="434" spans="1:12" ht="30" hidden="1" outlineLevel="6" collapsed="1">
      <c r="A434" s="20" t="s">
        <v>11</v>
      </c>
      <c r="B434" s="20" t="s">
        <v>82</v>
      </c>
      <c r="C434" s="20" t="s">
        <v>47</v>
      </c>
      <c r="D434" s="20"/>
      <c r="E434" s="20" t="s">
        <v>474</v>
      </c>
      <c r="F434" s="20" t="s">
        <v>14</v>
      </c>
      <c r="G434" s="20">
        <v>1</v>
      </c>
    </row>
    <row r="435" spans="1:12" hidden="1" outlineLevel="4">
      <c r="A435" s="22" t="s">
        <v>14</v>
      </c>
      <c r="B435" s="23" t="s">
        <v>475</v>
      </c>
      <c r="C435" s="22" t="s">
        <v>47</v>
      </c>
      <c r="D435" s="22" t="b">
        <f>EXACT(G407,"Measurement of sample plots")</f>
        <v>0</v>
      </c>
      <c r="E435" s="22" t="s">
        <v>475</v>
      </c>
      <c r="F435" s="22" t="s">
        <v>14</v>
      </c>
      <c r="G435" s="22" t="s">
        <v>47</v>
      </c>
    </row>
    <row r="436" spans="1:12" ht="30" hidden="1" outlineLevel="5" collapsed="1">
      <c r="A436" s="20" t="s">
        <v>11</v>
      </c>
      <c r="B436" s="20" t="s">
        <v>17</v>
      </c>
      <c r="C436" s="21" t="s">
        <v>476</v>
      </c>
      <c r="D436" s="20"/>
      <c r="E436" s="20" t="s">
        <v>477</v>
      </c>
      <c r="F436" s="20" t="s">
        <v>14</v>
      </c>
      <c r="G436" s="20" t="s">
        <v>478</v>
      </c>
    </row>
    <row r="437" spans="1:12" hidden="1" outlineLevel="5">
      <c r="A437" s="22" t="s">
        <v>14</v>
      </c>
      <c r="B437" s="23" t="s">
        <v>478</v>
      </c>
      <c r="C437" s="22" t="s">
        <v>47</v>
      </c>
      <c r="D437" s="22" t="b">
        <f>EXACT(G436,"Stratified random sampling")</f>
        <v>1</v>
      </c>
      <c r="E437" s="22" t="s">
        <v>478</v>
      </c>
      <c r="F437" s="22" t="s">
        <v>14</v>
      </c>
      <c r="G437" s="22" t="s">
        <v>47</v>
      </c>
    </row>
    <row r="438" spans="1:12" ht="30" hidden="1" outlineLevel="6" collapsed="1">
      <c r="A438" s="20" t="s">
        <v>14</v>
      </c>
      <c r="B438" s="20" t="s">
        <v>82</v>
      </c>
      <c r="C438" s="20" t="s">
        <v>47</v>
      </c>
      <c r="D438" s="20" t="s">
        <v>399</v>
      </c>
      <c r="E438" s="20" t="s">
        <v>479</v>
      </c>
      <c r="F438" s="20" t="s">
        <v>14</v>
      </c>
      <c r="G438" s="20">
        <f>44/12*G439*G440</f>
        <v>3.6666666666666665</v>
      </c>
    </row>
    <row r="439" spans="1:12" hidden="1" outlineLevel="6" collapsed="1">
      <c r="A439" s="20" t="s">
        <v>11</v>
      </c>
      <c r="B439" s="20" t="s">
        <v>82</v>
      </c>
      <c r="C439" s="20" t="s">
        <v>47</v>
      </c>
      <c r="D439" s="20"/>
      <c r="E439" s="20" t="s">
        <v>405</v>
      </c>
      <c r="F439" s="20" t="s">
        <v>14</v>
      </c>
      <c r="G439" s="20">
        <v>1</v>
      </c>
    </row>
    <row r="440" spans="1:12" ht="30" hidden="1" outlineLevel="6" collapsed="1">
      <c r="A440" s="20" t="s">
        <v>14</v>
      </c>
      <c r="B440" s="20" t="s">
        <v>82</v>
      </c>
      <c r="C440" s="20" t="s">
        <v>47</v>
      </c>
      <c r="D440" s="20" t="s">
        <v>399</v>
      </c>
      <c r="E440" s="20" t="s">
        <v>480</v>
      </c>
      <c r="F440" s="20" t="s">
        <v>14</v>
      </c>
      <c r="G440" s="20">
        <f>G441*G442</f>
        <v>1</v>
      </c>
    </row>
    <row r="441" spans="1:12" ht="30" hidden="1" outlineLevel="6" collapsed="1">
      <c r="A441" s="20" t="s">
        <v>11</v>
      </c>
      <c r="B441" s="20" t="s">
        <v>82</v>
      </c>
      <c r="C441" s="20" t="s">
        <v>47</v>
      </c>
      <c r="D441" s="20"/>
      <c r="E441" s="20" t="s">
        <v>481</v>
      </c>
      <c r="F441" s="20" t="s">
        <v>14</v>
      </c>
      <c r="G441" s="20">
        <v>1</v>
      </c>
    </row>
    <row r="442" spans="1:12" ht="30" hidden="1" outlineLevel="6" collapsed="1">
      <c r="A442" s="20" t="s">
        <v>14</v>
      </c>
      <c r="B442" s="20" t="s">
        <v>82</v>
      </c>
      <c r="C442" s="20" t="s">
        <v>47</v>
      </c>
      <c r="D442" s="20" t="s">
        <v>399</v>
      </c>
      <c r="E442" s="20" t="s">
        <v>482</v>
      </c>
      <c r="F442" s="20" t="s">
        <v>14</v>
      </c>
      <c r="G442" s="20">
        <f>SUM((G447*G446))</f>
        <v>1</v>
      </c>
    </row>
    <row r="443" spans="1:12" hidden="1" outlineLevel="6" collapsed="1">
      <c r="A443" s="20" t="s">
        <v>11</v>
      </c>
      <c r="B443" s="20" t="s">
        <v>82</v>
      </c>
      <c r="C443" s="20" t="s">
        <v>47</v>
      </c>
      <c r="D443" s="20"/>
      <c r="E443" s="20" t="s">
        <v>483</v>
      </c>
      <c r="F443" s="20" t="s">
        <v>14</v>
      </c>
      <c r="G443" s="20">
        <v>1</v>
      </c>
    </row>
    <row r="444" spans="1:12" ht="30" hidden="1" outlineLevel="6" collapsed="1">
      <c r="A444" s="20" t="s">
        <v>11</v>
      </c>
      <c r="B444" s="20" t="s">
        <v>82</v>
      </c>
      <c r="C444" s="20" t="s">
        <v>47</v>
      </c>
      <c r="D444" s="20"/>
      <c r="E444" s="20" t="s">
        <v>484</v>
      </c>
      <c r="F444" s="20" t="s">
        <v>14</v>
      </c>
      <c r="G444" s="20">
        <v>1</v>
      </c>
    </row>
    <row r="445" spans="1:12" hidden="1" outlineLevel="6">
      <c r="A445" s="22" t="s">
        <v>11</v>
      </c>
      <c r="B445" s="23" t="s">
        <v>485</v>
      </c>
      <c r="C445" s="22" t="s">
        <v>47</v>
      </c>
      <c r="D445" s="22"/>
      <c r="E445" s="22" t="s">
        <v>486</v>
      </c>
      <c r="F445" s="22" t="s">
        <v>11</v>
      </c>
      <c r="G445" s="22" t="s">
        <v>47</v>
      </c>
    </row>
    <row r="446" spans="1:12" s="25" customFormat="1" ht="30" hidden="1" outlineLevel="7" collapsed="1">
      <c r="A446" s="24" t="s">
        <v>14</v>
      </c>
      <c r="B446" s="24" t="s">
        <v>82</v>
      </c>
      <c r="C446" s="24" t="s">
        <v>47</v>
      </c>
      <c r="D446" s="24" t="s">
        <v>399</v>
      </c>
      <c r="E446" s="24" t="s">
        <v>487</v>
      </c>
      <c r="F446" s="24" t="s">
        <v>14</v>
      </c>
      <c r="G446" s="24">
        <f>(SUM(G451))/G449</f>
        <v>1</v>
      </c>
      <c r="H446"/>
      <c r="I446"/>
      <c r="J446"/>
      <c r="K446"/>
      <c r="L446"/>
    </row>
    <row r="447" spans="1:12" ht="30" hidden="1" outlineLevel="7" collapsed="1">
      <c r="A447" s="20" t="s">
        <v>11</v>
      </c>
      <c r="B447" s="20" t="s">
        <v>82</v>
      </c>
      <c r="C447" s="20" t="s">
        <v>47</v>
      </c>
      <c r="D447" s="20"/>
      <c r="E447" s="20" t="s">
        <v>488</v>
      </c>
      <c r="F447" s="20" t="s">
        <v>14</v>
      </c>
      <c r="G447" s="20">
        <v>1</v>
      </c>
    </row>
    <row r="448" spans="1:12" ht="30" hidden="1" outlineLevel="7" collapsed="1">
      <c r="A448" s="20" t="s">
        <v>11</v>
      </c>
      <c r="B448" s="20" t="s">
        <v>82</v>
      </c>
      <c r="C448" s="20" t="s">
        <v>47</v>
      </c>
      <c r="D448" s="20"/>
      <c r="E448" s="20" t="s">
        <v>489</v>
      </c>
      <c r="F448" s="20" t="s">
        <v>14</v>
      </c>
      <c r="G448" s="20">
        <v>1</v>
      </c>
    </row>
    <row r="449" spans="1:12" hidden="1" outlineLevel="7" collapsed="1">
      <c r="A449" s="20" t="s">
        <v>11</v>
      </c>
      <c r="B449" s="20" t="s">
        <v>82</v>
      </c>
      <c r="C449" s="20" t="s">
        <v>47</v>
      </c>
      <c r="D449" s="20"/>
      <c r="E449" s="20" t="s">
        <v>490</v>
      </c>
      <c r="F449" s="20" t="s">
        <v>14</v>
      </c>
      <c r="G449" s="20">
        <v>1</v>
      </c>
    </row>
    <row r="450" spans="1:12" hidden="1" outlineLevel="6">
      <c r="A450" s="22" t="s">
        <v>11</v>
      </c>
      <c r="B450" s="23" t="s">
        <v>491</v>
      </c>
      <c r="C450" s="22"/>
      <c r="D450" s="22"/>
      <c r="E450" s="22" t="s">
        <v>492</v>
      </c>
      <c r="F450" s="22" t="s">
        <v>11</v>
      </c>
      <c r="G450" s="22"/>
    </row>
    <row r="451" spans="1:12" s="25" customFormat="1" ht="30" hidden="1" outlineLevel="7" collapsed="1">
      <c r="A451" s="24" t="s">
        <v>11</v>
      </c>
      <c r="B451" s="24" t="s">
        <v>82</v>
      </c>
      <c r="C451" s="24" t="s">
        <v>47</v>
      </c>
      <c r="D451" s="24"/>
      <c r="E451" s="24" t="s">
        <v>493</v>
      </c>
      <c r="F451" s="24" t="s">
        <v>14</v>
      </c>
      <c r="G451" s="24">
        <v>1</v>
      </c>
      <c r="H451"/>
      <c r="I451"/>
      <c r="J451"/>
      <c r="K451"/>
      <c r="L451"/>
    </row>
    <row r="452" spans="1:12" hidden="1" outlineLevel="5">
      <c r="A452" s="22" t="s">
        <v>14</v>
      </c>
      <c r="B452" s="23" t="s">
        <v>494</v>
      </c>
      <c r="C452" s="22" t="s">
        <v>47</v>
      </c>
      <c r="D452" s="22" t="b">
        <f>NOT(EXACT(G436,"Stratified random sampling"))</f>
        <v>0</v>
      </c>
      <c r="E452" s="22" t="s">
        <v>494</v>
      </c>
      <c r="F452" s="22" t="s">
        <v>14</v>
      </c>
      <c r="G452" s="22" t="s">
        <v>47</v>
      </c>
    </row>
    <row r="453" spans="1:12" ht="30" hidden="1" outlineLevel="6" collapsed="1">
      <c r="A453" s="20" t="s">
        <v>11</v>
      </c>
      <c r="B453" s="20" t="s">
        <v>82</v>
      </c>
      <c r="C453" s="20" t="s">
        <v>47</v>
      </c>
      <c r="D453" s="20"/>
      <c r="E453" s="20" t="s">
        <v>479</v>
      </c>
      <c r="F453" s="20" t="s">
        <v>14</v>
      </c>
      <c r="G453" s="20">
        <v>1</v>
      </c>
    </row>
    <row r="454" spans="1:12" hidden="1" outlineLevel="6" collapsed="1">
      <c r="A454" s="20" t="s">
        <v>11</v>
      </c>
      <c r="B454" s="20" t="s">
        <v>82</v>
      </c>
      <c r="C454" s="20" t="s">
        <v>47</v>
      </c>
      <c r="D454" s="20"/>
      <c r="E454" s="20" t="s">
        <v>405</v>
      </c>
      <c r="F454" s="20" t="s">
        <v>14</v>
      </c>
      <c r="G454" s="20">
        <v>1</v>
      </c>
    </row>
    <row r="455" spans="1:12" ht="30" hidden="1" outlineLevel="6" collapsed="1">
      <c r="A455" s="20" t="s">
        <v>11</v>
      </c>
      <c r="B455" s="20" t="s">
        <v>82</v>
      </c>
      <c r="C455" s="20" t="s">
        <v>47</v>
      </c>
      <c r="D455" s="20"/>
      <c r="E455" s="20" t="s">
        <v>480</v>
      </c>
      <c r="F455" s="20" t="s">
        <v>14</v>
      </c>
      <c r="G455" s="20">
        <v>1</v>
      </c>
    </row>
    <row r="456" spans="1:12" ht="30" hidden="1" outlineLevel="6" collapsed="1">
      <c r="A456" s="20" t="s">
        <v>11</v>
      </c>
      <c r="B456" s="20" t="s">
        <v>82</v>
      </c>
      <c r="C456" s="20" t="s">
        <v>47</v>
      </c>
      <c r="D456" s="20"/>
      <c r="E456" s="20" t="s">
        <v>481</v>
      </c>
      <c r="F456" s="20" t="s">
        <v>14</v>
      </c>
      <c r="G456" s="20">
        <v>1</v>
      </c>
    </row>
    <row r="457" spans="1:12" ht="30" hidden="1" outlineLevel="6" collapsed="1">
      <c r="A457" s="20" t="s">
        <v>11</v>
      </c>
      <c r="B457" s="20" t="s">
        <v>82</v>
      </c>
      <c r="C457" s="20" t="s">
        <v>47</v>
      </c>
      <c r="D457" s="20"/>
      <c r="E457" s="20" t="s">
        <v>482</v>
      </c>
      <c r="F457" s="20" t="s">
        <v>14</v>
      </c>
      <c r="G457" s="20">
        <v>1</v>
      </c>
    </row>
    <row r="458" spans="1:12" hidden="1" outlineLevel="6" collapsed="1">
      <c r="A458" s="20" t="s">
        <v>11</v>
      </c>
      <c r="B458" s="20" t="s">
        <v>82</v>
      </c>
      <c r="C458" s="20" t="s">
        <v>47</v>
      </c>
      <c r="D458" s="20"/>
      <c r="E458" s="20" t="s">
        <v>483</v>
      </c>
      <c r="F458" s="20" t="s">
        <v>14</v>
      </c>
      <c r="G458" s="20">
        <v>1</v>
      </c>
    </row>
    <row r="459" spans="1:12" ht="30" hidden="1" outlineLevel="6" collapsed="1">
      <c r="A459" s="20" t="s">
        <v>11</v>
      </c>
      <c r="B459" s="20" t="s">
        <v>82</v>
      </c>
      <c r="C459" s="20" t="s">
        <v>47</v>
      </c>
      <c r="D459" s="20"/>
      <c r="E459" s="20" t="s">
        <v>484</v>
      </c>
      <c r="F459" s="20" t="s">
        <v>14</v>
      </c>
      <c r="G459" s="20">
        <v>1</v>
      </c>
    </row>
    <row r="460" spans="1:12" hidden="1" outlineLevel="6">
      <c r="A460" s="22" t="s">
        <v>11</v>
      </c>
      <c r="B460" s="23" t="s">
        <v>495</v>
      </c>
      <c r="C460" s="22" t="s">
        <v>47</v>
      </c>
      <c r="D460" s="22"/>
      <c r="E460" s="22" t="s">
        <v>486</v>
      </c>
      <c r="F460" s="22" t="s">
        <v>11</v>
      </c>
      <c r="G460" s="22" t="s">
        <v>47</v>
      </c>
    </row>
    <row r="461" spans="1:12" ht="30" hidden="1" outlineLevel="7" collapsed="1">
      <c r="A461" s="20" t="s">
        <v>14</v>
      </c>
      <c r="B461" s="20" t="s">
        <v>82</v>
      </c>
      <c r="C461" s="20" t="s">
        <v>47</v>
      </c>
      <c r="D461" s="20" t="s">
        <v>399</v>
      </c>
      <c r="E461" s="20" t="s">
        <v>487</v>
      </c>
      <c r="F461" s="20" t="s">
        <v>14</v>
      </c>
      <c r="G461" s="20">
        <f>(SUM(G470)/G462)+G463*(G464-G465)</f>
        <v>1</v>
      </c>
    </row>
    <row r="462" spans="1:12" hidden="1" outlineLevel="7" collapsed="1">
      <c r="A462" s="20" t="s">
        <v>11</v>
      </c>
      <c r="B462" s="20" t="s">
        <v>82</v>
      </c>
      <c r="C462" s="20" t="s">
        <v>47</v>
      </c>
      <c r="D462" s="20"/>
      <c r="E462" s="20" t="s">
        <v>496</v>
      </c>
      <c r="F462" s="20" t="s">
        <v>14</v>
      </c>
      <c r="G462" s="20">
        <v>1</v>
      </c>
    </row>
    <row r="463" spans="1:12" ht="30" hidden="1" outlineLevel="7" collapsed="1">
      <c r="A463" s="20" t="s">
        <v>11</v>
      </c>
      <c r="B463" s="20" t="s">
        <v>82</v>
      </c>
      <c r="C463" s="20" t="s">
        <v>47</v>
      </c>
      <c r="D463" s="20"/>
      <c r="E463" s="20" t="s">
        <v>497</v>
      </c>
      <c r="F463" s="20" t="s">
        <v>14</v>
      </c>
      <c r="G463" s="20">
        <v>1</v>
      </c>
    </row>
    <row r="464" spans="1:12" ht="30" hidden="1" outlineLevel="7" collapsed="1">
      <c r="A464" s="20" t="s">
        <v>11</v>
      </c>
      <c r="B464" s="20" t="s">
        <v>82</v>
      </c>
      <c r="C464" s="20" t="s">
        <v>47</v>
      </c>
      <c r="D464" s="20"/>
      <c r="E464" s="20" t="s">
        <v>498</v>
      </c>
      <c r="F464" s="20" t="s">
        <v>14</v>
      </c>
      <c r="G464" s="20">
        <v>1</v>
      </c>
    </row>
    <row r="465" spans="1:12" ht="30" hidden="1" outlineLevel="7" collapsed="1">
      <c r="A465" s="20" t="s">
        <v>11</v>
      </c>
      <c r="B465" s="20" t="s">
        <v>82</v>
      </c>
      <c r="C465" s="20" t="s">
        <v>47</v>
      </c>
      <c r="D465" s="20"/>
      <c r="E465" s="20" t="s">
        <v>499</v>
      </c>
      <c r="F465" s="20" t="s">
        <v>14</v>
      </c>
      <c r="G465" s="20">
        <v>1</v>
      </c>
    </row>
    <row r="466" spans="1:12" ht="30" hidden="1" outlineLevel="7" collapsed="1">
      <c r="A466" s="20" t="s">
        <v>11</v>
      </c>
      <c r="B466" s="20" t="s">
        <v>82</v>
      </c>
      <c r="C466" s="20" t="s">
        <v>47</v>
      </c>
      <c r="D466" s="20"/>
      <c r="E466" s="20" t="s">
        <v>500</v>
      </c>
      <c r="F466" s="20" t="s">
        <v>14</v>
      </c>
      <c r="G466" s="20">
        <v>1</v>
      </c>
    </row>
    <row r="467" spans="1:12" ht="30" hidden="1" outlineLevel="7" collapsed="1">
      <c r="A467" s="20" t="s">
        <v>11</v>
      </c>
      <c r="B467" s="20" t="s">
        <v>82</v>
      </c>
      <c r="C467" s="20" t="s">
        <v>47</v>
      </c>
      <c r="D467" s="20"/>
      <c r="E467" s="20" t="s">
        <v>501</v>
      </c>
      <c r="F467" s="20" t="s">
        <v>14</v>
      </c>
      <c r="G467" s="20">
        <v>1</v>
      </c>
    </row>
    <row r="468" spans="1:12" ht="45" hidden="1" outlineLevel="7" collapsed="1">
      <c r="A468" s="20" t="s">
        <v>11</v>
      </c>
      <c r="B468" s="20" t="s">
        <v>82</v>
      </c>
      <c r="C468" s="20" t="s">
        <v>47</v>
      </c>
      <c r="D468" s="20"/>
      <c r="E468" s="20" t="s">
        <v>502</v>
      </c>
      <c r="F468" s="20" t="s">
        <v>14</v>
      </c>
      <c r="G468" s="20">
        <v>1</v>
      </c>
    </row>
    <row r="469" spans="1:12" hidden="1" outlineLevel="6">
      <c r="A469" s="22" t="s">
        <v>11</v>
      </c>
      <c r="B469" s="23" t="s">
        <v>491</v>
      </c>
      <c r="C469" s="22"/>
      <c r="D469" s="22"/>
      <c r="E469" s="22" t="s">
        <v>492</v>
      </c>
      <c r="F469" s="22" t="s">
        <v>11</v>
      </c>
      <c r="G469" s="22"/>
    </row>
    <row r="470" spans="1:12" s="25" customFormat="1" ht="30" hidden="1" outlineLevel="7" collapsed="1">
      <c r="A470" s="24" t="s">
        <v>11</v>
      </c>
      <c r="B470" s="24" t="s">
        <v>82</v>
      </c>
      <c r="C470" s="24" t="s">
        <v>47</v>
      </c>
      <c r="D470" s="24"/>
      <c r="E470" s="24" t="s">
        <v>493</v>
      </c>
      <c r="F470" s="24" t="s">
        <v>14</v>
      </c>
      <c r="G470" s="24">
        <v>1</v>
      </c>
      <c r="H470"/>
      <c r="I470"/>
      <c r="J470"/>
      <c r="K470"/>
      <c r="L470"/>
    </row>
    <row r="471" spans="1:12" hidden="1" outlineLevel="5" collapsed="1">
      <c r="A471" s="20" t="s">
        <v>11</v>
      </c>
      <c r="B471" s="20" t="s">
        <v>503</v>
      </c>
      <c r="C471" s="20" t="s">
        <v>47</v>
      </c>
      <c r="D471" s="20"/>
      <c r="E471" s="4" t="s">
        <v>504</v>
      </c>
      <c r="F471" s="20" t="s">
        <v>14</v>
      </c>
      <c r="G471" s="20" t="s">
        <v>505</v>
      </c>
    </row>
    <row r="472" spans="1:12" ht="29.25" hidden="1" customHeight="1" outlineLevel="4">
      <c r="A472" s="18" t="s">
        <v>14</v>
      </c>
      <c r="B472" s="18" t="s">
        <v>82</v>
      </c>
      <c r="C472" s="10"/>
      <c r="D472" s="18" t="s">
        <v>399</v>
      </c>
      <c r="E472" s="18" t="s">
        <v>506</v>
      </c>
      <c r="F472" s="18" t="s">
        <v>14</v>
      </c>
      <c r="G472" s="18">
        <f>IF(G407="Updating the previous stock by independent measurement of change",G409,IF(G407="Estimation by modelling of tree growth and stand development",G423,IF(G407="Estimation by proportionate crown cover",G427,IF(AND(G407="Measurement of sample plots",G436="Stratified random sampling"),G438,IF(AND(G407="Measurement of sample plots",G436="Double sampling"),G453)))))</f>
        <v>0</v>
      </c>
    </row>
    <row r="473" spans="1:12" ht="29.25" hidden="1" customHeight="1" outlineLevel="4">
      <c r="A473" s="18" t="s">
        <v>14</v>
      </c>
      <c r="B473" s="18" t="s">
        <v>82</v>
      </c>
      <c r="C473" s="10"/>
      <c r="D473" s="18" t="s">
        <v>399</v>
      </c>
      <c r="E473" s="18" t="s">
        <v>507</v>
      </c>
      <c r="F473" s="18" t="s">
        <v>14</v>
      </c>
      <c r="G473" s="18">
        <f>IF(AND(G363="Estimating change in carbon stock in trees between two points in time",G365="no-decrease"),0,IF(AND(G363="Estimating change in carbon stock in trees between two points in time",G365="Estimation by proportionate crown cover"),G370,IF(AND(G363="Estimating change in carbon stock in trees between two points in time",G365="Direct estimation of change by re-measurement of sample plots"),G379,IF(AND(G363="Estimating change in carbon stock in trees between two points in time",G365="Difference of two independent stock estimations"),G399,IF(AND(G363="Estimating change in carbon stock in trees in a year"),G402)))))</f>
        <v>1</v>
      </c>
    </row>
    <row r="474" spans="1:12" ht="29.25" hidden="1" customHeight="1" outlineLevel="4">
      <c r="A474" s="18" t="s">
        <v>11</v>
      </c>
      <c r="B474" s="18" t="s">
        <v>17</v>
      </c>
      <c r="C474" s="10" t="s">
        <v>508</v>
      </c>
      <c r="D474" s="18"/>
      <c r="E474" s="3" t="s">
        <v>509</v>
      </c>
      <c r="F474" s="3" t="s">
        <v>14</v>
      </c>
      <c r="G474" s="18" t="s">
        <v>510</v>
      </c>
    </row>
    <row r="475" spans="1:12" hidden="1" outlineLevel="4" collapsed="1">
      <c r="A475" s="18" t="s">
        <v>14</v>
      </c>
      <c r="B475" s="10" t="s">
        <v>511</v>
      </c>
      <c r="C475" s="18" t="s">
        <v>47</v>
      </c>
      <c r="D475" s="18" t="b">
        <f>EXACT(G474,"Estimating change in carbon stock in shrubs between two points in time")</f>
        <v>1</v>
      </c>
      <c r="E475" s="18" t="s">
        <v>512</v>
      </c>
      <c r="F475" s="18" t="s">
        <v>14</v>
      </c>
      <c r="G475" s="18" t="s">
        <v>47</v>
      </c>
    </row>
    <row r="476" spans="1:12" ht="29.25" hidden="1" customHeight="1" outlineLevel="5">
      <c r="A476" s="18" t="s">
        <v>11</v>
      </c>
      <c r="B476" s="18" t="s">
        <v>17</v>
      </c>
      <c r="C476" s="10" t="s">
        <v>513</v>
      </c>
      <c r="D476" s="18"/>
      <c r="E476" s="18" t="s">
        <v>514</v>
      </c>
      <c r="F476" s="18" t="s">
        <v>14</v>
      </c>
      <c r="G476" s="18" t="s">
        <v>14</v>
      </c>
    </row>
    <row r="477" spans="1:12" hidden="1" outlineLevel="5">
      <c r="A477" s="18" t="s">
        <v>14</v>
      </c>
      <c r="B477" s="10" t="s">
        <v>515</v>
      </c>
      <c r="C477" s="19"/>
      <c r="D477" s="18" t="b">
        <f>EXACT(G476,"Yes")</f>
        <v>0</v>
      </c>
      <c r="E477" s="18" t="s">
        <v>393</v>
      </c>
      <c r="F477" s="3" t="s">
        <v>14</v>
      </c>
      <c r="G477" s="18"/>
    </row>
    <row r="478" spans="1:12" ht="165" hidden="1" outlineLevel="6" collapsed="1">
      <c r="A478" s="20" t="s">
        <v>14</v>
      </c>
      <c r="B478" s="20" t="s">
        <v>44</v>
      </c>
      <c r="C478" s="20"/>
      <c r="D478" s="20"/>
      <c r="E478" s="20" t="s">
        <v>516</v>
      </c>
      <c r="F478" s="4" t="s">
        <v>14</v>
      </c>
      <c r="G478" s="20"/>
    </row>
    <row r="479" spans="1:12" ht="60" hidden="1" outlineLevel="6" collapsed="1">
      <c r="A479" s="20" t="s">
        <v>11</v>
      </c>
      <c r="B479" s="20" t="s">
        <v>17</v>
      </c>
      <c r="C479" s="27" t="s">
        <v>517</v>
      </c>
      <c r="D479" s="20"/>
      <c r="E479" s="20" t="s">
        <v>518</v>
      </c>
      <c r="F479" s="4" t="s">
        <v>14</v>
      </c>
      <c r="G479" s="20" t="s">
        <v>14</v>
      </c>
    </row>
    <row r="480" spans="1:12" ht="30" hidden="1" outlineLevel="6" collapsed="1">
      <c r="A480" s="20" t="s">
        <v>14</v>
      </c>
      <c r="B480" s="20" t="s">
        <v>82</v>
      </c>
      <c r="C480" s="20" t="s">
        <v>47</v>
      </c>
      <c r="D480" s="20" t="s">
        <v>399</v>
      </c>
      <c r="E480" s="20" t="s">
        <v>519</v>
      </c>
      <c r="F480" s="20" t="s">
        <v>14</v>
      </c>
      <c r="G480" s="20" t="e">
        <f>IF(AND(#REF!="No"),E481-E482,0)</f>
        <v>#REF!</v>
      </c>
    </row>
    <row r="481" spans="1:7" ht="30" hidden="1" outlineLevel="6" collapsed="1">
      <c r="A481" s="20" t="s">
        <v>11</v>
      </c>
      <c r="B481" s="20" t="s">
        <v>82</v>
      </c>
      <c r="C481" s="20" t="s">
        <v>47</v>
      </c>
      <c r="D481" s="20"/>
      <c r="E481" s="20" t="s">
        <v>520</v>
      </c>
      <c r="F481" s="20" t="s">
        <v>14</v>
      </c>
      <c r="G481" s="20">
        <v>1</v>
      </c>
    </row>
    <row r="482" spans="1:7" ht="30" hidden="1" outlineLevel="6" collapsed="1">
      <c r="A482" s="20" t="s">
        <v>11</v>
      </c>
      <c r="B482" s="20" t="s">
        <v>82</v>
      </c>
      <c r="C482" s="20" t="s">
        <v>47</v>
      </c>
      <c r="D482" s="20"/>
      <c r="E482" s="20" t="s">
        <v>521</v>
      </c>
      <c r="F482" s="20" t="s">
        <v>14</v>
      </c>
      <c r="G482" s="20">
        <v>1</v>
      </c>
    </row>
    <row r="483" spans="1:7" hidden="1" outlineLevel="4" collapsed="1">
      <c r="A483" s="18" t="s">
        <v>14</v>
      </c>
      <c r="B483" s="10" t="s">
        <v>522</v>
      </c>
      <c r="C483" s="18" t="s">
        <v>47</v>
      </c>
      <c r="D483" s="18" t="b">
        <f>EXACT(G474,"Estimating change in carbon stock in shrubs in a year")</f>
        <v>0</v>
      </c>
      <c r="E483" s="18" t="s">
        <v>523</v>
      </c>
      <c r="F483" s="18" t="s">
        <v>14</v>
      </c>
      <c r="G483" s="18" t="s">
        <v>47</v>
      </c>
    </row>
    <row r="484" spans="1:7" ht="30" hidden="1" outlineLevel="5" collapsed="1">
      <c r="A484" s="20" t="s">
        <v>14</v>
      </c>
      <c r="B484" s="20" t="s">
        <v>82</v>
      </c>
      <c r="C484" s="20" t="s">
        <v>47</v>
      </c>
      <c r="D484" s="20" t="s">
        <v>399</v>
      </c>
      <c r="E484" s="20" t="s">
        <v>524</v>
      </c>
      <c r="F484" s="20" t="s">
        <v>14</v>
      </c>
      <c r="G484" s="20">
        <f>(G485-G486/G487)*1</f>
        <v>0</v>
      </c>
    </row>
    <row r="485" spans="1:7" hidden="1" outlineLevel="5" collapsed="1">
      <c r="A485" s="20" t="s">
        <v>11</v>
      </c>
      <c r="B485" s="20" t="s">
        <v>82</v>
      </c>
      <c r="C485" s="20" t="s">
        <v>47</v>
      </c>
      <c r="D485" s="20"/>
      <c r="E485" s="20" t="s">
        <v>525</v>
      </c>
      <c r="F485" s="20" t="s">
        <v>14</v>
      </c>
      <c r="G485" s="20">
        <v>1</v>
      </c>
    </row>
    <row r="486" spans="1:7" hidden="1" outlineLevel="5" collapsed="1">
      <c r="A486" s="20" t="s">
        <v>11</v>
      </c>
      <c r="B486" s="20" t="s">
        <v>82</v>
      </c>
      <c r="C486" s="20" t="s">
        <v>47</v>
      </c>
      <c r="D486" s="20"/>
      <c r="E486" s="20" t="s">
        <v>526</v>
      </c>
      <c r="F486" s="20" t="s">
        <v>14</v>
      </c>
      <c r="G486" s="20">
        <v>1</v>
      </c>
    </row>
    <row r="487" spans="1:7" ht="30" hidden="1" outlineLevel="5" collapsed="1">
      <c r="A487" s="20" t="s">
        <v>11</v>
      </c>
      <c r="B487" s="20" t="s">
        <v>82</v>
      </c>
      <c r="C487" s="20" t="s">
        <v>47</v>
      </c>
      <c r="D487" s="20"/>
      <c r="E487" s="20" t="s">
        <v>527</v>
      </c>
      <c r="F487" s="20" t="s">
        <v>14</v>
      </c>
      <c r="G487" s="20">
        <v>1</v>
      </c>
    </row>
    <row r="488" spans="1:7" hidden="1" outlineLevel="4" collapsed="1">
      <c r="A488" s="18" t="s">
        <v>11</v>
      </c>
      <c r="B488" s="10" t="s">
        <v>528</v>
      </c>
      <c r="C488" s="18" t="s">
        <v>47</v>
      </c>
      <c r="D488" s="18"/>
      <c r="E488" s="18" t="s">
        <v>529</v>
      </c>
      <c r="F488" s="18" t="s">
        <v>11</v>
      </c>
      <c r="G488" s="18" t="s">
        <v>47</v>
      </c>
    </row>
    <row r="489" spans="1:7" ht="13.5" hidden="1" customHeight="1" outlineLevel="5" collapsed="1">
      <c r="A489" s="20" t="s">
        <v>14</v>
      </c>
      <c r="B489" s="20" t="s">
        <v>82</v>
      </c>
      <c r="C489" s="20" t="s">
        <v>47</v>
      </c>
      <c r="D489" s="20" t="s">
        <v>399</v>
      </c>
      <c r="E489" s="20" t="s">
        <v>530</v>
      </c>
      <c r="F489" s="20" t="s">
        <v>14</v>
      </c>
      <c r="G489" s="20">
        <f>44/12*G490*(1+G491)*SUM((G496*G497))</f>
        <v>7.333333333333333</v>
      </c>
    </row>
    <row r="490" spans="1:7" ht="13.5" hidden="1" customHeight="1" outlineLevel="5" collapsed="1">
      <c r="A490" s="20" t="s">
        <v>11</v>
      </c>
      <c r="B490" s="20" t="s">
        <v>82</v>
      </c>
      <c r="C490" s="20" t="s">
        <v>47</v>
      </c>
      <c r="D490" s="20"/>
      <c r="E490" s="20" t="s">
        <v>531</v>
      </c>
      <c r="F490" s="20" t="s">
        <v>14</v>
      </c>
      <c r="G490" s="20">
        <v>1</v>
      </c>
    </row>
    <row r="491" spans="1:7" hidden="1" outlineLevel="5" collapsed="1">
      <c r="A491" s="20" t="s">
        <v>11</v>
      </c>
      <c r="B491" s="20" t="s">
        <v>82</v>
      </c>
      <c r="C491" s="20" t="s">
        <v>47</v>
      </c>
      <c r="D491" s="20"/>
      <c r="E491" s="20" t="s">
        <v>532</v>
      </c>
      <c r="F491" s="20" t="s">
        <v>14</v>
      </c>
      <c r="G491" s="20">
        <v>1</v>
      </c>
    </row>
    <row r="492" spans="1:7" hidden="1" outlineLevel="5">
      <c r="A492" s="22" t="s">
        <v>11</v>
      </c>
      <c r="B492" s="23" t="s">
        <v>533</v>
      </c>
      <c r="C492" s="22" t="s">
        <v>47</v>
      </c>
      <c r="D492" s="22"/>
      <c r="E492" s="22" t="s">
        <v>534</v>
      </c>
      <c r="F492" s="22" t="s">
        <v>11</v>
      </c>
      <c r="G492" s="22" t="s">
        <v>47</v>
      </c>
    </row>
    <row r="493" spans="1:7" ht="30" hidden="1" outlineLevel="6" collapsed="1">
      <c r="A493" s="20" t="s">
        <v>11</v>
      </c>
      <c r="B493" s="20" t="s">
        <v>82</v>
      </c>
      <c r="C493" s="20" t="s">
        <v>47</v>
      </c>
      <c r="D493" s="20"/>
      <c r="E493" s="20" t="s">
        <v>535</v>
      </c>
      <c r="F493" s="20" t="s">
        <v>14</v>
      </c>
      <c r="G493" s="20">
        <v>1</v>
      </c>
    </row>
    <row r="494" spans="1:7" ht="30" hidden="1" outlineLevel="6" collapsed="1">
      <c r="A494" s="20" t="s">
        <v>11</v>
      </c>
      <c r="B494" s="20" t="s">
        <v>82</v>
      </c>
      <c r="C494" s="20" t="s">
        <v>47</v>
      </c>
      <c r="D494" s="20"/>
      <c r="E494" s="20" t="s">
        <v>536</v>
      </c>
      <c r="F494" s="20" t="s">
        <v>14</v>
      </c>
      <c r="G494" s="20">
        <v>1</v>
      </c>
    </row>
    <row r="495" spans="1:7" ht="30" hidden="1" outlineLevel="6" collapsed="1">
      <c r="A495" s="20" t="s">
        <v>11</v>
      </c>
      <c r="B495" s="20" t="s">
        <v>82</v>
      </c>
      <c r="C495" s="20" t="s">
        <v>47</v>
      </c>
      <c r="D495" s="20"/>
      <c r="E495" s="20" t="s">
        <v>537</v>
      </c>
      <c r="F495" s="20" t="s">
        <v>14</v>
      </c>
      <c r="G495" s="20">
        <v>1</v>
      </c>
    </row>
    <row r="496" spans="1:7" ht="30" hidden="1" outlineLevel="6" collapsed="1">
      <c r="A496" s="20" t="s">
        <v>11</v>
      </c>
      <c r="B496" s="20" t="s">
        <v>82</v>
      </c>
      <c r="C496" s="20" t="s">
        <v>47</v>
      </c>
      <c r="D496" s="20"/>
      <c r="E496" s="20" t="s">
        <v>538</v>
      </c>
      <c r="F496" s="20" t="s">
        <v>14</v>
      </c>
      <c r="G496" s="20">
        <v>1</v>
      </c>
    </row>
    <row r="497" spans="1:7" ht="30" hidden="1" outlineLevel="6" collapsed="1">
      <c r="A497" s="20" t="s">
        <v>14</v>
      </c>
      <c r="B497" s="20" t="s">
        <v>82</v>
      </c>
      <c r="C497" s="20" t="s">
        <v>47</v>
      </c>
      <c r="D497" s="20" t="s">
        <v>399</v>
      </c>
      <c r="E497" s="20" t="s">
        <v>539</v>
      </c>
      <c r="F497" s="20" t="s">
        <v>14</v>
      </c>
      <c r="G497" s="20">
        <f>G493*G494*G495</f>
        <v>1</v>
      </c>
    </row>
    <row r="498" spans="1:7" ht="29.25" hidden="1" customHeight="1" outlineLevel="4">
      <c r="A498" s="18" t="s">
        <v>14</v>
      </c>
      <c r="B498" s="18" t="s">
        <v>82</v>
      </c>
      <c r="C498" s="10"/>
      <c r="D498" s="18" t="s">
        <v>399</v>
      </c>
      <c r="E498" s="18" t="s">
        <v>540</v>
      </c>
      <c r="F498" s="18" t="s">
        <v>14</v>
      </c>
      <c r="G498" s="18">
        <f>G489</f>
        <v>7.333333333333333</v>
      </c>
    </row>
    <row r="499" spans="1:7" ht="29.25" hidden="1" customHeight="1" outlineLevel="4">
      <c r="A499" s="18" t="s">
        <v>14</v>
      </c>
      <c r="B499" s="18" t="s">
        <v>82</v>
      </c>
      <c r="C499" s="10"/>
      <c r="D499" s="18" t="s">
        <v>399</v>
      </c>
      <c r="E499" s="18" t="s">
        <v>541</v>
      </c>
      <c r="F499" s="18" t="s">
        <v>14</v>
      </c>
      <c r="G499" s="18" t="e">
        <f>IF(AND(G474="Estimating change in carbon stock in shrubs between two points in time",G476="Yes"),0,IF(AND(G474="Estimating change in carbon stock in shrubs between two points in time"),G480,IF(AND(G474="Estimating change in carbon stock in shrubs in a year"),G484)))</f>
        <v>#REF!</v>
      </c>
    </row>
    <row r="500" spans="1:7" ht="29.25" customHeight="1" outlineLevel="3">
      <c r="A500" s="18" t="s">
        <v>11</v>
      </c>
      <c r="B500" s="10" t="s">
        <v>542</v>
      </c>
      <c r="C500" s="19"/>
      <c r="D500" s="18"/>
      <c r="E500" s="18" t="s">
        <v>543</v>
      </c>
      <c r="F500" s="18" t="s">
        <v>14</v>
      </c>
      <c r="G500" s="18"/>
    </row>
    <row r="501" spans="1:7" ht="29.25" customHeight="1" outlineLevel="5">
      <c r="A501" s="18" t="s">
        <v>11</v>
      </c>
      <c r="B501" s="18" t="s">
        <v>17</v>
      </c>
      <c r="C501" s="10" t="s">
        <v>544</v>
      </c>
      <c r="D501" s="18"/>
      <c r="E501" s="18" t="s">
        <v>385</v>
      </c>
      <c r="F501" s="3" t="s">
        <v>14</v>
      </c>
      <c r="G501" s="18" t="s">
        <v>386</v>
      </c>
    </row>
    <row r="502" spans="1:7" ht="29.25" customHeight="1" outlineLevel="5">
      <c r="A502" s="3" t="s">
        <v>14</v>
      </c>
      <c r="B502" s="10" t="s">
        <v>545</v>
      </c>
      <c r="C502" s="10"/>
      <c r="D502" s="18" t="b">
        <f>EXACT(G501,"Estimating change in carbon stock in trees between two points in time")</f>
        <v>0</v>
      </c>
      <c r="E502" s="18" t="s">
        <v>388</v>
      </c>
      <c r="F502" s="3" t="s">
        <v>14</v>
      </c>
      <c r="G502" s="18"/>
    </row>
    <row r="503" spans="1:7" ht="29.25" customHeight="1" outlineLevel="6">
      <c r="A503" s="18" t="s">
        <v>11</v>
      </c>
      <c r="B503" s="18" t="s">
        <v>17</v>
      </c>
      <c r="C503" s="10" t="s">
        <v>546</v>
      </c>
      <c r="D503" s="18"/>
      <c r="E503" s="18" t="s">
        <v>390</v>
      </c>
      <c r="F503" s="18" t="s">
        <v>14</v>
      </c>
      <c r="G503" s="18" t="s">
        <v>391</v>
      </c>
    </row>
    <row r="504" spans="1:7" outlineLevel="6" collapsed="1">
      <c r="A504" s="18" t="s">
        <v>14</v>
      </c>
      <c r="B504" s="10" t="s">
        <v>392</v>
      </c>
      <c r="C504" s="19"/>
      <c r="D504" s="18" t="b">
        <f>EXACT(G503,"no-decrease")</f>
        <v>1</v>
      </c>
      <c r="E504" s="18" t="s">
        <v>393</v>
      </c>
      <c r="F504" s="3" t="s">
        <v>14</v>
      </c>
      <c r="G504" s="18"/>
    </row>
    <row r="505" spans="1:7" ht="165" hidden="1" outlineLevel="7" collapsed="1">
      <c r="A505" s="20" t="s">
        <v>14</v>
      </c>
      <c r="B505" s="20" t="s">
        <v>44</v>
      </c>
      <c r="C505" s="20"/>
      <c r="D505" s="20"/>
      <c r="E505" s="20" t="s">
        <v>394</v>
      </c>
      <c r="F505" s="4" t="s">
        <v>14</v>
      </c>
      <c r="G505" s="20"/>
    </row>
    <row r="506" spans="1:7" ht="60" hidden="1" outlineLevel="7" collapsed="1">
      <c r="A506" s="20" t="s">
        <v>11</v>
      </c>
      <c r="B506" s="20" t="s">
        <v>17</v>
      </c>
      <c r="C506" s="27" t="s">
        <v>395</v>
      </c>
      <c r="D506" s="20"/>
      <c r="E506" s="20" t="s">
        <v>396</v>
      </c>
      <c r="F506" s="4" t="s">
        <v>14</v>
      </c>
      <c r="G506" s="20"/>
    </row>
    <row r="507" spans="1:7" outlineLevel="6" collapsed="1">
      <c r="A507" s="18" t="s">
        <v>14</v>
      </c>
      <c r="B507" s="10" t="s">
        <v>410</v>
      </c>
      <c r="C507" s="18" t="s">
        <v>47</v>
      </c>
      <c r="D507" s="18" t="b">
        <f>EXACT(G503,"Direct estimation of change by re-measurement of sample plots")</f>
        <v>0</v>
      </c>
      <c r="E507" s="18" t="s">
        <v>547</v>
      </c>
      <c r="F507" s="18" t="s">
        <v>14</v>
      </c>
      <c r="G507" s="18" t="s">
        <v>47</v>
      </c>
    </row>
    <row r="508" spans="1:7" hidden="1" outlineLevel="7" collapsed="1">
      <c r="A508" s="20" t="s">
        <v>14</v>
      </c>
      <c r="B508" s="20" t="s">
        <v>82</v>
      </c>
      <c r="C508" s="20" t="s">
        <v>47</v>
      </c>
      <c r="D508" s="20" t="s">
        <v>399</v>
      </c>
      <c r="E508" s="20" t="s">
        <v>412</v>
      </c>
      <c r="F508" s="20" t="s">
        <v>14</v>
      </c>
      <c r="G508" s="20">
        <f>44/12*G509*G510</f>
        <v>3.6666666666666665</v>
      </c>
    </row>
    <row r="509" spans="1:7" hidden="1" outlineLevel="7" collapsed="1">
      <c r="A509" s="20" t="s">
        <v>11</v>
      </c>
      <c r="B509" s="20" t="s">
        <v>82</v>
      </c>
      <c r="C509" s="20" t="s">
        <v>47</v>
      </c>
      <c r="D509" s="20"/>
      <c r="E509" s="20" t="s">
        <v>405</v>
      </c>
      <c r="F509" s="20" t="s">
        <v>14</v>
      </c>
      <c r="G509" s="20">
        <v>1</v>
      </c>
    </row>
    <row r="510" spans="1:7" ht="30" hidden="1" outlineLevel="7" collapsed="1">
      <c r="A510" s="20" t="s">
        <v>14</v>
      </c>
      <c r="B510" s="20" t="s">
        <v>82</v>
      </c>
      <c r="C510" s="20" t="s">
        <v>47</v>
      </c>
      <c r="D510" s="20" t="s">
        <v>399</v>
      </c>
      <c r="E510" s="20" t="s">
        <v>413</v>
      </c>
      <c r="F510" s="20" t="s">
        <v>14</v>
      </c>
      <c r="G510" s="20">
        <f>G512*G511</f>
        <v>1</v>
      </c>
    </row>
    <row r="511" spans="1:7" ht="30" hidden="1" outlineLevel="7" collapsed="1">
      <c r="A511" s="20" t="s">
        <v>14</v>
      </c>
      <c r="B511" s="20" t="s">
        <v>82</v>
      </c>
      <c r="C511" s="20" t="s">
        <v>47</v>
      </c>
      <c r="D511" s="20" t="s">
        <v>399</v>
      </c>
      <c r="E511" s="20" t="s">
        <v>414</v>
      </c>
      <c r="F511" s="20" t="s">
        <v>14</v>
      </c>
      <c r="G511" s="20">
        <f>SUM((G517*G516))</f>
        <v>1</v>
      </c>
    </row>
    <row r="512" spans="1:7" hidden="1" outlineLevel="7" collapsed="1">
      <c r="A512" s="20" t="s">
        <v>11</v>
      </c>
      <c r="B512" s="20" t="s">
        <v>82</v>
      </c>
      <c r="C512" s="20" t="s">
        <v>47</v>
      </c>
      <c r="D512" s="20"/>
      <c r="E512" s="20" t="s">
        <v>415</v>
      </c>
      <c r="F512" s="20" t="s">
        <v>14</v>
      </c>
      <c r="G512" s="20">
        <v>1</v>
      </c>
    </row>
    <row r="513" spans="1:12" hidden="1" outlineLevel="7" collapsed="1">
      <c r="A513" s="20" t="s">
        <v>11</v>
      </c>
      <c r="B513" s="20" t="s">
        <v>82</v>
      </c>
      <c r="C513" s="20" t="s">
        <v>47</v>
      </c>
      <c r="D513" s="20"/>
      <c r="E513" s="20" t="s">
        <v>548</v>
      </c>
      <c r="F513" s="20" t="s">
        <v>14</v>
      </c>
      <c r="G513" s="20">
        <v>1</v>
      </c>
    </row>
    <row r="514" spans="1:12" hidden="1" outlineLevel="7" collapsed="1">
      <c r="A514" s="20" t="s">
        <v>11</v>
      </c>
      <c r="B514" s="20" t="s">
        <v>82</v>
      </c>
      <c r="C514" s="20" t="s">
        <v>47</v>
      </c>
      <c r="D514" s="20"/>
      <c r="E514" s="20" t="s">
        <v>417</v>
      </c>
      <c r="F514" s="20" t="s">
        <v>14</v>
      </c>
      <c r="G514" s="20">
        <v>1</v>
      </c>
    </row>
    <row r="515" spans="1:12" ht="30" hidden="1" outlineLevel="7">
      <c r="A515" s="22" t="s">
        <v>11</v>
      </c>
      <c r="B515" s="23" t="s">
        <v>418</v>
      </c>
      <c r="C515" s="22" t="s">
        <v>47</v>
      </c>
      <c r="D515" s="22"/>
      <c r="E515" s="22" t="s">
        <v>419</v>
      </c>
      <c r="F515" s="22" t="s">
        <v>11</v>
      </c>
      <c r="G515" s="22" t="s">
        <v>47</v>
      </c>
    </row>
    <row r="516" spans="1:12" ht="30" hidden="1" outlineLevel="7" collapsed="1">
      <c r="A516" s="20" t="s">
        <v>14</v>
      </c>
      <c r="B516" s="20" t="s">
        <v>82</v>
      </c>
      <c r="C516" s="20" t="s">
        <v>47</v>
      </c>
      <c r="D516" s="20" t="s">
        <v>399</v>
      </c>
      <c r="E516" s="20" t="s">
        <v>420</v>
      </c>
      <c r="F516" s="20" t="s">
        <v>14</v>
      </c>
      <c r="G516" s="20">
        <f>(SUM(G521))/G519</f>
        <v>1</v>
      </c>
    </row>
    <row r="517" spans="1:12" ht="30" hidden="1" outlineLevel="7" collapsed="1">
      <c r="A517" s="20" t="s">
        <v>11</v>
      </c>
      <c r="B517" s="20" t="s">
        <v>82</v>
      </c>
      <c r="C517" s="20" t="s">
        <v>47</v>
      </c>
      <c r="D517" s="20"/>
      <c r="E517" s="20" t="s">
        <v>421</v>
      </c>
      <c r="F517" s="20" t="s">
        <v>14</v>
      </c>
      <c r="G517" s="20">
        <v>1</v>
      </c>
    </row>
    <row r="518" spans="1:12" ht="30" hidden="1" outlineLevel="7" collapsed="1">
      <c r="A518" s="20" t="s">
        <v>11</v>
      </c>
      <c r="B518" s="20" t="s">
        <v>82</v>
      </c>
      <c r="C518" s="20" t="s">
        <v>47</v>
      </c>
      <c r="D518" s="20"/>
      <c r="E518" s="20" t="s">
        <v>422</v>
      </c>
      <c r="F518" s="20" t="s">
        <v>14</v>
      </c>
      <c r="G518" s="20">
        <v>1</v>
      </c>
    </row>
    <row r="519" spans="1:12" ht="30" hidden="1" outlineLevel="7" collapsed="1">
      <c r="A519" s="20" t="s">
        <v>11</v>
      </c>
      <c r="B519" s="20" t="s">
        <v>82</v>
      </c>
      <c r="C519" s="20" t="s">
        <v>47</v>
      </c>
      <c r="D519" s="20"/>
      <c r="E519" s="20" t="s">
        <v>423</v>
      </c>
      <c r="F519" s="20" t="s">
        <v>14</v>
      </c>
      <c r="G519" s="20">
        <v>1</v>
      </c>
    </row>
    <row r="520" spans="1:12" hidden="1" outlineLevel="7">
      <c r="A520" s="22" t="s">
        <v>11</v>
      </c>
      <c r="B520" s="23" t="s">
        <v>424</v>
      </c>
      <c r="C520" s="22"/>
      <c r="D520" s="22"/>
      <c r="E520" s="22" t="s">
        <v>425</v>
      </c>
      <c r="F520" s="22" t="s">
        <v>11</v>
      </c>
      <c r="G520" s="22"/>
    </row>
    <row r="521" spans="1:12" s="25" customFormat="1" ht="30" hidden="1" outlineLevel="7" collapsed="1">
      <c r="A521" s="24" t="s">
        <v>11</v>
      </c>
      <c r="B521" s="24" t="s">
        <v>82</v>
      </c>
      <c r="C521" s="24" t="s">
        <v>47</v>
      </c>
      <c r="D521" s="24"/>
      <c r="E521" s="24" t="s">
        <v>426</v>
      </c>
      <c r="F521" s="24" t="s">
        <v>14</v>
      </c>
      <c r="G521" s="24">
        <v>1</v>
      </c>
      <c r="H521"/>
      <c r="I521"/>
      <c r="J521"/>
      <c r="K521"/>
      <c r="L521"/>
    </row>
    <row r="522" spans="1:12" outlineLevel="6" collapsed="1">
      <c r="A522" s="18" t="s">
        <v>14</v>
      </c>
      <c r="B522" s="10" t="s">
        <v>427</v>
      </c>
      <c r="C522" s="18" t="s">
        <v>47</v>
      </c>
      <c r="D522" s="18" t="b">
        <f>EXACT(G503,"Difference of two independent stock estimations")</f>
        <v>0</v>
      </c>
      <c r="E522" s="18" t="s">
        <v>549</v>
      </c>
      <c r="F522" s="18" t="s">
        <v>14</v>
      </c>
      <c r="G522" s="18" t="s">
        <v>47</v>
      </c>
    </row>
    <row r="523" spans="1:12" hidden="1" outlineLevel="7" collapsed="1">
      <c r="A523" s="20" t="s">
        <v>11</v>
      </c>
      <c r="B523" s="20" t="s">
        <v>82</v>
      </c>
      <c r="C523" s="20" t="s">
        <v>47</v>
      </c>
      <c r="D523" s="20"/>
      <c r="E523" s="20" t="s">
        <v>429</v>
      </c>
      <c r="F523" s="20" t="s">
        <v>14</v>
      </c>
      <c r="G523" s="20">
        <v>1</v>
      </c>
    </row>
    <row r="524" spans="1:12" hidden="1" outlineLevel="7" collapsed="1">
      <c r="A524" s="20" t="s">
        <v>11</v>
      </c>
      <c r="B524" s="20" t="s">
        <v>82</v>
      </c>
      <c r="C524" s="20" t="s">
        <v>47</v>
      </c>
      <c r="D524" s="20"/>
      <c r="E524" s="20" t="s">
        <v>430</v>
      </c>
      <c r="F524" s="20" t="s">
        <v>14</v>
      </c>
      <c r="G524" s="20">
        <v>1</v>
      </c>
    </row>
    <row r="525" spans="1:12" hidden="1" outlineLevel="7" collapsed="1">
      <c r="A525" s="20" t="s">
        <v>11</v>
      </c>
      <c r="B525" s="20" t="s">
        <v>82</v>
      </c>
      <c r="C525" s="20" t="s">
        <v>47</v>
      </c>
      <c r="D525" s="20"/>
      <c r="E525" s="20" t="s">
        <v>431</v>
      </c>
      <c r="F525" s="20" t="s">
        <v>14</v>
      </c>
      <c r="G525" s="20">
        <v>1</v>
      </c>
    </row>
    <row r="526" spans="1:12" hidden="1" outlineLevel="7" collapsed="1">
      <c r="A526" s="20" t="s">
        <v>11</v>
      </c>
      <c r="B526" s="20" t="s">
        <v>82</v>
      </c>
      <c r="C526" s="20" t="s">
        <v>47</v>
      </c>
      <c r="D526" s="20"/>
      <c r="E526" s="20" t="s">
        <v>432</v>
      </c>
      <c r="F526" s="20" t="s">
        <v>14</v>
      </c>
      <c r="G526" s="20">
        <v>1</v>
      </c>
    </row>
    <row r="527" spans="1:12" ht="30" hidden="1" outlineLevel="7" collapsed="1">
      <c r="A527" s="20" t="s">
        <v>14</v>
      </c>
      <c r="B527" s="20" t="s">
        <v>82</v>
      </c>
      <c r="C527" s="20" t="s">
        <v>47</v>
      </c>
      <c r="D527" s="20" t="s">
        <v>399</v>
      </c>
      <c r="E527" s="24" t="s">
        <v>550</v>
      </c>
      <c r="F527" s="20" t="s">
        <v>14</v>
      </c>
      <c r="G527" s="20" t="e">
        <f>(SQRT((G525*G523)^2+(G526*G524)^2))/G528</f>
        <v>#DIV/0!</v>
      </c>
    </row>
    <row r="528" spans="1:12" hidden="1" outlineLevel="7" collapsed="1">
      <c r="A528" s="20" t="s">
        <v>14</v>
      </c>
      <c r="B528" s="20" t="s">
        <v>82</v>
      </c>
      <c r="C528" s="20" t="s">
        <v>47</v>
      </c>
      <c r="D528" s="20" t="s">
        <v>399</v>
      </c>
      <c r="E528" s="20" t="s">
        <v>551</v>
      </c>
      <c r="F528" s="20" t="s">
        <v>14</v>
      </c>
      <c r="G528" s="20">
        <f>G524-G523</f>
        <v>0</v>
      </c>
    </row>
    <row r="529" spans="1:7" hidden="1" outlineLevel="7" collapsed="1">
      <c r="A529" s="20" t="s">
        <v>11</v>
      </c>
      <c r="B529" s="20" t="s">
        <v>82</v>
      </c>
      <c r="C529" s="20" t="s">
        <v>47</v>
      </c>
      <c r="D529" s="20"/>
      <c r="E529" s="20" t="s">
        <v>552</v>
      </c>
      <c r="F529" s="20" t="s">
        <v>14</v>
      </c>
      <c r="G529" s="26">
        <v>7.0000000000000007E-2</v>
      </c>
    </row>
    <row r="530" spans="1:7" outlineLevel="5">
      <c r="A530" s="18" t="s">
        <v>11</v>
      </c>
      <c r="B530" s="10" t="s">
        <v>553</v>
      </c>
      <c r="C530" s="18" t="s">
        <v>47</v>
      </c>
      <c r="D530" s="18" t="b">
        <f>EXACT(G501,"Estimating change in carbon stock in trees in a year")</f>
        <v>1</v>
      </c>
      <c r="E530" s="18" t="s">
        <v>386</v>
      </c>
      <c r="F530" s="18" t="s">
        <v>14</v>
      </c>
      <c r="G530" s="18" t="s">
        <v>47</v>
      </c>
    </row>
    <row r="531" spans="1:7" ht="30" outlineLevel="6" collapsed="1">
      <c r="A531" s="20" t="s">
        <v>14</v>
      </c>
      <c r="B531" s="20" t="s">
        <v>82</v>
      </c>
      <c r="C531" s="20" t="s">
        <v>47</v>
      </c>
      <c r="D531" s="20" t="s">
        <v>399</v>
      </c>
      <c r="E531" s="20" t="s">
        <v>554</v>
      </c>
      <c r="F531" s="20" t="s">
        <v>14</v>
      </c>
      <c r="G531" s="20">
        <f>(G532-G533/G534)*1</f>
        <v>0</v>
      </c>
    </row>
    <row r="532" spans="1:7" ht="30" outlineLevel="6" collapsed="1">
      <c r="A532" s="20" t="s">
        <v>11</v>
      </c>
      <c r="B532" s="20" t="s">
        <v>82</v>
      </c>
      <c r="C532" s="20" t="s">
        <v>47</v>
      </c>
      <c r="D532" s="20"/>
      <c r="E532" s="20" t="s">
        <v>555</v>
      </c>
      <c r="F532" s="20" t="s">
        <v>14</v>
      </c>
      <c r="G532" s="20">
        <v>1</v>
      </c>
    </row>
    <row r="533" spans="1:7" ht="30" outlineLevel="6" collapsed="1">
      <c r="A533" s="20" t="s">
        <v>14</v>
      </c>
      <c r="B533" s="20" t="s">
        <v>82</v>
      </c>
      <c r="C533" s="20" t="s">
        <v>47</v>
      </c>
      <c r="D533" s="20" t="s">
        <v>399</v>
      </c>
      <c r="E533" s="20" t="s">
        <v>556</v>
      </c>
      <c r="F533" s="20" t="s">
        <v>14</v>
      </c>
      <c r="G533" s="20">
        <f>IF(AND(G536="Updating the previous stock by independent measurement of change"),G539,IF(AND(G536="Estimation by modelling of tree growth and stand development"),G553))</f>
        <v>1</v>
      </c>
    </row>
    <row r="534" spans="1:7" outlineLevel="6">
      <c r="A534" s="20" t="s">
        <v>11</v>
      </c>
      <c r="B534" s="20" t="s">
        <v>82</v>
      </c>
      <c r="C534" s="20" t="s">
        <v>47</v>
      </c>
      <c r="D534" s="20"/>
      <c r="E534" s="20" t="s">
        <v>440</v>
      </c>
      <c r="F534" s="20" t="s">
        <v>14</v>
      </c>
      <c r="G534" s="20">
        <v>1</v>
      </c>
    </row>
    <row r="535" spans="1:7" outlineLevel="4">
      <c r="A535" s="18" t="s">
        <v>11</v>
      </c>
      <c r="B535" s="10" t="s">
        <v>557</v>
      </c>
      <c r="C535" s="18" t="s">
        <v>47</v>
      </c>
      <c r="D535" s="18"/>
      <c r="E535" s="18" t="s">
        <v>442</v>
      </c>
      <c r="F535" s="18" t="s">
        <v>14</v>
      </c>
      <c r="G535" s="18" t="s">
        <v>47</v>
      </c>
    </row>
    <row r="536" spans="1:7" ht="30" outlineLevel="5" collapsed="1">
      <c r="A536" s="20" t="s">
        <v>11</v>
      </c>
      <c r="B536" s="20" t="s">
        <v>17</v>
      </c>
      <c r="C536" s="27" t="s">
        <v>558</v>
      </c>
      <c r="D536" s="20"/>
      <c r="E536" s="20" t="s">
        <v>444</v>
      </c>
      <c r="F536" s="20" t="s">
        <v>14</v>
      </c>
      <c r="G536" s="20" t="s">
        <v>447</v>
      </c>
    </row>
    <row r="537" spans="1:7" outlineLevel="5" collapsed="1">
      <c r="A537" s="22" t="s">
        <v>14</v>
      </c>
      <c r="B537" s="23" t="s">
        <v>559</v>
      </c>
      <c r="C537" s="22" t="s">
        <v>47</v>
      </c>
      <c r="D537" s="22" t="b">
        <f>EXACT(G536,"Updating the previous stock by independent measurement of change")</f>
        <v>1</v>
      </c>
      <c r="E537" s="22" t="s">
        <v>447</v>
      </c>
      <c r="F537" s="22" t="s">
        <v>14</v>
      </c>
      <c r="G537" s="22" t="s">
        <v>47</v>
      </c>
    </row>
    <row r="538" spans="1:7" hidden="1" outlineLevel="6" collapsed="1">
      <c r="A538" s="20" t="s">
        <v>14</v>
      </c>
      <c r="B538" s="20" t="s">
        <v>82</v>
      </c>
      <c r="C538" s="20" t="s">
        <v>47</v>
      </c>
      <c r="D538" s="20" t="s">
        <v>399</v>
      </c>
      <c r="E538" s="20" t="s">
        <v>560</v>
      </c>
      <c r="F538" s="20" t="s">
        <v>14</v>
      </c>
      <c r="G538" s="20" t="e">
        <f>E539+E540</f>
        <v>#VALUE!</v>
      </c>
    </row>
    <row r="539" spans="1:7" ht="30" hidden="1" outlineLevel="6" collapsed="1">
      <c r="A539" s="20" t="s">
        <v>11</v>
      </c>
      <c r="B539" s="20" t="s">
        <v>82</v>
      </c>
      <c r="C539" s="20" t="s">
        <v>47</v>
      </c>
      <c r="D539" s="20"/>
      <c r="E539" s="20" t="s">
        <v>561</v>
      </c>
      <c r="F539" s="20" t="s">
        <v>14</v>
      </c>
      <c r="G539" s="20">
        <v>1</v>
      </c>
    </row>
    <row r="540" spans="1:7" ht="30" hidden="1" outlineLevel="6" collapsed="1">
      <c r="A540" s="20" t="s">
        <v>11</v>
      </c>
      <c r="B540" s="20" t="s">
        <v>82</v>
      </c>
      <c r="C540" s="20" t="s">
        <v>47</v>
      </c>
      <c r="D540" s="20"/>
      <c r="E540" s="20" t="s">
        <v>562</v>
      </c>
      <c r="F540" s="20" t="s">
        <v>14</v>
      </c>
      <c r="G540" s="20">
        <v>1</v>
      </c>
    </row>
    <row r="541" spans="1:7" hidden="1" outlineLevel="6" collapsed="1">
      <c r="A541" s="20" t="s">
        <v>11</v>
      </c>
      <c r="B541" s="20" t="s">
        <v>82</v>
      </c>
      <c r="C541" s="20" t="s">
        <v>47</v>
      </c>
      <c r="D541" s="20"/>
      <c r="E541" s="20" t="s">
        <v>548</v>
      </c>
      <c r="F541" s="20" t="s">
        <v>14</v>
      </c>
      <c r="G541" s="20"/>
    </row>
    <row r="542" spans="1:7" ht="30" hidden="1" outlineLevel="6" collapsed="1">
      <c r="A542" s="20" t="s">
        <v>14</v>
      </c>
      <c r="B542" s="20" t="s">
        <v>82</v>
      </c>
      <c r="C542" s="20" t="s">
        <v>47</v>
      </c>
      <c r="D542" s="20" t="s">
        <v>399</v>
      </c>
      <c r="E542" s="20" t="s">
        <v>563</v>
      </c>
      <c r="F542" s="20" t="s">
        <v>14</v>
      </c>
      <c r="G542" s="20" t="e">
        <f>(SQRT((G543*G539)^2+(G541*G540)^2))/G538</f>
        <v>#VALUE!</v>
      </c>
    </row>
    <row r="543" spans="1:7" ht="30" hidden="1" outlineLevel="6" collapsed="1">
      <c r="A543" s="20" t="s">
        <v>11</v>
      </c>
      <c r="B543" s="20" t="s">
        <v>82</v>
      </c>
      <c r="C543" s="20" t="s">
        <v>47</v>
      </c>
      <c r="D543" s="20"/>
      <c r="E543" s="20" t="s">
        <v>564</v>
      </c>
      <c r="F543" s="20" t="s">
        <v>14</v>
      </c>
      <c r="G543" s="20">
        <v>1</v>
      </c>
    </row>
    <row r="544" spans="1:7" outlineLevel="5" collapsed="1">
      <c r="A544" s="22" t="s">
        <v>14</v>
      </c>
      <c r="B544" s="23" t="s">
        <v>565</v>
      </c>
      <c r="C544" s="22"/>
      <c r="D544" s="22" t="b">
        <f>EXACT(G536,"Estimation by modelling of tree growth and stand development")</f>
        <v>0</v>
      </c>
      <c r="E544" s="22" t="s">
        <v>445</v>
      </c>
      <c r="F544" s="22" t="s">
        <v>14</v>
      </c>
      <c r="G544" s="22"/>
    </row>
    <row r="545" spans="1:7" ht="60" hidden="1" outlineLevel="6">
      <c r="A545" s="20" t="s">
        <v>14</v>
      </c>
      <c r="B545" s="20" t="s">
        <v>44</v>
      </c>
      <c r="C545" s="20"/>
      <c r="D545" s="20"/>
      <c r="E545" s="20" t="s">
        <v>455</v>
      </c>
      <c r="F545" s="20" t="s">
        <v>14</v>
      </c>
      <c r="G545" s="20"/>
    </row>
    <row r="546" spans="1:7" ht="75" hidden="1" outlineLevel="6">
      <c r="A546" s="20" t="s">
        <v>14</v>
      </c>
      <c r="B546" s="20" t="s">
        <v>44</v>
      </c>
      <c r="C546" s="20"/>
      <c r="D546" s="20"/>
      <c r="E546" s="20" t="s">
        <v>456</v>
      </c>
      <c r="F546" s="20" t="s">
        <v>14</v>
      </c>
      <c r="G546" s="20"/>
    </row>
    <row r="547" spans="1:7" ht="60" hidden="1" outlineLevel="6">
      <c r="A547" s="20" t="s">
        <v>14</v>
      </c>
      <c r="B547" s="20" t="s">
        <v>44</v>
      </c>
      <c r="C547" s="20"/>
      <c r="D547" s="20"/>
      <c r="E547" s="20" t="s">
        <v>457</v>
      </c>
      <c r="F547" s="20" t="s">
        <v>14</v>
      </c>
      <c r="G547" s="20"/>
    </row>
    <row r="548" spans="1:7" ht="60" hidden="1" outlineLevel="6">
      <c r="A548" s="20" t="s">
        <v>14</v>
      </c>
      <c r="B548" s="20" t="s">
        <v>44</v>
      </c>
      <c r="C548" s="20"/>
      <c r="D548" s="20"/>
      <c r="E548" s="20" t="s">
        <v>458</v>
      </c>
      <c r="F548" s="20" t="s">
        <v>14</v>
      </c>
      <c r="G548" s="20"/>
    </row>
    <row r="549" spans="1:7" ht="135" hidden="1" outlineLevel="6">
      <c r="A549" s="20" t="s">
        <v>11</v>
      </c>
      <c r="B549" s="20" t="s">
        <v>17</v>
      </c>
      <c r="C549" s="27" t="s">
        <v>566</v>
      </c>
      <c r="D549" s="20"/>
      <c r="E549" s="20" t="s">
        <v>460</v>
      </c>
      <c r="F549" s="20" t="s">
        <v>14</v>
      </c>
      <c r="G549" s="20" t="s">
        <v>11</v>
      </c>
    </row>
    <row r="550" spans="1:7" ht="30" hidden="1" outlineLevel="6">
      <c r="A550" s="20" t="s">
        <v>14</v>
      </c>
      <c r="B550" s="20" t="s">
        <v>44</v>
      </c>
      <c r="C550" s="20"/>
      <c r="D550" s="20" t="b">
        <f>EXACT(G549,"No")</f>
        <v>0</v>
      </c>
      <c r="E550" s="20" t="s">
        <v>461</v>
      </c>
      <c r="F550" s="20" t="s">
        <v>14</v>
      </c>
      <c r="G550" s="20"/>
    </row>
    <row r="551" spans="1:7" hidden="1" outlineLevel="6">
      <c r="A551" s="22" t="s">
        <v>14</v>
      </c>
      <c r="B551" s="23" t="s">
        <v>567</v>
      </c>
      <c r="C551" s="22"/>
      <c r="D551" s="22" t="b">
        <f>EXACT(G549,"Yes")</f>
        <v>1</v>
      </c>
      <c r="E551" s="22" t="s">
        <v>568</v>
      </c>
      <c r="F551" s="22" t="s">
        <v>14</v>
      </c>
      <c r="G551" s="22"/>
    </row>
    <row r="552" spans="1:7" ht="30" hidden="1" outlineLevel="7">
      <c r="A552" s="20" t="s">
        <v>11</v>
      </c>
      <c r="B552" s="20" t="s">
        <v>82</v>
      </c>
      <c r="C552" s="20"/>
      <c r="D552" s="20"/>
      <c r="E552" s="20" t="s">
        <v>464</v>
      </c>
      <c r="F552" s="20" t="s">
        <v>14</v>
      </c>
      <c r="G552" s="20"/>
    </row>
    <row r="553" spans="1:7" hidden="1" outlineLevel="7">
      <c r="A553" s="20" t="s">
        <v>11</v>
      </c>
      <c r="B553" s="20" t="s">
        <v>82</v>
      </c>
      <c r="C553" s="20"/>
      <c r="D553" s="20"/>
      <c r="E553" s="20" t="s">
        <v>465</v>
      </c>
      <c r="F553" s="20" t="s">
        <v>14</v>
      </c>
      <c r="G553" s="20"/>
    </row>
    <row r="554" spans="1:7" hidden="1" outlineLevel="7">
      <c r="A554" s="20" t="s">
        <v>11</v>
      </c>
      <c r="B554" s="20" t="s">
        <v>82</v>
      </c>
      <c r="C554" s="20"/>
      <c r="D554" s="20"/>
      <c r="E554" s="20" t="s">
        <v>466</v>
      </c>
      <c r="F554" s="20" t="s">
        <v>14</v>
      </c>
      <c r="G554" s="20"/>
    </row>
    <row r="555" spans="1:7" outlineLevel="5" collapsed="1">
      <c r="A555" s="22" t="s">
        <v>14</v>
      </c>
      <c r="B555" s="23" t="s">
        <v>475</v>
      </c>
      <c r="C555" s="22" t="s">
        <v>47</v>
      </c>
      <c r="D555" s="22" t="b">
        <f>EXACT(G536,"Measurement of sample plots")</f>
        <v>0</v>
      </c>
      <c r="E555" s="22" t="s">
        <v>475</v>
      </c>
      <c r="F555" s="22" t="s">
        <v>14</v>
      </c>
      <c r="G555" s="22" t="s">
        <v>47</v>
      </c>
    </row>
    <row r="556" spans="1:7" ht="30" hidden="1" outlineLevel="6" collapsed="1">
      <c r="A556" s="20" t="s">
        <v>11</v>
      </c>
      <c r="B556" s="20" t="s">
        <v>17</v>
      </c>
      <c r="C556" s="21" t="s">
        <v>476</v>
      </c>
      <c r="D556" s="20"/>
      <c r="E556" s="20" t="s">
        <v>477</v>
      </c>
      <c r="F556" s="20" t="s">
        <v>14</v>
      </c>
      <c r="G556" s="20" t="s">
        <v>478</v>
      </c>
    </row>
    <row r="557" spans="1:7" hidden="1" outlineLevel="6" collapsed="1">
      <c r="A557" s="22" t="s">
        <v>14</v>
      </c>
      <c r="B557" s="23" t="s">
        <v>478</v>
      </c>
      <c r="C557" s="22" t="s">
        <v>47</v>
      </c>
      <c r="D557" s="22" t="b">
        <f>EXACT(G556,"Stratified random sampling")</f>
        <v>1</v>
      </c>
      <c r="E557" s="22" t="s">
        <v>478</v>
      </c>
      <c r="F557" s="22" t="s">
        <v>14</v>
      </c>
      <c r="G557" s="22" t="s">
        <v>47</v>
      </c>
    </row>
    <row r="558" spans="1:7" ht="30" hidden="1" outlineLevel="7" collapsed="1">
      <c r="A558" s="20" t="s">
        <v>14</v>
      </c>
      <c r="B558" s="20" t="s">
        <v>82</v>
      </c>
      <c r="C558" s="20" t="s">
        <v>47</v>
      </c>
      <c r="D558" s="20" t="s">
        <v>399</v>
      </c>
      <c r="E558" s="20" t="s">
        <v>479</v>
      </c>
      <c r="F558" s="20" t="s">
        <v>14</v>
      </c>
      <c r="G558" s="20">
        <f>44/12*G559*G560</f>
        <v>3.6666666666666665</v>
      </c>
    </row>
    <row r="559" spans="1:7" hidden="1" outlineLevel="7" collapsed="1">
      <c r="A559" s="20" t="s">
        <v>11</v>
      </c>
      <c r="B559" s="20" t="s">
        <v>82</v>
      </c>
      <c r="C559" s="20" t="s">
        <v>47</v>
      </c>
      <c r="D559" s="20"/>
      <c r="E559" s="20" t="s">
        <v>405</v>
      </c>
      <c r="F559" s="20" t="s">
        <v>14</v>
      </c>
      <c r="G559" s="20">
        <v>1</v>
      </c>
    </row>
    <row r="560" spans="1:7" ht="30" hidden="1" outlineLevel="7" collapsed="1">
      <c r="A560" s="20" t="s">
        <v>14</v>
      </c>
      <c r="B560" s="20" t="s">
        <v>82</v>
      </c>
      <c r="C560" s="20" t="s">
        <v>47</v>
      </c>
      <c r="D560" s="20" t="s">
        <v>399</v>
      </c>
      <c r="E560" s="20" t="s">
        <v>480</v>
      </c>
      <c r="F560" s="20" t="s">
        <v>14</v>
      </c>
      <c r="G560" s="20">
        <f>G561*G562</f>
        <v>1</v>
      </c>
    </row>
    <row r="561" spans="1:12" ht="30" hidden="1" outlineLevel="7" collapsed="1">
      <c r="A561" s="20" t="s">
        <v>11</v>
      </c>
      <c r="B561" s="20" t="s">
        <v>82</v>
      </c>
      <c r="C561" s="20" t="s">
        <v>47</v>
      </c>
      <c r="D561" s="20"/>
      <c r="E561" s="20" t="s">
        <v>481</v>
      </c>
      <c r="F561" s="20" t="s">
        <v>14</v>
      </c>
      <c r="G561" s="20">
        <v>1</v>
      </c>
    </row>
    <row r="562" spans="1:12" ht="30" hidden="1" outlineLevel="7" collapsed="1">
      <c r="A562" s="20" t="s">
        <v>14</v>
      </c>
      <c r="B562" s="20" t="s">
        <v>82</v>
      </c>
      <c r="C562" s="20" t="s">
        <v>47</v>
      </c>
      <c r="D562" s="20" t="s">
        <v>399</v>
      </c>
      <c r="E562" s="20" t="s">
        <v>482</v>
      </c>
      <c r="F562" s="20" t="s">
        <v>14</v>
      </c>
      <c r="G562" s="20">
        <f>SUM((G567*G566))</f>
        <v>1</v>
      </c>
    </row>
    <row r="563" spans="1:12" hidden="1" outlineLevel="7" collapsed="1">
      <c r="A563" s="20" t="s">
        <v>11</v>
      </c>
      <c r="B563" s="20" t="s">
        <v>82</v>
      </c>
      <c r="C563" s="20" t="s">
        <v>47</v>
      </c>
      <c r="D563" s="20"/>
      <c r="E563" s="20" t="s">
        <v>569</v>
      </c>
      <c r="F563" s="20" t="s">
        <v>14</v>
      </c>
      <c r="G563" s="20">
        <v>1</v>
      </c>
    </row>
    <row r="564" spans="1:12" ht="30" hidden="1" outlineLevel="7" collapsed="1">
      <c r="A564" s="20" t="s">
        <v>11</v>
      </c>
      <c r="B564" s="20" t="s">
        <v>82</v>
      </c>
      <c r="C564" s="20" t="s">
        <v>47</v>
      </c>
      <c r="D564" s="20"/>
      <c r="E564" s="20" t="s">
        <v>484</v>
      </c>
      <c r="F564" s="20" t="s">
        <v>14</v>
      </c>
      <c r="G564" s="20">
        <v>1</v>
      </c>
    </row>
    <row r="565" spans="1:12" hidden="1" outlineLevel="7">
      <c r="A565" s="22" t="s">
        <v>11</v>
      </c>
      <c r="B565" s="23" t="s">
        <v>485</v>
      </c>
      <c r="C565" s="22" t="s">
        <v>47</v>
      </c>
      <c r="D565" s="22"/>
      <c r="E565" s="22" t="s">
        <v>486</v>
      </c>
      <c r="F565" s="22" t="s">
        <v>11</v>
      </c>
      <c r="G565" s="22" t="s">
        <v>47</v>
      </c>
    </row>
    <row r="566" spans="1:12" s="25" customFormat="1" ht="30" hidden="1" outlineLevel="7" collapsed="1">
      <c r="A566" s="24" t="s">
        <v>14</v>
      </c>
      <c r="B566" s="24" t="s">
        <v>82</v>
      </c>
      <c r="C566" s="24" t="s">
        <v>47</v>
      </c>
      <c r="D566" s="24" t="s">
        <v>399</v>
      </c>
      <c r="E566" s="24" t="s">
        <v>487</v>
      </c>
      <c r="F566" s="24" t="s">
        <v>14</v>
      </c>
      <c r="G566" s="24">
        <f>(SUM(G571))/G569</f>
        <v>1</v>
      </c>
      <c r="H566"/>
      <c r="I566"/>
      <c r="J566"/>
      <c r="K566"/>
      <c r="L566"/>
    </row>
    <row r="567" spans="1:12" ht="30" hidden="1" outlineLevel="7" collapsed="1">
      <c r="A567" s="20" t="s">
        <v>11</v>
      </c>
      <c r="B567" s="20" t="s">
        <v>82</v>
      </c>
      <c r="C567" s="20" t="s">
        <v>47</v>
      </c>
      <c r="D567" s="20"/>
      <c r="E567" s="20" t="s">
        <v>488</v>
      </c>
      <c r="F567" s="20" t="s">
        <v>14</v>
      </c>
      <c r="G567" s="20">
        <v>1</v>
      </c>
    </row>
    <row r="568" spans="1:12" ht="30" hidden="1" outlineLevel="7" collapsed="1">
      <c r="A568" s="20" t="s">
        <v>11</v>
      </c>
      <c r="B568" s="20" t="s">
        <v>82</v>
      </c>
      <c r="C568" s="20" t="s">
        <v>47</v>
      </c>
      <c r="D568" s="20"/>
      <c r="E568" s="20" t="s">
        <v>489</v>
      </c>
      <c r="F568" s="20" t="s">
        <v>14</v>
      </c>
      <c r="G568" s="20">
        <v>1</v>
      </c>
    </row>
    <row r="569" spans="1:12" hidden="1" outlineLevel="7" collapsed="1">
      <c r="A569" s="20" t="s">
        <v>11</v>
      </c>
      <c r="B569" s="20" t="s">
        <v>82</v>
      </c>
      <c r="C569" s="20" t="s">
        <v>47</v>
      </c>
      <c r="D569" s="20"/>
      <c r="E569" s="20" t="s">
        <v>490</v>
      </c>
      <c r="F569" s="20" t="s">
        <v>14</v>
      </c>
      <c r="G569" s="20">
        <v>1</v>
      </c>
    </row>
    <row r="570" spans="1:12" hidden="1" outlineLevel="7">
      <c r="A570" s="22" t="s">
        <v>11</v>
      </c>
      <c r="B570" s="23" t="s">
        <v>491</v>
      </c>
      <c r="C570" s="22"/>
      <c r="D570" s="22"/>
      <c r="E570" s="22" t="s">
        <v>492</v>
      </c>
      <c r="F570" s="22" t="s">
        <v>11</v>
      </c>
      <c r="G570" s="22"/>
    </row>
    <row r="571" spans="1:12" s="25" customFormat="1" ht="30" hidden="1" outlineLevel="7" collapsed="1">
      <c r="A571" s="24" t="s">
        <v>11</v>
      </c>
      <c r="B571" s="24" t="s">
        <v>82</v>
      </c>
      <c r="C571" s="24" t="s">
        <v>47</v>
      </c>
      <c r="D571" s="24"/>
      <c r="E571" s="24" t="s">
        <v>493</v>
      </c>
      <c r="F571" s="24" t="s">
        <v>14</v>
      </c>
      <c r="G571" s="24">
        <v>1</v>
      </c>
      <c r="H571"/>
      <c r="I571"/>
      <c r="J571"/>
      <c r="K571"/>
      <c r="L571"/>
    </row>
    <row r="572" spans="1:12" hidden="1" outlineLevel="6">
      <c r="A572" s="22" t="s">
        <v>14</v>
      </c>
      <c r="B572" s="23" t="s">
        <v>494</v>
      </c>
      <c r="C572" s="22" t="s">
        <v>47</v>
      </c>
      <c r="D572" s="22" t="b">
        <f>NOT(EXACT(G556,"Stratified random sampling"))</f>
        <v>0</v>
      </c>
      <c r="E572" s="22" t="s">
        <v>494</v>
      </c>
      <c r="F572" s="22" t="s">
        <v>14</v>
      </c>
      <c r="G572" s="22" t="s">
        <v>47</v>
      </c>
    </row>
    <row r="573" spans="1:12" ht="30" hidden="1" outlineLevel="7" collapsed="1">
      <c r="A573" s="20" t="s">
        <v>11</v>
      </c>
      <c r="B573" s="20" t="s">
        <v>82</v>
      </c>
      <c r="C573" s="20" t="s">
        <v>47</v>
      </c>
      <c r="D573" s="20"/>
      <c r="E573" s="20" t="s">
        <v>479</v>
      </c>
      <c r="F573" s="20" t="s">
        <v>14</v>
      </c>
      <c r="G573" s="20">
        <v>1</v>
      </c>
    </row>
    <row r="574" spans="1:12" hidden="1" outlineLevel="7" collapsed="1">
      <c r="A574" s="20" t="s">
        <v>11</v>
      </c>
      <c r="B574" s="20" t="s">
        <v>82</v>
      </c>
      <c r="C574" s="20" t="s">
        <v>47</v>
      </c>
      <c r="D574" s="20"/>
      <c r="E574" s="20" t="s">
        <v>405</v>
      </c>
      <c r="F574" s="20" t="s">
        <v>14</v>
      </c>
      <c r="G574" s="20">
        <v>1</v>
      </c>
    </row>
    <row r="575" spans="1:12" ht="30" hidden="1" outlineLevel="7" collapsed="1">
      <c r="A575" s="20" t="s">
        <v>11</v>
      </c>
      <c r="B575" s="20" t="s">
        <v>82</v>
      </c>
      <c r="C575" s="20" t="s">
        <v>47</v>
      </c>
      <c r="D575" s="20"/>
      <c r="E575" s="20" t="s">
        <v>480</v>
      </c>
      <c r="F575" s="20" t="s">
        <v>14</v>
      </c>
      <c r="G575" s="20">
        <v>1</v>
      </c>
    </row>
    <row r="576" spans="1:12" ht="30" hidden="1" outlineLevel="7" collapsed="1">
      <c r="A576" s="20" t="s">
        <v>11</v>
      </c>
      <c r="B576" s="20" t="s">
        <v>82</v>
      </c>
      <c r="C576" s="20" t="s">
        <v>47</v>
      </c>
      <c r="D576" s="20"/>
      <c r="E576" s="20" t="s">
        <v>481</v>
      </c>
      <c r="F576" s="20" t="s">
        <v>14</v>
      </c>
      <c r="G576" s="20">
        <v>1</v>
      </c>
    </row>
    <row r="577" spans="1:12" ht="30" hidden="1" outlineLevel="7" collapsed="1">
      <c r="A577" s="20" t="s">
        <v>11</v>
      </c>
      <c r="B577" s="20" t="s">
        <v>82</v>
      </c>
      <c r="C577" s="20" t="s">
        <v>47</v>
      </c>
      <c r="D577" s="20"/>
      <c r="E577" s="20" t="s">
        <v>482</v>
      </c>
      <c r="F577" s="20" t="s">
        <v>14</v>
      </c>
      <c r="G577" s="20">
        <v>1</v>
      </c>
    </row>
    <row r="578" spans="1:12" hidden="1" outlineLevel="7" collapsed="1">
      <c r="A578" s="20" t="s">
        <v>11</v>
      </c>
      <c r="B578" s="20" t="s">
        <v>82</v>
      </c>
      <c r="C578" s="20" t="s">
        <v>47</v>
      </c>
      <c r="D578" s="20"/>
      <c r="E578" s="20" t="s">
        <v>569</v>
      </c>
      <c r="F578" s="20" t="s">
        <v>14</v>
      </c>
      <c r="G578" s="20">
        <v>1</v>
      </c>
    </row>
    <row r="579" spans="1:12" ht="30" hidden="1" outlineLevel="7" collapsed="1">
      <c r="A579" s="20" t="s">
        <v>11</v>
      </c>
      <c r="B579" s="20" t="s">
        <v>82</v>
      </c>
      <c r="C579" s="20" t="s">
        <v>47</v>
      </c>
      <c r="D579" s="20"/>
      <c r="E579" s="20" t="s">
        <v>570</v>
      </c>
      <c r="F579" s="20" t="s">
        <v>14</v>
      </c>
      <c r="G579" s="20">
        <v>1</v>
      </c>
    </row>
    <row r="580" spans="1:12" hidden="1" outlineLevel="7">
      <c r="A580" s="22" t="s">
        <v>11</v>
      </c>
      <c r="B580" s="23" t="s">
        <v>495</v>
      </c>
      <c r="C580" s="22" t="s">
        <v>47</v>
      </c>
      <c r="D580" s="22"/>
      <c r="E580" s="22" t="s">
        <v>486</v>
      </c>
      <c r="F580" s="22" t="s">
        <v>11</v>
      </c>
      <c r="G580" s="22" t="s">
        <v>47</v>
      </c>
    </row>
    <row r="581" spans="1:12" ht="30" hidden="1" outlineLevel="7" collapsed="1">
      <c r="A581" s="20" t="s">
        <v>14</v>
      </c>
      <c r="B581" s="20" t="s">
        <v>82</v>
      </c>
      <c r="C581" s="20" t="s">
        <v>47</v>
      </c>
      <c r="D581" s="20" t="s">
        <v>399</v>
      </c>
      <c r="E581" s="20" t="s">
        <v>487</v>
      </c>
      <c r="F581" s="20" t="s">
        <v>14</v>
      </c>
      <c r="G581" s="20">
        <f>(SUM(G590)/G582)+G583*(G584-G585)</f>
        <v>1</v>
      </c>
    </row>
    <row r="582" spans="1:12" hidden="1" outlineLevel="7" collapsed="1">
      <c r="A582" s="20" t="s">
        <v>11</v>
      </c>
      <c r="B582" s="20" t="s">
        <v>82</v>
      </c>
      <c r="C582" s="20" t="s">
        <v>47</v>
      </c>
      <c r="D582" s="20"/>
      <c r="E582" s="20" t="s">
        <v>496</v>
      </c>
      <c r="F582" s="20" t="s">
        <v>14</v>
      </c>
      <c r="G582" s="20">
        <v>1</v>
      </c>
    </row>
    <row r="583" spans="1:12" ht="30" hidden="1" outlineLevel="7" collapsed="1">
      <c r="A583" s="20" t="s">
        <v>11</v>
      </c>
      <c r="B583" s="20" t="s">
        <v>82</v>
      </c>
      <c r="C583" s="20" t="s">
        <v>47</v>
      </c>
      <c r="D583" s="20"/>
      <c r="E583" s="20" t="s">
        <v>497</v>
      </c>
      <c r="F583" s="20" t="s">
        <v>14</v>
      </c>
      <c r="G583" s="20">
        <v>1</v>
      </c>
    </row>
    <row r="584" spans="1:12" ht="30" hidden="1" outlineLevel="7" collapsed="1">
      <c r="A584" s="20" t="s">
        <v>11</v>
      </c>
      <c r="B584" s="20" t="s">
        <v>82</v>
      </c>
      <c r="C584" s="20" t="s">
        <v>47</v>
      </c>
      <c r="D584" s="20"/>
      <c r="E584" s="20" t="s">
        <v>498</v>
      </c>
      <c r="F584" s="20" t="s">
        <v>14</v>
      </c>
      <c r="G584" s="20">
        <v>1</v>
      </c>
    </row>
    <row r="585" spans="1:12" ht="30" hidden="1" outlineLevel="7" collapsed="1">
      <c r="A585" s="20" t="s">
        <v>11</v>
      </c>
      <c r="B585" s="20" t="s">
        <v>82</v>
      </c>
      <c r="C585" s="20" t="s">
        <v>47</v>
      </c>
      <c r="D585" s="20"/>
      <c r="E585" s="20" t="s">
        <v>499</v>
      </c>
      <c r="F585" s="20" t="s">
        <v>14</v>
      </c>
      <c r="G585" s="20">
        <v>1</v>
      </c>
    </row>
    <row r="586" spans="1:12" ht="30" hidden="1" outlineLevel="7" collapsed="1">
      <c r="A586" s="20" t="s">
        <v>11</v>
      </c>
      <c r="B586" s="20" t="s">
        <v>82</v>
      </c>
      <c r="C586" s="20" t="s">
        <v>47</v>
      </c>
      <c r="D586" s="20"/>
      <c r="E586" s="20" t="s">
        <v>500</v>
      </c>
      <c r="F586" s="20" t="s">
        <v>14</v>
      </c>
      <c r="G586" s="20">
        <v>1</v>
      </c>
    </row>
    <row r="587" spans="1:12" ht="30" hidden="1" outlineLevel="7" collapsed="1">
      <c r="A587" s="20" t="s">
        <v>11</v>
      </c>
      <c r="B587" s="20" t="s">
        <v>82</v>
      </c>
      <c r="C587" s="20" t="s">
        <v>47</v>
      </c>
      <c r="D587" s="20"/>
      <c r="E587" s="20" t="s">
        <v>501</v>
      </c>
      <c r="F587" s="20" t="s">
        <v>14</v>
      </c>
      <c r="G587" s="20">
        <v>1</v>
      </c>
    </row>
    <row r="588" spans="1:12" ht="45" hidden="1" outlineLevel="7" collapsed="1">
      <c r="A588" s="20" t="s">
        <v>11</v>
      </c>
      <c r="B588" s="20" t="s">
        <v>82</v>
      </c>
      <c r="C588" s="20" t="s">
        <v>47</v>
      </c>
      <c r="D588" s="20"/>
      <c r="E588" s="20" t="s">
        <v>502</v>
      </c>
      <c r="F588" s="20" t="s">
        <v>14</v>
      </c>
      <c r="G588" s="20">
        <v>1</v>
      </c>
    </row>
    <row r="589" spans="1:12" hidden="1" outlineLevel="7">
      <c r="A589" s="22" t="s">
        <v>11</v>
      </c>
      <c r="B589" s="23" t="s">
        <v>491</v>
      </c>
      <c r="C589" s="22"/>
      <c r="D589" s="22"/>
      <c r="E589" s="22" t="s">
        <v>492</v>
      </c>
      <c r="F589" s="22" t="s">
        <v>11</v>
      </c>
      <c r="G589" s="22"/>
    </row>
    <row r="590" spans="1:12" s="25" customFormat="1" ht="30" hidden="1" outlineLevel="7" collapsed="1">
      <c r="A590" s="24" t="s">
        <v>11</v>
      </c>
      <c r="B590" s="24" t="s">
        <v>82</v>
      </c>
      <c r="C590" s="24" t="s">
        <v>47</v>
      </c>
      <c r="D590" s="24"/>
      <c r="E590" s="24" t="s">
        <v>493</v>
      </c>
      <c r="F590" s="24" t="s">
        <v>14</v>
      </c>
      <c r="G590" s="24">
        <v>1</v>
      </c>
      <c r="H590"/>
      <c r="I590"/>
      <c r="J590"/>
      <c r="K590"/>
      <c r="L590"/>
    </row>
    <row r="591" spans="1:12" hidden="1" outlineLevel="7" collapsed="1">
      <c r="A591" s="20" t="s">
        <v>11</v>
      </c>
      <c r="B591" s="20" t="s">
        <v>503</v>
      </c>
      <c r="C591" s="20" t="s">
        <v>47</v>
      </c>
      <c r="D591" s="20"/>
      <c r="E591" s="4" t="s">
        <v>504</v>
      </c>
      <c r="F591" s="20" t="s">
        <v>14</v>
      </c>
      <c r="G591" s="20" t="s">
        <v>505</v>
      </c>
    </row>
    <row r="592" spans="1:12" ht="29.25" customHeight="1" outlineLevel="4">
      <c r="A592" s="18" t="s">
        <v>14</v>
      </c>
      <c r="B592" s="18" t="s">
        <v>82</v>
      </c>
      <c r="C592" s="10"/>
      <c r="D592" s="18" t="s">
        <v>399</v>
      </c>
      <c r="E592" s="18" t="s">
        <v>571</v>
      </c>
      <c r="F592" s="18" t="s">
        <v>14</v>
      </c>
      <c r="G592" s="18" t="e">
        <f>IF(G536="Updating the previous stock by independent measurement of change",G538,IF(G536="Estimation by modelling of tree growth and stand development",G552,IF(AND(G536="Measurement of sample plots",G556="Stratified random sampling"),G558,IF(AND(G536="Measurement of sample plots",G556="Double sampling"),G573))))</f>
        <v>#VALUE!</v>
      </c>
    </row>
    <row r="593" spans="1:7" ht="29.25" customHeight="1" outlineLevel="4">
      <c r="A593" s="18" t="s">
        <v>14</v>
      </c>
      <c r="B593" s="18" t="s">
        <v>82</v>
      </c>
      <c r="C593" s="10"/>
      <c r="D593" s="18" t="s">
        <v>399</v>
      </c>
      <c r="E593" s="18" t="s">
        <v>572</v>
      </c>
      <c r="F593" s="18" t="s">
        <v>14</v>
      </c>
      <c r="G593" s="18">
        <f>IF(AND(G501="Estimating change in carbon stock in trees between two points in time",G503="no-decrease"),0,IF(AND(G501="Estimating change in carbon stock in trees between two points in time",G503="Direct estimation of change by re-measurement of sample plots"),G508,IF(AND(G501="Estimating change in carbon stock in trees between two points in time",G503="Difference of two independent stock estimations"),G528,IF(AND(G501="Estimating change in carbon stock in trees in a year"),G531))))</f>
        <v>0</v>
      </c>
    </row>
    <row r="594" spans="1:7" ht="29.25" customHeight="1" outlineLevel="4">
      <c r="A594" s="18" t="s">
        <v>11</v>
      </c>
      <c r="B594" s="18" t="s">
        <v>17</v>
      </c>
      <c r="C594" s="10" t="s">
        <v>573</v>
      </c>
      <c r="D594" s="18"/>
      <c r="E594" s="3" t="s">
        <v>509</v>
      </c>
      <c r="F594" s="3" t="s">
        <v>14</v>
      </c>
      <c r="G594" s="18" t="s">
        <v>523</v>
      </c>
    </row>
    <row r="595" spans="1:7" outlineLevel="4">
      <c r="A595" s="18" t="s">
        <v>11</v>
      </c>
      <c r="B595" s="10" t="s">
        <v>574</v>
      </c>
      <c r="C595" s="18" t="s">
        <v>47</v>
      </c>
      <c r="D595" s="18" t="b">
        <f>EXACT(G594,"Estimating change in carbon stock in shrubs between two points in time")</f>
        <v>0</v>
      </c>
      <c r="E595" s="18" t="s">
        <v>512</v>
      </c>
      <c r="F595" s="18" t="s">
        <v>14</v>
      </c>
      <c r="G595" s="18" t="s">
        <v>47</v>
      </c>
    </row>
    <row r="596" spans="1:7" ht="29.25" customHeight="1" outlineLevel="5">
      <c r="A596" s="18" t="s">
        <v>11</v>
      </c>
      <c r="B596" s="18" t="s">
        <v>17</v>
      </c>
      <c r="C596" s="10" t="s">
        <v>575</v>
      </c>
      <c r="D596" s="18"/>
      <c r="E596" s="18" t="s">
        <v>514</v>
      </c>
      <c r="F596" s="18" t="s">
        <v>14</v>
      </c>
      <c r="G596" s="18" t="s">
        <v>14</v>
      </c>
    </row>
    <row r="597" spans="1:7" outlineLevel="5">
      <c r="A597" s="18" t="s">
        <v>14</v>
      </c>
      <c r="B597" s="10" t="s">
        <v>515</v>
      </c>
      <c r="C597" s="19"/>
      <c r="D597" s="18" t="b">
        <f>EXACT(G596,"Yes")</f>
        <v>0</v>
      </c>
      <c r="E597" s="18" t="s">
        <v>393</v>
      </c>
      <c r="F597" s="18" t="s">
        <v>14</v>
      </c>
      <c r="G597" s="18"/>
    </row>
    <row r="598" spans="1:7" ht="165" outlineLevel="6" collapsed="1">
      <c r="A598" s="20" t="s">
        <v>14</v>
      </c>
      <c r="B598" s="20" t="s">
        <v>44</v>
      </c>
      <c r="C598" s="20"/>
      <c r="D598" s="20"/>
      <c r="E598" s="20" t="s">
        <v>516</v>
      </c>
      <c r="F598" s="4" t="s">
        <v>14</v>
      </c>
      <c r="G598" s="20"/>
    </row>
    <row r="599" spans="1:7" ht="60" outlineLevel="6" collapsed="1">
      <c r="A599" s="20" t="s">
        <v>11</v>
      </c>
      <c r="B599" s="20" t="s">
        <v>17</v>
      </c>
      <c r="C599" s="21" t="s">
        <v>517</v>
      </c>
      <c r="D599" s="20"/>
      <c r="E599" s="4" t="s">
        <v>518</v>
      </c>
      <c r="F599" s="4" t="s">
        <v>14</v>
      </c>
      <c r="G599" s="20"/>
    </row>
    <row r="600" spans="1:7" ht="30" outlineLevel="6" collapsed="1">
      <c r="A600" s="20" t="s">
        <v>14</v>
      </c>
      <c r="B600" s="20" t="s">
        <v>82</v>
      </c>
      <c r="C600" s="20" t="s">
        <v>47</v>
      </c>
      <c r="D600" s="20" t="s">
        <v>399</v>
      </c>
      <c r="E600" s="20" t="s">
        <v>576</v>
      </c>
      <c r="F600" s="20" t="s">
        <v>14</v>
      </c>
      <c r="G600" s="20" t="e">
        <f>IF(AND(#REF!="No"),E601-E602,0)</f>
        <v>#REF!</v>
      </c>
    </row>
    <row r="601" spans="1:7" ht="30" outlineLevel="6" collapsed="1">
      <c r="A601" s="20" t="s">
        <v>11</v>
      </c>
      <c r="B601" s="20" t="s">
        <v>82</v>
      </c>
      <c r="C601" s="20" t="s">
        <v>47</v>
      </c>
      <c r="D601" s="20"/>
      <c r="E601" s="20" t="s">
        <v>577</v>
      </c>
      <c r="F601" s="20" t="s">
        <v>14</v>
      </c>
      <c r="G601" s="20">
        <v>1</v>
      </c>
    </row>
    <row r="602" spans="1:7" ht="30" outlineLevel="6" collapsed="1">
      <c r="A602" s="20" t="s">
        <v>11</v>
      </c>
      <c r="B602" s="20" t="s">
        <v>82</v>
      </c>
      <c r="C602" s="20" t="s">
        <v>47</v>
      </c>
      <c r="D602" s="20"/>
      <c r="E602" s="20" t="s">
        <v>578</v>
      </c>
      <c r="F602" s="20" t="s">
        <v>14</v>
      </c>
      <c r="G602" s="20">
        <v>1</v>
      </c>
    </row>
    <row r="603" spans="1:7" outlineLevel="4">
      <c r="A603" s="18" t="s">
        <v>11</v>
      </c>
      <c r="B603" s="10" t="s">
        <v>579</v>
      </c>
      <c r="C603" s="18" t="s">
        <v>47</v>
      </c>
      <c r="D603" s="18" t="b">
        <f>EXACT(G594,"Estimating change in carbon stock in shrubs in a year")</f>
        <v>1</v>
      </c>
      <c r="E603" s="18" t="s">
        <v>523</v>
      </c>
      <c r="F603" s="18" t="s">
        <v>14</v>
      </c>
      <c r="G603" s="18" t="s">
        <v>47</v>
      </c>
    </row>
    <row r="604" spans="1:7" ht="30" outlineLevel="5" collapsed="1">
      <c r="A604" s="20" t="s">
        <v>14</v>
      </c>
      <c r="B604" s="20" t="s">
        <v>82</v>
      </c>
      <c r="C604" s="20" t="s">
        <v>47</v>
      </c>
      <c r="D604" s="20" t="s">
        <v>399</v>
      </c>
      <c r="E604" s="20" t="s">
        <v>580</v>
      </c>
      <c r="F604" s="20" t="s">
        <v>14</v>
      </c>
      <c r="G604" s="20">
        <f>(G605-G606/G607)*1</f>
        <v>0</v>
      </c>
    </row>
    <row r="605" spans="1:7" outlineLevel="5" collapsed="1">
      <c r="A605" s="20" t="s">
        <v>11</v>
      </c>
      <c r="B605" s="20" t="s">
        <v>82</v>
      </c>
      <c r="C605" s="20" t="s">
        <v>47</v>
      </c>
      <c r="D605" s="20"/>
      <c r="E605" s="20" t="s">
        <v>581</v>
      </c>
      <c r="F605" s="20" t="s">
        <v>14</v>
      </c>
      <c r="G605" s="20">
        <v>1</v>
      </c>
    </row>
    <row r="606" spans="1:7" outlineLevel="5" collapsed="1">
      <c r="A606" s="20" t="s">
        <v>11</v>
      </c>
      <c r="B606" s="20" t="s">
        <v>82</v>
      </c>
      <c r="C606" s="20" t="s">
        <v>47</v>
      </c>
      <c r="D606" s="20"/>
      <c r="E606" s="20" t="s">
        <v>582</v>
      </c>
      <c r="F606" s="20" t="s">
        <v>14</v>
      </c>
      <c r="G606" s="20">
        <v>1</v>
      </c>
    </row>
    <row r="607" spans="1:7" ht="30" outlineLevel="5" collapsed="1">
      <c r="A607" s="20" t="s">
        <v>11</v>
      </c>
      <c r="B607" s="20" t="s">
        <v>82</v>
      </c>
      <c r="C607" s="20" t="s">
        <v>47</v>
      </c>
      <c r="D607" s="20"/>
      <c r="E607" s="20" t="s">
        <v>527</v>
      </c>
      <c r="F607" s="20" t="s">
        <v>14</v>
      </c>
      <c r="G607" s="20">
        <v>1</v>
      </c>
    </row>
    <row r="608" spans="1:7" outlineLevel="4">
      <c r="A608" s="18" t="s">
        <v>11</v>
      </c>
      <c r="B608" s="10" t="s">
        <v>583</v>
      </c>
      <c r="C608" s="18" t="s">
        <v>47</v>
      </c>
      <c r="D608" s="18"/>
      <c r="E608" s="18" t="s">
        <v>584</v>
      </c>
      <c r="F608" s="18" t="s">
        <v>11</v>
      </c>
      <c r="G608" s="18" t="s">
        <v>47</v>
      </c>
    </row>
    <row r="609" spans="1:7" ht="30" outlineLevel="5" collapsed="1">
      <c r="A609" s="20" t="s">
        <v>14</v>
      </c>
      <c r="B609" s="20" t="s">
        <v>82</v>
      </c>
      <c r="C609" s="20" t="s">
        <v>47</v>
      </c>
      <c r="D609" s="20" t="s">
        <v>399</v>
      </c>
      <c r="E609" s="20" t="s">
        <v>585</v>
      </c>
      <c r="F609" s="20" t="s">
        <v>14</v>
      </c>
      <c r="G609" s="20">
        <f>44/12*G610*(1+G611)*SUM((G616*G617))</f>
        <v>7.333333333333333</v>
      </c>
    </row>
    <row r="610" spans="1:7" outlineLevel="5" collapsed="1">
      <c r="A610" s="20" t="s">
        <v>11</v>
      </c>
      <c r="B610" s="20" t="s">
        <v>82</v>
      </c>
      <c r="C610" s="20" t="s">
        <v>47</v>
      </c>
      <c r="D610" s="20"/>
      <c r="E610" s="20" t="s">
        <v>531</v>
      </c>
      <c r="F610" s="20" t="s">
        <v>14</v>
      </c>
      <c r="G610" s="20">
        <v>1</v>
      </c>
    </row>
    <row r="611" spans="1:7" outlineLevel="5" collapsed="1">
      <c r="A611" s="20" t="s">
        <v>11</v>
      </c>
      <c r="B611" s="20" t="s">
        <v>82</v>
      </c>
      <c r="C611" s="20" t="s">
        <v>47</v>
      </c>
      <c r="D611" s="20"/>
      <c r="E611" s="20" t="s">
        <v>532</v>
      </c>
      <c r="F611" s="20" t="s">
        <v>14</v>
      </c>
      <c r="G611" s="20">
        <v>1</v>
      </c>
    </row>
    <row r="612" spans="1:7" outlineLevel="5">
      <c r="A612" s="22" t="s">
        <v>11</v>
      </c>
      <c r="B612" s="23" t="s">
        <v>533</v>
      </c>
      <c r="C612" s="22" t="s">
        <v>47</v>
      </c>
      <c r="D612" s="22"/>
      <c r="E612" s="22" t="s">
        <v>534</v>
      </c>
      <c r="F612" s="22" t="s">
        <v>11</v>
      </c>
      <c r="G612" s="22" t="s">
        <v>47</v>
      </c>
    </row>
    <row r="613" spans="1:7" ht="30" outlineLevel="6" collapsed="1">
      <c r="A613" s="20" t="s">
        <v>11</v>
      </c>
      <c r="B613" s="20" t="s">
        <v>82</v>
      </c>
      <c r="C613" s="20" t="s">
        <v>47</v>
      </c>
      <c r="D613" s="20"/>
      <c r="E613" s="20" t="s">
        <v>535</v>
      </c>
      <c r="F613" s="20" t="s">
        <v>14</v>
      </c>
      <c r="G613" s="20">
        <v>1</v>
      </c>
    </row>
    <row r="614" spans="1:7" ht="30" outlineLevel="6" collapsed="1">
      <c r="A614" s="20" t="s">
        <v>11</v>
      </c>
      <c r="B614" s="20" t="s">
        <v>82</v>
      </c>
      <c r="C614" s="20" t="s">
        <v>47</v>
      </c>
      <c r="D614" s="20"/>
      <c r="E614" s="20" t="s">
        <v>536</v>
      </c>
      <c r="F614" s="20" t="s">
        <v>14</v>
      </c>
      <c r="G614" s="20">
        <v>1</v>
      </c>
    </row>
    <row r="615" spans="1:7" ht="30" outlineLevel="6" collapsed="1">
      <c r="A615" s="20" t="s">
        <v>11</v>
      </c>
      <c r="B615" s="20" t="s">
        <v>82</v>
      </c>
      <c r="C615" s="20" t="s">
        <v>47</v>
      </c>
      <c r="D615" s="20"/>
      <c r="E615" s="20" t="s">
        <v>537</v>
      </c>
      <c r="F615" s="20" t="s">
        <v>14</v>
      </c>
      <c r="G615" s="20">
        <v>1</v>
      </c>
    </row>
    <row r="616" spans="1:7" ht="30" outlineLevel="6" collapsed="1">
      <c r="A616" s="20" t="s">
        <v>11</v>
      </c>
      <c r="B616" s="20" t="s">
        <v>82</v>
      </c>
      <c r="C616" s="20" t="s">
        <v>47</v>
      </c>
      <c r="D616" s="20"/>
      <c r="E616" s="20" t="s">
        <v>538</v>
      </c>
      <c r="F616" s="20" t="s">
        <v>14</v>
      </c>
      <c r="G616" s="20">
        <v>1</v>
      </c>
    </row>
    <row r="617" spans="1:7" ht="30" outlineLevel="6" collapsed="1">
      <c r="A617" s="20" t="s">
        <v>14</v>
      </c>
      <c r="B617" s="20" t="s">
        <v>82</v>
      </c>
      <c r="C617" s="20" t="s">
        <v>47</v>
      </c>
      <c r="D617" s="20" t="s">
        <v>399</v>
      </c>
      <c r="E617" s="20" t="s">
        <v>539</v>
      </c>
      <c r="F617" s="20" t="s">
        <v>14</v>
      </c>
      <c r="G617" s="20">
        <f>G613*G614*G615</f>
        <v>1</v>
      </c>
    </row>
    <row r="618" spans="1:7" ht="29.25" customHeight="1" outlineLevel="4">
      <c r="A618" s="18" t="s">
        <v>14</v>
      </c>
      <c r="B618" s="18" t="s">
        <v>82</v>
      </c>
      <c r="C618" s="10"/>
      <c r="D618" s="18" t="s">
        <v>399</v>
      </c>
      <c r="E618" s="18" t="s">
        <v>586</v>
      </c>
      <c r="F618" s="18" t="s">
        <v>14</v>
      </c>
      <c r="G618" s="18">
        <f>G609</f>
        <v>7.333333333333333</v>
      </c>
    </row>
    <row r="619" spans="1:7" ht="29.25" customHeight="1" outlineLevel="4">
      <c r="A619" s="18" t="s">
        <v>14</v>
      </c>
      <c r="B619" s="18" t="s">
        <v>82</v>
      </c>
      <c r="C619" s="10"/>
      <c r="D619" s="18" t="s">
        <v>399</v>
      </c>
      <c r="E619" s="18" t="s">
        <v>587</v>
      </c>
      <c r="F619" s="18" t="s">
        <v>14</v>
      </c>
      <c r="G619" s="18">
        <f>IF(AND(G594="Estimating change in carbon stock in shrubs between two points in time",G596="Yes"),0,IF(AND(G594="Estimating change in carbon stock in shrubs between two points in time"),G600,IF(AND(G594="Estimating change in carbon stock in shrubs in a year"),G604)))</f>
        <v>0</v>
      </c>
    </row>
    <row r="620" spans="1:7" ht="195">
      <c r="A620" s="3" t="s">
        <v>11</v>
      </c>
      <c r="B620" s="3" t="s">
        <v>17</v>
      </c>
      <c r="C620" s="10" t="s">
        <v>589</v>
      </c>
      <c r="D620" s="3"/>
      <c r="E620" s="3" t="s">
        <v>590</v>
      </c>
      <c r="F620" s="3"/>
      <c r="G620" s="3" t="s">
        <v>591</v>
      </c>
    </row>
    <row r="621" spans="1:7">
      <c r="A621" s="3" t="s">
        <v>14</v>
      </c>
      <c r="B621" s="9" t="s">
        <v>592</v>
      </c>
      <c r="C621" s="3"/>
      <c r="D621" s="3" t="b">
        <f>EXACT(G620,"d")</f>
        <v>1</v>
      </c>
      <c r="E621" s="3" t="s">
        <v>593</v>
      </c>
      <c r="F621" s="3" t="s">
        <v>14</v>
      </c>
      <c r="G621" s="3"/>
    </row>
    <row r="622" spans="1:7" ht="29.25" customHeight="1" outlineLevel="1">
      <c r="A622" s="3" t="s">
        <v>11</v>
      </c>
      <c r="B622" s="3" t="s">
        <v>82</v>
      </c>
      <c r="C622" s="3"/>
      <c r="D622" s="3"/>
      <c r="E622" s="3" t="s">
        <v>594</v>
      </c>
      <c r="F622" s="3" t="s">
        <v>14</v>
      </c>
      <c r="G622" s="3">
        <v>0</v>
      </c>
    </row>
    <row r="623" spans="1:7" outlineLevel="1">
      <c r="A623" s="3" t="s">
        <v>11</v>
      </c>
      <c r="B623" s="9" t="s">
        <v>595</v>
      </c>
      <c r="C623" s="3"/>
      <c r="D623" s="3"/>
      <c r="E623" s="3" t="s">
        <v>596</v>
      </c>
      <c r="F623" s="3" t="s">
        <v>11</v>
      </c>
      <c r="G623" s="3"/>
    </row>
    <row r="624" spans="1:7" outlineLevel="6">
      <c r="A624" s="4" t="s">
        <v>11</v>
      </c>
      <c r="B624" s="4" t="s">
        <v>82</v>
      </c>
      <c r="C624" s="5"/>
      <c r="D624" s="8"/>
      <c r="E624" s="4" t="s">
        <v>597</v>
      </c>
      <c r="F624" s="4" t="s">
        <v>14</v>
      </c>
      <c r="G624" s="4" t="s">
        <v>598</v>
      </c>
    </row>
    <row r="625" spans="1:8" ht="30" outlineLevel="6">
      <c r="A625" s="4" t="s">
        <v>11</v>
      </c>
      <c r="B625" s="4" t="s">
        <v>82</v>
      </c>
      <c r="C625" s="5"/>
      <c r="D625" s="8"/>
      <c r="E625" s="4" t="s">
        <v>599</v>
      </c>
      <c r="F625" s="4" t="s">
        <v>14</v>
      </c>
      <c r="G625" s="4">
        <v>10</v>
      </c>
    </row>
    <row r="626" spans="1:8" ht="45" outlineLevel="6">
      <c r="A626" s="4" t="s">
        <v>14</v>
      </c>
      <c r="B626" s="4" t="s">
        <v>82</v>
      </c>
      <c r="C626" s="5"/>
      <c r="D626" s="8"/>
      <c r="E626" s="4" t="s">
        <v>600</v>
      </c>
      <c r="F626" s="4" t="s">
        <v>14</v>
      </c>
      <c r="G626" s="4">
        <v>0.5</v>
      </c>
    </row>
    <row r="627" spans="1:8" outlineLevel="1">
      <c r="A627" s="3" t="s">
        <v>14</v>
      </c>
      <c r="B627" s="3" t="s">
        <v>82</v>
      </c>
      <c r="C627" s="3"/>
      <c r="D627" s="3" t="s">
        <v>48</v>
      </c>
      <c r="E627" s="3" t="s">
        <v>601</v>
      </c>
      <c r="F627" s="3" t="s">
        <v>14</v>
      </c>
      <c r="G627" s="3">
        <f>IF(G620="d",SUM((G625*G626*0.12*44/12)),0)</f>
        <v>2.1999999999999997</v>
      </c>
    </row>
    <row r="628" spans="1:8" ht="90">
      <c r="A628" s="3" t="s">
        <v>11</v>
      </c>
      <c r="B628" s="3" t="s">
        <v>17</v>
      </c>
      <c r="C628" s="3"/>
      <c r="D628" s="3"/>
      <c r="E628" s="3" t="s">
        <v>602</v>
      </c>
      <c r="F628" s="3" t="s">
        <v>14</v>
      </c>
      <c r="G628" s="3" t="s">
        <v>11</v>
      </c>
    </row>
    <row r="629" spans="1:8" collapsed="1">
      <c r="A629" s="3" t="s">
        <v>14</v>
      </c>
      <c r="B629" s="15" t="s">
        <v>639</v>
      </c>
      <c r="C629" s="3"/>
      <c r="D629" s="3" t="b">
        <f>EXACT(G628,"Yes")</f>
        <v>1</v>
      </c>
      <c r="E629" s="3" t="s">
        <v>640</v>
      </c>
      <c r="F629" s="3" t="s">
        <v>14</v>
      </c>
      <c r="G629" s="3"/>
    </row>
    <row r="630" spans="1:8" ht="30" hidden="1" outlineLevel="1">
      <c r="A630" s="3" t="s">
        <v>11</v>
      </c>
      <c r="B630" s="3" t="s">
        <v>82</v>
      </c>
      <c r="C630" s="3"/>
      <c r="D630" s="3"/>
      <c r="E630" s="3" t="s">
        <v>605</v>
      </c>
      <c r="F630" s="3" t="s">
        <v>14</v>
      </c>
      <c r="G630" s="3">
        <v>0.15</v>
      </c>
    </row>
    <row r="631" spans="1:8" ht="14.25" customHeight="1" collapsed="1">
      <c r="A631" s="3" t="s">
        <v>11</v>
      </c>
      <c r="B631" s="9" t="s">
        <v>606</v>
      </c>
      <c r="C631" s="3"/>
      <c r="D631" s="3"/>
      <c r="E631" s="3" t="s">
        <v>606</v>
      </c>
      <c r="F631" s="3" t="s">
        <v>14</v>
      </c>
      <c r="G631" s="3"/>
    </row>
    <row r="632" spans="1:8" ht="29.25" hidden="1" customHeight="1" outlineLevel="1">
      <c r="A632" s="3" t="s">
        <v>11</v>
      </c>
      <c r="B632" s="3" t="s">
        <v>82</v>
      </c>
      <c r="C632" s="3"/>
      <c r="D632" s="3"/>
      <c r="E632" s="3" t="s">
        <v>607</v>
      </c>
      <c r="F632" s="3" t="s">
        <v>14</v>
      </c>
      <c r="G632" s="3">
        <v>0.1</v>
      </c>
    </row>
    <row r="633" spans="1:8" ht="30" hidden="1" outlineLevel="1">
      <c r="A633" s="3" t="s">
        <v>11</v>
      </c>
      <c r="B633" s="3" t="s">
        <v>82</v>
      </c>
      <c r="C633" s="3"/>
      <c r="D633" s="3"/>
      <c r="E633" s="3" t="s">
        <v>608</v>
      </c>
      <c r="F633" s="3" t="s">
        <v>14</v>
      </c>
      <c r="G633" s="3">
        <v>0.08</v>
      </c>
      <c r="H633" t="s">
        <v>401</v>
      </c>
    </row>
    <row r="634" spans="1:8" ht="30" hidden="1" outlineLevel="1">
      <c r="A634" s="3" t="s">
        <v>11</v>
      </c>
      <c r="B634" s="3" t="s">
        <v>82</v>
      </c>
      <c r="C634" s="3"/>
      <c r="D634" s="3"/>
      <c r="E634" s="3" t="s">
        <v>609</v>
      </c>
      <c r="F634" s="3" t="s">
        <v>14</v>
      </c>
      <c r="G634" s="3">
        <v>0.15</v>
      </c>
      <c r="H634" t="s">
        <v>401</v>
      </c>
    </row>
    <row r="635" spans="1:8">
      <c r="A635" s="3" t="s">
        <v>14</v>
      </c>
      <c r="B635" s="3" t="s">
        <v>82</v>
      </c>
      <c r="C635" s="3"/>
      <c r="D635" s="3" t="s">
        <v>48</v>
      </c>
      <c r="E635" s="3" t="s">
        <v>610</v>
      </c>
      <c r="F635" s="3" t="s">
        <v>14</v>
      </c>
      <c r="G635" s="3" t="e">
        <f>IF(AND(#REF!="Approach 1"),(G68*(1-G632*G70)+#REF!+#REF!),IF(AND(#REF!="Approach 2"),(G99*(1-G632*G101)+#REF!+#REF!)))</f>
        <v>#REF!</v>
      </c>
    </row>
    <row r="636" spans="1:8">
      <c r="A636" s="3" t="s">
        <v>14</v>
      </c>
      <c r="B636" s="3" t="s">
        <v>82</v>
      </c>
      <c r="C636" s="3"/>
      <c r="D636" s="3" t="s">
        <v>48</v>
      </c>
      <c r="E636" s="3" t="s">
        <v>611</v>
      </c>
      <c r="F636" s="3" t="s">
        <v>14</v>
      </c>
      <c r="G636" s="3" t="e">
        <f>IF(AND(#REF!="Approach 1"),(G69*(1-G632*G70)+#REF!+#REF!),IF(AND(#REF!="Approach 2"),(G100*(1-G632*G101)+#REF!+#REF!)))</f>
        <v>#REF!</v>
      </c>
    </row>
  </sheetData>
  <mergeCells count="3">
    <mergeCell ref="A1:G1"/>
    <mergeCell ref="B2:G2"/>
    <mergeCell ref="B3:G3"/>
  </mergeCells>
  <dataValidations count="4">
    <dataValidation allowBlank="1" showInputMessage="1" showErrorMessage="1" sqref="G38:G39 G78:G87 G73:G74 G90:G98 G43:G54 G57:G67" xr:uid="{B55573C8-0063-48EF-8566-798216951ECF}"/>
    <dataValidation type="list" allowBlank="1" showInputMessage="1" showErrorMessage="1" sqref="A21 F102 A102 A90:A98 A163 F90:F98 A170:A184 A165:A168 F78:F87 A78:A87 A209:A213 A239:A245 A116:A122 A248:A256 A259:A273 A292:A306 A287:A290 A276:A284 A331:A335 F340:F349 A231:A237 A340:A349 A188:A192 A310:A314 A38:A39 F38:F39 A32:A34 A17:A19 A12:A14 F12:F14 F17:F19 F21 A27:A29 F27:F29 F32:F34 F57:F67 A73:A74 F73:F74 A108:A114 F43:F54 A43:A54 A57:A67 A5:A6 F5:F6 A125:A133 A136:A150 A153:A161 A218:A227 G420:G425 G549:G554" xr:uid="{B6B4BAB4-52D8-418D-A216-0F24E84744EA}">
      <formula1>"Yes,No"</formula1>
    </dataValidation>
    <dataValidation type="list" allowBlank="1" showInputMessage="1" showErrorMessage="1" sqref="B3:G3" xr:uid="{3442146C-6F33-4073-A11C-DAF04464CF85}">
      <formula1>"Verifiable Credentials,Encrypted Verifiable Credential,Sub-Schema"</formula1>
    </dataValidation>
    <dataValidation type="list" allowBlank="1" sqref="G368 G476 G506 G599 G596" xr:uid="{9F072431-1864-46C6-9AC3-B55C2E6DC35D}">
      <formula1>"Yes,No"</formula1>
    </dataValidation>
  </dataValidations>
  <hyperlinks>
    <hyperlink ref="B108" location="CO2_FF_Baseline_Data_ByType!A1" display="CO2_FF_Baseline_Data_ByType" xr:uid="{6D5D8C21-4C19-4C4F-8D81-0E35BA2731F2}"/>
    <hyperlink ref="B124" location="Livestock_Data_ByType_Base!A1" display="Livestock_Data_ByType_Base" xr:uid="{13B72D4B-F3DA-4051-AF48-6C49097A0B18}"/>
    <hyperlink ref="B135" location="CH4_Manure_Data_ByType_Baseline!A1" display="CH4_Manure_Data_ByType_Baseline" xr:uid="{26829FD4-61E9-484C-B8DD-B749B7A00C8D}"/>
    <hyperlink ref="B152" location="CH4_BiomassData_ByType_Baseline!A1" display="CH4_BiomassData_ByType_Baseline" xr:uid="{801A2BF8-C943-4EB7-BC5A-4D343079BFF7}"/>
    <hyperlink ref="B164" location="SyntheticFertilizer_Data_Baseli!A1" display="SyntheticFertilizer_Data_Baseli" xr:uid="{AF5BA034-DB0D-4E32-BEB5-C96FF19A2D76}"/>
    <hyperlink ref="B169" location="OrganicFertilizer_Data_Baseline!A1" display="OrganicFertilizer_Data_Baseline" xr:uid="{6E461846-19EC-4390-B174-9C597B625A51}"/>
    <hyperlink ref="B208" location="NFixingSpecies_Data_Baseline!A1" display="NFixingSpecies_Data_Baseline" xr:uid="{BA3CCF6E-39A1-45C2-A383-5DA20BD0854D}"/>
    <hyperlink ref="B217" location="N2O_BiomassData_ByType_Baseline!A1" display="N2O_BiomassData_ByType_Baseline" xr:uid="{3D673FFE-0C65-4445-83A7-C1E8DC9DB9AD}"/>
    <hyperlink ref="B107" location="CO2_FossilFuel_Baseline!A1" display="CO2_FossilFuel_Baseline" xr:uid="{E6B4EF43-F108-486B-BD88-2402CB869D9A}"/>
    <hyperlink ref="B115" location="CO2_Liming_Baseline!A1" display="CO2_Liming_Baseline" xr:uid="{F71D3647-58AD-45F5-8624-90C0E0DD931A}"/>
    <hyperlink ref="B123" location="CH4_Enteric_Baseline!A1" display="CH4_Enteric_Baseline" xr:uid="{FC306061-27A2-4A87-AFEC-1302F7B5F256}"/>
    <hyperlink ref="B134" location="CH4_Manure_Baseline!A1" display="CH4_Manure_Baseline" xr:uid="{D830758C-3E40-45C8-A6D4-633274266BB2}"/>
    <hyperlink ref="B151" location="CH4_Biomass_Baseline!A1" display="CH4_Biomass_Baseline" xr:uid="{FAAEE232-27F3-4367-A148-E5CDEF418262}"/>
    <hyperlink ref="B162" location="N2O_NFert_Baseline!A1" display="N2O_NFert_Baseline" xr:uid="{1A2FBFDC-14A7-4D7C-8632-E8AAB4EBF25E}"/>
    <hyperlink ref="B207" location="N2O_NFixing_Baseline!A1" display="N2O_NFixing_Baseline" xr:uid="{0F123B08-6E79-426D-8201-510A78D21D52}"/>
    <hyperlink ref="B216" location="N2O_Biomass_Baseline!A1" display="N2O_Biomass_Baseline" xr:uid="{DF2FA2E4-43BC-4715-8AA0-0FEBDF9A99AB}"/>
    <hyperlink ref="B106" location="QA3_DefaultFactors_Baseline!A1" display="QA3_DefaultFactors_Baseline" xr:uid="{37350A21-22CE-4E49-BA3E-94244EEEF3C4}"/>
    <hyperlink ref="B231" location="CO2_FF_Project_Data_ByType!A1" display="CO2_FF_Project_Data_ByType" xr:uid="{7EB128A0-D975-4031-8BDE-2BB74CEB9C14}"/>
    <hyperlink ref="B247" location="Livestock_Data_ByType_Project!A1" display="Livestock_Data_ByType_Project" xr:uid="{3FF042B9-989B-4266-AA4C-00C939602ECB}"/>
    <hyperlink ref="B258" location="CH4_Manure_Data_ByType_Project!A1" display="CH4_Manure_Data_ByType_Project" xr:uid="{A62775F0-5A03-4A31-A3BC-84D47A597FDE}"/>
    <hyperlink ref="B275" location="CH4_BiomassData_ByType_Project!A1" display="CH4_BiomassData_ByType_Project" xr:uid="{9A81236D-DD54-4B8B-9FC0-D63B73D18B37}"/>
    <hyperlink ref="B330" location="NFixingSpecies_Data_Project!A1" display="NFixingSpecies_Data_Project" xr:uid="{3F937CE7-ABB3-4ED4-AD06-BFDBDF8DE6E0}"/>
    <hyperlink ref="B339" location="N2O_BiomassData_ByType_Project!A1" display="N2O_BiomassData_ByType_Project" xr:uid="{CF1991DF-37A5-4CD1-AB82-504CA3940F3D}"/>
    <hyperlink ref="B230" location="CO2_FossilFuel_Project!A1" display="CO2_FossilFuel_Project" xr:uid="{CDABE697-C19A-461E-A293-E799EAE76772}"/>
    <hyperlink ref="B238" location="CO2_Liming_Project!A1" display="CO2_Liming_Project" xr:uid="{595ED567-8350-49A0-84AA-AC3BA354DB71}"/>
    <hyperlink ref="B246" location="CH4_Enteric_Project!A1" display="CH4_Enteric_Project" xr:uid="{37EB4F46-6BC2-4B06-952F-4830107CF550}"/>
    <hyperlink ref="B257" location="CH4_Manure_Project!A1" display="CH4_Manure_Project" xr:uid="{C7B2B8C7-003D-48DC-BE94-8231E524400D}"/>
    <hyperlink ref="B274" location="CH4_Biomass_Project!A1" display="CH4_Biomass_Project" xr:uid="{69F2CFB5-EC04-4E32-983A-61B45EE43335}"/>
    <hyperlink ref="B285" location="N2O_NFert_Project!A1" display="N2O_NFert_Project" xr:uid="{452AC2CF-CE3E-47CF-9004-C8B51F0DD815}"/>
    <hyperlink ref="B308" location="N2O_Manure_Project!A1" display="N2O_Manure_Project" xr:uid="{04B00CA1-DC16-4297-9891-667AACA94FA8}"/>
    <hyperlink ref="B329" location="N2O_NFixing_Project!A1" display="N2O_NFixing_Project" xr:uid="{85669D0B-710F-4CCA-8AAE-3FF882C1EDD9}"/>
    <hyperlink ref="B338" location="N2O_Biomass_Project!A1" display="N2O_Biomass_Project" xr:uid="{4846EB40-F30E-484F-9E62-C7EA3F834E30}"/>
    <hyperlink ref="B286" location="SyntheticFertilizer_Data_Projec!A1" display="SyntheticFertilizer_Data_Projec" xr:uid="{62AC53E9-94AB-4EA9-8EDD-E6C38A35C187}"/>
    <hyperlink ref="B291" location="OrganicFertilizer_Data_Project!A1" display="OrganicFertilizer_Data_Project" xr:uid="{33624D45-6C45-42E1-BEFE-C6C25DFEDEFB}"/>
    <hyperlink ref="B229" location="QA3_DefaultFactors_Project!A1" display="QA3_DefaultFactors_Project" xr:uid="{A0930046-67C6-4E5C-AB6F-B87C824019CD}"/>
    <hyperlink ref="B227" location="NitrousOxide_SoilInputs_Baselin!A1" display="NitrousOxide_SoilInputs_Baselin" xr:uid="{D6C69950-7168-44E3-B946-BC755E4BFD8D}"/>
    <hyperlink ref="B349" location="NitrousOxide_SoilInputs_Project!A1" display="NitrousOxide_SoilInputs_Project" xr:uid="{22FB005B-95A8-4F49-8E8C-2167258F3DD7}"/>
    <hyperlink ref="B187" location="N2O_ManureData_ByType_Baseline!A1" display="N2O_ManureData_ByType_Baseline" xr:uid="{85B17507-8029-4490-95C1-030F2288ACB6}"/>
    <hyperlink ref="B186" location="N2O_Manure_Baseline!A1" display="N2O_Manure_Baseline" xr:uid="{6EC09332-5676-4690-96D0-FCD61E20FE60}"/>
    <hyperlink ref="B309" location="N2O_ManureData_ByType_Project!A1" display="N2O_ManureData_ByType_Project" xr:uid="{C6D3AE3E-6962-458A-89CF-BEDF7CA2CCB3}"/>
    <hyperlink ref="B103" location="QA3_DefaultFactors_ERs_Unit_i!A1" display="QA3_DefaultFactors_ERs_Unit_i" xr:uid="{98381A7A-C5B7-4275-B60C-33081F826809}"/>
    <hyperlink ref="B102" location="QA3_DefaultFactors_ERs!A1" display="QA3_DefaultFactors_ERs" xr:uid="{96F55876-8D00-484D-BDAB-5BCA14EA6920}"/>
    <hyperlink ref="B42" location="QA1_CO2_SOC_Input_Year_t!A1" display="QA1_CO2_SOC_Input_Year_t" xr:uid="{F0EEABA8-5448-4F4D-A7CB-A97D3824CF09}"/>
    <hyperlink ref="B45" location="QA1_CO2_SOC_Input_Stratum_ID!A1" display="QA1_CO2_SOC_Input_Stratum_ID" xr:uid="{157231E2-1C8C-410E-BFF8-067FE6F8BA19}"/>
    <hyperlink ref="B56" location="QA1_CO2_SOC_Input_Year_t!A1" display="QA1_CO2_SOC_Input_Year_t" xr:uid="{3791948C-8D89-466D-A553-97523D11410B}"/>
    <hyperlink ref="B59" location="QA1_CO2_SOC_Input_Stratum_ID!A1" display="QA1_CO2_SOC_Input_Stratum_ID" xr:uid="{7F10C06D-0D4B-421F-ABB6-948D75AD07E4}"/>
    <hyperlink ref="B54" location="QA1_CO2_SOC_Project!A1" display="QA1_CO2_SOC_Project" xr:uid="{0DECDA5D-8EE4-42F7-A133-DF25232A93E9}"/>
    <hyperlink ref="B40" location="QA1_CO2_SOC_Baseline!A1" display="QA1_CO2_SOC_Baseline" xr:uid="{1F855F53-D833-4EFA-A458-768F64884AC4}"/>
    <hyperlink ref="B37" location="QA1_CO2_SOC_ERs_Unit_i!A1" display="QA1_CO2_SOC_ERs_Unit_i" xr:uid="{F94C833F-9E4F-4809-B665-ADC08D0C6FB4}"/>
    <hyperlink ref="B36" location="QA1_CO2_SOC_ERs!A1" display="QA1_CO2_SOC_ERs" xr:uid="{B3864AA7-EA13-40D8-A496-232D856D26D2}"/>
    <hyperlink ref="B21" location="QA1_N2O_ERs!A1" display="QA1_N2O_ERs" xr:uid="{97CB9E5C-1726-4391-B74F-3C459612E201}"/>
    <hyperlink ref="B6" location="QA1_CH4_ERs!A1" display="QA1_CH4_ERs" xr:uid="{F3EFB844-3EEB-4CA7-BC1C-2B126353BF78}"/>
    <hyperlink ref="B7" location="QA1_Measure_Model_ERs_Unit_i!A1" display="QA1_Measure_Model_ERs_Unit_i" xr:uid="{2793688F-18D4-4C58-88C8-8505D391887E}"/>
    <hyperlink ref="B11" location="QA1_CH4_Soil_Methan_Baselin!A1" display="QA1_CH4_Soil_Methan_Baselin" xr:uid="{A9374B0A-BBD2-4B4E-B537-B43D50D50AAE}"/>
    <hyperlink ref="B10" location="QA1_Measure_Model_Baseline!A1" display="QA1_Measure_Model_Baseline" xr:uid="{1ED8FAFC-CABC-455B-91D8-963A64E1FAEF}"/>
    <hyperlink ref="B15" location="QA1_Measure_Model_Project!A1" display="QA1_Measure_Model_Project" xr:uid="{3104CB84-E9FF-4182-BCAB-9B850FF5335C}"/>
    <hyperlink ref="B16" location="QA1_CH4_Soil_Methan_Project!A1" display="QA1_CH4_Soil_Methan_Project" xr:uid="{6C24AA6C-F008-4C65-AF96-2CC05A8F5AEE}"/>
    <hyperlink ref="B26" location="QA1_N2O_Fertilizers_NFixing_Bas!A1" display="QA1_N2O_Fertilizers_NFixing_Bas" xr:uid="{4E8655DF-18D0-41B2-999D-2C209D873C55}"/>
    <hyperlink ref="B31" location="QA1_N2O_Fertilizers_NFixing_Pro!A1" display="QA1_N2O_Fertilizers_NFixing_Pro" xr:uid="{7AEE1D40-93E2-4147-B7DE-6B3F68CCFD67}"/>
    <hyperlink ref="B22" location="QA1_N2O_ERs_Unit_i!A1" display="QA1_N2O_ERs_Unit_i" xr:uid="{3FC161D7-BD7C-4F64-95C7-EC72E8B09794}"/>
    <hyperlink ref="B25" location="QA1_N2O_Baseline!A1" display="QA1_N2O_Baseline" xr:uid="{3BCBCA6D-E82C-49B3-B3BF-F6CAFC109843}"/>
    <hyperlink ref="B30" location="QA1_N2O_Project!A1" display="QA1_N2O_Project" xr:uid="{AA0990E9-6A0C-48F4-9014-21BC1A150D53}"/>
    <hyperlink ref="B72" location="QA2_CO2_SOC_ERs_Unit_i!A1" display="QA2_CO2_SOC_ERs_Unit_i" xr:uid="{05A2C19F-5866-4C1D-9641-CB7654FF8545}"/>
    <hyperlink ref="B75" location="QA2_CO2_SOC_Baseline!A1" display="QA2_CO2_SOC_Baseline" xr:uid="{50562ADF-6C47-4D9F-AE26-363207368D01}"/>
    <hyperlink ref="B77" location="QA2_CO2_SOC_Input_Year_t!A1" display="QA2_CO2_SOC_Input_Year_t" xr:uid="{20A98041-81D5-49A3-8ED2-7A6B4739A39C}"/>
    <hyperlink ref="B80" location="QA2_CO2_SOC_Input_Stratum!A1" display="QA2_CO2_SOC_Input_Stratum" xr:uid="{21D19C14-C7B2-4708-811A-4E66C57EEE4E}"/>
    <hyperlink ref="B87" location="QA2_CO2_SOC_Project!A1" display="QA2_CO2_SOC_Project" xr:uid="{661771EA-A86E-4E9A-A7AF-EAA06A7836D3}"/>
    <hyperlink ref="B89" location="QA2_CO2_SOC_Input_Year_t!A1" display="QA2_CO2_SOC_Input_Year_t" xr:uid="{2EF376C7-1900-4119-A53C-24DFD317634C}"/>
    <hyperlink ref="B92" location="QA2_CO2_SOC_Input_Stratum!A1" display="QA2_CO2_SOC_Input_Stratum" xr:uid="{0BE37103-8992-45FE-9D12-064360589DAD}"/>
    <hyperlink ref="B71" location="QA2_CO2_SOC_ERs!A1" display="QA2_CO2_SOC_ERs" xr:uid="{CBDE68F8-D13E-4F1B-9C61-7CE6FA575C5D}"/>
    <hyperlink ref="B357" location="CO2_Woody_Biomass_CDM!A1" display="CO2_Woody_Biomass_CDM" xr:uid="{5BF3D200-A7D1-4B55-8126-AA9FD658AA6E}"/>
    <hyperlink ref="B631" location="Uncertainty!A1" display="Uncertainty" xr:uid="{984598B4-3FA3-4D04-9F1C-11EB1EADEF4C}"/>
    <hyperlink ref="B623" location="Leakage_Organic_Amendment_by_Tp!A1" display="Leakage_Organic_Amendment_by_Tp" xr:uid="{62F204B4-1E26-4EBF-8865-6C3B7FB72C10}"/>
    <hyperlink ref="B621" location="Leakage_Organic_Amendments!A1" display="Leakage_Organic_Amendments" xr:uid="{286EA044-A338-4F3C-B1D8-0DE697087EEF}"/>
    <hyperlink ref="C620" location="'Leakage Org Amend (enum)'!A1" display="'Leakage Org Amend (enum)" xr:uid="{4BCFAAA0-4E7B-440E-B8F1-46C4C6DA6A8D}"/>
    <hyperlink ref="B358" location="CO2_Woody_Biomass_Unit_i!A1" display="CO2_Woody_Biomass_Unit_i" xr:uid="{7BE00CB5-3FDF-4B4A-AA71-C131FFA22C75}"/>
    <hyperlink ref="B362" location="'AR Tool 14 Baseline'!A1" display="'AR Tool 14 Baseline" xr:uid="{31211856-6449-4F0E-BC01-C7805AC08FD9}"/>
    <hyperlink ref="B500" location="'AR Tool 14 Project'!A1" display="'AR Tool 14 Project" xr:uid="{50018AD9-DD78-4321-8C51-A592EB1B8124}"/>
    <hyperlink ref="C365" location="#'Which method did you us (enum)'!A3" display="Which method did you us (enum)" xr:uid="{8BE9CE1B-A568-47E4-94FC-BA91633D7334}"/>
    <hyperlink ref="C407" location="#'Which method did you 1 (enum)'!A3" display="Which method did you 1 (enum)" xr:uid="{D39A9F45-E261-475D-824F-7F020BEB0CA9}"/>
    <hyperlink ref="C436" location="#'Which sampling design w (enum)'!A3" display="Which sampling design w (enum)" xr:uid="{B4EA74CC-1788-4366-A6D7-64AB3D148FFF}"/>
    <hyperlink ref="B366" location="'Tree Demonstration of “no-d'!A1" display="'Tree Demonstration of “no-d" xr:uid="{ABADA549-23F7-4E95-AB30-C48026621248}"/>
    <hyperlink ref="B369" location="'BSL-Estimation by proportionate'!A1" display="'BSL-Estimation by proportionate" xr:uid="{54B9C377-7B7C-4958-AF2B-9DBDD9D786AE}"/>
    <hyperlink ref="B371" location="'Mean annual change in carbon st'!A1" display="'Mean annual change in carbon st" xr:uid="{C2043D05-43B8-47F6-91DE-4C22D1560844}"/>
    <hyperlink ref="B378" location="'Direct Estimating Changes via S'!A1" display="'Direct Estimating Changes via S" xr:uid="{7D58ECC8-2ADC-49B9-A3DD-367100DAE402}"/>
    <hyperlink ref="B386" location="'Mean Change In Tree Biomass Per'!A1" display="'Mean Change In Tree Biomass Per" xr:uid="{46E1466A-A23B-4A42-A3C7-847BAF2F0BD3}"/>
    <hyperlink ref="B391" location="'Change in Tree Biomass per Hect'!A1" display="'Change in Tree Biomass per Hect" xr:uid="{43E537C5-95F8-4501-8248-6B086293A1D3}"/>
    <hyperlink ref="B393" location="'Difference of Two Independent S'!A1" display="'Difference of Two Independent S" xr:uid="{0F76C4D0-6904-43E3-9268-7996EAB64396}"/>
    <hyperlink ref="B401" location="'BSL-Estimating change in carbon'!A1" display="'BSL-Estimating change in carbon" xr:uid="{2E34835E-7CC2-4238-B6D6-4C843630E185}"/>
    <hyperlink ref="B406" location="'BSL-Determination of Estimating'!A1" display="'BSL-Determination of Estimating" xr:uid="{D8E6CF99-E51E-46C4-BDE7-259AD8FC1207}"/>
    <hyperlink ref="B408" location="'BSL-Updating the previous stock'!A1" display="'BSL-Updating the previous stock" xr:uid="{EB63FD22-D2E0-4E44-A05D-EFC802A87925}"/>
    <hyperlink ref="B415" location="'BSL-Estimation by modelling of '!A1" display="'BSL-Estimation by modelling of" xr:uid="{BB72D428-3402-475A-B382-90CC4E4D2253}"/>
    <hyperlink ref="B422" location="'BSL-Carbon stock in trees at a '!A1" display="'BSL-Carbon stock in trees at a" xr:uid="{C7957C90-21BC-4AA5-8AE1-2B898C505541}"/>
    <hyperlink ref="B426" location="'BSL-Estimation by proportiona'!A1" display="'BSL-Estimation by proportiona" xr:uid="{93D20B3C-4F25-4D2C-8048-F7DC1434CDA3}"/>
    <hyperlink ref="B428" location="'BSL-Mean annual change in carbo'!A1" display="'BSL-Mean annual change in carbo" xr:uid="{55D8490D-DED0-4913-89C1-12628940938B}"/>
    <hyperlink ref="B435" location="'Measurement of sample plots'!A1" display="'Measurement of sample plots" xr:uid="{DFC840A3-AB44-4EAC-853A-BB4930D220C6}"/>
    <hyperlink ref="B437" location="'Stratified random sampling'!A1" display="'Stratified random sampling" xr:uid="{49A594A7-7E3F-476E-9825-6466E1EC5BD7}"/>
    <hyperlink ref="B445" location="'Mean tree biomass per hectare w'!A1" display="'Mean tree biomass per hectare w" xr:uid="{F5F47BC3-39A1-44DD-9760-550130F6BADF}"/>
    <hyperlink ref="B450" location="'Tree Biomass per Hectare in Plo'!A1" display="'Tree Biomass per Hectare in Plo" xr:uid="{DA8A3644-5BDE-4971-BF25-E52BA60A77A9}"/>
    <hyperlink ref="B452" location="'Double sampling'!A1" display="'Double sampling" xr:uid="{1CAD89A3-1F23-45B5-A5C1-83C50C0D7374}"/>
    <hyperlink ref="B460" location="'Double Mean tree biomass per he'!A1" display="'Double Mean tree biomass per he" xr:uid="{2BAA611A-2F46-448C-A6E5-1DE71C98365F}"/>
    <hyperlink ref="B469" location="'Tree Biomass per Hectare in Plo'!A1" display="'Tree Biomass per Hectare in Plo" xr:uid="{9A74376F-4B0B-42B5-BD70-089475E1EF7A}"/>
    <hyperlink ref="B475" location="'BSL-Estimating Shrub Carbon Sto'!A1" display="'BSL-Estimating Shrub Carbon Sto" xr:uid="{0B25D83C-ACCD-4F13-A76B-C60793ED7BD7}"/>
    <hyperlink ref="B483" location="'BSL-Estimating change in carb'!A1" display="'BSL-Estimating change in carb" xr:uid="{7FCBE4EE-2266-4726-A668-9BCC0DB49D7B}"/>
    <hyperlink ref="B488" location="'BSL-Estimating carbon stock in '!A1" display="'BSL-Estimating carbon stock in" xr:uid="{1EAFEECF-7682-4EE9-9A46-1EE8D3576209}"/>
    <hyperlink ref="B492" location="'Shrub biomass per hectare in sh'!A1" display="'Shrub biomass per hectare in sh" xr:uid="{E0494B0A-26B6-46CF-9990-A5AF6A250818}"/>
    <hyperlink ref="B364" location="'BSL-Estimating change in car'!A1" display="'BSL-Estimating change in car" xr:uid="{31E79B45-AF51-476F-B214-76F59DC5ACFD}"/>
    <hyperlink ref="C363" location="'Which method did you u (enum)'!A1" display="'Which method did you u (enum)" xr:uid="{CE93889D-D353-4CF1-A2CD-685D2961BF45}"/>
    <hyperlink ref="C474" location="'Which method did you (enum)'!A1" display="'Which method did you (enum)" xr:uid="{E00EA730-5EDF-4F99-A9CE-B5C496EB543F}"/>
    <hyperlink ref="C476" location="'Will you be applying the (enum)'!A1" display="'Will you be applying the (enum)" xr:uid="{00348A7C-7B32-47FE-8CFD-2FB748EE4A44}"/>
    <hyperlink ref="B477" location="'Shrub Demonstration of “n'!A1" display="'Shrub Demonstration of “n" xr:uid="{73736B8B-0F48-478E-94BF-4023DC8E629F}"/>
    <hyperlink ref="C479" location="'If all three conditi (enum)'!A1" display="'If all three conditi (enum)" xr:uid="{40627FE7-CEDC-4549-9871-8B348F852281}"/>
    <hyperlink ref="C556" location="#'Which sampling design w (enum)'!A3" display="Which sampling design w (enum)" xr:uid="{46A1CEBF-0755-4FEC-B9E5-AE2FD5693CA2}"/>
    <hyperlink ref="C536" location="'Which method did you 2 (enum)'!A1" display="'Which method did you 2 (enum)" xr:uid="{C496F1EC-6475-4681-956E-3E0735BA9B89}"/>
    <hyperlink ref="B507" location="'Direct Estimating Changes via S'!A1" display="'Direct Estimating Changes via S" xr:uid="{C9D7AF73-5F15-4443-A680-8D447335C3BB}"/>
    <hyperlink ref="B515" location="'Mean Change In Tree Biomass Per'!A1" display="'Mean Change In Tree Biomass Per" xr:uid="{7094CDFF-A18C-4DCF-B867-F978A7193929}"/>
    <hyperlink ref="B520" location="'Change in Tree Biomass per Hect'!A1" display="'Change in Tree Biomass per Hect" xr:uid="{4318FFBB-6083-4173-8F82-D934872F3B77}"/>
    <hyperlink ref="B522" location="'Difference of Two Independent S'!A1" display="'Difference of Two Independent S" xr:uid="{93E9DB1F-ECC1-4B30-A295-0BA66E54A359}"/>
    <hyperlink ref="B551" location="'Proj-Carbon stock in trees at a'!A1" display="'Proj-Carbon stock in trees at a" xr:uid="{6EA8EE4B-8ADD-4204-9F05-B196627DE0DC}"/>
    <hyperlink ref="B544" location="'Proj-Estimation by modelling of'!A1" display="'Proj-Estimation by modelling of" xr:uid="{CBF4FAF1-5BBA-41B9-AF04-DD61CB889154}"/>
    <hyperlink ref="B555" location="'Measurement of sample plots'!A1" display="'Measurement of sample plots" xr:uid="{99E9F8CD-D010-4DCD-9936-97BAF3B4308E}"/>
    <hyperlink ref="B557" location="'Stratified random sampling'!A1" display="'Stratified random sampling" xr:uid="{24261557-665D-49E8-993E-40DAA3A69DE0}"/>
    <hyperlink ref="B565" location="'Mean tree biomass per hectare w'!A1" display="'Mean tree biomass per hectare w" xr:uid="{101E8FC8-08F8-4DE9-BAEE-1183F2146DC5}"/>
    <hyperlink ref="B570" location="'Tree Biomass per Hectare in Plo'!A1" display="'Tree Biomass per Hectare in Plo" xr:uid="{185E4F58-A0AC-423E-9D0A-E12765BC7583}"/>
    <hyperlink ref="B572" location="'Double sampling'!A1" display="'Double sampling" xr:uid="{9D3E83B4-3E36-407E-B2F5-F098879327AB}"/>
    <hyperlink ref="B580" location="'Double Mean tree biomass per he'!A1" display="'Double Mean tree biomass per he" xr:uid="{09C7ABCC-596D-42AF-90A8-363A7E0089BC}"/>
    <hyperlink ref="B589" location="'Tree Biomass per Hectare in Plo'!A1" display="'Tree Biomass per Hectare in Plo" xr:uid="{585A836B-4B17-45C6-8A81-87756B35A836}"/>
    <hyperlink ref="B537" location="'Proj-Updating the previous stoc'!A1" display="'Proj-Updating the previous stoc" xr:uid="{BD23BCA9-2355-4FCD-8666-2386094B269B}"/>
    <hyperlink ref="B535" location="'Proj-Determination of Estimatin'!A1" display="'Proj-Determination of Estimatin" xr:uid="{F0D56626-4AE0-401F-855A-4473F0F6C399}"/>
    <hyperlink ref="B595" location="'Proj-Estimating Shrub Carbon St'!A1" display="'Proj-Estimating Shrub Carbon St" xr:uid="{0251ED7C-AEB8-4DDA-8C2D-F9A1F9AA5DB9}"/>
    <hyperlink ref="B603" location="'Proj-Estimating change in carbo'!A1" display="'Proj-Estimating change in carbo" xr:uid="{CF73E428-E8E5-410D-9396-545939041955}"/>
    <hyperlink ref="B608" location="'Proj-Estimating carbon stock in'!A1" display="'Proj-Estimating carbon stock in" xr:uid="{9C57594E-1E62-4002-AD85-DC64E1B192CA}"/>
    <hyperlink ref="B612" location="'Shrub biomass per hectare in sh'!A1" display="'Shrub biomass per hectare in sh" xr:uid="{BCE57AF5-58F0-4E7A-B720-1BA91B69CA92}"/>
    <hyperlink ref="B504" location="'Tree Demonstration of “no-d'!A1" display="'Tree Demonstration of “no-d" xr:uid="{E93C1593-7D06-452B-BFB1-847CD616D4E8}"/>
    <hyperlink ref="C503" location="'Which method did yous (enum)'!A1" display="'Which method did yous (enum)" xr:uid="{5633D0C8-1617-4530-93B3-0ACF4E111329}"/>
    <hyperlink ref="B502" location="'PROJ-Estimating change in car'!A1" display="'PROJ-Estimating change in car" xr:uid="{3D727122-BFB1-4C0C-ABA3-0FEAF0B7D078}"/>
    <hyperlink ref="B597" location="'Shrub Demonstration of “n'!A1" display="'Shrub Demonstration of “n" xr:uid="{25EE9D74-B982-4460-A990-626E62DFEAE1}"/>
    <hyperlink ref="C501" location="'Which method did you pro(enum)'!A1" display="'Which method did you pro(enum)" xr:uid="{0EA389D7-D662-494C-A84A-157FFFAF6C31}"/>
    <hyperlink ref="B530" location="'Proj-Estimating Change in Carb'!A1" display="'Proj-Estimating Change in Carb" xr:uid="{6ED31D68-13C4-4170-9477-E5BF71B9C549}"/>
    <hyperlink ref="C594" location="'Which method did  pro (enum)'!A1" display="'Which method did  pro (enum)" xr:uid="{BC79EB24-39C6-4329-9284-81946FC2CC90}"/>
    <hyperlink ref="C596" location="'Will you be applying  pr (enum)'!A1" display="'Will you be applying  pr (enum)" xr:uid="{C4297123-779E-4E22-9AAD-F18A4C2DD2B4}"/>
    <hyperlink ref="C549" location="'Does your project apply  (enum)'!A1" display="'Does your project apply  (enum)" xr:uid="{A2447672-F2E8-4702-8D1F-D323EE6A5806}"/>
    <hyperlink ref="C368" location="'If all three conditi tree(enum)'!A1" display="'If all three conditi tree(enum)" xr:uid="{36345176-30DD-452A-AE9B-5A5AA24C439E}"/>
    <hyperlink ref="C420" location="'Does your project apply b(enum)'!A1" display="'Does your project apply b(enum)" xr:uid="{57E45A5E-851B-438D-BD5D-88595AFC6669}"/>
    <hyperlink ref="C506" location="'If all three conditi tree(enum)'!A1" display="'If all three conditi tree(enum)" xr:uid="{177335A4-4EBD-4FA7-A332-19308EED9039}"/>
    <hyperlink ref="C599" location="'If all three conditi (enum)'!A1" display="'If all three conditi (enum)" xr:uid="{A3F3D0D2-23D6-457E-9B5A-0920E2522AC7}"/>
    <hyperlink ref="B361" location="'AR Tool 14'!A1" display="'AR Tool 14" xr:uid="{09E095EA-CA8B-4637-AF6E-2A152A16232E}"/>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3F08232C-B582-4995-A3B0-DC69CB55BF7B}">
          <x14:formula1>
            <xm:f>'Leakage Org Amend (enum)'!$A$3:$A$6</xm:f>
          </x14:formula1>
          <xm:sqref>G620</xm:sqref>
        </x14:dataValidation>
        <x14:dataValidation type="list" allowBlank="1" showInputMessage="1" showErrorMessage="1" xr:uid="{2AFC16C3-7B8D-4DD7-A79B-C1C4440C52EF}">
          <x14:formula1>
            <xm:f>'Leakage Manure Diversion (enum)'!$A$3:$A$4</xm:f>
          </x14:formula1>
          <xm:sqref>G628</xm:sqref>
        </x14:dataValidation>
        <x14:dataValidation type="list" allowBlank="1" xr:uid="{6512343D-0723-4131-A1B9-21854478D81A}">
          <x14:formula1>
            <xm:f>'Which method did you 2 (enum)'!$A$3:$A$5</xm:f>
          </x14:formula1>
          <xm:sqref>G536</xm:sqref>
        </x14:dataValidation>
        <x14:dataValidation type="list" allowBlank="1" xr:uid="{10E14114-B958-4EA1-9006-B42D9F5328DA}">
          <x14:formula1>
            <xm:f>'Which method did yous (enum)'!$A$3:$A$5</xm:f>
          </x14:formula1>
          <xm:sqref>G503</xm:sqref>
        </x14:dataValidation>
        <x14:dataValidation type="list" allowBlank="1" xr:uid="{00B42B24-4327-4AC1-BC5D-545B58DB689F}">
          <x14:formula1>
            <xm:f>'Which method did you 1 (enum)'!$A$3:$A$6</xm:f>
          </x14:formula1>
          <xm:sqref>G407</xm:sqref>
        </x14:dataValidation>
        <x14:dataValidation type="list" allowBlank="1" xr:uid="{D534DE83-2761-4629-9867-EC7F120B3679}">
          <x14:formula1>
            <xm:f>'Which method did you us (enum)'!$A$3:$A$6</xm:f>
          </x14:formula1>
          <xm:sqref>G365</xm:sqref>
        </x14:dataValidation>
        <x14:dataValidation type="list" allowBlank="1" showInputMessage="1" showErrorMessage="1" xr:uid="{FCB120AE-8090-4994-853C-A91149FCF0C0}">
          <x14:formula1>
            <xm:f>'Which method did you u (enum)'!$A$3:$A$4</xm:f>
          </x14:formula1>
          <xm:sqref>G363:G364 G501:G502</xm:sqref>
        </x14:dataValidation>
        <x14:dataValidation type="list" allowBlank="1" showInputMessage="1" showErrorMessage="1" xr:uid="{4B34EA67-3083-4578-8A72-DE5E98380628}">
          <x14:formula1>
            <xm:f>'Which method did you (enum)'!$A$3:$A$4</xm:f>
          </x14:formula1>
          <xm:sqref>G474 G594</xm:sqref>
        </x14:dataValidation>
        <x14:dataValidation type="list" allowBlank="1" xr:uid="{A2BC363F-B950-42D5-A25A-9A04B9099CB3}">
          <x14:formula1>
            <xm:f>'If all three conditi (enum)'!$A$3:$A$4</xm:f>
          </x14:formula1>
          <xm:sqref>G479</xm:sqref>
        </x14:dataValidation>
        <x14:dataValidation type="list" allowBlank="1" xr:uid="{5CC690CF-E33C-4965-B647-7DA7A89B39A4}">
          <x14:formula1>
            <xm:f>'Which sampling design w (enum)'!B516:B517</xm:f>
          </x14:formula1>
          <xm:sqref>G556</xm:sqref>
        </x14:dataValidation>
        <x14:dataValidation type="list" allowBlank="1" xr:uid="{02BEC085-F0F2-4EF0-8C56-59BA7E5B2B73}">
          <x14:formula1>
            <xm:f>'Which sampling design w (enum)'!B378:B379</xm:f>
          </x14:formula1>
          <xm:sqref>G436</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84A0-0726-4A81-B923-8373E0E3BF92}">
  <sheetPr codeName="Sheet39">
    <tabColor rgb="FF92D050"/>
    <outlinePr summaryBelow="0" summaryRight="0"/>
  </sheetPr>
  <dimension ref="A1:G12"/>
  <sheetViews>
    <sheetView workbookViewId="0">
      <selection activeCell="E34" sqref="E34"/>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161</v>
      </c>
      <c r="B1" s="32"/>
      <c r="C1" s="32"/>
      <c r="D1" s="32"/>
      <c r="E1" s="32"/>
      <c r="F1" s="32"/>
      <c r="G1" s="32"/>
    </row>
    <row r="2" spans="1:7" ht="37.5" customHeight="1">
      <c r="A2" s="1" t="s">
        <v>1</v>
      </c>
      <c r="B2" s="33" t="s">
        <v>684</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82</v>
      </c>
      <c r="C5" s="10"/>
      <c r="D5" s="3"/>
      <c r="E5" s="3" t="s">
        <v>132</v>
      </c>
      <c r="F5" s="3" t="s">
        <v>14</v>
      </c>
      <c r="G5" s="3">
        <v>2</v>
      </c>
    </row>
    <row r="6" spans="1:7">
      <c r="A6" s="3" t="s">
        <v>11</v>
      </c>
      <c r="B6" s="3" t="s">
        <v>46</v>
      </c>
      <c r="C6" s="10"/>
      <c r="D6" s="3"/>
      <c r="E6" s="3" t="s">
        <v>133</v>
      </c>
      <c r="F6" s="3" t="s">
        <v>14</v>
      </c>
      <c r="G6" s="3">
        <v>1704858</v>
      </c>
    </row>
    <row r="7" spans="1:7" ht="30">
      <c r="A7" s="3" t="s">
        <v>11</v>
      </c>
      <c r="B7" s="9" t="s">
        <v>163</v>
      </c>
      <c r="C7" s="10"/>
      <c r="D7" s="3"/>
      <c r="E7" s="3" t="s">
        <v>685</v>
      </c>
      <c r="F7" s="3" t="s">
        <v>11</v>
      </c>
      <c r="G7" s="3"/>
    </row>
    <row r="8" spans="1:7" outlineLevel="1">
      <c r="A8" s="3" t="s">
        <v>11</v>
      </c>
      <c r="B8" s="3" t="s">
        <v>46</v>
      </c>
      <c r="C8" s="10"/>
      <c r="D8" s="3"/>
      <c r="E8" s="3" t="s">
        <v>136</v>
      </c>
      <c r="F8" s="3" t="s">
        <v>14</v>
      </c>
      <c r="G8" s="3" t="s">
        <v>686</v>
      </c>
    </row>
    <row r="9" spans="1:7" outlineLevel="1">
      <c r="A9" s="3" t="s">
        <v>11</v>
      </c>
      <c r="B9" s="3" t="s">
        <v>82</v>
      </c>
      <c r="C9" s="10"/>
      <c r="D9" s="3"/>
      <c r="E9" s="3" t="s">
        <v>138</v>
      </c>
      <c r="F9" s="3" t="s">
        <v>14</v>
      </c>
      <c r="G9" s="3">
        <v>69.981399999999994</v>
      </c>
    </row>
    <row r="10" spans="1:7" outlineLevel="1">
      <c r="A10" s="3" t="s">
        <v>11</v>
      </c>
      <c r="B10" s="3" t="s">
        <v>46</v>
      </c>
      <c r="C10" s="10"/>
      <c r="D10" s="3"/>
      <c r="E10" s="3" t="s">
        <v>139</v>
      </c>
      <c r="F10" s="3" t="s">
        <v>14</v>
      </c>
      <c r="G10" s="3" t="s">
        <v>687</v>
      </c>
    </row>
    <row r="11" spans="1:7" outlineLevel="1">
      <c r="A11" s="3" t="s">
        <v>14</v>
      </c>
      <c r="B11" s="3" t="s">
        <v>82</v>
      </c>
      <c r="C11" s="10"/>
      <c r="D11" s="3" t="s">
        <v>48</v>
      </c>
      <c r="E11" s="3" t="s">
        <v>141</v>
      </c>
      <c r="F11" s="3" t="s">
        <v>14</v>
      </c>
      <c r="G11" s="3">
        <v>49.129767059999999</v>
      </c>
    </row>
    <row r="12" spans="1:7">
      <c r="A12" s="3" t="s">
        <v>14</v>
      </c>
      <c r="B12" s="3" t="s">
        <v>82</v>
      </c>
      <c r="C12" s="10"/>
      <c r="D12" s="3" t="s">
        <v>48</v>
      </c>
      <c r="E12" s="3" t="s">
        <v>142</v>
      </c>
      <c r="F12" s="3" t="s">
        <v>14</v>
      </c>
      <c r="G12" s="3"/>
    </row>
  </sheetData>
  <mergeCells count="3">
    <mergeCell ref="A1:G1"/>
    <mergeCell ref="B2:G2"/>
    <mergeCell ref="B3:G3"/>
  </mergeCells>
  <dataValidations count="3">
    <dataValidation allowBlank="1" showInputMessage="1" showErrorMessage="1" sqref="G5:G12" xr:uid="{3BB624F5-AD88-47AF-B495-9BD1C0046B77}"/>
    <dataValidation type="list" allowBlank="1" showInputMessage="1" showErrorMessage="1" sqref="F5:F12 A5:A12" xr:uid="{D5FE6BDB-68E7-4E54-86AD-EB047B2FCEE7}">
      <formula1>"Yes,No"</formula1>
    </dataValidation>
    <dataValidation type="list" allowBlank="1" showInputMessage="1" showErrorMessage="1" sqref="B3:G3" xr:uid="{2187B84A-40FB-4ED1-9458-4434D42869CC}">
      <formula1>"Verifiable Credentials,Encrypted Verifiable Credential,Sub-Schema"</formula1>
    </dataValidation>
  </dataValidations>
  <hyperlinks>
    <hyperlink ref="B7" location="QA2_CO2_SOC_Input_Stratum!A1" display="QA2_CO2_SOC_Input_Stratum" xr:uid="{E842AC0C-A4EB-4FF8-98BB-1F0E96C76E28}"/>
  </hyperlinks>
  <pageMargins left="0.7" right="0.7" top="0.75" bottom="0.75" header="0.3" footer="0.3"/>
  <pageSetup orientation="portrait" horizontalDpi="4294967295" verticalDpi="4294967295"/>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8BAF-02B4-4837-9517-A5872DBE74CB}">
  <sheetPr codeName="Sheet40">
    <tabColor rgb="FF92D05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163</v>
      </c>
      <c r="B1" s="32"/>
      <c r="C1" s="32"/>
      <c r="D1" s="32"/>
      <c r="E1" s="32"/>
      <c r="F1" s="32"/>
      <c r="G1" s="32"/>
    </row>
    <row r="2" spans="1:7" ht="38.25" customHeight="1">
      <c r="A2" s="1" t="s">
        <v>1</v>
      </c>
      <c r="B2" s="33" t="s">
        <v>688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10"/>
      <c r="D5" s="3"/>
      <c r="E5" s="3" t="s">
        <v>136</v>
      </c>
      <c r="F5" s="3" t="s">
        <v>14</v>
      </c>
      <c r="G5" s="3" t="s">
        <v>686</v>
      </c>
    </row>
    <row r="6" spans="1:7">
      <c r="A6" s="3" t="s">
        <v>11</v>
      </c>
      <c r="B6" s="3" t="s">
        <v>82</v>
      </c>
      <c r="C6" s="10"/>
      <c r="D6" s="3"/>
      <c r="E6" s="3" t="s">
        <v>138</v>
      </c>
      <c r="F6" s="3" t="s">
        <v>14</v>
      </c>
      <c r="G6" s="3">
        <v>69.981399999999994</v>
      </c>
    </row>
    <row r="7" spans="1:7">
      <c r="A7" s="3" t="s">
        <v>11</v>
      </c>
      <c r="B7" s="3" t="s">
        <v>46</v>
      </c>
      <c r="C7" s="10"/>
      <c r="D7" s="3"/>
      <c r="E7" s="3" t="s">
        <v>139</v>
      </c>
      <c r="F7" s="3" t="s">
        <v>14</v>
      </c>
      <c r="G7" s="3" t="s">
        <v>687</v>
      </c>
    </row>
    <row r="8" spans="1:7">
      <c r="A8" s="3" t="s">
        <v>14</v>
      </c>
      <c r="B8" s="3" t="s">
        <v>82</v>
      </c>
      <c r="C8" s="10"/>
      <c r="D8" s="3" t="s">
        <v>48</v>
      </c>
      <c r="E8" s="3" t="s">
        <v>141</v>
      </c>
      <c r="F8" s="3" t="s">
        <v>14</v>
      </c>
      <c r="G8" s="3">
        <v>49.129767059999999</v>
      </c>
    </row>
  </sheetData>
  <mergeCells count="3">
    <mergeCell ref="A1:G1"/>
    <mergeCell ref="B2:G2"/>
    <mergeCell ref="B3:G3"/>
  </mergeCells>
  <dataValidations count="3">
    <dataValidation type="list" allowBlank="1" showInputMessage="1" showErrorMessage="1" sqref="F5:F8 A5:A8" xr:uid="{49ACCCA5-8220-435B-BCAF-50C32E651FED}">
      <formula1>"Yes,No"</formula1>
    </dataValidation>
    <dataValidation allowBlank="1" showInputMessage="1" showErrorMessage="1" sqref="G5:G8" xr:uid="{61078E4A-B762-415D-A0C9-D67A5B28CAAC}"/>
    <dataValidation type="list" allowBlank="1" showInputMessage="1" showErrorMessage="1" sqref="B3:G3" xr:uid="{748BC982-7F9D-4444-B06F-E09645BFE173}">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16C1-DD3C-4B1C-97FA-BF1CCA6A7802}">
  <sheetPr codeName="Sheet41">
    <tabColor rgb="FFFFC000"/>
    <outlinePr summaryBelow="0" summaryRight="0"/>
  </sheetPr>
  <dimension ref="A1:G257"/>
  <sheetViews>
    <sheetView topLeftCell="A225" workbookViewId="0">
      <selection activeCell="B237" sqref="B237"/>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2" t="s">
        <v>167</v>
      </c>
      <c r="B1" s="32"/>
      <c r="C1" s="32"/>
      <c r="D1" s="32"/>
      <c r="E1" s="32"/>
      <c r="F1" s="32"/>
      <c r="G1" s="32"/>
    </row>
    <row r="2" spans="1:7" ht="18.75">
      <c r="A2" s="1" t="s">
        <v>1</v>
      </c>
      <c r="B2" s="33" t="s">
        <v>689</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4.25" customHeight="1">
      <c r="A5" s="3" t="s">
        <v>11</v>
      </c>
      <c r="B5" s="9" t="s">
        <v>169</v>
      </c>
      <c r="C5" s="3"/>
      <c r="D5" s="3"/>
      <c r="E5" s="3" t="s">
        <v>170</v>
      </c>
      <c r="F5" s="3" t="s">
        <v>11</v>
      </c>
      <c r="G5" s="3"/>
    </row>
    <row r="6" spans="1:7" ht="14.25" customHeight="1" outlineLevel="1">
      <c r="A6" s="3" t="s">
        <v>11</v>
      </c>
      <c r="B6" s="3" t="s">
        <v>46</v>
      </c>
      <c r="C6" s="3"/>
      <c r="D6" s="3"/>
      <c r="E6" s="3" t="s">
        <v>88</v>
      </c>
      <c r="F6" s="3" t="s">
        <v>14</v>
      </c>
      <c r="G6" s="3" t="s">
        <v>89</v>
      </c>
    </row>
    <row r="7" spans="1:7" outlineLevel="1">
      <c r="A7" s="3" t="s">
        <v>11</v>
      </c>
      <c r="B7" s="3" t="s">
        <v>82</v>
      </c>
      <c r="C7" s="3"/>
      <c r="D7" s="3"/>
      <c r="E7" s="3" t="s">
        <v>90</v>
      </c>
      <c r="F7" s="3" t="s">
        <v>14</v>
      </c>
      <c r="G7" s="3">
        <v>1148.7226376613501</v>
      </c>
    </row>
    <row r="8" spans="1:7" outlineLevel="1">
      <c r="A8" s="3" t="s">
        <v>11</v>
      </c>
      <c r="B8" s="9" t="s">
        <v>171</v>
      </c>
      <c r="C8" s="3"/>
      <c r="D8" s="3"/>
      <c r="E8" s="3" t="s">
        <v>172</v>
      </c>
      <c r="F8" s="3" t="s">
        <v>14</v>
      </c>
      <c r="G8" s="3"/>
    </row>
    <row r="9" spans="1:7" outlineLevel="3" collapsed="1">
      <c r="A9" s="3" t="s">
        <v>14</v>
      </c>
      <c r="B9" s="9" t="s">
        <v>173</v>
      </c>
      <c r="C9" s="3"/>
      <c r="D9" s="3"/>
      <c r="E9" s="3" t="s">
        <v>174</v>
      </c>
      <c r="F9" s="3" t="s">
        <v>14</v>
      </c>
      <c r="G9" s="3"/>
    </row>
    <row r="10" spans="1:7" hidden="1" outlineLevel="4">
      <c r="A10" s="3" t="s">
        <v>11</v>
      </c>
      <c r="B10" s="10" t="s">
        <v>175</v>
      </c>
      <c r="C10" s="3"/>
      <c r="D10" s="3"/>
      <c r="E10" s="3" t="s">
        <v>176</v>
      </c>
      <c r="F10" s="3" t="s">
        <v>11</v>
      </c>
      <c r="G10" s="3"/>
    </row>
    <row r="11" spans="1:7" hidden="1" outlineLevel="5">
      <c r="A11" s="4" t="s">
        <v>11</v>
      </c>
      <c r="B11" s="4" t="s">
        <v>46</v>
      </c>
      <c r="C11" s="5" t="s">
        <v>47</v>
      </c>
      <c r="D11" s="8"/>
      <c r="E11" s="4" t="s">
        <v>177</v>
      </c>
      <c r="F11" s="4" t="s">
        <v>14</v>
      </c>
      <c r="G11" s="4" t="s">
        <v>178</v>
      </c>
    </row>
    <row r="12" spans="1:7" ht="45" hidden="1" outlineLevel="5">
      <c r="A12" s="4" t="s">
        <v>14</v>
      </c>
      <c r="B12" s="4" t="s">
        <v>82</v>
      </c>
      <c r="C12" s="5" t="s">
        <v>47</v>
      </c>
      <c r="D12" s="8" t="s">
        <v>48</v>
      </c>
      <c r="E12" s="4" t="s">
        <v>179</v>
      </c>
      <c r="F12" s="4" t="s">
        <v>14</v>
      </c>
      <c r="G12" s="4">
        <f>G13*G14</f>
        <v>86.58</v>
      </c>
    </row>
    <row r="13" spans="1:7" hidden="1" outlineLevel="5">
      <c r="A13" s="4" t="s">
        <v>11</v>
      </c>
      <c r="B13" s="4" t="s">
        <v>82</v>
      </c>
      <c r="C13" s="5" t="s">
        <v>47</v>
      </c>
      <c r="D13" s="8"/>
      <c r="E13" s="4" t="s">
        <v>180</v>
      </c>
      <c r="F13" s="4" t="s">
        <v>14</v>
      </c>
      <c r="G13" s="4">
        <v>30000</v>
      </c>
    </row>
    <row r="14" spans="1:7" hidden="1" outlineLevel="5">
      <c r="A14" s="4" t="s">
        <v>11</v>
      </c>
      <c r="B14" s="4" t="s">
        <v>82</v>
      </c>
      <c r="C14" s="5" t="s">
        <v>47</v>
      </c>
      <c r="D14" s="8"/>
      <c r="E14" s="4" t="s">
        <v>181</v>
      </c>
      <c r="F14" s="4" t="s">
        <v>14</v>
      </c>
      <c r="G14" s="4">
        <v>2.8860000000000001E-3</v>
      </c>
    </row>
    <row r="15" spans="1:7" ht="30" hidden="1" outlineLevel="4" collapsed="1">
      <c r="A15" s="3" t="s">
        <v>14</v>
      </c>
      <c r="B15" s="3" t="s">
        <v>82</v>
      </c>
      <c r="C15" s="3" t="s">
        <v>47</v>
      </c>
      <c r="D15" s="3" t="s">
        <v>48</v>
      </c>
      <c r="E15" s="3" t="s">
        <v>182</v>
      </c>
      <c r="F15" s="3" t="s">
        <v>14</v>
      </c>
      <c r="G15" s="3">
        <f>G16/G7</f>
        <v>7.5370674487851674E-2</v>
      </c>
    </row>
    <row r="16" spans="1:7" ht="45" hidden="1" outlineLevel="4">
      <c r="A16" s="3" t="s">
        <v>14</v>
      </c>
      <c r="B16" s="3" t="s">
        <v>82</v>
      </c>
      <c r="C16" s="3"/>
      <c r="D16" s="3" t="s">
        <v>48</v>
      </c>
      <c r="E16" s="3" t="s">
        <v>183</v>
      </c>
      <c r="F16" s="3" t="s">
        <v>14</v>
      </c>
      <c r="G16" s="3">
        <f>SUM(G12)</f>
        <v>86.58</v>
      </c>
    </row>
    <row r="17" spans="1:7" outlineLevel="3" collapsed="1">
      <c r="A17" s="3" t="s">
        <v>14</v>
      </c>
      <c r="B17" s="9" t="s">
        <v>184</v>
      </c>
      <c r="C17" s="3"/>
      <c r="D17" s="3"/>
      <c r="E17" s="3" t="s">
        <v>185</v>
      </c>
      <c r="F17" s="3" t="s">
        <v>14</v>
      </c>
      <c r="G17" s="3"/>
    </row>
    <row r="18" spans="1:7" ht="30" hidden="1" outlineLevel="5">
      <c r="A18" s="4" t="s">
        <v>11</v>
      </c>
      <c r="B18" s="4" t="s">
        <v>82</v>
      </c>
      <c r="C18" s="5" t="s">
        <v>47</v>
      </c>
      <c r="D18" s="8"/>
      <c r="E18" s="4" t="s">
        <v>186</v>
      </c>
      <c r="F18" s="4" t="s">
        <v>14</v>
      </c>
      <c r="G18" s="4">
        <v>10</v>
      </c>
    </row>
    <row r="19" spans="1:7" hidden="1" outlineLevel="5">
      <c r="A19" s="4" t="s">
        <v>14</v>
      </c>
      <c r="B19" s="4" t="s">
        <v>82</v>
      </c>
      <c r="C19" s="5"/>
      <c r="D19" s="8" t="s">
        <v>48</v>
      </c>
      <c r="E19" s="4" t="s">
        <v>187</v>
      </c>
      <c r="F19" s="4" t="s">
        <v>14</v>
      </c>
      <c r="G19" s="4">
        <f>0.12</f>
        <v>0.12</v>
      </c>
    </row>
    <row r="20" spans="1:7" ht="30" hidden="1" outlineLevel="5">
      <c r="A20" s="4" t="s">
        <v>11</v>
      </c>
      <c r="B20" s="4" t="s">
        <v>82</v>
      </c>
      <c r="C20" s="5"/>
      <c r="D20" s="8"/>
      <c r="E20" s="4" t="s">
        <v>188</v>
      </c>
      <c r="F20" s="4" t="s">
        <v>14</v>
      </c>
      <c r="G20" s="4">
        <v>5</v>
      </c>
    </row>
    <row r="21" spans="1:7" hidden="1" outlineLevel="5">
      <c r="A21" s="4" t="s">
        <v>14</v>
      </c>
      <c r="B21" s="4" t="s">
        <v>82</v>
      </c>
      <c r="C21" s="5"/>
      <c r="D21" s="8" t="s">
        <v>48</v>
      </c>
      <c r="E21" s="4" t="s">
        <v>189</v>
      </c>
      <c r="F21" s="4" t="s">
        <v>14</v>
      </c>
      <c r="G21" s="4">
        <f>0.13</f>
        <v>0.13</v>
      </c>
    </row>
    <row r="22" spans="1:7" ht="30" hidden="1" outlineLevel="5">
      <c r="A22" s="4" t="s">
        <v>14</v>
      </c>
      <c r="B22" s="4" t="s">
        <v>82</v>
      </c>
      <c r="C22" s="5"/>
      <c r="D22" s="8" t="s">
        <v>48</v>
      </c>
      <c r="E22" s="4" t="s">
        <v>190</v>
      </c>
      <c r="F22" s="4" t="s">
        <v>14</v>
      </c>
      <c r="G22" s="4">
        <f>((G18*G19)+(G20*G21))*G24</f>
        <v>6.7833333333333332</v>
      </c>
    </row>
    <row r="23" spans="1:7" ht="30" hidden="1" outlineLevel="5">
      <c r="A23" s="4" t="s">
        <v>14</v>
      </c>
      <c r="B23" s="4" t="s">
        <v>82</v>
      </c>
      <c r="C23" s="5"/>
      <c r="D23" s="8" t="s">
        <v>48</v>
      </c>
      <c r="E23" s="4" t="s">
        <v>191</v>
      </c>
      <c r="F23" s="4" t="s">
        <v>14</v>
      </c>
      <c r="G23" s="4">
        <f>G22/G7</f>
        <v>5.9051098245467837E-3</v>
      </c>
    </row>
    <row r="24" spans="1:7" ht="30" hidden="1" outlineLevel="5">
      <c r="A24" s="4" t="s">
        <v>14</v>
      </c>
      <c r="B24" s="4" t="s">
        <v>82</v>
      </c>
      <c r="C24" s="5"/>
      <c r="D24" s="8" t="s">
        <v>48</v>
      </c>
      <c r="E24" s="4" t="s">
        <v>192</v>
      </c>
      <c r="F24" s="4" t="s">
        <v>14</v>
      </c>
      <c r="G24" s="4">
        <f>44/12</f>
        <v>3.6666666666666665</v>
      </c>
    </row>
    <row r="25" spans="1:7" outlineLevel="3" collapsed="1">
      <c r="A25" s="3" t="s">
        <v>14</v>
      </c>
      <c r="B25" s="9" t="s">
        <v>193</v>
      </c>
      <c r="C25" s="3"/>
      <c r="D25" s="3"/>
      <c r="E25" s="3" t="s">
        <v>194</v>
      </c>
      <c r="F25" s="3" t="s">
        <v>14</v>
      </c>
      <c r="G25" s="3"/>
    </row>
    <row r="26" spans="1:7" hidden="1" outlineLevel="4">
      <c r="A26" s="3" t="s">
        <v>11</v>
      </c>
      <c r="B26" s="10" t="s">
        <v>195</v>
      </c>
      <c r="C26" s="3"/>
      <c r="D26" s="3"/>
      <c r="E26" s="3" t="s">
        <v>196</v>
      </c>
      <c r="F26" s="3" t="s">
        <v>11</v>
      </c>
      <c r="G26" s="3"/>
    </row>
    <row r="27" spans="1:7" hidden="1" outlineLevel="5">
      <c r="A27" s="4" t="s">
        <v>11</v>
      </c>
      <c r="B27" s="4" t="s">
        <v>46</v>
      </c>
      <c r="C27" s="5" t="s">
        <v>47</v>
      </c>
      <c r="D27" s="8"/>
      <c r="E27" s="4" t="s">
        <v>197</v>
      </c>
      <c r="F27" s="4" t="s">
        <v>14</v>
      </c>
      <c r="G27" s="4" t="s">
        <v>198</v>
      </c>
    </row>
    <row r="28" spans="1:7" hidden="1" outlineLevel="5">
      <c r="A28" s="4" t="s">
        <v>11</v>
      </c>
      <c r="B28" s="4" t="s">
        <v>46</v>
      </c>
      <c r="C28" s="5"/>
      <c r="D28" s="8"/>
      <c r="E28" s="4" t="s">
        <v>199</v>
      </c>
      <c r="F28" s="4" t="s">
        <v>14</v>
      </c>
      <c r="G28" s="4" t="s">
        <v>200</v>
      </c>
    </row>
    <row r="29" spans="1:7" ht="30" hidden="1" outlineLevel="5">
      <c r="A29" s="4" t="s">
        <v>11</v>
      </c>
      <c r="B29" s="4" t="s">
        <v>82</v>
      </c>
      <c r="C29" s="5"/>
      <c r="D29" s="8"/>
      <c r="E29" s="4" t="s">
        <v>201</v>
      </c>
      <c r="F29" s="4" t="s">
        <v>14</v>
      </c>
      <c r="G29" s="4">
        <v>160</v>
      </c>
    </row>
    <row r="30" spans="1:7" ht="30" hidden="1" outlineLevel="5">
      <c r="A30" s="4" t="s">
        <v>11</v>
      </c>
      <c r="B30" s="4" t="s">
        <v>82</v>
      </c>
      <c r="C30" s="5"/>
      <c r="D30" s="8"/>
      <c r="E30" s="4" t="s">
        <v>202</v>
      </c>
      <c r="F30" s="4" t="s">
        <v>14</v>
      </c>
      <c r="G30" s="4">
        <v>13.289693946836101</v>
      </c>
    </row>
    <row r="31" spans="1:7" ht="30" hidden="1" outlineLevel="5">
      <c r="A31" s="4" t="s">
        <v>14</v>
      </c>
      <c r="B31" s="4" t="s">
        <v>82</v>
      </c>
      <c r="C31" s="5"/>
      <c r="D31" s="8" t="s">
        <v>48</v>
      </c>
      <c r="E31" s="4" t="s">
        <v>190</v>
      </c>
      <c r="F31" s="4" t="s">
        <v>14</v>
      </c>
      <c r="G31" s="4">
        <f>G29*G30</f>
        <v>2126.3510314937762</v>
      </c>
    </row>
    <row r="32" spans="1:7" ht="30" hidden="1" outlineLevel="4">
      <c r="A32" s="3" t="s">
        <v>14</v>
      </c>
      <c r="B32" s="3" t="s">
        <v>82</v>
      </c>
      <c r="C32" s="3"/>
      <c r="D32" s="3" t="s">
        <v>48</v>
      </c>
      <c r="E32" s="3" t="s">
        <v>191</v>
      </c>
      <c r="F32" s="3" t="s">
        <v>14</v>
      </c>
      <c r="G32" s="3">
        <f>SUM(G31)</f>
        <v>2126.3510314937762</v>
      </c>
    </row>
    <row r="33" spans="1:7" ht="30" hidden="1" outlineLevel="4">
      <c r="A33" s="3" t="s">
        <v>14</v>
      </c>
      <c r="B33" s="3" t="s">
        <v>82</v>
      </c>
      <c r="C33" s="3"/>
      <c r="D33" s="3" t="s">
        <v>48</v>
      </c>
      <c r="E33" s="3" t="s">
        <v>203</v>
      </c>
      <c r="F33" s="3" t="s">
        <v>14</v>
      </c>
      <c r="G33" s="3">
        <f>((G35*G32)/G34)/G7</f>
        <v>5.1829594829816368E-2</v>
      </c>
    </row>
    <row r="34" spans="1:7" hidden="1" outlineLevel="4">
      <c r="A34" s="3" t="s">
        <v>14</v>
      </c>
      <c r="B34" s="3" t="s">
        <v>82</v>
      </c>
      <c r="C34" s="3"/>
      <c r="D34" s="3" t="s">
        <v>48</v>
      </c>
      <c r="E34" s="3" t="s">
        <v>204</v>
      </c>
      <c r="F34" s="3" t="s">
        <v>14</v>
      </c>
      <c r="G34" s="3">
        <f>1000</f>
        <v>1000</v>
      </c>
    </row>
    <row r="35" spans="1:7" hidden="1" outlineLevel="4">
      <c r="A35" s="3" t="s">
        <v>11</v>
      </c>
      <c r="B35" s="3" t="s">
        <v>82</v>
      </c>
      <c r="C35" s="3"/>
      <c r="D35" s="3"/>
      <c r="E35" s="3" t="s">
        <v>96</v>
      </c>
      <c r="F35" s="3" t="s">
        <v>14</v>
      </c>
      <c r="G35" s="3">
        <v>28</v>
      </c>
    </row>
    <row r="36" spans="1:7" outlineLevel="3" collapsed="1">
      <c r="A36" s="3" t="s">
        <v>14</v>
      </c>
      <c r="B36" s="9" t="s">
        <v>205</v>
      </c>
      <c r="C36" s="3"/>
      <c r="D36" s="3"/>
      <c r="E36" s="3" t="s">
        <v>206</v>
      </c>
      <c r="F36" s="3" t="s">
        <v>14</v>
      </c>
      <c r="G36" s="3"/>
    </row>
    <row r="37" spans="1:7" hidden="1" outlineLevel="4">
      <c r="A37" s="3" t="s">
        <v>11</v>
      </c>
      <c r="B37" s="10" t="s">
        <v>207</v>
      </c>
      <c r="C37" s="3"/>
      <c r="D37" s="3"/>
      <c r="E37" s="3" t="s">
        <v>208</v>
      </c>
      <c r="F37" s="3" t="s">
        <v>11</v>
      </c>
      <c r="G37" s="3"/>
    </row>
    <row r="38" spans="1:7" hidden="1" outlineLevel="5">
      <c r="A38" s="4" t="s">
        <v>11</v>
      </c>
      <c r="B38" s="4" t="s">
        <v>46</v>
      </c>
      <c r="C38" s="5" t="s">
        <v>47</v>
      </c>
      <c r="D38" s="8"/>
      <c r="E38" s="4" t="s">
        <v>197</v>
      </c>
      <c r="F38" s="4" t="s">
        <v>14</v>
      </c>
      <c r="G38" s="4" t="s">
        <v>198</v>
      </c>
    </row>
    <row r="39" spans="1:7" hidden="1" outlineLevel="5">
      <c r="A39" s="4" t="s">
        <v>11</v>
      </c>
      <c r="B39" s="4" t="s">
        <v>46</v>
      </c>
      <c r="C39" s="5"/>
      <c r="D39" s="8"/>
      <c r="E39" s="4" t="s">
        <v>199</v>
      </c>
      <c r="F39" s="4" t="s">
        <v>14</v>
      </c>
      <c r="G39" s="4" t="s">
        <v>200</v>
      </c>
    </row>
    <row r="40" spans="1:7" ht="30" hidden="1" outlineLevel="5">
      <c r="A40" s="4" t="s">
        <v>11</v>
      </c>
      <c r="B40" s="4" t="s">
        <v>82</v>
      </c>
      <c r="C40" s="5"/>
      <c r="D40" s="8"/>
      <c r="E40" s="4" t="s">
        <v>201</v>
      </c>
      <c r="F40" s="4" t="s">
        <v>14</v>
      </c>
      <c r="G40" s="4">
        <v>160</v>
      </c>
    </row>
    <row r="41" spans="1:7" hidden="1" outlineLevel="5">
      <c r="A41" s="4" t="s">
        <v>11</v>
      </c>
      <c r="B41" s="4" t="s">
        <v>46</v>
      </c>
      <c r="C41" s="5"/>
      <c r="D41" s="8"/>
      <c r="E41" s="4" t="s">
        <v>209</v>
      </c>
      <c r="F41" s="4" t="s">
        <v>14</v>
      </c>
      <c r="G41" s="4" t="s">
        <v>210</v>
      </c>
    </row>
    <row r="42" spans="1:7" ht="45" hidden="1" outlineLevel="5">
      <c r="A42" s="4" t="s">
        <v>14</v>
      </c>
      <c r="B42" s="4" t="s">
        <v>82</v>
      </c>
      <c r="C42" s="5"/>
      <c r="D42" s="8"/>
      <c r="E42" s="4" t="s">
        <v>211</v>
      </c>
      <c r="F42" s="4" t="s">
        <v>14</v>
      </c>
      <c r="G42" s="4">
        <v>1</v>
      </c>
    </row>
    <row r="43" spans="1:7" ht="30" hidden="1" outlineLevel="5">
      <c r="A43" s="4" t="s">
        <v>11</v>
      </c>
      <c r="B43" s="4" t="s">
        <v>82</v>
      </c>
      <c r="C43" s="5"/>
      <c r="D43" s="8"/>
      <c r="E43" s="4" t="s">
        <v>212</v>
      </c>
      <c r="F43" s="4" t="s">
        <v>14</v>
      </c>
      <c r="G43" s="4">
        <v>30</v>
      </c>
    </row>
    <row r="44" spans="1:7" ht="30" hidden="1" outlineLevel="5">
      <c r="A44" s="4" t="s">
        <v>11</v>
      </c>
      <c r="B44" s="4" t="s">
        <v>82</v>
      </c>
      <c r="C44" s="5"/>
      <c r="D44" s="8"/>
      <c r="E44" s="4" t="s">
        <v>213</v>
      </c>
      <c r="F44" s="4" t="s">
        <v>14</v>
      </c>
      <c r="G44" s="4">
        <v>8.3000000000000007</v>
      </c>
    </row>
    <row r="45" spans="1:7" ht="45" hidden="1" outlineLevel="5">
      <c r="A45" s="4" t="s">
        <v>14</v>
      </c>
      <c r="B45" s="4" t="s">
        <v>82</v>
      </c>
      <c r="C45" s="5"/>
      <c r="D45" s="8"/>
      <c r="E45" s="4" t="s">
        <v>214</v>
      </c>
      <c r="F45" s="4" t="s">
        <v>14</v>
      </c>
      <c r="G45" s="4">
        <v>0.6</v>
      </c>
    </row>
    <row r="46" spans="1:7" ht="45" hidden="1" outlineLevel="5">
      <c r="A46" s="4" t="s">
        <v>14</v>
      </c>
      <c r="B46" s="4" t="s">
        <v>82</v>
      </c>
      <c r="C46" s="5"/>
      <c r="D46" s="8" t="s">
        <v>48</v>
      </c>
      <c r="E46" s="4" t="s">
        <v>215</v>
      </c>
      <c r="F46" s="4" t="s">
        <v>14</v>
      </c>
      <c r="G46" s="4">
        <f>(G44*(G43/G47))*G48</f>
        <v>90.885000000000005</v>
      </c>
    </row>
    <row r="47" spans="1:7" hidden="1" outlineLevel="5">
      <c r="A47" s="4" t="s">
        <v>14</v>
      </c>
      <c r="B47" s="4" t="s">
        <v>82</v>
      </c>
      <c r="C47" s="5"/>
      <c r="D47" s="8" t="s">
        <v>48</v>
      </c>
      <c r="E47" s="4" t="s">
        <v>216</v>
      </c>
      <c r="F47" s="4" t="s">
        <v>14</v>
      </c>
      <c r="G47" s="4">
        <v>1000</v>
      </c>
    </row>
    <row r="48" spans="1:7" hidden="1" outlineLevel="5">
      <c r="A48" s="4" t="s">
        <v>14</v>
      </c>
      <c r="B48" s="4" t="s">
        <v>82</v>
      </c>
      <c r="C48" s="5"/>
      <c r="D48" s="8" t="s">
        <v>48</v>
      </c>
      <c r="E48" s="4" t="s">
        <v>217</v>
      </c>
      <c r="F48" s="4" t="s">
        <v>14</v>
      </c>
      <c r="G48" s="4">
        <f>365</f>
        <v>365</v>
      </c>
    </row>
    <row r="49" spans="1:7" ht="18" hidden="1" outlineLevel="4">
      <c r="A49" s="3" t="s">
        <v>14</v>
      </c>
      <c r="B49" s="3" t="s">
        <v>82</v>
      </c>
      <c r="C49" s="3"/>
      <c r="D49" s="3" t="s">
        <v>48</v>
      </c>
      <c r="E49" s="3" t="s">
        <v>218</v>
      </c>
      <c r="F49" s="3" t="s">
        <v>14</v>
      </c>
      <c r="G49" s="3">
        <f>SUM(G40*G46*G42*G45)</f>
        <v>8724.9599999999991</v>
      </c>
    </row>
    <row r="50" spans="1:7" ht="30" hidden="1" outlineLevel="4">
      <c r="A50" s="3" t="s">
        <v>14</v>
      </c>
      <c r="B50" s="3" t="s">
        <v>82</v>
      </c>
      <c r="C50" s="3"/>
      <c r="D50" s="3" t="s">
        <v>48</v>
      </c>
      <c r="E50" s="3" t="s">
        <v>219</v>
      </c>
      <c r="F50" s="3" t="s">
        <v>14</v>
      </c>
      <c r="G50" s="3">
        <f>G51*G49/(G52*G7)</f>
        <v>2.126700319037507E-4</v>
      </c>
    </row>
    <row r="51" spans="1:7" hidden="1" outlineLevel="4">
      <c r="A51" s="3" t="s">
        <v>11</v>
      </c>
      <c r="B51" s="3" t="s">
        <v>82</v>
      </c>
      <c r="C51" s="3"/>
      <c r="D51" s="3"/>
      <c r="E51" s="3" t="s">
        <v>96</v>
      </c>
      <c r="F51" s="3" t="s">
        <v>14</v>
      </c>
      <c r="G51" s="3">
        <v>28</v>
      </c>
    </row>
    <row r="52" spans="1:7" hidden="1" outlineLevel="4">
      <c r="A52" s="3" t="s">
        <v>14</v>
      </c>
      <c r="B52" s="3" t="s">
        <v>82</v>
      </c>
      <c r="C52" s="3"/>
      <c r="D52" s="3" t="s">
        <v>48</v>
      </c>
      <c r="E52" s="3" t="s">
        <v>220</v>
      </c>
      <c r="F52" s="3" t="s">
        <v>14</v>
      </c>
      <c r="G52" s="3">
        <f>10^6</f>
        <v>1000000</v>
      </c>
    </row>
    <row r="53" spans="1:7" outlineLevel="3" collapsed="1">
      <c r="A53" s="3" t="s">
        <v>14</v>
      </c>
      <c r="B53" s="9" t="s">
        <v>221</v>
      </c>
      <c r="C53" s="3"/>
      <c r="D53" s="3"/>
      <c r="E53" s="3" t="s">
        <v>222</v>
      </c>
      <c r="F53" s="3" t="s">
        <v>14</v>
      </c>
      <c r="G53" s="3"/>
    </row>
    <row r="54" spans="1:7" hidden="1" outlineLevel="4">
      <c r="A54" s="3" t="s">
        <v>11</v>
      </c>
      <c r="B54" s="10" t="s">
        <v>223</v>
      </c>
      <c r="C54" s="3"/>
      <c r="D54" s="3"/>
      <c r="E54" s="3" t="s">
        <v>224</v>
      </c>
      <c r="F54" s="3" t="s">
        <v>11</v>
      </c>
      <c r="G54" s="3"/>
    </row>
    <row r="55" spans="1:7" hidden="1" outlineLevel="5">
      <c r="A55" s="4" t="s">
        <v>11</v>
      </c>
      <c r="B55" s="4" t="s">
        <v>46</v>
      </c>
      <c r="C55" s="5" t="s">
        <v>47</v>
      </c>
      <c r="D55" s="8"/>
      <c r="E55" s="4" t="s">
        <v>225</v>
      </c>
      <c r="F55" s="4" t="s">
        <v>14</v>
      </c>
      <c r="G55" s="4" t="s">
        <v>226</v>
      </c>
    </row>
    <row r="56" spans="1:7" ht="30" hidden="1" outlineLevel="5">
      <c r="A56" s="4" t="s">
        <v>11</v>
      </c>
      <c r="B56" s="4" t="s">
        <v>82</v>
      </c>
      <c r="C56" s="5"/>
      <c r="D56" s="8"/>
      <c r="E56" s="4" t="s">
        <v>227</v>
      </c>
      <c r="F56" s="4" t="s">
        <v>14</v>
      </c>
      <c r="G56" s="4">
        <v>0.92</v>
      </c>
    </row>
    <row r="57" spans="1:7" ht="30" hidden="1" outlineLevel="5">
      <c r="A57" s="4" t="s">
        <v>11</v>
      </c>
      <c r="B57" s="4" t="s">
        <v>82</v>
      </c>
      <c r="C57" s="5"/>
      <c r="D57" s="8"/>
      <c r="E57" s="4" t="s">
        <v>228</v>
      </c>
      <c r="F57" s="4" t="s">
        <v>14</v>
      </c>
      <c r="G57" s="4">
        <v>2.2999999999999998</v>
      </c>
    </row>
    <row r="58" spans="1:7" ht="30" hidden="1" outlineLevel="5">
      <c r="A58" s="4" t="s">
        <v>11</v>
      </c>
      <c r="B58" s="4" t="s">
        <v>82</v>
      </c>
      <c r="C58" s="5"/>
      <c r="D58" s="8"/>
      <c r="E58" s="4" t="s">
        <v>229</v>
      </c>
      <c r="F58" s="4" t="s">
        <v>14</v>
      </c>
      <c r="G58" s="4">
        <v>1423149.0296307299</v>
      </c>
    </row>
    <row r="59" spans="1:7" ht="18" hidden="1" outlineLevel="5">
      <c r="A59" s="4" t="s">
        <v>14</v>
      </c>
      <c r="B59" s="4" t="s">
        <v>82</v>
      </c>
      <c r="C59" s="5"/>
      <c r="D59" s="8" t="s">
        <v>48</v>
      </c>
      <c r="E59" s="4" t="s">
        <v>230</v>
      </c>
      <c r="F59" s="4" t="s">
        <v>14</v>
      </c>
      <c r="G59" s="4">
        <f>G58*G56*G57</f>
        <v>3011383.3466986245</v>
      </c>
    </row>
    <row r="60" spans="1:7" ht="18" hidden="1" outlineLevel="4">
      <c r="A60" s="3" t="s">
        <v>11</v>
      </c>
      <c r="B60" s="3" t="s">
        <v>82</v>
      </c>
      <c r="C60" s="3"/>
      <c r="D60" s="3"/>
      <c r="E60" s="3" t="s">
        <v>231</v>
      </c>
      <c r="F60" s="3" t="s">
        <v>14</v>
      </c>
      <c r="G60" s="3">
        <f>SUM(G59)</f>
        <v>3011383.3466986245</v>
      </c>
    </row>
    <row r="61" spans="1:7" ht="30" hidden="1" outlineLevel="4">
      <c r="A61" s="3" t="s">
        <v>14</v>
      </c>
      <c r="B61" s="3" t="s">
        <v>82</v>
      </c>
      <c r="C61" s="3"/>
      <c r="D61" s="3" t="s">
        <v>48</v>
      </c>
      <c r="E61" s="3" t="s">
        <v>232</v>
      </c>
      <c r="F61" s="3" t="s">
        <v>14</v>
      </c>
      <c r="G61" s="3">
        <f>((G62*G60)/G63)/G7</f>
        <v>7.3402169455999811E-2</v>
      </c>
    </row>
    <row r="62" spans="1:7" hidden="1" outlineLevel="4">
      <c r="A62" s="3" t="s">
        <v>11</v>
      </c>
      <c r="B62" s="3" t="s">
        <v>82</v>
      </c>
      <c r="C62" s="3"/>
      <c r="D62" s="3"/>
      <c r="E62" s="3" t="s">
        <v>96</v>
      </c>
      <c r="F62" s="3" t="s">
        <v>14</v>
      </c>
      <c r="G62" s="3">
        <v>28</v>
      </c>
    </row>
    <row r="63" spans="1:7" hidden="1" outlineLevel="4">
      <c r="A63" s="3" t="s">
        <v>14</v>
      </c>
      <c r="B63" s="3" t="s">
        <v>82</v>
      </c>
      <c r="C63" s="3"/>
      <c r="D63" s="3" t="s">
        <v>48</v>
      </c>
      <c r="E63" s="3" t="s">
        <v>220</v>
      </c>
      <c r="F63" s="3" t="s">
        <v>14</v>
      </c>
      <c r="G63" s="3">
        <f>10^6</f>
        <v>1000000</v>
      </c>
    </row>
    <row r="64" spans="1:7" outlineLevel="3" collapsed="1">
      <c r="A64" s="3" t="s">
        <v>14</v>
      </c>
      <c r="B64" s="9" t="s">
        <v>233</v>
      </c>
      <c r="C64" s="3"/>
      <c r="D64" s="3"/>
      <c r="E64" s="3" t="s">
        <v>234</v>
      </c>
      <c r="F64" s="3" t="s">
        <v>14</v>
      </c>
      <c r="G64" s="3"/>
    </row>
    <row r="65" spans="1:7" hidden="1" outlineLevel="4">
      <c r="A65" s="3" t="s">
        <v>11</v>
      </c>
      <c r="B65" s="10" t="s">
        <v>235</v>
      </c>
      <c r="C65" s="3"/>
      <c r="D65" s="3"/>
      <c r="E65" s="3" t="s">
        <v>236</v>
      </c>
      <c r="F65" s="3" t="s">
        <v>11</v>
      </c>
      <c r="G65" s="3"/>
    </row>
    <row r="66" spans="1:7" hidden="1" outlineLevel="5">
      <c r="A66" s="4" t="s">
        <v>11</v>
      </c>
      <c r="B66" s="4" t="s">
        <v>46</v>
      </c>
      <c r="C66" s="5"/>
      <c r="D66" s="8"/>
      <c r="E66" s="4" t="s">
        <v>237</v>
      </c>
      <c r="F66" s="4" t="s">
        <v>14</v>
      </c>
      <c r="G66" s="4" t="s">
        <v>238</v>
      </c>
    </row>
    <row r="67" spans="1:7" ht="30" hidden="1" outlineLevel="5">
      <c r="A67" s="4" t="s">
        <v>11</v>
      </c>
      <c r="B67" s="4" t="s">
        <v>46</v>
      </c>
      <c r="C67" s="5" t="s">
        <v>47</v>
      </c>
      <c r="D67" s="8"/>
      <c r="E67" s="4" t="s">
        <v>239</v>
      </c>
      <c r="F67" s="4" t="s">
        <v>14</v>
      </c>
      <c r="G67" s="4">
        <v>314.03539242142602</v>
      </c>
    </row>
    <row r="68" spans="1:7" hidden="1" outlineLevel="5">
      <c r="A68" s="4" t="s">
        <v>11</v>
      </c>
      <c r="B68" s="4" t="s">
        <v>82</v>
      </c>
      <c r="C68" s="5"/>
      <c r="D68" s="8"/>
      <c r="E68" s="4" t="s">
        <v>240</v>
      </c>
      <c r="F68" s="4" t="s">
        <v>14</v>
      </c>
      <c r="G68" s="4">
        <v>0.82</v>
      </c>
    </row>
    <row r="69" spans="1:7" ht="30" hidden="1" outlineLevel="4">
      <c r="A69" s="3" t="s">
        <v>14</v>
      </c>
      <c r="B69" s="3" t="s">
        <v>82</v>
      </c>
      <c r="C69" s="3"/>
      <c r="D69" s="3" t="s">
        <v>48</v>
      </c>
      <c r="E69" s="3" t="s">
        <v>241</v>
      </c>
      <c r="F69" s="3" t="s">
        <v>14</v>
      </c>
      <c r="G69" s="3">
        <f>SUM(G67*G68)</f>
        <v>257.5090217855693</v>
      </c>
    </row>
    <row r="70" spans="1:7" hidden="1" outlineLevel="4">
      <c r="A70" s="3" t="s">
        <v>11</v>
      </c>
      <c r="B70" s="10" t="s">
        <v>242</v>
      </c>
      <c r="C70" s="3"/>
      <c r="D70" s="3"/>
      <c r="E70" s="3" t="s">
        <v>243</v>
      </c>
      <c r="F70" s="3" t="s">
        <v>11</v>
      </c>
      <c r="G70" s="3"/>
    </row>
    <row r="71" spans="1:7" hidden="1" outlineLevel="5">
      <c r="A71" s="4" t="s">
        <v>11</v>
      </c>
      <c r="B71" s="4" t="s">
        <v>46</v>
      </c>
      <c r="C71" s="5"/>
      <c r="D71" s="8"/>
      <c r="E71" s="4" t="s">
        <v>244</v>
      </c>
      <c r="F71" s="4" t="s">
        <v>14</v>
      </c>
      <c r="G71" s="4" t="s">
        <v>245</v>
      </c>
    </row>
    <row r="72" spans="1:7" ht="30" hidden="1" outlineLevel="5">
      <c r="A72" s="4" t="s">
        <v>11</v>
      </c>
      <c r="B72" s="4" t="s">
        <v>82</v>
      </c>
      <c r="C72" s="5"/>
      <c r="D72" s="8"/>
      <c r="E72" s="4" t="s">
        <v>246</v>
      </c>
      <c r="F72" s="4" t="s">
        <v>14</v>
      </c>
      <c r="G72" s="4">
        <v>483.31272857651902</v>
      </c>
    </row>
    <row r="73" spans="1:7" hidden="1" outlineLevel="5">
      <c r="A73" s="4" t="s">
        <v>11</v>
      </c>
      <c r="B73" s="4" t="s">
        <v>82</v>
      </c>
      <c r="C73" s="5"/>
      <c r="D73" s="8"/>
      <c r="E73" s="4" t="s">
        <v>247</v>
      </c>
      <c r="F73" s="4" t="s">
        <v>14</v>
      </c>
      <c r="G73" s="4">
        <v>6.6600000000000006E-2</v>
      </c>
    </row>
    <row r="74" spans="1:7" ht="30" hidden="1" outlineLevel="4">
      <c r="A74" s="3" t="s">
        <v>14</v>
      </c>
      <c r="B74" s="3" t="s">
        <v>82</v>
      </c>
      <c r="C74" s="3"/>
      <c r="D74" s="3" t="s">
        <v>48</v>
      </c>
      <c r="E74" s="3" t="s">
        <v>248</v>
      </c>
      <c r="F74" s="3" t="s">
        <v>14</v>
      </c>
      <c r="G74" s="3">
        <f>SUM(G72*G73)</f>
        <v>32.18862772319617</v>
      </c>
    </row>
    <row r="75" spans="1:7" ht="30" hidden="1" outlineLevel="4">
      <c r="A75" s="3" t="s">
        <v>11</v>
      </c>
      <c r="B75" s="3" t="s">
        <v>82</v>
      </c>
      <c r="C75" s="3"/>
      <c r="D75" s="3"/>
      <c r="E75" s="3" t="s">
        <v>249</v>
      </c>
      <c r="F75" s="3" t="s">
        <v>14</v>
      </c>
      <c r="G75" s="3">
        <v>0.01</v>
      </c>
    </row>
    <row r="76" spans="1:7" ht="30" hidden="1" outlineLevel="4">
      <c r="A76" s="3" t="s">
        <v>14</v>
      </c>
      <c r="B76" s="3" t="s">
        <v>82</v>
      </c>
      <c r="C76" s="3"/>
      <c r="D76" s="3" t="s">
        <v>48</v>
      </c>
      <c r="E76" s="3" t="s">
        <v>250</v>
      </c>
      <c r="F76" s="3" t="s">
        <v>14</v>
      </c>
      <c r="G76" s="3">
        <f>((G69+G74)*G75*44/28*G86)/G7</f>
        <v>1.0501958817208847</v>
      </c>
    </row>
    <row r="77" spans="1:7" ht="30" hidden="1" outlineLevel="4">
      <c r="A77" s="3" t="s">
        <v>11</v>
      </c>
      <c r="B77" s="3" t="s">
        <v>82</v>
      </c>
      <c r="C77" s="3"/>
      <c r="D77" s="3"/>
      <c r="E77" s="3" t="s">
        <v>251</v>
      </c>
      <c r="F77" s="3" t="s">
        <v>14</v>
      </c>
      <c r="G77" s="3">
        <v>0.11</v>
      </c>
    </row>
    <row r="78" spans="1:7" ht="30" hidden="1" outlineLevel="4">
      <c r="A78" s="3" t="s">
        <v>11</v>
      </c>
      <c r="B78" s="3" t="s">
        <v>82</v>
      </c>
      <c r="C78" s="3"/>
      <c r="D78" s="3"/>
      <c r="E78" s="3" t="s">
        <v>252</v>
      </c>
      <c r="F78" s="3" t="s">
        <v>14</v>
      </c>
      <c r="G78" s="3">
        <v>0.21</v>
      </c>
    </row>
    <row r="79" spans="1:7" ht="30" hidden="1" outlineLevel="4">
      <c r="A79" s="3" t="s">
        <v>11</v>
      </c>
      <c r="B79" s="3" t="s">
        <v>82</v>
      </c>
      <c r="C79" s="3"/>
      <c r="D79" s="3"/>
      <c r="E79" s="3" t="s">
        <v>253</v>
      </c>
      <c r="F79" s="3" t="s">
        <v>14</v>
      </c>
      <c r="G79" s="3">
        <v>0.01</v>
      </c>
    </row>
    <row r="80" spans="1:7" ht="45" hidden="1" outlineLevel="4">
      <c r="A80" s="3" t="s">
        <v>14</v>
      </c>
      <c r="B80" s="3" t="s">
        <v>82</v>
      </c>
      <c r="C80" s="3"/>
      <c r="D80" s="3" t="s">
        <v>48</v>
      </c>
      <c r="E80" s="3" t="s">
        <v>254</v>
      </c>
      <c r="F80" s="3" t="s">
        <v>14</v>
      </c>
      <c r="G80" s="3">
        <f>((G69*G77)+(G74*G78))*G79*(44/28)*G86</f>
        <v>146.10648042328191</v>
      </c>
    </row>
    <row r="81" spans="1:7" ht="45" hidden="1" outlineLevel="4">
      <c r="A81" s="3" t="s">
        <v>11</v>
      </c>
      <c r="B81" s="3" t="s">
        <v>82</v>
      </c>
      <c r="C81" s="3"/>
      <c r="D81" s="3"/>
      <c r="E81" s="3" t="s">
        <v>255</v>
      </c>
      <c r="F81" s="3" t="s">
        <v>14</v>
      </c>
      <c r="G81" s="3">
        <v>0.24</v>
      </c>
    </row>
    <row r="82" spans="1:7" ht="30" hidden="1" outlineLevel="4">
      <c r="A82" s="3" t="s">
        <v>11</v>
      </c>
      <c r="B82" s="3" t="s">
        <v>82</v>
      </c>
      <c r="C82" s="3"/>
      <c r="D82" s="3"/>
      <c r="E82" s="3" t="s">
        <v>256</v>
      </c>
      <c r="F82" s="3" t="s">
        <v>14</v>
      </c>
      <c r="G82" s="3">
        <v>1.0999999999999999E-2</v>
      </c>
    </row>
    <row r="83" spans="1:7" ht="45" hidden="1" outlineLevel="4">
      <c r="A83" s="3" t="s">
        <v>14</v>
      </c>
      <c r="B83" s="3" t="s">
        <v>82</v>
      </c>
      <c r="C83" s="3"/>
      <c r="D83" s="3" t="s">
        <v>48</v>
      </c>
      <c r="E83" s="3" t="s">
        <v>257</v>
      </c>
      <c r="F83" s="3" t="s">
        <v>14</v>
      </c>
      <c r="G83" s="3">
        <f>(G69+G74)*G81*G82*(44/28)*G86</f>
        <v>318.48531879423649</v>
      </c>
    </row>
    <row r="84" spans="1:7" ht="30" hidden="1" outlineLevel="4">
      <c r="A84" s="3" t="s">
        <v>14</v>
      </c>
      <c r="B84" s="3" t="s">
        <v>82</v>
      </c>
      <c r="C84" s="3"/>
      <c r="D84" s="3" t="s">
        <v>48</v>
      </c>
      <c r="E84" s="3" t="s">
        <v>258</v>
      </c>
      <c r="F84" s="3" t="s">
        <v>14</v>
      </c>
      <c r="G84" s="3">
        <f>(G80+G83)/G7</f>
        <v>0.40444210289384297</v>
      </c>
    </row>
    <row r="85" spans="1:7" ht="30" hidden="1" outlineLevel="4">
      <c r="A85" s="3" t="s">
        <v>14</v>
      </c>
      <c r="B85" s="3" t="s">
        <v>82</v>
      </c>
      <c r="C85" s="3"/>
      <c r="D85" s="3" t="s">
        <v>48</v>
      </c>
      <c r="E85" s="3" t="s">
        <v>259</v>
      </c>
      <c r="F85" s="3" t="s">
        <v>14</v>
      </c>
      <c r="G85" s="3">
        <f>G76+G84</f>
        <v>1.4546379846147277</v>
      </c>
    </row>
    <row r="86" spans="1:7" hidden="1" outlineLevel="4">
      <c r="A86" s="3" t="s">
        <v>11</v>
      </c>
      <c r="B86" s="3" t="s">
        <v>82</v>
      </c>
      <c r="C86" s="3"/>
      <c r="D86" s="3"/>
      <c r="E86" s="3" t="s">
        <v>114</v>
      </c>
      <c r="F86" s="3" t="s">
        <v>14</v>
      </c>
      <c r="G86" s="3">
        <v>265</v>
      </c>
    </row>
    <row r="87" spans="1:7" outlineLevel="3" collapsed="1">
      <c r="A87" s="3" t="s">
        <v>14</v>
      </c>
      <c r="B87" s="9" t="s">
        <v>260</v>
      </c>
      <c r="C87" s="3"/>
      <c r="D87" s="3"/>
      <c r="E87" s="3" t="s">
        <v>261</v>
      </c>
      <c r="F87" s="3" t="s">
        <v>14</v>
      </c>
      <c r="G87" s="3"/>
    </row>
    <row r="88" spans="1:7" hidden="1" outlineLevel="4">
      <c r="A88" s="3" t="s">
        <v>11</v>
      </c>
      <c r="B88" s="10" t="s">
        <v>262</v>
      </c>
      <c r="C88" s="3"/>
      <c r="D88" s="3"/>
      <c r="E88" s="3" t="s">
        <v>263</v>
      </c>
      <c r="F88" s="3" t="s">
        <v>11</v>
      </c>
      <c r="G88" s="3"/>
    </row>
    <row r="89" spans="1:7" hidden="1" outlineLevel="5">
      <c r="A89" s="4" t="s">
        <v>11</v>
      </c>
      <c r="B89" s="4" t="s">
        <v>46</v>
      </c>
      <c r="C89" s="5"/>
      <c r="D89" s="8"/>
      <c r="E89" s="4" t="s">
        <v>264</v>
      </c>
      <c r="F89" s="4" t="s">
        <v>14</v>
      </c>
      <c r="G89" s="4" t="s">
        <v>198</v>
      </c>
    </row>
    <row r="90" spans="1:7" ht="30" hidden="1" outlineLevel="5">
      <c r="A90" s="4" t="s">
        <v>11</v>
      </c>
      <c r="B90" s="4" t="s">
        <v>82</v>
      </c>
      <c r="C90" s="5"/>
      <c r="D90" s="8"/>
      <c r="E90" s="4" t="s">
        <v>201</v>
      </c>
      <c r="F90" s="4" t="s">
        <v>14</v>
      </c>
      <c r="G90" s="4">
        <v>160</v>
      </c>
    </row>
    <row r="91" spans="1:7" hidden="1" outlineLevel="5">
      <c r="A91" s="4" t="s">
        <v>11</v>
      </c>
      <c r="B91" s="4" t="s">
        <v>46</v>
      </c>
      <c r="C91" s="5" t="s">
        <v>47</v>
      </c>
      <c r="D91" s="8"/>
      <c r="E91" s="4" t="s">
        <v>199</v>
      </c>
      <c r="F91" s="4" t="s">
        <v>14</v>
      </c>
      <c r="G91" s="4" t="s">
        <v>200</v>
      </c>
    </row>
    <row r="92" spans="1:7" hidden="1" outlineLevel="5">
      <c r="A92" s="4" t="s">
        <v>11</v>
      </c>
      <c r="B92" s="4" t="s">
        <v>46</v>
      </c>
      <c r="C92" s="5"/>
      <c r="D92" s="8"/>
      <c r="E92" s="4" t="s">
        <v>265</v>
      </c>
      <c r="F92" s="4" t="s">
        <v>14</v>
      </c>
      <c r="G92" s="4" t="s">
        <v>266</v>
      </c>
    </row>
    <row r="93" spans="1:7" ht="45" hidden="1" outlineLevel="5">
      <c r="A93" s="4" t="s">
        <v>14</v>
      </c>
      <c r="B93" s="4" t="s">
        <v>82</v>
      </c>
      <c r="C93" s="5"/>
      <c r="D93" s="8"/>
      <c r="E93" s="4" t="s">
        <v>267</v>
      </c>
      <c r="F93" s="4" t="s">
        <v>14</v>
      </c>
      <c r="G93" s="4">
        <v>1</v>
      </c>
    </row>
    <row r="94" spans="1:7" ht="30" hidden="1" outlineLevel="5">
      <c r="A94" s="4" t="s">
        <v>11</v>
      </c>
      <c r="B94" s="4"/>
      <c r="C94" s="5"/>
      <c r="D94" s="8"/>
      <c r="E94" s="4" t="s">
        <v>268</v>
      </c>
      <c r="F94" s="4" t="s">
        <v>11</v>
      </c>
      <c r="G94" s="4">
        <v>3.504</v>
      </c>
    </row>
    <row r="95" spans="1:7" ht="30" hidden="1" outlineLevel="5">
      <c r="A95" s="4" t="s">
        <v>11</v>
      </c>
      <c r="B95" s="4" t="s">
        <v>82</v>
      </c>
      <c r="C95" s="5"/>
      <c r="D95" s="8"/>
      <c r="E95" s="4" t="s">
        <v>269</v>
      </c>
      <c r="F95" s="4" t="s">
        <v>14</v>
      </c>
      <c r="G95" s="4">
        <v>3.0000000000000001E-3</v>
      </c>
    </row>
    <row r="96" spans="1:7" ht="30" hidden="1" outlineLevel="5">
      <c r="A96" s="4" t="s">
        <v>11</v>
      </c>
      <c r="B96" s="4" t="s">
        <v>82</v>
      </c>
      <c r="C96" s="5"/>
      <c r="D96" s="8"/>
      <c r="E96" s="4" t="s">
        <v>270</v>
      </c>
      <c r="F96" s="4" t="s">
        <v>14</v>
      </c>
      <c r="G96" s="4">
        <v>1</v>
      </c>
    </row>
    <row r="97" spans="1:7" ht="30" hidden="1" outlineLevel="5">
      <c r="A97" s="4" t="s">
        <v>14</v>
      </c>
      <c r="B97" s="4" t="s">
        <v>82</v>
      </c>
      <c r="C97" s="5"/>
      <c r="D97" s="8" t="s">
        <v>48</v>
      </c>
      <c r="E97" s="4" t="s">
        <v>271</v>
      </c>
      <c r="F97" s="4" t="s">
        <v>14</v>
      </c>
      <c r="G97" s="4">
        <f>(G90*G94)*G93*G96/1000</f>
        <v>0.56064000000000003</v>
      </c>
    </row>
    <row r="98" spans="1:7" ht="45" hidden="1" outlineLevel="5">
      <c r="A98" s="4"/>
      <c r="B98" s="4" t="s">
        <v>82</v>
      </c>
      <c r="C98" s="5"/>
      <c r="D98" s="8"/>
      <c r="E98" s="4" t="s">
        <v>255</v>
      </c>
      <c r="F98" s="4" t="s">
        <v>14</v>
      </c>
      <c r="G98" s="4">
        <v>0.24</v>
      </c>
    </row>
    <row r="99" spans="1:7" ht="30" hidden="1" outlineLevel="5">
      <c r="A99" s="4" t="s">
        <v>11</v>
      </c>
      <c r="B99" s="4" t="s">
        <v>82</v>
      </c>
      <c r="C99" s="5"/>
      <c r="D99" s="8"/>
      <c r="E99" s="4" t="s">
        <v>252</v>
      </c>
      <c r="F99" s="4" t="s">
        <v>14</v>
      </c>
      <c r="G99" s="4">
        <v>0.21</v>
      </c>
    </row>
    <row r="100" spans="1:7" ht="30" hidden="1" outlineLevel="5">
      <c r="A100" s="4" t="s">
        <v>11</v>
      </c>
      <c r="B100" s="4" t="s">
        <v>82</v>
      </c>
      <c r="C100" s="5"/>
      <c r="D100" s="8"/>
      <c r="E100" s="4" t="s">
        <v>256</v>
      </c>
      <c r="F100" s="4" t="s">
        <v>14</v>
      </c>
      <c r="G100" s="4">
        <v>1.0999999999999999E-2</v>
      </c>
    </row>
    <row r="101" spans="1:7" ht="30" hidden="1" outlineLevel="5">
      <c r="A101" s="4" t="s">
        <v>11</v>
      </c>
      <c r="B101" s="4" t="s">
        <v>82</v>
      </c>
      <c r="C101" s="5"/>
      <c r="D101" s="8"/>
      <c r="E101" s="4" t="s">
        <v>253</v>
      </c>
      <c r="F101" s="4" t="s">
        <v>14</v>
      </c>
      <c r="G101" s="4">
        <v>0.01</v>
      </c>
    </row>
    <row r="102" spans="1:7" ht="75" hidden="1" outlineLevel="5">
      <c r="A102" s="4" t="s">
        <v>14</v>
      </c>
      <c r="B102" s="4" t="s">
        <v>82</v>
      </c>
      <c r="C102" s="5"/>
      <c r="D102" s="8" t="s">
        <v>48</v>
      </c>
      <c r="E102" s="4" t="s">
        <v>272</v>
      </c>
      <c r="F102" s="4" t="s">
        <v>14</v>
      </c>
      <c r="G102" s="4">
        <f>G97*G98*G100*(44/28)*G107</f>
        <v>0.6163515977142856</v>
      </c>
    </row>
    <row r="103" spans="1:7" ht="45" hidden="1" outlineLevel="5">
      <c r="A103" s="4" t="s">
        <v>14</v>
      </c>
      <c r="B103" s="4" t="s">
        <v>82</v>
      </c>
      <c r="C103" s="5"/>
      <c r="D103" s="8" t="s">
        <v>48</v>
      </c>
      <c r="E103" s="4" t="s">
        <v>273</v>
      </c>
      <c r="F103" s="4" t="s">
        <v>14</v>
      </c>
      <c r="G103" s="4">
        <f>G97*G99*G101*(44/28)*G107</f>
        <v>0.49027968000000005</v>
      </c>
    </row>
    <row r="104" spans="1:7" ht="45" hidden="1" outlineLevel="4">
      <c r="A104" s="3" t="s">
        <v>14</v>
      </c>
      <c r="B104" s="3" t="s">
        <v>82</v>
      </c>
      <c r="C104" s="3"/>
      <c r="D104" s="3" t="s">
        <v>48</v>
      </c>
      <c r="E104" s="3" t="s">
        <v>274</v>
      </c>
      <c r="F104" s="3" t="s">
        <v>14</v>
      </c>
      <c r="G104" s="3">
        <f>SUM(G97*G95*(44/28)*G107)/G7</f>
        <v>6.0972032751358094E-4</v>
      </c>
    </row>
    <row r="105" spans="1:7" ht="30" hidden="1" outlineLevel="4">
      <c r="A105" s="3" t="s">
        <v>14</v>
      </c>
      <c r="B105" s="3" t="s">
        <v>82</v>
      </c>
      <c r="C105" s="3"/>
      <c r="D105" s="3" t="s">
        <v>48</v>
      </c>
      <c r="E105" s="3" t="s">
        <v>275</v>
      </c>
      <c r="F105" s="3" t="s">
        <v>14</v>
      </c>
      <c r="G105" s="3">
        <f>(G103+G102)/G7</f>
        <v>9.6335811747145779E-4</v>
      </c>
    </row>
    <row r="106" spans="1:7" ht="30" hidden="1" outlineLevel="4">
      <c r="A106" s="3" t="s">
        <v>14</v>
      </c>
      <c r="B106" s="3" t="s">
        <v>82</v>
      </c>
      <c r="C106" s="3"/>
      <c r="D106" s="3" t="s">
        <v>48</v>
      </c>
      <c r="E106" s="3" t="s">
        <v>276</v>
      </c>
      <c r="F106" s="3" t="s">
        <v>14</v>
      </c>
      <c r="G106" s="3">
        <f>G104+G105</f>
        <v>1.5730784449850387E-3</v>
      </c>
    </row>
    <row r="107" spans="1:7" hidden="1" outlineLevel="4">
      <c r="A107" s="3" t="s">
        <v>11</v>
      </c>
      <c r="B107" s="3" t="s">
        <v>82</v>
      </c>
      <c r="C107" s="3"/>
      <c r="D107" s="3"/>
      <c r="E107" s="3" t="s">
        <v>114</v>
      </c>
      <c r="F107" s="3" t="s">
        <v>14</v>
      </c>
      <c r="G107" s="3">
        <v>265</v>
      </c>
    </row>
    <row r="108" spans="1:7" outlineLevel="3" collapsed="1">
      <c r="A108" s="3" t="s">
        <v>14</v>
      </c>
      <c r="B108" s="9" t="s">
        <v>277</v>
      </c>
      <c r="C108" s="3"/>
      <c r="D108" s="3"/>
      <c r="E108" s="3" t="s">
        <v>278</v>
      </c>
      <c r="F108" s="3" t="s">
        <v>14</v>
      </c>
      <c r="G108" s="3"/>
    </row>
    <row r="109" spans="1:7" hidden="1" outlineLevel="4">
      <c r="A109" s="3" t="s">
        <v>11</v>
      </c>
      <c r="B109" s="10" t="s">
        <v>279</v>
      </c>
      <c r="C109" s="3"/>
      <c r="D109" s="3"/>
      <c r="E109" s="3" t="s">
        <v>280</v>
      </c>
      <c r="F109" s="3" t="s">
        <v>11</v>
      </c>
      <c r="G109" s="3"/>
    </row>
    <row r="110" spans="1:7" hidden="1" outlineLevel="5">
      <c r="A110" s="4" t="s">
        <v>11</v>
      </c>
      <c r="B110" s="4" t="s">
        <v>46</v>
      </c>
      <c r="C110" s="5"/>
      <c r="D110" s="8"/>
      <c r="E110" s="4" t="s">
        <v>281</v>
      </c>
      <c r="F110" s="4" t="s">
        <v>14</v>
      </c>
      <c r="G110" s="4" t="s">
        <v>282</v>
      </c>
    </row>
    <row r="111" spans="1:7" ht="30" hidden="1" outlineLevel="5">
      <c r="A111" s="4" t="s">
        <v>11</v>
      </c>
      <c r="B111" s="4" t="s">
        <v>82</v>
      </c>
      <c r="C111" s="5"/>
      <c r="D111" s="8"/>
      <c r="E111" s="4" t="s">
        <v>283</v>
      </c>
      <c r="F111" s="4" t="s">
        <v>14</v>
      </c>
      <c r="G111" s="4">
        <v>10000</v>
      </c>
    </row>
    <row r="112" spans="1:7" hidden="1" outlineLevel="5">
      <c r="A112" s="4" t="s">
        <v>11</v>
      </c>
      <c r="B112" s="4" t="s">
        <v>82</v>
      </c>
      <c r="C112" s="5" t="s">
        <v>47</v>
      </c>
      <c r="D112" s="8"/>
      <c r="E112" s="4" t="s">
        <v>284</v>
      </c>
      <c r="F112" s="4" t="s">
        <v>14</v>
      </c>
      <c r="G112" s="4">
        <v>8.0000000000000002E-3</v>
      </c>
    </row>
    <row r="113" spans="1:7" hidden="1" outlineLevel="4">
      <c r="A113" s="3" t="s">
        <v>11</v>
      </c>
      <c r="B113" s="3" t="s">
        <v>82</v>
      </c>
      <c r="C113" s="3"/>
      <c r="D113" s="3"/>
      <c r="E113" s="3" t="s">
        <v>240</v>
      </c>
      <c r="F113" s="3" t="s">
        <v>14</v>
      </c>
      <c r="G113" s="3">
        <v>0.01</v>
      </c>
    </row>
    <row r="114" spans="1:7" ht="30" hidden="1" outlineLevel="4">
      <c r="A114" s="3" t="s">
        <v>14</v>
      </c>
      <c r="B114" s="3" t="s">
        <v>82</v>
      </c>
      <c r="C114" s="3"/>
      <c r="D114" s="3" t="s">
        <v>48</v>
      </c>
      <c r="E114" s="3" t="s">
        <v>285</v>
      </c>
      <c r="F114" s="3" t="s">
        <v>14</v>
      </c>
      <c r="G114" s="3">
        <f>SUM(G111*G112)</f>
        <v>80</v>
      </c>
    </row>
    <row r="115" spans="1:7" ht="45" hidden="1" outlineLevel="4">
      <c r="A115" s="3" t="s">
        <v>11</v>
      </c>
      <c r="B115" s="10"/>
      <c r="C115" s="3"/>
      <c r="D115" s="3" t="s">
        <v>48</v>
      </c>
      <c r="E115" s="3" t="s">
        <v>286</v>
      </c>
      <c r="F115" s="3" t="s">
        <v>11</v>
      </c>
      <c r="G115" s="3">
        <f>(G114*G113*(44/28)*G116)/G7</f>
        <v>0.29001157130592697</v>
      </c>
    </row>
    <row r="116" spans="1:7" hidden="1" outlineLevel="4">
      <c r="A116" s="3" t="s">
        <v>11</v>
      </c>
      <c r="B116" s="3" t="s">
        <v>82</v>
      </c>
      <c r="C116" s="3"/>
      <c r="D116" s="3"/>
      <c r="E116" s="3" t="s">
        <v>114</v>
      </c>
      <c r="F116" s="3" t="s">
        <v>14</v>
      </c>
      <c r="G116" s="3">
        <v>265</v>
      </c>
    </row>
    <row r="117" spans="1:7" outlineLevel="3" collapsed="1">
      <c r="A117" s="3" t="s">
        <v>14</v>
      </c>
      <c r="B117" s="10" t="s">
        <v>287</v>
      </c>
      <c r="C117" s="3"/>
      <c r="D117" s="3"/>
      <c r="E117" s="3" t="s">
        <v>288</v>
      </c>
      <c r="F117" s="3" t="s">
        <v>14</v>
      </c>
      <c r="G117" s="3"/>
    </row>
    <row r="118" spans="1:7" hidden="1" outlineLevel="5">
      <c r="A118" s="3" t="s">
        <v>11</v>
      </c>
      <c r="B118" s="10" t="s">
        <v>289</v>
      </c>
      <c r="C118" s="3"/>
      <c r="D118" s="3"/>
      <c r="E118" s="3" t="s">
        <v>290</v>
      </c>
      <c r="F118" s="3" t="s">
        <v>11</v>
      </c>
      <c r="G118" s="3"/>
    </row>
    <row r="119" spans="1:7" hidden="1" outlineLevel="6">
      <c r="A119" s="4" t="s">
        <v>11</v>
      </c>
      <c r="B119" s="4" t="s">
        <v>46</v>
      </c>
      <c r="C119" s="5" t="s">
        <v>47</v>
      </c>
      <c r="D119" s="8"/>
      <c r="E119" s="4" t="s">
        <v>225</v>
      </c>
      <c r="F119" s="4" t="s">
        <v>14</v>
      </c>
      <c r="G119" s="4" t="s">
        <v>226</v>
      </c>
    </row>
    <row r="120" spans="1:7" ht="30" hidden="1" outlineLevel="6">
      <c r="A120" s="4" t="s">
        <v>11</v>
      </c>
      <c r="B120" s="4" t="s">
        <v>82</v>
      </c>
      <c r="C120" s="5"/>
      <c r="D120" s="8"/>
      <c r="E120" s="4" t="s">
        <v>227</v>
      </c>
      <c r="F120" s="4" t="s">
        <v>14</v>
      </c>
      <c r="G120" s="4">
        <v>0.92</v>
      </c>
    </row>
    <row r="121" spans="1:7" ht="30" hidden="1" outlineLevel="6">
      <c r="A121" s="4" t="s">
        <v>11</v>
      </c>
      <c r="B121" s="4" t="s">
        <v>82</v>
      </c>
      <c r="C121" s="5"/>
      <c r="D121" s="8"/>
      <c r="E121" s="4" t="s">
        <v>291</v>
      </c>
      <c r="F121" s="4" t="s">
        <v>14</v>
      </c>
      <c r="G121" s="4">
        <v>0.21</v>
      </c>
    </row>
    <row r="122" spans="1:7" ht="30" hidden="1" outlineLevel="6">
      <c r="A122" s="4" t="s">
        <v>11</v>
      </c>
      <c r="B122" s="4" t="s">
        <v>82</v>
      </c>
      <c r="C122" s="5"/>
      <c r="D122" s="8"/>
      <c r="E122" s="4" t="s">
        <v>229</v>
      </c>
      <c r="F122" s="4" t="s">
        <v>14</v>
      </c>
      <c r="G122" s="4">
        <v>1423149.0296307299</v>
      </c>
    </row>
    <row r="123" spans="1:7" ht="18" hidden="1" outlineLevel="6">
      <c r="A123" s="4" t="s">
        <v>14</v>
      </c>
      <c r="B123" s="4" t="s">
        <v>82</v>
      </c>
      <c r="C123" s="5"/>
      <c r="D123" s="8" t="s">
        <v>48</v>
      </c>
      <c r="E123" s="4" t="s">
        <v>292</v>
      </c>
      <c r="F123" s="4" t="s">
        <v>14</v>
      </c>
      <c r="G123" s="4">
        <f>G122*G120*G121</f>
        <v>274952.39252465701</v>
      </c>
    </row>
    <row r="124" spans="1:7" ht="18" hidden="1" outlineLevel="4">
      <c r="A124" s="3" t="s">
        <v>11</v>
      </c>
      <c r="B124" s="3" t="s">
        <v>82</v>
      </c>
      <c r="C124" s="3"/>
      <c r="D124" s="3"/>
      <c r="E124" s="3" t="s">
        <v>293</v>
      </c>
      <c r="F124" s="3" t="s">
        <v>14</v>
      </c>
      <c r="G124" s="3">
        <f>SUM(G123)</f>
        <v>274952.39252465701</v>
      </c>
    </row>
    <row r="125" spans="1:7" ht="30" hidden="1" outlineLevel="4">
      <c r="A125" s="3" t="s">
        <v>14</v>
      </c>
      <c r="B125" s="3" t="s">
        <v>82</v>
      </c>
      <c r="C125" s="3"/>
      <c r="D125" s="3" t="s">
        <v>48</v>
      </c>
      <c r="E125" s="3" t="s">
        <v>294</v>
      </c>
      <c r="F125" s="3" t="s">
        <v>14</v>
      </c>
      <c r="G125" s="3">
        <f>((G126*G124)/G127)/G7</f>
        <v>6.3429048605999822E-2</v>
      </c>
    </row>
    <row r="126" spans="1:7" hidden="1" outlineLevel="4">
      <c r="A126" s="3" t="s">
        <v>11</v>
      </c>
      <c r="B126" s="3" t="s">
        <v>82</v>
      </c>
      <c r="C126" s="3"/>
      <c r="D126" s="3"/>
      <c r="E126" s="3" t="s">
        <v>114</v>
      </c>
      <c r="F126" s="3" t="s">
        <v>14</v>
      </c>
      <c r="G126" s="3">
        <v>265</v>
      </c>
    </row>
    <row r="127" spans="1:7" hidden="1" outlineLevel="4">
      <c r="A127" s="3" t="s">
        <v>14</v>
      </c>
      <c r="B127" s="3" t="s">
        <v>82</v>
      </c>
      <c r="C127" s="3"/>
      <c r="D127" s="3" t="s">
        <v>48</v>
      </c>
      <c r="E127" s="3" t="s">
        <v>220</v>
      </c>
      <c r="F127" s="3" t="s">
        <v>14</v>
      </c>
      <c r="G127" s="3">
        <f>10^6</f>
        <v>1000000</v>
      </c>
    </row>
    <row r="128" spans="1:7" outlineLevel="3">
      <c r="A128" s="3" t="s">
        <v>14</v>
      </c>
      <c r="B128" s="9" t="s">
        <v>295</v>
      </c>
      <c r="C128" s="3"/>
      <c r="D128" s="3"/>
      <c r="E128" s="3" t="s">
        <v>296</v>
      </c>
      <c r="F128" s="3" t="s">
        <v>14</v>
      </c>
      <c r="G128" s="3"/>
    </row>
    <row r="129" spans="1:7" ht="30" outlineLevel="4">
      <c r="A129" s="3" t="s">
        <v>14</v>
      </c>
      <c r="B129" s="3" t="s">
        <v>82</v>
      </c>
      <c r="C129" s="3"/>
      <c r="D129" s="3" t="s">
        <v>48</v>
      </c>
      <c r="E129" s="3" t="s">
        <v>297</v>
      </c>
      <c r="F129" s="3" t="s">
        <v>14</v>
      </c>
      <c r="G129" s="11">
        <f>G85+G106+G115</f>
        <v>1.7462226343656397</v>
      </c>
    </row>
    <row r="130" spans="1:7" outlineLevel="1">
      <c r="A130" s="3" t="s">
        <v>11</v>
      </c>
      <c r="B130" s="9" t="s">
        <v>298</v>
      </c>
      <c r="C130" s="3"/>
      <c r="D130" s="3"/>
      <c r="E130" s="3" t="s">
        <v>299</v>
      </c>
      <c r="F130" s="3" t="s">
        <v>14</v>
      </c>
      <c r="G130" s="3"/>
    </row>
    <row r="131" spans="1:7" outlineLevel="4">
      <c r="A131" s="3" t="s">
        <v>14</v>
      </c>
      <c r="B131" s="9" t="s">
        <v>300</v>
      </c>
      <c r="C131" s="3"/>
      <c r="D131" s="3"/>
      <c r="E131" s="3" t="s">
        <v>301</v>
      </c>
      <c r="F131" s="3" t="s">
        <v>14</v>
      </c>
      <c r="G131" s="3"/>
    </row>
    <row r="132" spans="1:7" outlineLevel="5">
      <c r="A132" s="3" t="s">
        <v>11</v>
      </c>
      <c r="B132" s="10" t="s">
        <v>302</v>
      </c>
      <c r="C132" s="3"/>
      <c r="D132" s="3"/>
      <c r="E132" s="3" t="s">
        <v>303</v>
      </c>
      <c r="F132" s="3" t="s">
        <v>11</v>
      </c>
      <c r="G132" s="3"/>
    </row>
    <row r="133" spans="1:7" outlineLevel="6">
      <c r="A133" s="4" t="s">
        <v>11</v>
      </c>
      <c r="B133" s="4" t="s">
        <v>46</v>
      </c>
      <c r="C133" s="5" t="s">
        <v>47</v>
      </c>
      <c r="D133" s="8"/>
      <c r="E133" s="4" t="s">
        <v>177</v>
      </c>
      <c r="F133" s="4" t="s">
        <v>14</v>
      </c>
      <c r="G133" s="4" t="s">
        <v>178</v>
      </c>
    </row>
    <row r="134" spans="1:7" ht="45" outlineLevel="6">
      <c r="A134" s="4" t="s">
        <v>14</v>
      </c>
      <c r="B134" s="4" t="s">
        <v>82</v>
      </c>
      <c r="C134" s="5" t="s">
        <v>47</v>
      </c>
      <c r="D134" s="8" t="s">
        <v>48</v>
      </c>
      <c r="E134" s="4" t="s">
        <v>304</v>
      </c>
      <c r="F134" s="4" t="s">
        <v>14</v>
      </c>
      <c r="G134" s="4">
        <f>G135*G136</f>
        <v>86.58</v>
      </c>
    </row>
    <row r="135" spans="1:7" outlineLevel="6">
      <c r="A135" s="4" t="s">
        <v>11</v>
      </c>
      <c r="B135" s="4" t="s">
        <v>82</v>
      </c>
      <c r="C135" s="5" t="s">
        <v>47</v>
      </c>
      <c r="D135" s="8"/>
      <c r="E135" s="4" t="s">
        <v>180</v>
      </c>
      <c r="F135" s="4" t="s">
        <v>14</v>
      </c>
      <c r="G135" s="4">
        <v>30000</v>
      </c>
    </row>
    <row r="136" spans="1:7" outlineLevel="6">
      <c r="A136" s="4" t="s">
        <v>11</v>
      </c>
      <c r="B136" s="4" t="s">
        <v>82</v>
      </c>
      <c r="C136" s="5" t="s">
        <v>47</v>
      </c>
      <c r="D136" s="8"/>
      <c r="E136" s="4" t="s">
        <v>181</v>
      </c>
      <c r="F136" s="4" t="s">
        <v>14</v>
      </c>
      <c r="G136" s="4">
        <v>2.8860000000000001E-3</v>
      </c>
    </row>
    <row r="137" spans="1:7" ht="30" outlineLevel="5" collapsed="1">
      <c r="A137" s="3" t="s">
        <v>14</v>
      </c>
      <c r="B137" s="3" t="s">
        <v>82</v>
      </c>
      <c r="C137" s="3" t="s">
        <v>47</v>
      </c>
      <c r="D137" s="3" t="s">
        <v>48</v>
      </c>
      <c r="E137" s="3" t="s">
        <v>305</v>
      </c>
      <c r="F137" s="3" t="s">
        <v>14</v>
      </c>
      <c r="G137" s="3">
        <f>G138/G7</f>
        <v>7.5370674487851674E-2</v>
      </c>
    </row>
    <row r="138" spans="1:7" ht="45" outlineLevel="5">
      <c r="A138" s="3" t="s">
        <v>14</v>
      </c>
      <c r="B138" s="3" t="s">
        <v>82</v>
      </c>
      <c r="C138" s="3"/>
      <c r="D138" s="3" t="s">
        <v>48</v>
      </c>
      <c r="E138" s="3" t="s">
        <v>306</v>
      </c>
      <c r="F138" s="3" t="s">
        <v>14</v>
      </c>
      <c r="G138" s="3">
        <f>SUM(G134)</f>
        <v>86.58</v>
      </c>
    </row>
    <row r="139" spans="1:7" outlineLevel="4">
      <c r="A139" s="3" t="s">
        <v>14</v>
      </c>
      <c r="B139" s="9" t="s">
        <v>307</v>
      </c>
      <c r="C139" s="3"/>
      <c r="D139" s="3"/>
      <c r="E139" s="3" t="s">
        <v>308</v>
      </c>
      <c r="F139" s="3" t="s">
        <v>14</v>
      </c>
      <c r="G139" s="3"/>
    </row>
    <row r="140" spans="1:7" ht="30" outlineLevel="6">
      <c r="A140" s="4" t="s">
        <v>11</v>
      </c>
      <c r="B140" s="4" t="s">
        <v>82</v>
      </c>
      <c r="C140" s="5" t="s">
        <v>47</v>
      </c>
      <c r="D140" s="8"/>
      <c r="E140" s="4" t="s">
        <v>186</v>
      </c>
      <c r="F140" s="4" t="s">
        <v>14</v>
      </c>
      <c r="G140" s="4">
        <v>10</v>
      </c>
    </row>
    <row r="141" spans="1:7" outlineLevel="6">
      <c r="A141" s="4" t="s">
        <v>14</v>
      </c>
      <c r="B141" s="4" t="s">
        <v>82</v>
      </c>
      <c r="C141" s="5"/>
      <c r="D141" s="8" t="s">
        <v>48</v>
      </c>
      <c r="E141" s="4" t="s">
        <v>187</v>
      </c>
      <c r="F141" s="4" t="s">
        <v>14</v>
      </c>
      <c r="G141" s="4">
        <f>0.12</f>
        <v>0.12</v>
      </c>
    </row>
    <row r="142" spans="1:7" ht="30" outlineLevel="6">
      <c r="A142" s="4" t="s">
        <v>11</v>
      </c>
      <c r="B142" s="4" t="s">
        <v>82</v>
      </c>
      <c r="C142" s="5"/>
      <c r="D142" s="8"/>
      <c r="E142" s="4" t="s">
        <v>188</v>
      </c>
      <c r="F142" s="4" t="s">
        <v>14</v>
      </c>
      <c r="G142" s="4">
        <v>5</v>
      </c>
    </row>
    <row r="143" spans="1:7" outlineLevel="6">
      <c r="A143" s="4" t="s">
        <v>14</v>
      </c>
      <c r="B143" s="4" t="s">
        <v>82</v>
      </c>
      <c r="C143" s="5"/>
      <c r="D143" s="8" t="s">
        <v>48</v>
      </c>
      <c r="E143" s="4" t="s">
        <v>189</v>
      </c>
      <c r="F143" s="4" t="s">
        <v>14</v>
      </c>
      <c r="G143" s="4">
        <f>0.13</f>
        <v>0.13</v>
      </c>
    </row>
    <row r="144" spans="1:7" ht="30" outlineLevel="6">
      <c r="A144" s="4" t="s">
        <v>14</v>
      </c>
      <c r="B144" s="4" t="s">
        <v>82</v>
      </c>
      <c r="C144" s="5"/>
      <c r="D144" s="8" t="s">
        <v>48</v>
      </c>
      <c r="E144" s="4" t="s">
        <v>309</v>
      </c>
      <c r="F144" s="4" t="s">
        <v>14</v>
      </c>
      <c r="G144" s="4">
        <f>((G140*G141)+(G142*G143))*G146</f>
        <v>6.7833333333333332</v>
      </c>
    </row>
    <row r="145" spans="1:7" ht="30" outlineLevel="6">
      <c r="A145" s="4" t="s">
        <v>14</v>
      </c>
      <c r="B145" s="4" t="s">
        <v>82</v>
      </c>
      <c r="C145" s="5"/>
      <c r="D145" s="8" t="s">
        <v>48</v>
      </c>
      <c r="E145" s="4" t="s">
        <v>310</v>
      </c>
      <c r="F145" s="4" t="s">
        <v>14</v>
      </c>
      <c r="G145" s="4">
        <f>G144/G7</f>
        <v>5.9051098245467837E-3</v>
      </c>
    </row>
    <row r="146" spans="1:7" ht="30" outlineLevel="6">
      <c r="A146" s="4" t="s">
        <v>14</v>
      </c>
      <c r="B146" s="4" t="s">
        <v>82</v>
      </c>
      <c r="C146" s="5"/>
      <c r="D146" s="8" t="s">
        <v>48</v>
      </c>
      <c r="E146" s="4" t="s">
        <v>192</v>
      </c>
      <c r="F146" s="4" t="s">
        <v>14</v>
      </c>
      <c r="G146" s="4">
        <f>44/12</f>
        <v>3.6666666666666665</v>
      </c>
    </row>
    <row r="147" spans="1:7" outlineLevel="4">
      <c r="A147" s="3" t="s">
        <v>14</v>
      </c>
      <c r="B147" s="9" t="s">
        <v>311</v>
      </c>
      <c r="C147" s="3"/>
      <c r="D147" s="3"/>
      <c r="E147" s="3" t="s">
        <v>312</v>
      </c>
      <c r="F147" s="3" t="s">
        <v>14</v>
      </c>
      <c r="G147" s="3"/>
    </row>
    <row r="148" spans="1:7" outlineLevel="5">
      <c r="A148" s="3" t="s">
        <v>11</v>
      </c>
      <c r="B148" s="10" t="s">
        <v>313</v>
      </c>
      <c r="C148" s="3"/>
      <c r="D148" s="3"/>
      <c r="E148" s="3" t="s">
        <v>314</v>
      </c>
      <c r="F148" s="3" t="s">
        <v>11</v>
      </c>
      <c r="G148" s="3"/>
    </row>
    <row r="149" spans="1:7" outlineLevel="6">
      <c r="A149" s="4" t="s">
        <v>11</v>
      </c>
      <c r="B149" s="4" t="s">
        <v>46</v>
      </c>
      <c r="C149" s="5" t="s">
        <v>47</v>
      </c>
      <c r="D149" s="8"/>
      <c r="E149" s="4" t="s">
        <v>197</v>
      </c>
      <c r="F149" s="4" t="s">
        <v>14</v>
      </c>
      <c r="G149" s="4" t="s">
        <v>198</v>
      </c>
    </row>
    <row r="150" spans="1:7" outlineLevel="6">
      <c r="A150" s="4" t="s">
        <v>11</v>
      </c>
      <c r="B150" s="4" t="s">
        <v>46</v>
      </c>
      <c r="C150" s="5"/>
      <c r="D150" s="8"/>
      <c r="E150" s="4" t="s">
        <v>199</v>
      </c>
      <c r="F150" s="4" t="s">
        <v>14</v>
      </c>
      <c r="G150" s="4" t="s">
        <v>200</v>
      </c>
    </row>
    <row r="151" spans="1:7" ht="30" outlineLevel="6">
      <c r="A151" s="4" t="s">
        <v>11</v>
      </c>
      <c r="B151" s="4" t="s">
        <v>82</v>
      </c>
      <c r="C151" s="5"/>
      <c r="D151" s="8"/>
      <c r="E151" s="4" t="s">
        <v>315</v>
      </c>
      <c r="F151" s="4" t="s">
        <v>14</v>
      </c>
      <c r="G151" s="4">
        <v>160</v>
      </c>
    </row>
    <row r="152" spans="1:7" ht="30" outlineLevel="6">
      <c r="A152" s="4" t="s">
        <v>11</v>
      </c>
      <c r="B152" s="4" t="s">
        <v>82</v>
      </c>
      <c r="C152" s="5"/>
      <c r="D152" s="8"/>
      <c r="E152" s="4" t="s">
        <v>202</v>
      </c>
      <c r="F152" s="4" t="s">
        <v>14</v>
      </c>
      <c r="G152" s="4">
        <v>5.9951801952627202</v>
      </c>
    </row>
    <row r="153" spans="1:7" ht="30" outlineLevel="6">
      <c r="A153" s="4" t="s">
        <v>14</v>
      </c>
      <c r="B153" s="4" t="s">
        <v>82</v>
      </c>
      <c r="C153" s="5"/>
      <c r="D153" s="8" t="s">
        <v>48</v>
      </c>
      <c r="E153" s="4" t="s">
        <v>309</v>
      </c>
      <c r="F153" s="4" t="s">
        <v>14</v>
      </c>
      <c r="G153" s="4">
        <f>G151*G152</f>
        <v>959.2288312420352</v>
      </c>
    </row>
    <row r="154" spans="1:7" ht="30" outlineLevel="5">
      <c r="A154" s="3" t="s">
        <v>14</v>
      </c>
      <c r="B154" s="3" t="s">
        <v>82</v>
      </c>
      <c r="C154" s="3"/>
      <c r="D154" s="3" t="s">
        <v>48</v>
      </c>
      <c r="E154" s="3" t="s">
        <v>310</v>
      </c>
      <c r="F154" s="3" t="s">
        <v>14</v>
      </c>
      <c r="G154" s="3">
        <f>SUM(G153)</f>
        <v>959.2288312420352</v>
      </c>
    </row>
    <row r="155" spans="1:7" ht="30" outlineLevel="5">
      <c r="A155" s="3" t="s">
        <v>14</v>
      </c>
      <c r="B155" s="3" t="s">
        <v>82</v>
      </c>
      <c r="C155" s="3"/>
      <c r="D155" s="3" t="s">
        <v>48</v>
      </c>
      <c r="E155" s="3" t="s">
        <v>316</v>
      </c>
      <c r="F155" s="3" t="s">
        <v>14</v>
      </c>
      <c r="G155" s="3">
        <f>((G157*G154)/G156)/G7</f>
        <v>2.3381107322353472E-2</v>
      </c>
    </row>
    <row r="156" spans="1:7" outlineLevel="5">
      <c r="A156" s="3" t="s">
        <v>14</v>
      </c>
      <c r="B156" s="3" t="s">
        <v>82</v>
      </c>
      <c r="C156" s="3"/>
      <c r="D156" s="3" t="s">
        <v>48</v>
      </c>
      <c r="E156" s="3" t="s">
        <v>204</v>
      </c>
      <c r="F156" s="3" t="s">
        <v>14</v>
      </c>
      <c r="G156" s="3">
        <f>1000</f>
        <v>1000</v>
      </c>
    </row>
    <row r="157" spans="1:7" outlineLevel="5">
      <c r="A157" s="3" t="s">
        <v>11</v>
      </c>
      <c r="B157" s="3" t="s">
        <v>82</v>
      </c>
      <c r="C157" s="3"/>
      <c r="D157" s="3"/>
      <c r="E157" s="3" t="s">
        <v>96</v>
      </c>
      <c r="F157" s="3" t="s">
        <v>14</v>
      </c>
      <c r="G157" s="3">
        <v>28</v>
      </c>
    </row>
    <row r="158" spans="1:7" outlineLevel="4">
      <c r="A158" s="3" t="s">
        <v>14</v>
      </c>
      <c r="B158" s="9" t="s">
        <v>317</v>
      </c>
      <c r="C158" s="3"/>
      <c r="D158" s="3"/>
      <c r="E158" s="3" t="s">
        <v>318</v>
      </c>
      <c r="F158" s="3" t="s">
        <v>14</v>
      </c>
      <c r="G158" s="3"/>
    </row>
    <row r="159" spans="1:7" outlineLevel="5">
      <c r="A159" s="3" t="s">
        <v>11</v>
      </c>
      <c r="B159" s="10" t="s">
        <v>319</v>
      </c>
      <c r="C159" s="3"/>
      <c r="D159" s="3"/>
      <c r="E159" s="3" t="s">
        <v>320</v>
      </c>
      <c r="F159" s="3" t="s">
        <v>11</v>
      </c>
      <c r="G159" s="3"/>
    </row>
    <row r="160" spans="1:7" outlineLevel="6">
      <c r="A160" s="4" t="s">
        <v>11</v>
      </c>
      <c r="B160" s="4" t="s">
        <v>46</v>
      </c>
      <c r="C160" s="5" t="s">
        <v>47</v>
      </c>
      <c r="D160" s="8"/>
      <c r="E160" s="4" t="s">
        <v>197</v>
      </c>
      <c r="F160" s="4" t="s">
        <v>14</v>
      </c>
      <c r="G160" s="4" t="s">
        <v>198</v>
      </c>
    </row>
    <row r="161" spans="1:7" outlineLevel="6">
      <c r="A161" s="4" t="s">
        <v>11</v>
      </c>
      <c r="B161" s="4" t="s">
        <v>46</v>
      </c>
      <c r="C161" s="5"/>
      <c r="D161" s="8"/>
      <c r="E161" s="4" t="s">
        <v>199</v>
      </c>
      <c r="F161" s="4" t="s">
        <v>14</v>
      </c>
      <c r="G161" s="4" t="s">
        <v>200</v>
      </c>
    </row>
    <row r="162" spans="1:7" ht="30" outlineLevel="6">
      <c r="A162" s="4" t="s">
        <v>11</v>
      </c>
      <c r="B162" s="4" t="s">
        <v>82</v>
      </c>
      <c r="C162" s="5"/>
      <c r="D162" s="8"/>
      <c r="E162" s="4" t="s">
        <v>315</v>
      </c>
      <c r="F162" s="4" t="s">
        <v>14</v>
      </c>
      <c r="G162" s="4">
        <v>160</v>
      </c>
    </row>
    <row r="163" spans="1:7" outlineLevel="6">
      <c r="A163" s="4" t="s">
        <v>11</v>
      </c>
      <c r="B163" s="4" t="s">
        <v>46</v>
      </c>
      <c r="C163" s="5"/>
      <c r="D163" s="8"/>
      <c r="E163" s="4" t="s">
        <v>209</v>
      </c>
      <c r="F163" s="4" t="s">
        <v>14</v>
      </c>
      <c r="G163" s="4" t="s">
        <v>210</v>
      </c>
    </row>
    <row r="164" spans="1:7" ht="45" outlineLevel="6">
      <c r="A164" s="4" t="s">
        <v>14</v>
      </c>
      <c r="B164" s="4" t="s">
        <v>82</v>
      </c>
      <c r="C164" s="5"/>
      <c r="D164" s="8"/>
      <c r="E164" s="4" t="s">
        <v>211</v>
      </c>
      <c r="F164" s="4" t="s">
        <v>14</v>
      </c>
      <c r="G164" s="4">
        <v>1</v>
      </c>
    </row>
    <row r="165" spans="1:7" ht="30" outlineLevel="6">
      <c r="A165" s="4" t="s">
        <v>11</v>
      </c>
      <c r="B165" s="4" t="s">
        <v>82</v>
      </c>
      <c r="C165" s="5"/>
      <c r="D165" s="8"/>
      <c r="E165" s="4" t="s">
        <v>321</v>
      </c>
      <c r="F165" s="4" t="s">
        <v>14</v>
      </c>
      <c r="G165" s="4">
        <v>30</v>
      </c>
    </row>
    <row r="166" spans="1:7" ht="30" outlineLevel="6">
      <c r="A166" s="4" t="s">
        <v>11</v>
      </c>
      <c r="B166" s="4" t="s">
        <v>82</v>
      </c>
      <c r="C166" s="5"/>
      <c r="D166" s="8"/>
      <c r="E166" s="4" t="s">
        <v>213</v>
      </c>
      <c r="F166" s="4" t="s">
        <v>14</v>
      </c>
      <c r="G166" s="4">
        <v>8.3000000000000007</v>
      </c>
    </row>
    <row r="167" spans="1:7" ht="45" outlineLevel="6">
      <c r="A167" s="4" t="s">
        <v>14</v>
      </c>
      <c r="B167" s="4" t="s">
        <v>82</v>
      </c>
      <c r="C167" s="5"/>
      <c r="D167" s="8"/>
      <c r="E167" s="4" t="s">
        <v>214</v>
      </c>
      <c r="F167" s="4" t="s">
        <v>14</v>
      </c>
      <c r="G167" s="4">
        <v>0.6</v>
      </c>
    </row>
    <row r="168" spans="1:7" ht="45" outlineLevel="6">
      <c r="A168" s="4" t="s">
        <v>14</v>
      </c>
      <c r="B168" s="4" t="s">
        <v>82</v>
      </c>
      <c r="C168" s="5"/>
      <c r="D168" s="8" t="s">
        <v>48</v>
      </c>
      <c r="E168" s="4" t="s">
        <v>215</v>
      </c>
      <c r="F168" s="4" t="s">
        <v>14</v>
      </c>
      <c r="G168" s="4">
        <f>(G166*(G165/G169))*G170</f>
        <v>90.885000000000005</v>
      </c>
    </row>
    <row r="169" spans="1:7" outlineLevel="6">
      <c r="A169" s="4" t="s">
        <v>14</v>
      </c>
      <c r="B169" s="4" t="s">
        <v>82</v>
      </c>
      <c r="C169" s="5"/>
      <c r="D169" s="8" t="s">
        <v>48</v>
      </c>
      <c r="E169" s="4" t="s">
        <v>216</v>
      </c>
      <c r="F169" s="4" t="s">
        <v>14</v>
      </c>
      <c r="G169" s="4">
        <v>1000</v>
      </c>
    </row>
    <row r="170" spans="1:7" outlineLevel="6">
      <c r="A170" s="4" t="s">
        <v>14</v>
      </c>
      <c r="B170" s="4" t="s">
        <v>82</v>
      </c>
      <c r="C170" s="5"/>
      <c r="D170" s="8" t="s">
        <v>48</v>
      </c>
      <c r="E170" s="4" t="s">
        <v>217</v>
      </c>
      <c r="F170" s="4" t="s">
        <v>14</v>
      </c>
      <c r="G170" s="4">
        <f>365</f>
        <v>365</v>
      </c>
    </row>
    <row r="171" spans="1:7" ht="18" outlineLevel="5">
      <c r="A171" s="3" t="s">
        <v>14</v>
      </c>
      <c r="B171" s="3" t="s">
        <v>82</v>
      </c>
      <c r="C171" s="3"/>
      <c r="D171" s="3" t="s">
        <v>48</v>
      </c>
      <c r="E171" s="3" t="s">
        <v>322</v>
      </c>
      <c r="F171" s="3" t="s">
        <v>14</v>
      </c>
      <c r="G171" s="3">
        <f>SUM(G162*G168*G164*G167)</f>
        <v>8724.9599999999991</v>
      </c>
    </row>
    <row r="172" spans="1:7" ht="30" outlineLevel="5">
      <c r="A172" s="3" t="s">
        <v>14</v>
      </c>
      <c r="B172" s="3" t="s">
        <v>82</v>
      </c>
      <c r="C172" s="3"/>
      <c r="D172" s="3" t="s">
        <v>48</v>
      </c>
      <c r="E172" s="3" t="s">
        <v>323</v>
      </c>
      <c r="F172" s="3" t="s">
        <v>14</v>
      </c>
      <c r="G172" s="3">
        <f>G173*G171/(G174*G7)</f>
        <v>2.126700319037507E-4</v>
      </c>
    </row>
    <row r="173" spans="1:7" outlineLevel="5">
      <c r="A173" s="3" t="s">
        <v>11</v>
      </c>
      <c r="B173" s="3" t="s">
        <v>82</v>
      </c>
      <c r="C173" s="3"/>
      <c r="D173" s="3"/>
      <c r="E173" s="3" t="s">
        <v>96</v>
      </c>
      <c r="F173" s="3" t="s">
        <v>14</v>
      </c>
      <c r="G173" s="3">
        <v>28</v>
      </c>
    </row>
    <row r="174" spans="1:7" outlineLevel="5">
      <c r="A174" s="3" t="s">
        <v>14</v>
      </c>
      <c r="B174" s="3" t="s">
        <v>82</v>
      </c>
      <c r="C174" s="3"/>
      <c r="D174" s="3" t="s">
        <v>48</v>
      </c>
      <c r="E174" s="3" t="s">
        <v>220</v>
      </c>
      <c r="F174" s="3" t="s">
        <v>14</v>
      </c>
      <c r="G174" s="3">
        <f>10^6</f>
        <v>1000000</v>
      </c>
    </row>
    <row r="175" spans="1:7" outlineLevel="4">
      <c r="A175" s="3" t="s">
        <v>14</v>
      </c>
      <c r="B175" s="9" t="s">
        <v>324</v>
      </c>
      <c r="C175" s="3"/>
      <c r="D175" s="3"/>
      <c r="E175" s="3" t="s">
        <v>325</v>
      </c>
      <c r="F175" s="3" t="s">
        <v>14</v>
      </c>
      <c r="G175" s="3"/>
    </row>
    <row r="176" spans="1:7" outlineLevel="5">
      <c r="A176" s="3" t="s">
        <v>11</v>
      </c>
      <c r="B176" s="10" t="s">
        <v>326</v>
      </c>
      <c r="C176" s="3"/>
      <c r="D176" s="3"/>
      <c r="E176" s="3" t="s">
        <v>327</v>
      </c>
      <c r="F176" s="3" t="s">
        <v>11</v>
      </c>
      <c r="G176" s="3"/>
    </row>
    <row r="177" spans="1:7" outlineLevel="6">
      <c r="A177" s="4" t="s">
        <v>11</v>
      </c>
      <c r="B177" s="4" t="s">
        <v>46</v>
      </c>
      <c r="C177" s="5" t="s">
        <v>47</v>
      </c>
      <c r="D177" s="8"/>
      <c r="E177" s="4" t="s">
        <v>225</v>
      </c>
      <c r="F177" s="4" t="s">
        <v>14</v>
      </c>
      <c r="G177" s="4" t="s">
        <v>226</v>
      </c>
    </row>
    <row r="178" spans="1:7" ht="30" outlineLevel="6">
      <c r="A178" s="4" t="s">
        <v>11</v>
      </c>
      <c r="B178" s="4" t="s">
        <v>82</v>
      </c>
      <c r="C178" s="5"/>
      <c r="D178" s="8"/>
      <c r="E178" s="4" t="s">
        <v>227</v>
      </c>
      <c r="F178" s="4" t="s">
        <v>14</v>
      </c>
      <c r="G178" s="4">
        <v>0.92</v>
      </c>
    </row>
    <row r="179" spans="1:7" ht="30" outlineLevel="6">
      <c r="A179" s="4" t="s">
        <v>11</v>
      </c>
      <c r="B179" s="4" t="s">
        <v>82</v>
      </c>
      <c r="C179" s="5"/>
      <c r="D179" s="8"/>
      <c r="E179" s="4" t="s">
        <v>228</v>
      </c>
      <c r="F179" s="4" t="s">
        <v>14</v>
      </c>
      <c r="G179" s="4">
        <v>2.2999999999999998</v>
      </c>
    </row>
    <row r="180" spans="1:7" ht="30" outlineLevel="6">
      <c r="A180" s="4" t="s">
        <v>11</v>
      </c>
      <c r="B180" s="4" t="s">
        <v>82</v>
      </c>
      <c r="C180" s="5"/>
      <c r="D180" s="8"/>
      <c r="E180" s="4" t="s">
        <v>328</v>
      </c>
      <c r="F180" s="4" t="s">
        <v>14</v>
      </c>
      <c r="G180" s="4">
        <v>1423149.0296307299</v>
      </c>
    </row>
    <row r="181" spans="1:7" ht="18" outlineLevel="6">
      <c r="A181" s="4" t="s">
        <v>14</v>
      </c>
      <c r="B181" s="4" t="s">
        <v>82</v>
      </c>
      <c r="C181" s="5"/>
      <c r="D181" s="8" t="s">
        <v>48</v>
      </c>
      <c r="E181" s="4" t="s">
        <v>329</v>
      </c>
      <c r="F181" s="4" t="s">
        <v>14</v>
      </c>
      <c r="G181" s="4">
        <f>G180*G178*G179</f>
        <v>3011383.3466986245</v>
      </c>
    </row>
    <row r="182" spans="1:7" ht="18" outlineLevel="5">
      <c r="A182" s="3" t="s">
        <v>14</v>
      </c>
      <c r="B182" s="3" t="s">
        <v>82</v>
      </c>
      <c r="C182" s="3"/>
      <c r="D182" s="3" t="s">
        <v>48</v>
      </c>
      <c r="E182" s="3" t="s">
        <v>330</v>
      </c>
      <c r="F182" s="3" t="s">
        <v>14</v>
      </c>
      <c r="G182" s="3">
        <f>SUM(G181)</f>
        <v>3011383.3466986245</v>
      </c>
    </row>
    <row r="183" spans="1:7" ht="30" outlineLevel="5">
      <c r="A183" s="3" t="s">
        <v>14</v>
      </c>
      <c r="B183" s="3" t="s">
        <v>82</v>
      </c>
      <c r="C183" s="3"/>
      <c r="D183" s="3" t="s">
        <v>48</v>
      </c>
      <c r="E183" s="3" t="s">
        <v>331</v>
      </c>
      <c r="F183" s="3" t="s">
        <v>14</v>
      </c>
      <c r="G183" s="3">
        <f>((G184*G182)/G185)/G7</f>
        <v>7.3402169455999811E-2</v>
      </c>
    </row>
    <row r="184" spans="1:7" outlineLevel="5">
      <c r="A184" s="3" t="s">
        <v>11</v>
      </c>
      <c r="B184" s="3" t="s">
        <v>82</v>
      </c>
      <c r="C184" s="3"/>
      <c r="D184" s="3"/>
      <c r="E184" s="3" t="s">
        <v>96</v>
      </c>
      <c r="F184" s="3" t="s">
        <v>14</v>
      </c>
      <c r="G184" s="3">
        <v>28</v>
      </c>
    </row>
    <row r="185" spans="1:7" outlineLevel="5">
      <c r="A185" s="3" t="s">
        <v>14</v>
      </c>
      <c r="B185" s="3" t="s">
        <v>82</v>
      </c>
      <c r="C185" s="3"/>
      <c r="D185" s="3" t="s">
        <v>48</v>
      </c>
      <c r="E185" s="3" t="s">
        <v>220</v>
      </c>
      <c r="F185" s="3" t="s">
        <v>14</v>
      </c>
      <c r="G185" s="3">
        <f>10^6</f>
        <v>1000000</v>
      </c>
    </row>
    <row r="186" spans="1:7" outlineLevel="4">
      <c r="A186" s="3" t="s">
        <v>14</v>
      </c>
      <c r="B186" s="9" t="s">
        <v>332</v>
      </c>
      <c r="C186" s="3"/>
      <c r="D186" s="3"/>
      <c r="E186" s="3" t="s">
        <v>333</v>
      </c>
      <c r="F186" s="3" t="s">
        <v>14</v>
      </c>
      <c r="G186" s="3"/>
    </row>
    <row r="187" spans="1:7" outlineLevel="5">
      <c r="A187" s="3" t="s">
        <v>11</v>
      </c>
      <c r="B187" s="10" t="s">
        <v>334</v>
      </c>
      <c r="C187" s="3"/>
      <c r="D187" s="3"/>
      <c r="E187" s="3" t="s">
        <v>335</v>
      </c>
      <c r="F187" s="3" t="s">
        <v>11</v>
      </c>
      <c r="G187" s="3"/>
    </row>
    <row r="188" spans="1:7" outlineLevel="6">
      <c r="A188" s="4" t="s">
        <v>11</v>
      </c>
      <c r="B188" s="4" t="s">
        <v>46</v>
      </c>
      <c r="C188" s="5"/>
      <c r="D188" s="8"/>
      <c r="E188" s="4" t="s">
        <v>237</v>
      </c>
      <c r="F188" s="4" t="s">
        <v>14</v>
      </c>
      <c r="G188" s="4" t="s">
        <v>238</v>
      </c>
    </row>
    <row r="189" spans="1:7" ht="30" outlineLevel="6">
      <c r="A189" s="4" t="s">
        <v>11</v>
      </c>
      <c r="B189" s="4" t="s">
        <v>46</v>
      </c>
      <c r="C189" s="5" t="s">
        <v>47</v>
      </c>
      <c r="D189" s="8"/>
      <c r="E189" s="4" t="s">
        <v>336</v>
      </c>
      <c r="F189" s="4" t="s">
        <v>14</v>
      </c>
      <c r="G189" s="4">
        <v>314.03539242142602</v>
      </c>
    </row>
    <row r="190" spans="1:7" outlineLevel="6">
      <c r="A190" s="4" t="s">
        <v>11</v>
      </c>
      <c r="B190" s="4" t="s">
        <v>82</v>
      </c>
      <c r="C190" s="5"/>
      <c r="D190" s="8"/>
      <c r="E190" s="4" t="s">
        <v>240</v>
      </c>
      <c r="F190" s="4" t="s">
        <v>14</v>
      </c>
      <c r="G190" s="4">
        <v>0.82</v>
      </c>
    </row>
    <row r="191" spans="1:7" ht="30" outlineLevel="5">
      <c r="A191" s="3" t="s">
        <v>14</v>
      </c>
      <c r="B191" s="3" t="s">
        <v>82</v>
      </c>
      <c r="C191" s="3"/>
      <c r="D191" s="3" t="s">
        <v>48</v>
      </c>
      <c r="E191" s="3" t="s">
        <v>337</v>
      </c>
      <c r="F191" s="3" t="s">
        <v>14</v>
      </c>
      <c r="G191" s="3">
        <f>SUM(G189*G190)</f>
        <v>257.5090217855693</v>
      </c>
    </row>
    <row r="192" spans="1:7" outlineLevel="5">
      <c r="A192" s="3" t="s">
        <v>11</v>
      </c>
      <c r="B192" s="10" t="s">
        <v>338</v>
      </c>
      <c r="C192" s="3"/>
      <c r="D192" s="3"/>
      <c r="E192" s="3" t="s">
        <v>339</v>
      </c>
      <c r="F192" s="3" t="s">
        <v>11</v>
      </c>
      <c r="G192" s="3"/>
    </row>
    <row r="193" spans="1:7" outlineLevel="6">
      <c r="A193" s="4" t="s">
        <v>11</v>
      </c>
      <c r="B193" s="4" t="s">
        <v>46</v>
      </c>
      <c r="C193" s="5"/>
      <c r="D193" s="8"/>
      <c r="E193" s="4" t="s">
        <v>244</v>
      </c>
      <c r="F193" s="4" t="s">
        <v>14</v>
      </c>
      <c r="G193" s="4" t="s">
        <v>245</v>
      </c>
    </row>
    <row r="194" spans="1:7" ht="30" outlineLevel="6">
      <c r="A194" s="4" t="s">
        <v>11</v>
      </c>
      <c r="B194" s="4" t="s">
        <v>82</v>
      </c>
      <c r="C194" s="5"/>
      <c r="D194" s="8"/>
      <c r="E194" s="4" t="s">
        <v>340</v>
      </c>
      <c r="F194" s="4" t="s">
        <v>14</v>
      </c>
      <c r="G194" s="4">
        <v>483.31272857651902</v>
      </c>
    </row>
    <row r="195" spans="1:7" outlineLevel="6">
      <c r="A195" s="4" t="s">
        <v>11</v>
      </c>
      <c r="B195" s="4" t="s">
        <v>82</v>
      </c>
      <c r="C195" s="5"/>
      <c r="D195" s="8"/>
      <c r="E195" s="4" t="s">
        <v>247</v>
      </c>
      <c r="F195" s="4" t="s">
        <v>14</v>
      </c>
      <c r="G195" s="4">
        <v>6.6600000000000006E-2</v>
      </c>
    </row>
    <row r="196" spans="1:7" ht="30" outlineLevel="5">
      <c r="A196" s="3" t="s">
        <v>14</v>
      </c>
      <c r="B196" s="3" t="s">
        <v>82</v>
      </c>
      <c r="C196" s="3"/>
      <c r="D196" s="3" t="s">
        <v>48</v>
      </c>
      <c r="E196" s="3" t="s">
        <v>341</v>
      </c>
      <c r="F196" s="3" t="s">
        <v>14</v>
      </c>
      <c r="G196" s="3">
        <f>SUM(G194*G195)</f>
        <v>32.18862772319617</v>
      </c>
    </row>
    <row r="197" spans="1:7" ht="30" outlineLevel="5">
      <c r="A197" s="3" t="s">
        <v>11</v>
      </c>
      <c r="B197" s="3" t="s">
        <v>82</v>
      </c>
      <c r="C197" s="3"/>
      <c r="D197" s="3"/>
      <c r="E197" s="3" t="s">
        <v>249</v>
      </c>
      <c r="F197" s="3" t="s">
        <v>14</v>
      </c>
      <c r="G197" s="3">
        <v>0.01</v>
      </c>
    </row>
    <row r="198" spans="1:7" ht="30" outlineLevel="5">
      <c r="A198" s="3" t="s">
        <v>14</v>
      </c>
      <c r="B198" s="3" t="s">
        <v>82</v>
      </c>
      <c r="C198" s="3"/>
      <c r="D198" s="3" t="s">
        <v>48</v>
      </c>
      <c r="E198" s="3" t="s">
        <v>342</v>
      </c>
      <c r="F198" s="3" t="s">
        <v>14</v>
      </c>
      <c r="G198" s="3">
        <f>((G191+G196)*G197*44/28*G208)/G7</f>
        <v>1.0501958817208847</v>
      </c>
    </row>
    <row r="199" spans="1:7" ht="30" outlineLevel="5">
      <c r="A199" s="3" t="s">
        <v>11</v>
      </c>
      <c r="B199" s="3" t="s">
        <v>82</v>
      </c>
      <c r="C199" s="3"/>
      <c r="D199" s="3"/>
      <c r="E199" s="3" t="s">
        <v>251</v>
      </c>
      <c r="F199" s="3" t="s">
        <v>14</v>
      </c>
      <c r="G199" s="3">
        <v>0.11</v>
      </c>
    </row>
    <row r="200" spans="1:7" ht="30" outlineLevel="5">
      <c r="A200" s="3" t="s">
        <v>11</v>
      </c>
      <c r="B200" s="3" t="s">
        <v>82</v>
      </c>
      <c r="C200" s="3"/>
      <c r="D200" s="3"/>
      <c r="E200" s="3" t="s">
        <v>252</v>
      </c>
      <c r="F200" s="3" t="s">
        <v>14</v>
      </c>
      <c r="G200" s="3">
        <v>0.21</v>
      </c>
    </row>
    <row r="201" spans="1:7" ht="30" outlineLevel="5">
      <c r="A201" s="3" t="s">
        <v>11</v>
      </c>
      <c r="B201" s="3" t="s">
        <v>82</v>
      </c>
      <c r="C201" s="3"/>
      <c r="D201" s="3"/>
      <c r="E201" s="3" t="s">
        <v>253</v>
      </c>
      <c r="F201" s="3" t="s">
        <v>14</v>
      </c>
      <c r="G201" s="3">
        <v>0.01</v>
      </c>
    </row>
    <row r="202" spans="1:7" ht="45" outlineLevel="5">
      <c r="A202" s="3" t="s">
        <v>14</v>
      </c>
      <c r="B202" s="3" t="s">
        <v>82</v>
      </c>
      <c r="C202" s="3"/>
      <c r="D202" s="3" t="s">
        <v>48</v>
      </c>
      <c r="E202" s="3" t="s">
        <v>343</v>
      </c>
      <c r="F202" s="3" t="s">
        <v>14</v>
      </c>
      <c r="G202" s="3">
        <f>((G191*G199)+(G196*G200))*G201*(44/28)*G208</f>
        <v>146.10648042328191</v>
      </c>
    </row>
    <row r="203" spans="1:7" ht="45" outlineLevel="5">
      <c r="A203" s="3" t="s">
        <v>11</v>
      </c>
      <c r="B203" s="3" t="s">
        <v>82</v>
      </c>
      <c r="C203" s="3"/>
      <c r="D203" s="3"/>
      <c r="E203" s="3" t="s">
        <v>255</v>
      </c>
      <c r="F203" s="3" t="s">
        <v>14</v>
      </c>
      <c r="G203" s="3">
        <v>0.24</v>
      </c>
    </row>
    <row r="204" spans="1:7" ht="30" outlineLevel="5">
      <c r="A204" s="3" t="s">
        <v>11</v>
      </c>
      <c r="B204" s="3" t="s">
        <v>82</v>
      </c>
      <c r="C204" s="3"/>
      <c r="D204" s="3"/>
      <c r="E204" s="3" t="s">
        <v>256</v>
      </c>
      <c r="F204" s="3" t="s">
        <v>14</v>
      </c>
      <c r="G204" s="3">
        <v>1.0999999999999999E-2</v>
      </c>
    </row>
    <row r="205" spans="1:7" ht="45" outlineLevel="5">
      <c r="A205" s="3" t="s">
        <v>14</v>
      </c>
      <c r="B205" s="3" t="s">
        <v>82</v>
      </c>
      <c r="C205" s="3"/>
      <c r="D205" s="3" t="s">
        <v>48</v>
      </c>
      <c r="E205" s="3" t="s">
        <v>344</v>
      </c>
      <c r="F205" s="3" t="s">
        <v>14</v>
      </c>
      <c r="G205" s="3">
        <f>(G191+G196)*G203*G204*(44/28)*G208</f>
        <v>318.48531879423649</v>
      </c>
    </row>
    <row r="206" spans="1:7" ht="30" outlineLevel="5">
      <c r="A206" s="3" t="s">
        <v>14</v>
      </c>
      <c r="B206" s="3" t="s">
        <v>82</v>
      </c>
      <c r="C206" s="3"/>
      <c r="D206" s="3" t="s">
        <v>48</v>
      </c>
      <c r="E206" s="3" t="s">
        <v>345</v>
      </c>
      <c r="F206" s="3" t="s">
        <v>14</v>
      </c>
      <c r="G206" s="3">
        <f>(G202+G205)/G7</f>
        <v>0.40444210289384297</v>
      </c>
    </row>
    <row r="207" spans="1:7" ht="30" outlineLevel="5">
      <c r="A207" s="3" t="s">
        <v>14</v>
      </c>
      <c r="B207" s="3" t="s">
        <v>82</v>
      </c>
      <c r="C207" s="3"/>
      <c r="D207" s="3" t="s">
        <v>48</v>
      </c>
      <c r="E207" s="3" t="s">
        <v>346</v>
      </c>
      <c r="F207" s="3" t="s">
        <v>14</v>
      </c>
      <c r="G207" s="3">
        <f>G198+G206</f>
        <v>1.4546379846147277</v>
      </c>
    </row>
    <row r="208" spans="1:7" outlineLevel="5">
      <c r="A208" s="3" t="s">
        <v>11</v>
      </c>
      <c r="B208" s="3" t="s">
        <v>82</v>
      </c>
      <c r="C208" s="3"/>
      <c r="D208" s="3"/>
      <c r="E208" s="3" t="s">
        <v>114</v>
      </c>
      <c r="F208" s="3" t="s">
        <v>14</v>
      </c>
      <c r="G208" s="3">
        <v>265</v>
      </c>
    </row>
    <row r="209" spans="1:7" outlineLevel="4">
      <c r="A209" s="3" t="s">
        <v>14</v>
      </c>
      <c r="B209" s="9" t="s">
        <v>347</v>
      </c>
      <c r="C209" s="3"/>
      <c r="D209" s="3"/>
      <c r="E209" s="3" t="s">
        <v>348</v>
      </c>
      <c r="F209" s="3" t="s">
        <v>14</v>
      </c>
      <c r="G209" s="3"/>
    </row>
    <row r="210" spans="1:7" outlineLevel="5">
      <c r="A210" s="3" t="s">
        <v>11</v>
      </c>
      <c r="B210" s="10" t="s">
        <v>349</v>
      </c>
      <c r="C210" s="3"/>
      <c r="D210" s="3"/>
      <c r="E210" s="3" t="s">
        <v>350</v>
      </c>
      <c r="F210" s="3" t="s">
        <v>11</v>
      </c>
      <c r="G210" s="3"/>
    </row>
    <row r="211" spans="1:7" outlineLevel="6">
      <c r="A211" s="4" t="s">
        <v>11</v>
      </c>
      <c r="B211" s="4" t="s">
        <v>46</v>
      </c>
      <c r="C211" s="5"/>
      <c r="D211" s="8"/>
      <c r="E211" s="4" t="s">
        <v>264</v>
      </c>
      <c r="F211" s="4" t="s">
        <v>14</v>
      </c>
      <c r="G211" s="4" t="s">
        <v>198</v>
      </c>
    </row>
    <row r="212" spans="1:7" ht="30" outlineLevel="6">
      <c r="A212" s="4" t="s">
        <v>11</v>
      </c>
      <c r="B212" s="4" t="s">
        <v>82</v>
      </c>
      <c r="C212" s="5"/>
      <c r="D212" s="8"/>
      <c r="E212" s="4" t="s">
        <v>315</v>
      </c>
      <c r="F212" s="4" t="s">
        <v>14</v>
      </c>
      <c r="G212" s="4">
        <v>160</v>
      </c>
    </row>
    <row r="213" spans="1:7" outlineLevel="6">
      <c r="A213" s="4" t="s">
        <v>11</v>
      </c>
      <c r="B213" s="4" t="s">
        <v>46</v>
      </c>
      <c r="C213" s="5" t="s">
        <v>47</v>
      </c>
      <c r="D213" s="8"/>
      <c r="E213" s="4" t="s">
        <v>199</v>
      </c>
      <c r="F213" s="4" t="s">
        <v>14</v>
      </c>
      <c r="G213" s="4" t="s">
        <v>200</v>
      </c>
    </row>
    <row r="214" spans="1:7" outlineLevel="6">
      <c r="A214" s="4" t="s">
        <v>11</v>
      </c>
      <c r="B214" s="4" t="s">
        <v>46</v>
      </c>
      <c r="C214" s="5"/>
      <c r="D214" s="8"/>
      <c r="E214" s="4" t="s">
        <v>265</v>
      </c>
      <c r="F214" s="4" t="s">
        <v>14</v>
      </c>
      <c r="G214" s="4" t="s">
        <v>266</v>
      </c>
    </row>
    <row r="215" spans="1:7" ht="45" outlineLevel="6">
      <c r="A215" s="4" t="s">
        <v>14</v>
      </c>
      <c r="B215" s="4" t="s">
        <v>82</v>
      </c>
      <c r="C215" s="5"/>
      <c r="D215" s="8"/>
      <c r="E215" s="4" t="s">
        <v>267</v>
      </c>
      <c r="F215" s="4" t="s">
        <v>14</v>
      </c>
      <c r="G215" s="4">
        <v>1</v>
      </c>
    </row>
    <row r="216" spans="1:7" ht="30" outlineLevel="6">
      <c r="A216" s="4" t="s">
        <v>11</v>
      </c>
      <c r="B216" s="4"/>
      <c r="C216" s="5"/>
      <c r="D216" s="8"/>
      <c r="E216" s="4" t="s">
        <v>268</v>
      </c>
      <c r="F216" s="4" t="s">
        <v>11</v>
      </c>
      <c r="G216" s="4">
        <v>3.504</v>
      </c>
    </row>
    <row r="217" spans="1:7" ht="30" outlineLevel="6">
      <c r="A217" s="4" t="s">
        <v>11</v>
      </c>
      <c r="B217" s="4" t="s">
        <v>82</v>
      </c>
      <c r="C217" s="5"/>
      <c r="D217" s="8"/>
      <c r="E217" s="4" t="s">
        <v>269</v>
      </c>
      <c r="F217" s="4" t="s">
        <v>14</v>
      </c>
      <c r="G217" s="4">
        <v>3.0000000000000001E-3</v>
      </c>
    </row>
    <row r="218" spans="1:7" ht="30" outlineLevel="6">
      <c r="A218" s="4" t="s">
        <v>11</v>
      </c>
      <c r="B218" s="4" t="s">
        <v>82</v>
      </c>
      <c r="C218" s="5"/>
      <c r="D218" s="8"/>
      <c r="E218" s="4" t="s">
        <v>351</v>
      </c>
      <c r="F218" s="4" t="s">
        <v>14</v>
      </c>
      <c r="G218" s="4">
        <v>1</v>
      </c>
    </row>
    <row r="219" spans="1:7" ht="30" outlineLevel="6">
      <c r="A219" s="4" t="s">
        <v>14</v>
      </c>
      <c r="B219" s="4" t="s">
        <v>82</v>
      </c>
      <c r="C219" s="5"/>
      <c r="D219" s="8" t="s">
        <v>48</v>
      </c>
      <c r="E219" s="4" t="s">
        <v>271</v>
      </c>
      <c r="F219" s="4" t="s">
        <v>14</v>
      </c>
      <c r="G219" s="4">
        <f>(G212*G216)*G215*G218/1000</f>
        <v>0.56064000000000003</v>
      </c>
    </row>
    <row r="220" spans="1:7" ht="45" outlineLevel="6">
      <c r="A220" s="4"/>
      <c r="B220" s="4" t="s">
        <v>82</v>
      </c>
      <c r="C220" s="5"/>
      <c r="D220" s="8"/>
      <c r="E220" s="4" t="s">
        <v>255</v>
      </c>
      <c r="F220" s="4" t="s">
        <v>14</v>
      </c>
      <c r="G220" s="4">
        <v>0.24</v>
      </c>
    </row>
    <row r="221" spans="1:7" ht="30" outlineLevel="6">
      <c r="A221" s="4" t="s">
        <v>11</v>
      </c>
      <c r="B221" s="4" t="s">
        <v>82</v>
      </c>
      <c r="C221" s="5"/>
      <c r="D221" s="8"/>
      <c r="E221" s="4" t="s">
        <v>252</v>
      </c>
      <c r="F221" s="4" t="s">
        <v>14</v>
      </c>
      <c r="G221" s="4">
        <v>0.21</v>
      </c>
    </row>
    <row r="222" spans="1:7" ht="30" outlineLevel="6">
      <c r="A222" s="4" t="s">
        <v>11</v>
      </c>
      <c r="B222" s="4" t="s">
        <v>82</v>
      </c>
      <c r="C222" s="5"/>
      <c r="D222" s="8"/>
      <c r="E222" s="4" t="s">
        <v>256</v>
      </c>
      <c r="F222" s="4" t="s">
        <v>14</v>
      </c>
      <c r="G222" s="4">
        <v>1.0999999999999999E-2</v>
      </c>
    </row>
    <row r="223" spans="1:7" ht="30" outlineLevel="6">
      <c r="A223" s="4" t="s">
        <v>11</v>
      </c>
      <c r="B223" s="4" t="s">
        <v>82</v>
      </c>
      <c r="C223" s="5"/>
      <c r="D223" s="8"/>
      <c r="E223" s="4" t="s">
        <v>253</v>
      </c>
      <c r="F223" s="4" t="s">
        <v>14</v>
      </c>
      <c r="G223" s="4">
        <v>0.01</v>
      </c>
    </row>
    <row r="224" spans="1:7" ht="75" outlineLevel="6">
      <c r="A224" s="4" t="s">
        <v>14</v>
      </c>
      <c r="B224" s="4" t="s">
        <v>82</v>
      </c>
      <c r="C224" s="5"/>
      <c r="D224" s="8" t="s">
        <v>48</v>
      </c>
      <c r="E224" s="4" t="s">
        <v>272</v>
      </c>
      <c r="F224" s="4" t="s">
        <v>14</v>
      </c>
      <c r="G224" s="4">
        <f>G219*G220*G222*(44/28)*G229</f>
        <v>0.6163515977142856</v>
      </c>
    </row>
    <row r="225" spans="1:7" ht="45" outlineLevel="6">
      <c r="A225" s="4" t="s">
        <v>14</v>
      </c>
      <c r="B225" s="4" t="s">
        <v>82</v>
      </c>
      <c r="C225" s="5"/>
      <c r="D225" s="8" t="s">
        <v>48</v>
      </c>
      <c r="E225" s="4" t="s">
        <v>273</v>
      </c>
      <c r="F225" s="4" t="s">
        <v>14</v>
      </c>
      <c r="G225" s="4">
        <f>G219*G221*G223*(44/28)*G229</f>
        <v>0.49027968000000005</v>
      </c>
    </row>
    <row r="226" spans="1:7" ht="45" outlineLevel="5">
      <c r="A226" s="3" t="s">
        <v>14</v>
      </c>
      <c r="B226" s="3" t="s">
        <v>82</v>
      </c>
      <c r="C226" s="3"/>
      <c r="D226" s="3" t="s">
        <v>48</v>
      </c>
      <c r="E226" s="3" t="s">
        <v>352</v>
      </c>
      <c r="F226" s="3" t="s">
        <v>14</v>
      </c>
      <c r="G226" s="3">
        <f>SUM(G219*G217*(44/28)*G229)/G7</f>
        <v>6.0972032751358094E-4</v>
      </c>
    </row>
    <row r="227" spans="1:7" ht="30" outlineLevel="5">
      <c r="A227" s="3" t="s">
        <v>14</v>
      </c>
      <c r="B227" s="3" t="s">
        <v>82</v>
      </c>
      <c r="C227" s="3"/>
      <c r="D227" s="3" t="s">
        <v>48</v>
      </c>
      <c r="E227" s="3" t="s">
        <v>353</v>
      </c>
      <c r="F227" s="3" t="s">
        <v>14</v>
      </c>
      <c r="G227" s="3">
        <f>(G225+G224)/G7</f>
        <v>9.6335811747145779E-4</v>
      </c>
    </row>
    <row r="228" spans="1:7" ht="30" outlineLevel="5">
      <c r="A228" s="3" t="s">
        <v>14</v>
      </c>
      <c r="B228" s="3" t="s">
        <v>82</v>
      </c>
      <c r="C228" s="3"/>
      <c r="D228" s="3" t="s">
        <v>48</v>
      </c>
      <c r="E228" s="3" t="s">
        <v>354</v>
      </c>
      <c r="F228" s="3" t="s">
        <v>14</v>
      </c>
      <c r="G228" s="3">
        <f>G226+G227</f>
        <v>1.5730784449850387E-3</v>
      </c>
    </row>
    <row r="229" spans="1:7" outlineLevel="5">
      <c r="A229" s="3" t="s">
        <v>11</v>
      </c>
      <c r="B229" s="3" t="s">
        <v>82</v>
      </c>
      <c r="C229" s="3"/>
      <c r="D229" s="3"/>
      <c r="E229" s="3" t="s">
        <v>114</v>
      </c>
      <c r="F229" s="3" t="s">
        <v>14</v>
      </c>
      <c r="G229" s="3">
        <v>265</v>
      </c>
    </row>
    <row r="230" spans="1:7" outlineLevel="4">
      <c r="A230" s="3" t="s">
        <v>14</v>
      </c>
      <c r="B230" s="9" t="s">
        <v>355</v>
      </c>
      <c r="C230" s="3"/>
      <c r="D230" s="3"/>
      <c r="E230" s="3" t="s">
        <v>356</v>
      </c>
      <c r="F230" s="3" t="s">
        <v>14</v>
      </c>
      <c r="G230" s="3"/>
    </row>
    <row r="231" spans="1:7" outlineLevel="5">
      <c r="A231" s="3" t="s">
        <v>11</v>
      </c>
      <c r="B231" s="10" t="s">
        <v>357</v>
      </c>
      <c r="C231" s="3"/>
      <c r="D231" s="3"/>
      <c r="E231" s="3" t="s">
        <v>280</v>
      </c>
      <c r="F231" s="3" t="s">
        <v>11</v>
      </c>
      <c r="G231" s="3"/>
    </row>
    <row r="232" spans="1:7" outlineLevel="6">
      <c r="A232" s="4" t="s">
        <v>11</v>
      </c>
      <c r="B232" s="4" t="s">
        <v>46</v>
      </c>
      <c r="C232" s="5"/>
      <c r="D232" s="8"/>
      <c r="E232" s="4" t="s">
        <v>281</v>
      </c>
      <c r="F232" s="4" t="s">
        <v>14</v>
      </c>
      <c r="G232" s="4" t="s">
        <v>282</v>
      </c>
    </row>
    <row r="233" spans="1:7" ht="30" outlineLevel="6">
      <c r="A233" s="4" t="s">
        <v>11</v>
      </c>
      <c r="B233" s="4" t="s">
        <v>82</v>
      </c>
      <c r="C233" s="5"/>
      <c r="D233" s="8"/>
      <c r="E233" s="4" t="s">
        <v>283</v>
      </c>
      <c r="F233" s="4" t="s">
        <v>14</v>
      </c>
      <c r="G233" s="4">
        <v>10000</v>
      </c>
    </row>
    <row r="234" spans="1:7" outlineLevel="6">
      <c r="A234" s="4" t="s">
        <v>11</v>
      </c>
      <c r="B234" s="4" t="s">
        <v>82</v>
      </c>
      <c r="C234" s="5" t="s">
        <v>47</v>
      </c>
      <c r="D234" s="8"/>
      <c r="E234" s="4" t="s">
        <v>284</v>
      </c>
      <c r="F234" s="4" t="s">
        <v>14</v>
      </c>
      <c r="G234" s="4">
        <v>8.0000000000000002E-3</v>
      </c>
    </row>
    <row r="235" spans="1:7" outlineLevel="5">
      <c r="A235" s="3" t="s">
        <v>11</v>
      </c>
      <c r="B235" s="3" t="s">
        <v>82</v>
      </c>
      <c r="C235" s="3"/>
      <c r="D235" s="3"/>
      <c r="E235" s="3" t="s">
        <v>240</v>
      </c>
      <c r="F235" s="3" t="s">
        <v>14</v>
      </c>
      <c r="G235" s="3">
        <v>0.01</v>
      </c>
    </row>
    <row r="236" spans="1:7" ht="30" outlineLevel="5">
      <c r="A236" s="3" t="s">
        <v>14</v>
      </c>
      <c r="B236" s="3" t="s">
        <v>82</v>
      </c>
      <c r="C236" s="3"/>
      <c r="D236" s="3" t="s">
        <v>48</v>
      </c>
      <c r="E236" s="3" t="s">
        <v>359</v>
      </c>
      <c r="F236" s="3" t="s">
        <v>14</v>
      </c>
      <c r="G236" s="3">
        <f>SUM(G233*G234)</f>
        <v>80</v>
      </c>
    </row>
    <row r="237" spans="1:7" ht="45" outlineLevel="5">
      <c r="A237" s="3" t="s">
        <v>11</v>
      </c>
      <c r="B237" s="3" t="s">
        <v>82</v>
      </c>
      <c r="C237" s="3"/>
      <c r="D237" s="3" t="s">
        <v>48</v>
      </c>
      <c r="E237" s="3" t="s">
        <v>360</v>
      </c>
      <c r="F237" s="3" t="s">
        <v>14</v>
      </c>
      <c r="G237" s="3">
        <f>(G236*G235*(44/28)*G238)/G7</f>
        <v>0.29001157130592697</v>
      </c>
    </row>
    <row r="238" spans="1:7" outlineLevel="5">
      <c r="A238" s="3" t="s">
        <v>11</v>
      </c>
      <c r="B238" s="3" t="s">
        <v>82</v>
      </c>
      <c r="C238" s="3"/>
      <c r="D238" s="3"/>
      <c r="E238" s="3" t="s">
        <v>114</v>
      </c>
      <c r="F238" s="3" t="s">
        <v>14</v>
      </c>
      <c r="G238" s="3">
        <v>265</v>
      </c>
    </row>
    <row r="239" spans="1:7" outlineLevel="4">
      <c r="A239" s="3" t="s">
        <v>14</v>
      </c>
      <c r="B239" s="9" t="s">
        <v>361</v>
      </c>
      <c r="C239" s="3"/>
      <c r="D239" s="3"/>
      <c r="E239" s="3" t="s">
        <v>362</v>
      </c>
      <c r="F239" s="3" t="s">
        <v>14</v>
      </c>
      <c r="G239" s="3"/>
    </row>
    <row r="240" spans="1:7" outlineLevel="5">
      <c r="A240" s="3" t="s">
        <v>11</v>
      </c>
      <c r="B240" s="10" t="s">
        <v>363</v>
      </c>
      <c r="C240" s="3"/>
      <c r="D240" s="3"/>
      <c r="E240" s="3" t="s">
        <v>364</v>
      </c>
      <c r="F240" s="3" t="s">
        <v>11</v>
      </c>
      <c r="G240" s="3"/>
    </row>
    <row r="241" spans="1:7" outlineLevel="6">
      <c r="A241" s="4" t="s">
        <v>11</v>
      </c>
      <c r="B241" s="4" t="s">
        <v>46</v>
      </c>
      <c r="C241" s="5" t="s">
        <v>47</v>
      </c>
      <c r="D241" s="8"/>
      <c r="E241" s="4" t="s">
        <v>225</v>
      </c>
      <c r="F241" s="4" t="s">
        <v>14</v>
      </c>
      <c r="G241" s="4" t="s">
        <v>226</v>
      </c>
    </row>
    <row r="242" spans="1:7" ht="30" outlineLevel="6">
      <c r="A242" s="4" t="s">
        <v>11</v>
      </c>
      <c r="B242" s="4" t="s">
        <v>82</v>
      </c>
      <c r="C242" s="5"/>
      <c r="D242" s="8"/>
      <c r="E242" s="4" t="s">
        <v>227</v>
      </c>
      <c r="F242" s="4" t="s">
        <v>14</v>
      </c>
      <c r="G242" s="4">
        <v>0.92</v>
      </c>
    </row>
    <row r="243" spans="1:7" ht="30" outlineLevel="6">
      <c r="A243" s="4" t="s">
        <v>11</v>
      </c>
      <c r="B243" s="4" t="s">
        <v>82</v>
      </c>
      <c r="C243" s="5"/>
      <c r="D243" s="8"/>
      <c r="E243" s="4" t="s">
        <v>291</v>
      </c>
      <c r="F243" s="4" t="s">
        <v>14</v>
      </c>
      <c r="G243" s="4">
        <v>0.21</v>
      </c>
    </row>
    <row r="244" spans="1:7" ht="30" outlineLevel="6">
      <c r="A244" s="4" t="s">
        <v>11</v>
      </c>
      <c r="B244" s="4" t="s">
        <v>82</v>
      </c>
      <c r="C244" s="5"/>
      <c r="D244" s="8"/>
      <c r="E244" s="4" t="s">
        <v>328</v>
      </c>
      <c r="F244" s="4" t="s">
        <v>14</v>
      </c>
      <c r="G244" s="4">
        <v>1281290.3410132199</v>
      </c>
    </row>
    <row r="245" spans="1:7" ht="18" outlineLevel="6">
      <c r="A245" s="4" t="s">
        <v>14</v>
      </c>
      <c r="B245" s="4" t="s">
        <v>82</v>
      </c>
      <c r="C245" s="5"/>
      <c r="D245" s="8" t="s">
        <v>48</v>
      </c>
      <c r="E245" s="4" t="s">
        <v>365</v>
      </c>
      <c r="F245" s="4" t="s">
        <v>14</v>
      </c>
      <c r="G245" s="4">
        <f>G244*G242*G243</f>
        <v>247545.29388375409</v>
      </c>
    </row>
    <row r="246" spans="1:7" ht="18" outlineLevel="5">
      <c r="A246" s="3" t="s">
        <v>11</v>
      </c>
      <c r="B246" s="3" t="s">
        <v>82</v>
      </c>
      <c r="C246" s="3"/>
      <c r="D246" s="3"/>
      <c r="E246" s="3" t="s">
        <v>366</v>
      </c>
      <c r="F246" s="3" t="s">
        <v>14</v>
      </c>
      <c r="G246" s="3">
        <f>SUM(G245)</f>
        <v>247545.29388375409</v>
      </c>
    </row>
    <row r="247" spans="1:7" ht="30" outlineLevel="5">
      <c r="A247" s="3" t="s">
        <v>14</v>
      </c>
      <c r="B247" s="3" t="s">
        <v>82</v>
      </c>
      <c r="C247" s="3"/>
      <c r="D247" s="3" t="s">
        <v>48</v>
      </c>
      <c r="E247" s="3" t="s">
        <v>367</v>
      </c>
      <c r="F247" s="3" t="s">
        <v>14</v>
      </c>
      <c r="G247" s="3">
        <f>((G248*G246)/G249)/G7</f>
        <v>5.7106476993216471E-2</v>
      </c>
    </row>
    <row r="248" spans="1:7" outlineLevel="5">
      <c r="A248" s="3" t="s">
        <v>11</v>
      </c>
      <c r="B248" s="3" t="s">
        <v>82</v>
      </c>
      <c r="C248" s="3"/>
      <c r="D248" s="3"/>
      <c r="E248" s="3" t="s">
        <v>114</v>
      </c>
      <c r="F248" s="3" t="s">
        <v>14</v>
      </c>
      <c r="G248" s="3">
        <v>265</v>
      </c>
    </row>
    <row r="249" spans="1:7" outlineLevel="5">
      <c r="A249" s="3" t="s">
        <v>14</v>
      </c>
      <c r="B249" s="3" t="s">
        <v>82</v>
      </c>
      <c r="C249" s="3"/>
      <c r="D249" s="3" t="s">
        <v>48</v>
      </c>
      <c r="E249" s="3" t="s">
        <v>220</v>
      </c>
      <c r="F249" s="3" t="s">
        <v>14</v>
      </c>
      <c r="G249" s="3">
        <f>10^6</f>
        <v>1000000</v>
      </c>
    </row>
    <row r="250" spans="1:7" outlineLevel="4">
      <c r="A250" s="3" t="s">
        <v>14</v>
      </c>
      <c r="B250" s="9" t="s">
        <v>368</v>
      </c>
      <c r="C250" s="3"/>
      <c r="D250" s="3"/>
      <c r="E250" s="3" t="s">
        <v>369</v>
      </c>
      <c r="F250" s="3" t="s">
        <v>14</v>
      </c>
      <c r="G250" s="3"/>
    </row>
    <row r="251" spans="1:7" ht="30" outlineLevel="5">
      <c r="A251" s="3" t="s">
        <v>14</v>
      </c>
      <c r="B251" s="3" t="s">
        <v>82</v>
      </c>
      <c r="C251" s="3"/>
      <c r="D251" s="3" t="s">
        <v>48</v>
      </c>
      <c r="E251" s="3" t="s">
        <v>370</v>
      </c>
      <c r="F251" s="3" t="s">
        <v>14</v>
      </c>
      <c r="G251" s="11">
        <f>G207+G228+G237</f>
        <v>1.7462226343656397</v>
      </c>
    </row>
    <row r="252" spans="1:7">
      <c r="A252" s="3" t="s">
        <v>14</v>
      </c>
      <c r="B252" s="3" t="s">
        <v>82</v>
      </c>
      <c r="C252" s="3"/>
      <c r="D252" s="3" t="s">
        <v>48</v>
      </c>
      <c r="E252" s="3" t="s">
        <v>371</v>
      </c>
      <c r="F252" s="3" t="s">
        <v>14</v>
      </c>
      <c r="G252" s="3">
        <f>SUM(G15-G137)*G7</f>
        <v>0</v>
      </c>
    </row>
    <row r="253" spans="1:7">
      <c r="A253" s="3" t="s">
        <v>14</v>
      </c>
      <c r="B253" s="3" t="s">
        <v>82</v>
      </c>
      <c r="C253" s="3"/>
      <c r="D253" s="3" t="s">
        <v>48</v>
      </c>
      <c r="E253" s="3" t="s">
        <v>372</v>
      </c>
      <c r="F253" s="3" t="s">
        <v>14</v>
      </c>
      <c r="G253" s="3">
        <f>SUM(G23-G145)*G7</f>
        <v>0</v>
      </c>
    </row>
    <row r="254" spans="1:7">
      <c r="A254" s="3" t="s">
        <v>14</v>
      </c>
      <c r="B254" s="3" t="s">
        <v>82</v>
      </c>
      <c r="C254" s="3"/>
      <c r="D254" s="3" t="s">
        <v>48</v>
      </c>
      <c r="E254" s="3" t="s">
        <v>373</v>
      </c>
      <c r="F254" s="3" t="s">
        <v>14</v>
      </c>
      <c r="G254" s="3">
        <f>SUM(G33-G155)*G7</f>
        <v>32.679421607048745</v>
      </c>
    </row>
    <row r="255" spans="1:7">
      <c r="A255" s="3" t="s">
        <v>14</v>
      </c>
      <c r="B255" s="3" t="s">
        <v>82</v>
      </c>
      <c r="C255" s="3"/>
      <c r="D255" s="3" t="s">
        <v>48</v>
      </c>
      <c r="E255" s="3" t="s">
        <v>374</v>
      </c>
      <c r="F255" s="3" t="s">
        <v>14</v>
      </c>
      <c r="G255" s="3">
        <f>SUM(G50-G172)*G7</f>
        <v>0</v>
      </c>
    </row>
    <row r="256" spans="1:7">
      <c r="A256" s="3" t="s">
        <v>14</v>
      </c>
      <c r="B256" s="3" t="s">
        <v>82</v>
      </c>
      <c r="C256" s="3"/>
      <c r="D256" s="3" t="s">
        <v>48</v>
      </c>
      <c r="E256" s="3" t="s">
        <v>375</v>
      </c>
      <c r="F256" s="3" t="s">
        <v>14</v>
      </c>
      <c r="G256" s="3">
        <f>SUM(G61-G183)*G7</f>
        <v>0</v>
      </c>
    </row>
    <row r="257" spans="1:7">
      <c r="A257" s="3" t="s">
        <v>14</v>
      </c>
      <c r="B257" s="3" t="s">
        <v>82</v>
      </c>
      <c r="C257" s="3"/>
      <c r="D257" s="3" t="s">
        <v>48</v>
      </c>
      <c r="E257" s="3" t="s">
        <v>376</v>
      </c>
      <c r="F257" s="3" t="s">
        <v>14</v>
      </c>
      <c r="G257" s="3">
        <f>SUM(G125-G247)*G7</f>
        <v>7.2628811398392665</v>
      </c>
    </row>
  </sheetData>
  <mergeCells count="3">
    <mergeCell ref="A1:G1"/>
    <mergeCell ref="B2:G2"/>
    <mergeCell ref="B3:G3"/>
  </mergeCells>
  <dataValidations count="2">
    <dataValidation type="list" allowBlank="1" showInputMessage="1" showErrorMessage="1" sqref="A26:A35 F27:F35 F38:F52 A37:A52 F55:F63 A54:A63 A65:A85 F66:F69 F71:F85 A109:A114 F110:F114 F119:F128 A140:A146 A132:A138 F10:F16 F18:F24 A18:A24 F149:F157 A148:A157 F160:F174 A159:A174 A187:A207 F188:F191 F193:F207 F177:F185 A176:A185 A231:A236 F232:F236 F241:F250 A118:A128 A240:A250 F132:F138 F140:F146 F211:F215 A88:A93 F89:F93 A210:A215 A10:A16" xr:uid="{8538DD4C-BA45-4738-B3C4-85129C2234E7}">
      <formula1>"Yes,No"</formula1>
    </dataValidation>
    <dataValidation type="list" allowBlank="1" showInputMessage="1" showErrorMessage="1" sqref="B3:G3" xr:uid="{AB229ABC-AF06-4092-ADE7-826DBB2CF73D}">
      <formula1>"Verifiable Credentials,Encrypted Verifiable Credential,Sub-Schema"</formula1>
    </dataValidation>
  </dataValidations>
  <hyperlinks>
    <hyperlink ref="B10" location="CO2_FF_Baseline_Data_ByType!A1" display="CO2_FF_Baseline_Data_ByType" xr:uid="{668AC235-22AD-4D0F-A706-6FB1392E67BE}"/>
    <hyperlink ref="B26" location="Livestock_Data_ByType_Base!A1" display="Livestock_Data_ByType_Base" xr:uid="{2943B53D-2CCE-4939-AE57-D2034EE06F29}"/>
    <hyperlink ref="B37" location="CH4_Manure_Data_ByType_Baseline!A1" display="CH4_Manure_Data_ByType_Baseline" xr:uid="{3E6D0E4C-AD4A-40A9-9947-2A90DB27EEA1}"/>
    <hyperlink ref="B54" location="CH4_BiomassData_ByType_Baseline!A1" display="CH4_BiomassData_ByType_Baseline" xr:uid="{A4288791-3AB1-469A-B1BC-CF488997F2FD}"/>
    <hyperlink ref="B65" location="SyntheticFertilizer_Data_Baseli!A1" display="SyntheticFertilizer_Data_Baseli" xr:uid="{51E73226-E88B-46B8-86F7-E76B36CEF28D}"/>
    <hyperlink ref="B70" location="OrganicFertilizer_Data_Baseline!A1" display="OrganicFertilizer_Data_Baseline" xr:uid="{E61A6D5B-FC40-4B35-BA07-A395E1C75DE0}"/>
    <hyperlink ref="B109" location="NFixingSpecies_Data_Baseline!A1" display="NFixingSpecies_Data_Baseline" xr:uid="{14D31148-FC94-43BA-BA5B-9C989D2A3CFD}"/>
    <hyperlink ref="B118" location="N2O_BiomassData_ByType_Baseline!A1" display="N2O_BiomassData_ByType_Baseline" xr:uid="{BB6DD765-C96F-4BBD-8E2D-6EAF702ED0E8}"/>
    <hyperlink ref="B9" location="CO2_FossilFuel_Baseline!A1" display="CO2_FossilFuel_Baseline" xr:uid="{94892243-2E9F-4D0E-B468-09E5FF7C1FF9}"/>
    <hyperlink ref="B17" location="CO2_Liming_Baseline!A1" display="CO2_Liming_Baseline" xr:uid="{E321E839-714D-402D-B19D-62F3337D4CE7}"/>
    <hyperlink ref="B25" location="CH4_Enteric_Baseline!A1" display="CH4_Enteric_Baseline" xr:uid="{CF315E57-56EB-4B6B-B51D-127077941B26}"/>
    <hyperlink ref="B36" location="CH4_Manure_Baseline!A1" display="CH4_Manure_Baseline" xr:uid="{5129D688-510F-4CED-896B-E27E915952C3}"/>
    <hyperlink ref="B53" location="CH4_Biomass_Baseline!A1" display="CH4_Biomass_Baseline" xr:uid="{35BCDA63-0CA4-4BF4-9E21-E34FDDBE8DBE}"/>
    <hyperlink ref="B64" location="N2O_NFert_Baseline!A1" display="N2O_NFert_Baseline" xr:uid="{8B9B0CC0-7D11-4B3C-B30D-BBE7117BFA5A}"/>
    <hyperlink ref="B108" location="N2O_NFixing_Baseline!A1" display="N2O_NFixing_Baseline" xr:uid="{7942A0FF-FA07-4517-9F04-996B843BAB48}"/>
    <hyperlink ref="B117" location="N2O_Biomass_Baseline!A1" display="N2O_Biomass_Baseline" xr:uid="{CEFDA79A-4490-482E-8643-A92DFD4DDDC9}"/>
    <hyperlink ref="B8" location="QA3_DefaultFactors_Baseline!A1" display="QA3_DefaultFactors_Baseline" xr:uid="{330A3C08-ED66-4F3D-8116-75AD5CC8C714}"/>
    <hyperlink ref="B132" location="CO2_FF_Project_Data_ByType!A1" display="CO2_FF_Project_Data_ByType" xr:uid="{150F3575-F4B4-4499-AE20-81620FFE2FE6}"/>
    <hyperlink ref="B148" location="Livestock_Data_ByType_Project!A1" display="Livestock_Data_ByType_Project" xr:uid="{E4645EFE-B4A3-48F8-A385-A3DB1B77C9ED}"/>
    <hyperlink ref="B159" location="CH4_Manure_Data_ByType_Project!A1" display="CH4_Manure_Data_ByType_Project" xr:uid="{817F551B-FCCD-488B-BBAC-E30C7CF5871C}"/>
    <hyperlink ref="B176" location="CH4_BiomassData_ByType_Project!A1" display="CH4_BiomassData_ByType_Project" xr:uid="{7E206EA6-0C87-4B2C-944B-35B00377E057}"/>
    <hyperlink ref="B231" location="NFixingSpecies_Data_Project!A1" display="NFixingSpecies_Data_Project" xr:uid="{BC3B4450-0CC1-4D9E-8861-3794B09CBBF2}"/>
    <hyperlink ref="B240" location="N2O_BiomassData_ByType_Project!A1" display="N2O_BiomassData_ByType_Project" xr:uid="{87E38894-72D5-4245-B216-173774B3C97D}"/>
    <hyperlink ref="B131" location="CO2_FossilFuel_Project!A1" display="CO2_FossilFuel_Project" xr:uid="{A0DB5926-2E41-456D-9C60-2D9E82E8F511}"/>
    <hyperlink ref="B139" location="CO2_Liming_Project!A1" display="CO2_Liming_Project" xr:uid="{5214896E-D02D-4D3C-A58F-8DC88F1ED948}"/>
    <hyperlink ref="B147" location="CH4_Enteric_Project!A1" display="CH4_Enteric_Project" xr:uid="{4C327D96-4DB9-4E65-AF2B-5A642CC81978}"/>
    <hyperlink ref="B158" location="CH4_Manure_Project!A1" display="CH4_Manure_Project" xr:uid="{93CEB696-DA72-4199-8596-EA99A36F18A3}"/>
    <hyperlink ref="B175" location="CH4_Biomass_Project!A1" display="CH4_Biomass_Project" xr:uid="{E55BFB00-BB20-4136-AD21-5DCF57C77B2E}"/>
    <hyperlink ref="B186" location="N2O_NFert_Project!A1" display="N2O_NFert_Project" xr:uid="{25AB129D-C4C1-47E1-B2CF-0D5447DE2CEB}"/>
    <hyperlink ref="B209" location="N2O_Manure_Project!A1" display="N2O_Manure_Project" xr:uid="{61C3F13B-03CC-4AC6-816D-83DB6ABA09CB}"/>
    <hyperlink ref="B230" location="N2O_NFixing_Project!A1" display="N2O_NFixing_Project" xr:uid="{C4EE05EA-B94E-4176-9CB2-899B2A825BD3}"/>
    <hyperlink ref="B239" location="N2O_Biomass_Project!A1" display="N2O_Biomass_Project" xr:uid="{ED44CACD-3639-4660-AD0D-110B2EBC40C3}"/>
    <hyperlink ref="B187" location="SyntheticFertilizer_Data_Projec!A1" display="SyntheticFertilizer_Data_Projec" xr:uid="{160AE6CF-5E3F-40D1-959F-CA671381CF23}"/>
    <hyperlink ref="B192" location="OrganicFertilizer_Data_Project!A1" display="OrganicFertilizer_Data_Project" xr:uid="{3D474F01-22A6-448D-8844-069A0C798512}"/>
    <hyperlink ref="B130" location="QA3_DefaultFactors_Project!A1" display="QA3_DefaultFactors_Project" xr:uid="{DCD8AB7D-0D24-476C-96A8-53CCDAD91B37}"/>
    <hyperlink ref="B128" location="NitrousOxide_SoilInputs_Baselin!A1" display="NitrousOxide_SoilInputs_Baselin" xr:uid="{FFE89B6A-517B-476B-A117-1437DFFBD94D}"/>
    <hyperlink ref="B250" location="NitrousOxide_SoilInputs_Project!A1" display="NitrousOxide_SoilInputs_Project" xr:uid="{FC881A5F-CD37-4033-9D7F-A6E94BA5EB1D}"/>
    <hyperlink ref="B88" location="N2O_ManureData_ByType_Baseline!A1" display="N2O_ManureData_ByType_Baseline" xr:uid="{15D85481-C84E-4688-9C09-C50889C952B2}"/>
    <hyperlink ref="B87" location="N2O_Manure_Baseline!A1" display="N2O_Manure_Baseline" xr:uid="{FE263CAC-22F1-4B3C-97A4-6A367A5B2425}"/>
    <hyperlink ref="B210" location="N2O_ManureData_ByType_Project!A1" display="N2O_ManureData_ByType_Project" xr:uid="{3137978B-B342-482C-BC4E-E751F7E1181B}"/>
    <hyperlink ref="B5" location="QA3_DefaultFactors_ERs_Unit_i!A1" display="QA3_DefaultFactors_ERs_Unit_i" xr:uid="{9FE9C230-9D6D-4E09-8C2E-36891740273B}"/>
  </hyperlinks>
  <pageMargins left="0.7" right="0.7" top="0.75" bottom="0.75" header="0.3" footer="0.3"/>
  <pageSetup orientation="portrait" horizontalDpi="4294967295" verticalDpi="4294967295"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DE76-9B6C-4C82-877B-BB2D4E4872A6}">
  <sheetPr codeName="Sheet42">
    <tabColor rgb="FFFFC000"/>
    <outlinePr summaryBelow="0" summaryRight="0"/>
  </sheetPr>
  <dimension ref="A1:G251"/>
  <sheetViews>
    <sheetView topLeftCell="A114" workbookViewId="0">
      <selection activeCell="F238" sqref="F238"/>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169</v>
      </c>
      <c r="B1" s="32"/>
      <c r="C1" s="32"/>
      <c r="D1" s="32"/>
      <c r="E1" s="32"/>
      <c r="F1" s="32"/>
      <c r="G1" s="32"/>
    </row>
    <row r="2" spans="1:7" ht="18.75">
      <c r="A2" s="1" t="s">
        <v>1</v>
      </c>
      <c r="B2" s="33" t="s">
        <v>690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4.25" customHeight="1">
      <c r="A5" s="3" t="s">
        <v>11</v>
      </c>
      <c r="B5" s="3" t="s">
        <v>46</v>
      </c>
      <c r="C5" s="3"/>
      <c r="D5" s="3"/>
      <c r="E5" s="3" t="s">
        <v>88</v>
      </c>
      <c r="F5" s="3" t="s">
        <v>14</v>
      </c>
      <c r="G5" s="3" t="s">
        <v>89</v>
      </c>
    </row>
    <row r="6" spans="1:7">
      <c r="A6" s="3" t="s">
        <v>11</v>
      </c>
      <c r="B6" s="3" t="s">
        <v>82</v>
      </c>
      <c r="C6" s="3"/>
      <c r="D6" s="3"/>
      <c r="E6" s="3" t="s">
        <v>90</v>
      </c>
      <c r="F6" s="3" t="s">
        <v>14</v>
      </c>
      <c r="G6" s="3">
        <v>1148.7226376613501</v>
      </c>
    </row>
    <row r="7" spans="1:7">
      <c r="A7" s="3" t="s">
        <v>11</v>
      </c>
      <c r="B7" s="9" t="s">
        <v>171</v>
      </c>
      <c r="C7" s="3"/>
      <c r="D7" s="3"/>
      <c r="E7" s="3" t="s">
        <v>172</v>
      </c>
      <c r="F7" s="3" t="s">
        <v>14</v>
      </c>
      <c r="G7" s="3"/>
    </row>
    <row r="8" spans="1:7" outlineLevel="2" collapsed="1">
      <c r="A8" s="3" t="s">
        <v>14</v>
      </c>
      <c r="B8" s="9" t="s">
        <v>173</v>
      </c>
      <c r="C8" s="3"/>
      <c r="D8" s="3"/>
      <c r="E8" s="3" t="s">
        <v>174</v>
      </c>
      <c r="F8" s="3" t="s">
        <v>14</v>
      </c>
      <c r="G8" s="3"/>
    </row>
    <row r="9" spans="1:7" hidden="1" outlineLevel="3">
      <c r="A9" s="3" t="s">
        <v>11</v>
      </c>
      <c r="B9" s="10" t="s">
        <v>175</v>
      </c>
      <c r="C9" s="3"/>
      <c r="D9" s="3"/>
      <c r="E9" s="3" t="s">
        <v>176</v>
      </c>
      <c r="F9" s="3" t="s">
        <v>11</v>
      </c>
      <c r="G9" s="3"/>
    </row>
    <row r="10" spans="1:7" hidden="1" outlineLevel="4">
      <c r="A10" s="4" t="s">
        <v>11</v>
      </c>
      <c r="B10" s="4" t="s">
        <v>46</v>
      </c>
      <c r="C10" s="5" t="s">
        <v>47</v>
      </c>
      <c r="D10" s="8"/>
      <c r="E10" s="4" t="s">
        <v>177</v>
      </c>
      <c r="F10" s="4" t="s">
        <v>14</v>
      </c>
      <c r="G10" s="4" t="s">
        <v>178</v>
      </c>
    </row>
    <row r="11" spans="1:7" ht="45" hidden="1" outlineLevel="4">
      <c r="A11" s="4" t="s">
        <v>14</v>
      </c>
      <c r="B11" s="4" t="s">
        <v>82</v>
      </c>
      <c r="C11" s="5" t="s">
        <v>47</v>
      </c>
      <c r="D11" s="8" t="s">
        <v>48</v>
      </c>
      <c r="E11" s="4" t="s">
        <v>179</v>
      </c>
      <c r="F11" s="4" t="s">
        <v>14</v>
      </c>
      <c r="G11" s="4">
        <f>G12*G13</f>
        <v>86.58</v>
      </c>
    </row>
    <row r="12" spans="1:7" hidden="1" outlineLevel="4">
      <c r="A12" s="4" t="s">
        <v>11</v>
      </c>
      <c r="B12" s="4" t="s">
        <v>82</v>
      </c>
      <c r="C12" s="5" t="s">
        <v>47</v>
      </c>
      <c r="D12" s="8"/>
      <c r="E12" s="4" t="s">
        <v>180</v>
      </c>
      <c r="F12" s="4" t="s">
        <v>14</v>
      </c>
      <c r="G12" s="4">
        <v>30000</v>
      </c>
    </row>
    <row r="13" spans="1:7" hidden="1" outlineLevel="4">
      <c r="A13" s="4" t="s">
        <v>11</v>
      </c>
      <c r="B13" s="4" t="s">
        <v>82</v>
      </c>
      <c r="C13" s="5" t="s">
        <v>47</v>
      </c>
      <c r="D13" s="8"/>
      <c r="E13" s="4" t="s">
        <v>181</v>
      </c>
      <c r="F13" s="4" t="s">
        <v>14</v>
      </c>
      <c r="G13" s="4">
        <v>2.8860000000000001E-3</v>
      </c>
    </row>
    <row r="14" spans="1:7" ht="30" hidden="1" outlineLevel="3" collapsed="1">
      <c r="A14" s="3" t="s">
        <v>14</v>
      </c>
      <c r="B14" s="3" t="s">
        <v>82</v>
      </c>
      <c r="C14" s="3" t="s">
        <v>47</v>
      </c>
      <c r="D14" s="3" t="s">
        <v>48</v>
      </c>
      <c r="E14" s="3" t="s">
        <v>182</v>
      </c>
      <c r="F14" s="3" t="s">
        <v>14</v>
      </c>
      <c r="G14" s="3">
        <f>G15/G6</f>
        <v>7.5370674487851674E-2</v>
      </c>
    </row>
    <row r="15" spans="1:7" ht="45" hidden="1" outlineLevel="3">
      <c r="A15" s="3" t="s">
        <v>14</v>
      </c>
      <c r="B15" s="3" t="s">
        <v>82</v>
      </c>
      <c r="C15" s="3"/>
      <c r="D15" s="3" t="s">
        <v>48</v>
      </c>
      <c r="E15" s="3" t="s">
        <v>183</v>
      </c>
      <c r="F15" s="3" t="s">
        <v>14</v>
      </c>
      <c r="G15" s="3">
        <f>SUM(G11)</f>
        <v>86.58</v>
      </c>
    </row>
    <row r="16" spans="1:7" outlineLevel="2" collapsed="1">
      <c r="A16" s="3" t="s">
        <v>14</v>
      </c>
      <c r="B16" s="9" t="s">
        <v>184</v>
      </c>
      <c r="C16" s="3"/>
      <c r="D16" s="3"/>
      <c r="E16" s="3" t="s">
        <v>185</v>
      </c>
      <c r="F16" s="3" t="s">
        <v>14</v>
      </c>
      <c r="G16" s="3"/>
    </row>
    <row r="17" spans="1:7" ht="30" hidden="1" outlineLevel="4">
      <c r="A17" s="4" t="s">
        <v>11</v>
      </c>
      <c r="B17" s="4" t="s">
        <v>82</v>
      </c>
      <c r="C17" s="5" t="s">
        <v>47</v>
      </c>
      <c r="D17" s="8"/>
      <c r="E17" s="4" t="s">
        <v>186</v>
      </c>
      <c r="F17" s="4" t="s">
        <v>14</v>
      </c>
      <c r="G17" s="4">
        <v>10</v>
      </c>
    </row>
    <row r="18" spans="1:7" hidden="1" outlineLevel="4">
      <c r="A18" s="4" t="s">
        <v>14</v>
      </c>
      <c r="B18" s="4" t="s">
        <v>82</v>
      </c>
      <c r="C18" s="5"/>
      <c r="D18" s="8" t="s">
        <v>48</v>
      </c>
      <c r="E18" s="4" t="s">
        <v>187</v>
      </c>
      <c r="F18" s="4" t="s">
        <v>14</v>
      </c>
      <c r="G18" s="4">
        <f>0.12</f>
        <v>0.12</v>
      </c>
    </row>
    <row r="19" spans="1:7" ht="30" hidden="1" outlineLevel="4">
      <c r="A19" s="4" t="s">
        <v>11</v>
      </c>
      <c r="B19" s="4" t="s">
        <v>82</v>
      </c>
      <c r="C19" s="5"/>
      <c r="D19" s="8"/>
      <c r="E19" s="4" t="s">
        <v>188</v>
      </c>
      <c r="F19" s="4" t="s">
        <v>14</v>
      </c>
      <c r="G19" s="4">
        <v>5</v>
      </c>
    </row>
    <row r="20" spans="1:7" hidden="1" outlineLevel="4">
      <c r="A20" s="4" t="s">
        <v>14</v>
      </c>
      <c r="B20" s="4" t="s">
        <v>82</v>
      </c>
      <c r="C20" s="5"/>
      <c r="D20" s="8" t="s">
        <v>48</v>
      </c>
      <c r="E20" s="4" t="s">
        <v>189</v>
      </c>
      <c r="F20" s="4" t="s">
        <v>14</v>
      </c>
      <c r="G20" s="4">
        <f>0.13</f>
        <v>0.13</v>
      </c>
    </row>
    <row r="21" spans="1:7" ht="30" hidden="1" outlineLevel="4">
      <c r="A21" s="4" t="s">
        <v>14</v>
      </c>
      <c r="B21" s="4" t="s">
        <v>82</v>
      </c>
      <c r="C21" s="5"/>
      <c r="D21" s="8" t="s">
        <v>48</v>
      </c>
      <c r="E21" s="4" t="s">
        <v>190</v>
      </c>
      <c r="F21" s="4" t="s">
        <v>14</v>
      </c>
      <c r="G21" s="4">
        <f>((G17*G18)+(G19*G20))*G23</f>
        <v>6.7833333333333332</v>
      </c>
    </row>
    <row r="22" spans="1:7" ht="30" hidden="1" outlineLevel="4">
      <c r="A22" s="4" t="s">
        <v>14</v>
      </c>
      <c r="B22" s="4" t="s">
        <v>82</v>
      </c>
      <c r="C22" s="5"/>
      <c r="D22" s="8" t="s">
        <v>48</v>
      </c>
      <c r="E22" s="4" t="s">
        <v>191</v>
      </c>
      <c r="F22" s="4" t="s">
        <v>14</v>
      </c>
      <c r="G22" s="4">
        <f>G21/G6</f>
        <v>5.9051098245467837E-3</v>
      </c>
    </row>
    <row r="23" spans="1:7" ht="30" hidden="1" outlineLevel="4">
      <c r="A23" s="4" t="s">
        <v>14</v>
      </c>
      <c r="B23" s="4" t="s">
        <v>82</v>
      </c>
      <c r="C23" s="5"/>
      <c r="D23" s="8" t="s">
        <v>48</v>
      </c>
      <c r="E23" s="4" t="s">
        <v>192</v>
      </c>
      <c r="F23" s="4" t="s">
        <v>14</v>
      </c>
      <c r="G23" s="4">
        <f>44/12</f>
        <v>3.6666666666666665</v>
      </c>
    </row>
    <row r="24" spans="1:7" outlineLevel="2" collapsed="1">
      <c r="A24" s="3" t="s">
        <v>14</v>
      </c>
      <c r="B24" s="9" t="s">
        <v>193</v>
      </c>
      <c r="C24" s="3"/>
      <c r="D24" s="3"/>
      <c r="E24" s="3" t="s">
        <v>194</v>
      </c>
      <c r="F24" s="3" t="s">
        <v>14</v>
      </c>
      <c r="G24" s="3"/>
    </row>
    <row r="25" spans="1:7" hidden="1" outlineLevel="3">
      <c r="A25" s="3" t="s">
        <v>11</v>
      </c>
      <c r="B25" s="10" t="s">
        <v>195</v>
      </c>
      <c r="C25" s="3"/>
      <c r="D25" s="3"/>
      <c r="E25" s="3" t="s">
        <v>196</v>
      </c>
      <c r="F25" s="3" t="s">
        <v>11</v>
      </c>
      <c r="G25" s="3"/>
    </row>
    <row r="26" spans="1:7" hidden="1" outlineLevel="4">
      <c r="A26" s="4" t="s">
        <v>11</v>
      </c>
      <c r="B26" s="4" t="s">
        <v>46</v>
      </c>
      <c r="C26" s="5" t="s">
        <v>47</v>
      </c>
      <c r="D26" s="8"/>
      <c r="E26" s="4" t="s">
        <v>197</v>
      </c>
      <c r="F26" s="4" t="s">
        <v>14</v>
      </c>
      <c r="G26" s="4" t="s">
        <v>198</v>
      </c>
    </row>
    <row r="27" spans="1:7" hidden="1" outlineLevel="4">
      <c r="A27" s="4" t="s">
        <v>11</v>
      </c>
      <c r="B27" s="4" t="s">
        <v>46</v>
      </c>
      <c r="C27" s="5"/>
      <c r="D27" s="8"/>
      <c r="E27" s="4" t="s">
        <v>199</v>
      </c>
      <c r="F27" s="4" t="s">
        <v>14</v>
      </c>
      <c r="G27" s="4" t="s">
        <v>200</v>
      </c>
    </row>
    <row r="28" spans="1:7" ht="30" hidden="1" outlineLevel="4">
      <c r="A28" s="4" t="s">
        <v>11</v>
      </c>
      <c r="B28" s="4" t="s">
        <v>82</v>
      </c>
      <c r="C28" s="5"/>
      <c r="D28" s="8"/>
      <c r="E28" s="4" t="s">
        <v>201</v>
      </c>
      <c r="F28" s="4" t="s">
        <v>14</v>
      </c>
      <c r="G28" s="4">
        <v>160</v>
      </c>
    </row>
    <row r="29" spans="1:7" ht="30" hidden="1" outlineLevel="4">
      <c r="A29" s="4" t="s">
        <v>11</v>
      </c>
      <c r="B29" s="4" t="s">
        <v>82</v>
      </c>
      <c r="C29" s="5"/>
      <c r="D29" s="8"/>
      <c r="E29" s="4" t="s">
        <v>202</v>
      </c>
      <c r="F29" s="4" t="s">
        <v>14</v>
      </c>
      <c r="G29" s="4">
        <v>13.289693946836101</v>
      </c>
    </row>
    <row r="30" spans="1:7" ht="30" hidden="1" outlineLevel="4">
      <c r="A30" s="4" t="s">
        <v>14</v>
      </c>
      <c r="B30" s="4" t="s">
        <v>82</v>
      </c>
      <c r="C30" s="5"/>
      <c r="D30" s="8" t="s">
        <v>48</v>
      </c>
      <c r="E30" s="4" t="s">
        <v>190</v>
      </c>
      <c r="F30" s="4" t="s">
        <v>14</v>
      </c>
      <c r="G30" s="4">
        <f>G28*G29</f>
        <v>2126.3510314937762</v>
      </c>
    </row>
    <row r="31" spans="1:7" ht="30" hidden="1" outlineLevel="3">
      <c r="A31" s="3" t="s">
        <v>14</v>
      </c>
      <c r="B31" s="3" t="s">
        <v>82</v>
      </c>
      <c r="C31" s="3"/>
      <c r="D31" s="3" t="s">
        <v>48</v>
      </c>
      <c r="E31" s="3" t="s">
        <v>191</v>
      </c>
      <c r="F31" s="3" t="s">
        <v>14</v>
      </c>
      <c r="G31" s="3">
        <f>SUM(G30)</f>
        <v>2126.3510314937762</v>
      </c>
    </row>
    <row r="32" spans="1:7" ht="30" hidden="1" outlineLevel="3">
      <c r="A32" s="3" t="s">
        <v>14</v>
      </c>
      <c r="B32" s="3" t="s">
        <v>82</v>
      </c>
      <c r="C32" s="3"/>
      <c r="D32" s="3" t="s">
        <v>48</v>
      </c>
      <c r="E32" s="3" t="s">
        <v>203</v>
      </c>
      <c r="F32" s="3" t="s">
        <v>14</v>
      </c>
      <c r="G32" s="3">
        <f>((G34*G31)/G33)/G6</f>
        <v>5.1829594829816368E-2</v>
      </c>
    </row>
    <row r="33" spans="1:7" hidden="1" outlineLevel="3">
      <c r="A33" s="3" t="s">
        <v>14</v>
      </c>
      <c r="B33" s="3" t="s">
        <v>82</v>
      </c>
      <c r="C33" s="3"/>
      <c r="D33" s="3" t="s">
        <v>48</v>
      </c>
      <c r="E33" s="3" t="s">
        <v>204</v>
      </c>
      <c r="F33" s="3" t="s">
        <v>14</v>
      </c>
      <c r="G33" s="3">
        <f>1000</f>
        <v>1000</v>
      </c>
    </row>
    <row r="34" spans="1:7" hidden="1" outlineLevel="3">
      <c r="A34" s="3" t="s">
        <v>11</v>
      </c>
      <c r="B34" s="3" t="s">
        <v>82</v>
      </c>
      <c r="C34" s="3"/>
      <c r="D34" s="3"/>
      <c r="E34" s="3" t="s">
        <v>96</v>
      </c>
      <c r="F34" s="3" t="s">
        <v>14</v>
      </c>
      <c r="G34" s="3">
        <v>28</v>
      </c>
    </row>
    <row r="35" spans="1:7" outlineLevel="2" collapsed="1">
      <c r="A35" s="3" t="s">
        <v>14</v>
      </c>
      <c r="B35" s="9" t="s">
        <v>205</v>
      </c>
      <c r="C35" s="3"/>
      <c r="D35" s="3"/>
      <c r="E35" s="3" t="s">
        <v>206</v>
      </c>
      <c r="F35" s="3" t="s">
        <v>14</v>
      </c>
      <c r="G35" s="3"/>
    </row>
    <row r="36" spans="1:7" hidden="1" outlineLevel="3">
      <c r="A36" s="3" t="s">
        <v>11</v>
      </c>
      <c r="B36" s="10" t="s">
        <v>207</v>
      </c>
      <c r="C36" s="3"/>
      <c r="D36" s="3"/>
      <c r="E36" s="3" t="s">
        <v>208</v>
      </c>
      <c r="F36" s="3" t="s">
        <v>11</v>
      </c>
      <c r="G36" s="3"/>
    </row>
    <row r="37" spans="1:7" hidden="1" outlineLevel="4">
      <c r="A37" s="4" t="s">
        <v>11</v>
      </c>
      <c r="B37" s="4" t="s">
        <v>46</v>
      </c>
      <c r="C37" s="5" t="s">
        <v>47</v>
      </c>
      <c r="D37" s="8"/>
      <c r="E37" s="4" t="s">
        <v>197</v>
      </c>
      <c r="F37" s="4" t="s">
        <v>14</v>
      </c>
      <c r="G37" s="4" t="s">
        <v>198</v>
      </c>
    </row>
    <row r="38" spans="1:7" hidden="1" outlineLevel="4">
      <c r="A38" s="4" t="s">
        <v>11</v>
      </c>
      <c r="B38" s="4" t="s">
        <v>46</v>
      </c>
      <c r="C38" s="5"/>
      <c r="D38" s="8"/>
      <c r="E38" s="4" t="s">
        <v>199</v>
      </c>
      <c r="F38" s="4" t="s">
        <v>14</v>
      </c>
      <c r="G38" s="4" t="s">
        <v>200</v>
      </c>
    </row>
    <row r="39" spans="1:7" ht="30" hidden="1" outlineLevel="4">
      <c r="A39" s="4" t="s">
        <v>11</v>
      </c>
      <c r="B39" s="4" t="s">
        <v>82</v>
      </c>
      <c r="C39" s="5"/>
      <c r="D39" s="8"/>
      <c r="E39" s="4" t="s">
        <v>201</v>
      </c>
      <c r="F39" s="4" t="s">
        <v>14</v>
      </c>
      <c r="G39" s="4">
        <v>160</v>
      </c>
    </row>
    <row r="40" spans="1:7" hidden="1" outlineLevel="4">
      <c r="A40" s="4" t="s">
        <v>11</v>
      </c>
      <c r="B40" s="4" t="s">
        <v>46</v>
      </c>
      <c r="C40" s="5"/>
      <c r="D40" s="8"/>
      <c r="E40" s="4" t="s">
        <v>209</v>
      </c>
      <c r="F40" s="4" t="s">
        <v>14</v>
      </c>
      <c r="G40" s="4" t="s">
        <v>210</v>
      </c>
    </row>
    <row r="41" spans="1:7" ht="45" hidden="1" outlineLevel="4">
      <c r="A41" s="4" t="s">
        <v>14</v>
      </c>
      <c r="B41" s="4" t="s">
        <v>82</v>
      </c>
      <c r="C41" s="5"/>
      <c r="D41" s="8"/>
      <c r="E41" s="4" t="s">
        <v>211</v>
      </c>
      <c r="F41" s="4" t="s">
        <v>14</v>
      </c>
      <c r="G41" s="4">
        <v>1</v>
      </c>
    </row>
    <row r="42" spans="1:7" ht="30" hidden="1" outlineLevel="4">
      <c r="A42" s="4" t="s">
        <v>11</v>
      </c>
      <c r="B42" s="4" t="s">
        <v>82</v>
      </c>
      <c r="C42" s="5"/>
      <c r="D42" s="8"/>
      <c r="E42" s="4" t="s">
        <v>212</v>
      </c>
      <c r="F42" s="4" t="s">
        <v>14</v>
      </c>
      <c r="G42" s="4">
        <v>30</v>
      </c>
    </row>
    <row r="43" spans="1:7" ht="30" hidden="1" outlineLevel="4">
      <c r="A43" s="4" t="s">
        <v>11</v>
      </c>
      <c r="B43" s="4" t="s">
        <v>82</v>
      </c>
      <c r="C43" s="5"/>
      <c r="D43" s="8"/>
      <c r="E43" s="4" t="s">
        <v>213</v>
      </c>
      <c r="F43" s="4" t="s">
        <v>14</v>
      </c>
      <c r="G43" s="4">
        <v>8.3000000000000007</v>
      </c>
    </row>
    <row r="44" spans="1:7" ht="45" hidden="1" outlineLevel="4">
      <c r="A44" s="4" t="s">
        <v>14</v>
      </c>
      <c r="B44" s="4" t="s">
        <v>82</v>
      </c>
      <c r="C44" s="5"/>
      <c r="D44" s="8"/>
      <c r="E44" s="4" t="s">
        <v>214</v>
      </c>
      <c r="F44" s="4" t="s">
        <v>14</v>
      </c>
      <c r="G44" s="4">
        <v>0.6</v>
      </c>
    </row>
    <row r="45" spans="1:7" ht="45" hidden="1" outlineLevel="4">
      <c r="A45" s="4" t="s">
        <v>14</v>
      </c>
      <c r="B45" s="4" t="s">
        <v>82</v>
      </c>
      <c r="C45" s="5"/>
      <c r="D45" s="8" t="s">
        <v>48</v>
      </c>
      <c r="E45" s="4" t="s">
        <v>215</v>
      </c>
      <c r="F45" s="4" t="s">
        <v>14</v>
      </c>
      <c r="G45" s="4">
        <f>(G43*(G42/G46))*G47</f>
        <v>90.885000000000005</v>
      </c>
    </row>
    <row r="46" spans="1:7" hidden="1" outlineLevel="4">
      <c r="A46" s="4" t="s">
        <v>14</v>
      </c>
      <c r="B46" s="4" t="s">
        <v>82</v>
      </c>
      <c r="C46" s="5"/>
      <c r="D46" s="8" t="s">
        <v>48</v>
      </c>
      <c r="E46" s="4" t="s">
        <v>216</v>
      </c>
      <c r="F46" s="4" t="s">
        <v>14</v>
      </c>
      <c r="G46" s="4">
        <v>1000</v>
      </c>
    </row>
    <row r="47" spans="1:7" hidden="1" outlineLevel="4">
      <c r="A47" s="4" t="s">
        <v>14</v>
      </c>
      <c r="B47" s="4" t="s">
        <v>82</v>
      </c>
      <c r="C47" s="5"/>
      <c r="D47" s="8" t="s">
        <v>48</v>
      </c>
      <c r="E47" s="4" t="s">
        <v>217</v>
      </c>
      <c r="F47" s="4" t="s">
        <v>14</v>
      </c>
      <c r="G47" s="4">
        <f>365</f>
        <v>365</v>
      </c>
    </row>
    <row r="48" spans="1:7" ht="18" hidden="1" outlineLevel="3">
      <c r="A48" s="3" t="s">
        <v>14</v>
      </c>
      <c r="B48" s="3" t="s">
        <v>82</v>
      </c>
      <c r="C48" s="3"/>
      <c r="D48" s="3" t="s">
        <v>48</v>
      </c>
      <c r="E48" s="3" t="s">
        <v>218</v>
      </c>
      <c r="F48" s="3" t="s">
        <v>14</v>
      </c>
      <c r="G48" s="3">
        <f>SUM(G39*G45*G41*G44)</f>
        <v>8724.9599999999991</v>
      </c>
    </row>
    <row r="49" spans="1:7" ht="30" hidden="1" outlineLevel="3">
      <c r="A49" s="3" t="s">
        <v>14</v>
      </c>
      <c r="B49" s="3" t="s">
        <v>82</v>
      </c>
      <c r="C49" s="3"/>
      <c r="D49" s="3" t="s">
        <v>48</v>
      </c>
      <c r="E49" s="3" t="s">
        <v>219</v>
      </c>
      <c r="F49" s="3" t="s">
        <v>14</v>
      </c>
      <c r="G49" s="3">
        <f>G50*G48/(G51*G6)</f>
        <v>2.126700319037507E-4</v>
      </c>
    </row>
    <row r="50" spans="1:7" hidden="1" outlineLevel="3">
      <c r="A50" s="3" t="s">
        <v>11</v>
      </c>
      <c r="B50" s="3" t="s">
        <v>82</v>
      </c>
      <c r="C50" s="3"/>
      <c r="D50" s="3"/>
      <c r="E50" s="3" t="s">
        <v>96</v>
      </c>
      <c r="F50" s="3" t="s">
        <v>14</v>
      </c>
      <c r="G50" s="3">
        <v>28</v>
      </c>
    </row>
    <row r="51" spans="1:7" hidden="1" outlineLevel="3">
      <c r="A51" s="3" t="s">
        <v>14</v>
      </c>
      <c r="B51" s="3" t="s">
        <v>82</v>
      </c>
      <c r="C51" s="3"/>
      <c r="D51" s="3" t="s">
        <v>48</v>
      </c>
      <c r="E51" s="3" t="s">
        <v>220</v>
      </c>
      <c r="F51" s="3" t="s">
        <v>14</v>
      </c>
      <c r="G51" s="3">
        <f>10^6</f>
        <v>1000000</v>
      </c>
    </row>
    <row r="52" spans="1:7" outlineLevel="2" collapsed="1">
      <c r="A52" s="3" t="s">
        <v>14</v>
      </c>
      <c r="B52" s="9" t="s">
        <v>221</v>
      </c>
      <c r="C52" s="3"/>
      <c r="D52" s="3"/>
      <c r="E52" s="3" t="s">
        <v>222</v>
      </c>
      <c r="F52" s="3" t="s">
        <v>14</v>
      </c>
      <c r="G52" s="3"/>
    </row>
    <row r="53" spans="1:7" hidden="1" outlineLevel="3">
      <c r="A53" s="3" t="s">
        <v>11</v>
      </c>
      <c r="B53" s="10" t="s">
        <v>223</v>
      </c>
      <c r="C53" s="3"/>
      <c r="D53" s="3"/>
      <c r="E53" s="3" t="s">
        <v>224</v>
      </c>
      <c r="F53" s="3" t="s">
        <v>11</v>
      </c>
      <c r="G53" s="3"/>
    </row>
    <row r="54" spans="1:7" hidden="1" outlineLevel="4">
      <c r="A54" s="4" t="s">
        <v>11</v>
      </c>
      <c r="B54" s="4" t="s">
        <v>46</v>
      </c>
      <c r="C54" s="5" t="s">
        <v>47</v>
      </c>
      <c r="D54" s="8"/>
      <c r="E54" s="4" t="s">
        <v>225</v>
      </c>
      <c r="F54" s="4" t="s">
        <v>14</v>
      </c>
      <c r="G54" s="4" t="s">
        <v>226</v>
      </c>
    </row>
    <row r="55" spans="1:7" ht="30" hidden="1" outlineLevel="4">
      <c r="A55" s="4" t="s">
        <v>11</v>
      </c>
      <c r="B55" s="4" t="s">
        <v>82</v>
      </c>
      <c r="C55" s="5"/>
      <c r="D55" s="8"/>
      <c r="E55" s="4" t="s">
        <v>227</v>
      </c>
      <c r="F55" s="4" t="s">
        <v>14</v>
      </c>
      <c r="G55" s="4">
        <v>0.92</v>
      </c>
    </row>
    <row r="56" spans="1:7" ht="30" hidden="1" outlineLevel="4">
      <c r="A56" s="4" t="s">
        <v>11</v>
      </c>
      <c r="B56" s="4" t="s">
        <v>82</v>
      </c>
      <c r="C56" s="5"/>
      <c r="D56" s="8"/>
      <c r="E56" s="4" t="s">
        <v>228</v>
      </c>
      <c r="F56" s="4" t="s">
        <v>14</v>
      </c>
      <c r="G56" s="4">
        <v>2.2999999999999998</v>
      </c>
    </row>
    <row r="57" spans="1:7" ht="30" hidden="1" outlineLevel="4">
      <c r="A57" s="4" t="s">
        <v>11</v>
      </c>
      <c r="B57" s="4" t="s">
        <v>82</v>
      </c>
      <c r="C57" s="5"/>
      <c r="D57" s="8"/>
      <c r="E57" s="4" t="s">
        <v>229</v>
      </c>
      <c r="F57" s="4" t="s">
        <v>14</v>
      </c>
      <c r="G57" s="4">
        <v>1423149.0296307299</v>
      </c>
    </row>
    <row r="58" spans="1:7" ht="18" hidden="1" outlineLevel="4">
      <c r="A58" s="4" t="s">
        <v>14</v>
      </c>
      <c r="B58" s="4" t="s">
        <v>82</v>
      </c>
      <c r="C58" s="5"/>
      <c r="D58" s="8" t="s">
        <v>48</v>
      </c>
      <c r="E58" s="4" t="s">
        <v>230</v>
      </c>
      <c r="F58" s="4" t="s">
        <v>14</v>
      </c>
      <c r="G58" s="4">
        <f>G57*G55*G56</f>
        <v>3011383.3466986245</v>
      </c>
    </row>
    <row r="59" spans="1:7" ht="18" hidden="1" outlineLevel="3">
      <c r="A59" s="3" t="s">
        <v>11</v>
      </c>
      <c r="B59" s="3" t="s">
        <v>82</v>
      </c>
      <c r="C59" s="3"/>
      <c r="D59" s="3"/>
      <c r="E59" s="3" t="s">
        <v>231</v>
      </c>
      <c r="F59" s="3" t="s">
        <v>14</v>
      </c>
      <c r="G59" s="3">
        <f>SUM(G58)</f>
        <v>3011383.3466986245</v>
      </c>
    </row>
    <row r="60" spans="1:7" ht="30" hidden="1" outlineLevel="3">
      <c r="A60" s="3" t="s">
        <v>14</v>
      </c>
      <c r="B60" s="3" t="s">
        <v>82</v>
      </c>
      <c r="C60" s="3"/>
      <c r="D60" s="3" t="s">
        <v>48</v>
      </c>
      <c r="E60" s="3" t="s">
        <v>232</v>
      </c>
      <c r="F60" s="3" t="s">
        <v>14</v>
      </c>
      <c r="G60" s="3">
        <f>((G61*G59)/G62)/G6</f>
        <v>7.3402169455999811E-2</v>
      </c>
    </row>
    <row r="61" spans="1:7" hidden="1" outlineLevel="3">
      <c r="A61" s="3" t="s">
        <v>11</v>
      </c>
      <c r="B61" s="3" t="s">
        <v>82</v>
      </c>
      <c r="C61" s="3"/>
      <c r="D61" s="3"/>
      <c r="E61" s="3" t="s">
        <v>96</v>
      </c>
      <c r="F61" s="3" t="s">
        <v>14</v>
      </c>
      <c r="G61" s="3">
        <v>28</v>
      </c>
    </row>
    <row r="62" spans="1:7" hidden="1" outlineLevel="3">
      <c r="A62" s="3" t="s">
        <v>14</v>
      </c>
      <c r="B62" s="3" t="s">
        <v>82</v>
      </c>
      <c r="C62" s="3"/>
      <c r="D62" s="3" t="s">
        <v>48</v>
      </c>
      <c r="E62" s="3" t="s">
        <v>220</v>
      </c>
      <c r="F62" s="3" t="s">
        <v>14</v>
      </c>
      <c r="G62" s="3">
        <f>10^6</f>
        <v>1000000</v>
      </c>
    </row>
    <row r="63" spans="1:7" outlineLevel="2" collapsed="1">
      <c r="A63" s="3" t="s">
        <v>14</v>
      </c>
      <c r="B63" s="9" t="s">
        <v>233</v>
      </c>
      <c r="C63" s="3"/>
      <c r="D63" s="3"/>
      <c r="E63" s="3" t="s">
        <v>234</v>
      </c>
      <c r="F63" s="3" t="s">
        <v>14</v>
      </c>
      <c r="G63" s="3"/>
    </row>
    <row r="64" spans="1:7" hidden="1" outlineLevel="4">
      <c r="A64" s="3" t="s">
        <v>11</v>
      </c>
      <c r="B64" s="3" t="s">
        <v>82</v>
      </c>
      <c r="C64" s="3" t="s">
        <v>47</v>
      </c>
      <c r="D64" s="3"/>
      <c r="E64" s="3" t="s">
        <v>90</v>
      </c>
      <c r="F64" s="3" t="s">
        <v>14</v>
      </c>
      <c r="G64" s="3">
        <v>1148.722638</v>
      </c>
    </row>
    <row r="65" spans="1:7" hidden="1" outlineLevel="3">
      <c r="A65" s="3" t="s">
        <v>11</v>
      </c>
      <c r="B65" s="10" t="s">
        <v>235</v>
      </c>
      <c r="C65" s="3"/>
      <c r="D65" s="3"/>
      <c r="E65" s="3" t="s">
        <v>236</v>
      </c>
      <c r="F65" s="3" t="s">
        <v>11</v>
      </c>
      <c r="G65" s="3"/>
    </row>
    <row r="66" spans="1:7" hidden="1" outlineLevel="4">
      <c r="A66" s="4" t="s">
        <v>11</v>
      </c>
      <c r="B66" s="4" t="s">
        <v>46</v>
      </c>
      <c r="C66" s="5"/>
      <c r="D66" s="8"/>
      <c r="E66" s="4" t="s">
        <v>237</v>
      </c>
      <c r="F66" s="4" t="s">
        <v>14</v>
      </c>
      <c r="G66" s="4" t="s">
        <v>238</v>
      </c>
    </row>
    <row r="67" spans="1:7" ht="30" hidden="1" outlineLevel="4">
      <c r="A67" s="4" t="s">
        <v>11</v>
      </c>
      <c r="B67" s="4" t="s">
        <v>46</v>
      </c>
      <c r="C67" s="5" t="s">
        <v>47</v>
      </c>
      <c r="D67" s="8"/>
      <c r="E67" s="4" t="s">
        <v>239</v>
      </c>
      <c r="F67" s="4" t="s">
        <v>14</v>
      </c>
      <c r="G67" s="4">
        <v>314.03539242142602</v>
      </c>
    </row>
    <row r="68" spans="1:7" hidden="1" outlineLevel="4">
      <c r="A68" s="4" t="s">
        <v>11</v>
      </c>
      <c r="B68" s="4" t="s">
        <v>82</v>
      </c>
      <c r="C68" s="5"/>
      <c r="D68" s="8"/>
      <c r="E68" s="4" t="s">
        <v>240</v>
      </c>
      <c r="F68" s="4" t="s">
        <v>14</v>
      </c>
      <c r="G68" s="4">
        <v>0.82</v>
      </c>
    </row>
    <row r="69" spans="1:7" ht="30" hidden="1" outlineLevel="3">
      <c r="A69" s="3" t="s">
        <v>14</v>
      </c>
      <c r="B69" s="3" t="s">
        <v>82</v>
      </c>
      <c r="C69" s="3"/>
      <c r="D69" s="3" t="s">
        <v>48</v>
      </c>
      <c r="E69" s="3" t="s">
        <v>241</v>
      </c>
      <c r="F69" s="3" t="s">
        <v>14</v>
      </c>
      <c r="G69" s="3">
        <f>SUM(G67*G68)</f>
        <v>257.5090217855693</v>
      </c>
    </row>
    <row r="70" spans="1:7" hidden="1" outlineLevel="3">
      <c r="A70" s="3" t="s">
        <v>11</v>
      </c>
      <c r="B70" s="10" t="s">
        <v>242</v>
      </c>
      <c r="C70" s="3"/>
      <c r="D70" s="3"/>
      <c r="E70" s="3" t="s">
        <v>243</v>
      </c>
      <c r="F70" s="3" t="s">
        <v>11</v>
      </c>
      <c r="G70" s="3"/>
    </row>
    <row r="71" spans="1:7" hidden="1" outlineLevel="4">
      <c r="A71" s="4" t="s">
        <v>11</v>
      </c>
      <c r="B71" s="4" t="s">
        <v>46</v>
      </c>
      <c r="C71" s="5"/>
      <c r="D71" s="8"/>
      <c r="E71" s="4" t="s">
        <v>244</v>
      </c>
      <c r="F71" s="4" t="s">
        <v>14</v>
      </c>
      <c r="G71" s="4" t="s">
        <v>245</v>
      </c>
    </row>
    <row r="72" spans="1:7" ht="30" hidden="1" outlineLevel="4">
      <c r="A72" s="4" t="s">
        <v>11</v>
      </c>
      <c r="B72" s="4" t="s">
        <v>82</v>
      </c>
      <c r="C72" s="5"/>
      <c r="D72" s="8"/>
      <c r="E72" s="4" t="s">
        <v>246</v>
      </c>
      <c r="F72" s="4" t="s">
        <v>14</v>
      </c>
      <c r="G72" s="4">
        <v>483.31272857651902</v>
      </c>
    </row>
    <row r="73" spans="1:7" hidden="1" outlineLevel="4">
      <c r="A73" s="4" t="s">
        <v>11</v>
      </c>
      <c r="B73" s="4" t="s">
        <v>82</v>
      </c>
      <c r="C73" s="5"/>
      <c r="D73" s="8"/>
      <c r="E73" s="4" t="s">
        <v>247</v>
      </c>
      <c r="F73" s="4" t="s">
        <v>14</v>
      </c>
      <c r="G73" s="4">
        <v>6.6600000000000006E-2</v>
      </c>
    </row>
    <row r="74" spans="1:7" ht="30" hidden="1" outlineLevel="3">
      <c r="A74" s="3" t="s">
        <v>14</v>
      </c>
      <c r="B74" s="3" t="s">
        <v>82</v>
      </c>
      <c r="C74" s="3"/>
      <c r="D74" s="3" t="s">
        <v>48</v>
      </c>
      <c r="E74" s="3" t="s">
        <v>248</v>
      </c>
      <c r="F74" s="3" t="s">
        <v>14</v>
      </c>
      <c r="G74" s="3">
        <f>SUM(G72*G73)</f>
        <v>32.18862772319617</v>
      </c>
    </row>
    <row r="75" spans="1:7" ht="30" hidden="1" outlineLevel="3">
      <c r="A75" s="3" t="s">
        <v>11</v>
      </c>
      <c r="B75" s="3" t="s">
        <v>82</v>
      </c>
      <c r="C75" s="3"/>
      <c r="D75" s="3"/>
      <c r="E75" s="3" t="s">
        <v>249</v>
      </c>
      <c r="F75" s="3" t="s">
        <v>14</v>
      </c>
      <c r="G75" s="3">
        <v>0.01</v>
      </c>
    </row>
    <row r="76" spans="1:7" ht="30" hidden="1" outlineLevel="3">
      <c r="A76" s="3" t="s">
        <v>14</v>
      </c>
      <c r="B76" s="3" t="s">
        <v>82</v>
      </c>
      <c r="C76" s="3"/>
      <c r="D76" s="3" t="s">
        <v>48</v>
      </c>
      <c r="E76" s="3" t="s">
        <v>250</v>
      </c>
      <c r="F76" s="3" t="s">
        <v>14</v>
      </c>
      <c r="G76" s="3">
        <f>((G69+G74)*G75*44/28*G86)/G6</f>
        <v>1.0501958817208847</v>
      </c>
    </row>
    <row r="77" spans="1:7" ht="30" hidden="1" outlineLevel="3">
      <c r="A77" s="3" t="s">
        <v>11</v>
      </c>
      <c r="B77" s="3" t="s">
        <v>82</v>
      </c>
      <c r="C77" s="3"/>
      <c r="D77" s="3"/>
      <c r="E77" s="3" t="s">
        <v>251</v>
      </c>
      <c r="F77" s="3" t="s">
        <v>14</v>
      </c>
      <c r="G77" s="3">
        <v>0.11</v>
      </c>
    </row>
    <row r="78" spans="1:7" ht="30" hidden="1" outlineLevel="3">
      <c r="A78" s="3" t="s">
        <v>11</v>
      </c>
      <c r="B78" s="3" t="s">
        <v>82</v>
      </c>
      <c r="C78" s="3"/>
      <c r="D78" s="3"/>
      <c r="E78" s="3" t="s">
        <v>252</v>
      </c>
      <c r="F78" s="3" t="s">
        <v>14</v>
      </c>
      <c r="G78" s="3">
        <v>0.21</v>
      </c>
    </row>
    <row r="79" spans="1:7" ht="30" hidden="1" outlineLevel="3">
      <c r="A79" s="3" t="s">
        <v>11</v>
      </c>
      <c r="B79" s="3" t="s">
        <v>82</v>
      </c>
      <c r="C79" s="3"/>
      <c r="D79" s="3"/>
      <c r="E79" s="3" t="s">
        <v>253</v>
      </c>
      <c r="F79" s="3" t="s">
        <v>14</v>
      </c>
      <c r="G79" s="3">
        <v>0.01</v>
      </c>
    </row>
    <row r="80" spans="1:7" ht="45" hidden="1" outlineLevel="3">
      <c r="A80" s="3" t="s">
        <v>14</v>
      </c>
      <c r="B80" s="3" t="s">
        <v>82</v>
      </c>
      <c r="C80" s="3"/>
      <c r="D80" s="3" t="s">
        <v>48</v>
      </c>
      <c r="E80" s="3" t="s">
        <v>254</v>
      </c>
      <c r="F80" s="3" t="s">
        <v>14</v>
      </c>
      <c r="G80" s="3">
        <f>((G69*G77)+(G74*G78))*G79*(44/28)*G86</f>
        <v>146.10648042328191</v>
      </c>
    </row>
    <row r="81" spans="1:7" ht="45" hidden="1" outlineLevel="3">
      <c r="A81" s="3" t="s">
        <v>11</v>
      </c>
      <c r="B81" s="3" t="s">
        <v>82</v>
      </c>
      <c r="C81" s="3"/>
      <c r="D81" s="3"/>
      <c r="E81" s="3" t="s">
        <v>255</v>
      </c>
      <c r="F81" s="3" t="s">
        <v>14</v>
      </c>
      <c r="G81" s="3">
        <v>0.24</v>
      </c>
    </row>
    <row r="82" spans="1:7" ht="30" hidden="1" outlineLevel="3">
      <c r="A82" s="3" t="s">
        <v>11</v>
      </c>
      <c r="B82" s="3" t="s">
        <v>82</v>
      </c>
      <c r="C82" s="3"/>
      <c r="D82" s="3"/>
      <c r="E82" s="3" t="s">
        <v>256</v>
      </c>
      <c r="F82" s="3" t="s">
        <v>14</v>
      </c>
      <c r="G82" s="3">
        <v>1.0999999999999999E-2</v>
      </c>
    </row>
    <row r="83" spans="1:7" ht="45" hidden="1" outlineLevel="3">
      <c r="A83" s="3" t="s">
        <v>14</v>
      </c>
      <c r="B83" s="3" t="s">
        <v>82</v>
      </c>
      <c r="C83" s="3"/>
      <c r="D83" s="3" t="s">
        <v>48</v>
      </c>
      <c r="E83" s="3" t="s">
        <v>257</v>
      </c>
      <c r="F83" s="3" t="s">
        <v>14</v>
      </c>
      <c r="G83" s="3">
        <f>(G69+G74)*G81*G82*(44/28)*G86</f>
        <v>318.48531879423649</v>
      </c>
    </row>
    <row r="84" spans="1:7" ht="30" hidden="1" outlineLevel="3">
      <c r="A84" s="3" t="s">
        <v>14</v>
      </c>
      <c r="B84" s="3" t="s">
        <v>82</v>
      </c>
      <c r="C84" s="3"/>
      <c r="D84" s="3" t="s">
        <v>48</v>
      </c>
      <c r="E84" s="3" t="s">
        <v>258</v>
      </c>
      <c r="F84" s="3" t="s">
        <v>14</v>
      </c>
      <c r="G84" s="3">
        <f>(G80+G83)/G6</f>
        <v>0.40444210289384297</v>
      </c>
    </row>
    <row r="85" spans="1:7" ht="30" hidden="1" outlineLevel="3">
      <c r="A85" s="3" t="s">
        <v>14</v>
      </c>
      <c r="B85" s="3" t="s">
        <v>82</v>
      </c>
      <c r="C85" s="3"/>
      <c r="D85" s="3" t="s">
        <v>48</v>
      </c>
      <c r="E85" s="3" t="s">
        <v>259</v>
      </c>
      <c r="F85" s="3" t="s">
        <v>14</v>
      </c>
      <c r="G85" s="3">
        <f>G76+G84</f>
        <v>1.4546379846147277</v>
      </c>
    </row>
    <row r="86" spans="1:7" hidden="1" outlineLevel="3">
      <c r="A86" s="3" t="s">
        <v>11</v>
      </c>
      <c r="B86" s="3" t="s">
        <v>82</v>
      </c>
      <c r="C86" s="3"/>
      <c r="D86" s="3"/>
      <c r="E86" s="3" t="s">
        <v>114</v>
      </c>
      <c r="F86" s="3" t="s">
        <v>14</v>
      </c>
      <c r="G86" s="3">
        <v>265</v>
      </c>
    </row>
    <row r="87" spans="1:7" outlineLevel="2" collapsed="1">
      <c r="A87" s="3" t="s">
        <v>14</v>
      </c>
      <c r="B87" s="9" t="s">
        <v>260</v>
      </c>
      <c r="C87" s="3"/>
      <c r="D87" s="3"/>
      <c r="E87" s="3" t="s">
        <v>261</v>
      </c>
      <c r="F87" s="3" t="s">
        <v>14</v>
      </c>
      <c r="G87" s="3"/>
    </row>
    <row r="88" spans="1:7" hidden="1" outlineLevel="3">
      <c r="A88" s="3" t="s">
        <v>11</v>
      </c>
      <c r="B88" s="10" t="s">
        <v>262</v>
      </c>
      <c r="C88" s="3"/>
      <c r="D88" s="3"/>
      <c r="E88" s="3" t="s">
        <v>263</v>
      </c>
      <c r="F88" s="3" t="s">
        <v>11</v>
      </c>
      <c r="G88" s="3"/>
    </row>
    <row r="89" spans="1:7" hidden="1" outlineLevel="4">
      <c r="A89" s="4" t="s">
        <v>11</v>
      </c>
      <c r="B89" s="4" t="s">
        <v>46</v>
      </c>
      <c r="C89" s="5"/>
      <c r="D89" s="8"/>
      <c r="E89" s="4" t="s">
        <v>264</v>
      </c>
      <c r="F89" s="4" t="s">
        <v>14</v>
      </c>
      <c r="G89" s="4" t="s">
        <v>198</v>
      </c>
    </row>
    <row r="90" spans="1:7" ht="30" hidden="1" outlineLevel="4">
      <c r="A90" s="4" t="s">
        <v>11</v>
      </c>
      <c r="B90" s="4" t="s">
        <v>82</v>
      </c>
      <c r="C90" s="5"/>
      <c r="D90" s="8"/>
      <c r="E90" s="4" t="s">
        <v>201</v>
      </c>
      <c r="F90" s="4" t="s">
        <v>14</v>
      </c>
      <c r="G90" s="4">
        <v>160</v>
      </c>
    </row>
    <row r="91" spans="1:7" hidden="1" outlineLevel="4">
      <c r="A91" s="4" t="s">
        <v>11</v>
      </c>
      <c r="B91" s="4" t="s">
        <v>46</v>
      </c>
      <c r="C91" s="5" t="s">
        <v>47</v>
      </c>
      <c r="D91" s="8"/>
      <c r="E91" s="4" t="s">
        <v>199</v>
      </c>
      <c r="F91" s="4" t="s">
        <v>14</v>
      </c>
      <c r="G91" s="4" t="s">
        <v>200</v>
      </c>
    </row>
    <row r="92" spans="1:7" hidden="1" outlineLevel="4">
      <c r="A92" s="4" t="s">
        <v>11</v>
      </c>
      <c r="B92" s="4" t="s">
        <v>46</v>
      </c>
      <c r="C92" s="5"/>
      <c r="D92" s="8"/>
      <c r="E92" s="4" t="s">
        <v>265</v>
      </c>
      <c r="F92" s="4" t="s">
        <v>14</v>
      </c>
      <c r="G92" s="4" t="s">
        <v>266</v>
      </c>
    </row>
    <row r="93" spans="1:7" ht="45" hidden="1" outlineLevel="4">
      <c r="A93" s="4" t="s">
        <v>14</v>
      </c>
      <c r="B93" s="4" t="s">
        <v>82</v>
      </c>
      <c r="C93" s="5"/>
      <c r="D93" s="8"/>
      <c r="E93" s="4" t="s">
        <v>267</v>
      </c>
      <c r="F93" s="4" t="s">
        <v>14</v>
      </c>
      <c r="G93" s="4">
        <v>1</v>
      </c>
    </row>
    <row r="94" spans="1:7" ht="30" hidden="1" outlineLevel="4">
      <c r="A94" s="4" t="s">
        <v>11</v>
      </c>
      <c r="B94" s="4"/>
      <c r="C94" s="5"/>
      <c r="D94" s="8"/>
      <c r="E94" s="4" t="s">
        <v>268</v>
      </c>
      <c r="F94" s="4" t="s">
        <v>11</v>
      </c>
      <c r="G94" s="4">
        <v>3.504</v>
      </c>
    </row>
    <row r="95" spans="1:7" ht="30" hidden="1" outlineLevel="4">
      <c r="A95" s="4" t="s">
        <v>11</v>
      </c>
      <c r="B95" s="4" t="s">
        <v>82</v>
      </c>
      <c r="C95" s="5"/>
      <c r="D95" s="8"/>
      <c r="E95" s="4" t="s">
        <v>269</v>
      </c>
      <c r="F95" s="4" t="s">
        <v>14</v>
      </c>
      <c r="G95" s="4">
        <v>3.0000000000000001E-3</v>
      </c>
    </row>
    <row r="96" spans="1:7" ht="30" hidden="1" outlineLevel="4">
      <c r="A96" s="4" t="s">
        <v>11</v>
      </c>
      <c r="B96" s="4" t="s">
        <v>82</v>
      </c>
      <c r="C96" s="5"/>
      <c r="D96" s="8"/>
      <c r="E96" s="4" t="s">
        <v>270</v>
      </c>
      <c r="F96" s="4" t="s">
        <v>14</v>
      </c>
      <c r="G96" s="4">
        <v>1</v>
      </c>
    </row>
    <row r="97" spans="1:7" ht="30" hidden="1" outlineLevel="4">
      <c r="A97" s="4" t="s">
        <v>14</v>
      </c>
      <c r="B97" s="4" t="s">
        <v>82</v>
      </c>
      <c r="C97" s="5"/>
      <c r="D97" s="8" t="s">
        <v>48</v>
      </c>
      <c r="E97" s="4" t="s">
        <v>271</v>
      </c>
      <c r="F97" s="4" t="s">
        <v>14</v>
      </c>
      <c r="G97" s="4">
        <f>(G90*G94)*G93*G96/1000</f>
        <v>0.56064000000000003</v>
      </c>
    </row>
    <row r="98" spans="1:7" ht="45" hidden="1" outlineLevel="4">
      <c r="A98" s="4"/>
      <c r="B98" s="4" t="s">
        <v>82</v>
      </c>
      <c r="C98" s="5"/>
      <c r="D98" s="8"/>
      <c r="E98" s="4" t="s">
        <v>255</v>
      </c>
      <c r="F98" s="4" t="s">
        <v>14</v>
      </c>
      <c r="G98" s="4">
        <v>0.24</v>
      </c>
    </row>
    <row r="99" spans="1:7" ht="30" hidden="1" outlineLevel="4">
      <c r="A99" s="4" t="s">
        <v>11</v>
      </c>
      <c r="B99" s="4" t="s">
        <v>82</v>
      </c>
      <c r="C99" s="5"/>
      <c r="D99" s="8"/>
      <c r="E99" s="4" t="s">
        <v>252</v>
      </c>
      <c r="F99" s="4" t="s">
        <v>14</v>
      </c>
      <c r="G99" s="4">
        <v>0.21</v>
      </c>
    </row>
    <row r="100" spans="1:7" ht="30" hidden="1" outlineLevel="4">
      <c r="A100" s="4" t="s">
        <v>11</v>
      </c>
      <c r="B100" s="4" t="s">
        <v>82</v>
      </c>
      <c r="C100" s="5"/>
      <c r="D100" s="8"/>
      <c r="E100" s="4" t="s">
        <v>256</v>
      </c>
      <c r="F100" s="4" t="s">
        <v>14</v>
      </c>
      <c r="G100" s="4">
        <v>1.0999999999999999E-2</v>
      </c>
    </row>
    <row r="101" spans="1:7" ht="30" hidden="1" outlineLevel="4">
      <c r="A101" s="4" t="s">
        <v>11</v>
      </c>
      <c r="B101" s="4" t="s">
        <v>82</v>
      </c>
      <c r="C101" s="5"/>
      <c r="D101" s="8"/>
      <c r="E101" s="4" t="s">
        <v>253</v>
      </c>
      <c r="F101" s="4" t="s">
        <v>14</v>
      </c>
      <c r="G101" s="4">
        <v>0.01</v>
      </c>
    </row>
    <row r="102" spans="1:7" ht="75" hidden="1" outlineLevel="4">
      <c r="A102" s="4" t="s">
        <v>14</v>
      </c>
      <c r="B102" s="4" t="s">
        <v>82</v>
      </c>
      <c r="C102" s="5"/>
      <c r="D102" s="8" t="s">
        <v>48</v>
      </c>
      <c r="E102" s="4" t="s">
        <v>272</v>
      </c>
      <c r="F102" s="4" t="s">
        <v>14</v>
      </c>
      <c r="G102" s="4">
        <f>G97*G98*G100*(44/28)*G107</f>
        <v>0.6163515977142856</v>
      </c>
    </row>
    <row r="103" spans="1:7" ht="45" hidden="1" outlineLevel="4">
      <c r="A103" s="4" t="s">
        <v>14</v>
      </c>
      <c r="B103" s="4" t="s">
        <v>82</v>
      </c>
      <c r="C103" s="5"/>
      <c r="D103" s="8" t="s">
        <v>48</v>
      </c>
      <c r="E103" s="4" t="s">
        <v>273</v>
      </c>
      <c r="F103" s="4" t="s">
        <v>14</v>
      </c>
      <c r="G103" s="4">
        <f>G97*G99*G101*(44/28)*G107</f>
        <v>0.49027968000000005</v>
      </c>
    </row>
    <row r="104" spans="1:7" ht="45" hidden="1" outlineLevel="3">
      <c r="A104" s="3" t="s">
        <v>14</v>
      </c>
      <c r="B104" s="3" t="s">
        <v>82</v>
      </c>
      <c r="C104" s="3"/>
      <c r="D104" s="3" t="s">
        <v>48</v>
      </c>
      <c r="E104" s="3" t="s">
        <v>274</v>
      </c>
      <c r="F104" s="3" t="s">
        <v>14</v>
      </c>
      <c r="G104" s="3">
        <f>SUM(G97*G95*(44/28)*G107)/G6</f>
        <v>6.0972032751358094E-4</v>
      </c>
    </row>
    <row r="105" spans="1:7" ht="30" hidden="1" outlineLevel="3">
      <c r="A105" s="3" t="s">
        <v>14</v>
      </c>
      <c r="B105" s="3" t="s">
        <v>82</v>
      </c>
      <c r="C105" s="3"/>
      <c r="D105" s="3" t="s">
        <v>48</v>
      </c>
      <c r="E105" s="3" t="s">
        <v>275</v>
      </c>
      <c r="F105" s="3" t="s">
        <v>14</v>
      </c>
      <c r="G105" s="3">
        <f>(G103+G102)/G6</f>
        <v>9.6335811747145779E-4</v>
      </c>
    </row>
    <row r="106" spans="1:7" ht="30" hidden="1" outlineLevel="3">
      <c r="A106" s="3" t="s">
        <v>14</v>
      </c>
      <c r="B106" s="3" t="s">
        <v>82</v>
      </c>
      <c r="C106" s="3"/>
      <c r="D106" s="3" t="s">
        <v>48</v>
      </c>
      <c r="E106" s="3" t="s">
        <v>276</v>
      </c>
      <c r="F106" s="3" t="s">
        <v>14</v>
      </c>
      <c r="G106" s="3">
        <f>G104+G105</f>
        <v>1.5730784449850387E-3</v>
      </c>
    </row>
    <row r="107" spans="1:7" hidden="1" outlineLevel="3">
      <c r="A107" s="3" t="s">
        <v>11</v>
      </c>
      <c r="B107" s="3" t="s">
        <v>82</v>
      </c>
      <c r="C107" s="3"/>
      <c r="D107" s="3"/>
      <c r="E107" s="3" t="s">
        <v>114</v>
      </c>
      <c r="F107" s="3" t="s">
        <v>14</v>
      </c>
      <c r="G107" s="3">
        <v>265</v>
      </c>
    </row>
    <row r="108" spans="1:7" outlineLevel="2">
      <c r="A108" s="3" t="s">
        <v>14</v>
      </c>
      <c r="B108" s="9" t="s">
        <v>277</v>
      </c>
      <c r="C108" s="3"/>
      <c r="D108" s="3"/>
      <c r="E108" s="3" t="s">
        <v>278</v>
      </c>
      <c r="F108" s="3" t="s">
        <v>14</v>
      </c>
      <c r="G108" s="3"/>
    </row>
    <row r="109" spans="1:7" outlineLevel="3">
      <c r="A109" s="3" t="s">
        <v>11</v>
      </c>
      <c r="B109" s="10" t="s">
        <v>279</v>
      </c>
      <c r="C109" s="3"/>
      <c r="D109" s="3"/>
      <c r="E109" s="3" t="s">
        <v>280</v>
      </c>
      <c r="F109" s="3" t="s">
        <v>11</v>
      </c>
      <c r="G109" s="3"/>
    </row>
    <row r="110" spans="1:7" outlineLevel="4">
      <c r="A110" s="4" t="s">
        <v>11</v>
      </c>
      <c r="B110" s="4" t="s">
        <v>46</v>
      </c>
      <c r="C110" s="5"/>
      <c r="D110" s="8"/>
      <c r="E110" s="4" t="s">
        <v>281</v>
      </c>
      <c r="F110" s="4" t="s">
        <v>14</v>
      </c>
      <c r="G110" s="4" t="s">
        <v>282</v>
      </c>
    </row>
    <row r="111" spans="1:7" ht="30" outlineLevel="4">
      <c r="A111" s="4" t="s">
        <v>11</v>
      </c>
      <c r="B111" s="4" t="s">
        <v>82</v>
      </c>
      <c r="C111" s="5"/>
      <c r="D111" s="8"/>
      <c r="E111" s="4" t="s">
        <v>283</v>
      </c>
      <c r="F111" s="4" t="s">
        <v>14</v>
      </c>
      <c r="G111" s="4">
        <v>10000</v>
      </c>
    </row>
    <row r="112" spans="1:7" outlineLevel="4">
      <c r="A112" s="4" t="s">
        <v>11</v>
      </c>
      <c r="B112" s="4" t="s">
        <v>82</v>
      </c>
      <c r="C112" s="5" t="s">
        <v>47</v>
      </c>
      <c r="D112" s="8"/>
      <c r="E112" s="4" t="s">
        <v>284</v>
      </c>
      <c r="F112" s="4" t="s">
        <v>14</v>
      </c>
      <c r="G112" s="4">
        <v>8.0000000000000002E-3</v>
      </c>
    </row>
    <row r="113" spans="1:7" outlineLevel="3">
      <c r="A113" s="3" t="s">
        <v>11</v>
      </c>
      <c r="B113" s="3" t="s">
        <v>82</v>
      </c>
      <c r="C113" s="3"/>
      <c r="D113" s="3"/>
      <c r="E113" s="3" t="s">
        <v>240</v>
      </c>
      <c r="F113" s="3" t="s">
        <v>14</v>
      </c>
      <c r="G113" s="3">
        <v>0.01</v>
      </c>
    </row>
    <row r="114" spans="1:7" ht="30" outlineLevel="3">
      <c r="A114" s="3" t="s">
        <v>14</v>
      </c>
      <c r="B114" s="3" t="s">
        <v>82</v>
      </c>
      <c r="C114" s="3"/>
      <c r="D114" s="3" t="s">
        <v>48</v>
      </c>
      <c r="E114" s="3" t="s">
        <v>285</v>
      </c>
      <c r="F114" s="3" t="s">
        <v>14</v>
      </c>
      <c r="G114" s="3">
        <f>SUM(G111*G112)</f>
        <v>80</v>
      </c>
    </row>
    <row r="115" spans="1:7" ht="45" outlineLevel="3">
      <c r="A115" s="3" t="s">
        <v>11</v>
      </c>
      <c r="B115" s="3" t="s">
        <v>82</v>
      </c>
      <c r="C115" s="3"/>
      <c r="D115" s="3" t="s">
        <v>48</v>
      </c>
      <c r="E115" s="3" t="s">
        <v>286</v>
      </c>
      <c r="F115" s="3" t="s">
        <v>14</v>
      </c>
      <c r="G115" s="3">
        <f>(G114*G113*(44/28)*G116)/G6</f>
        <v>0.29001157130592697</v>
      </c>
    </row>
    <row r="116" spans="1:7" outlineLevel="3">
      <c r="A116" s="3" t="s">
        <v>11</v>
      </c>
      <c r="B116" s="3" t="s">
        <v>82</v>
      </c>
      <c r="C116" s="3"/>
      <c r="D116" s="3"/>
      <c r="E116" s="3" t="s">
        <v>114</v>
      </c>
      <c r="F116" s="3" t="s">
        <v>14</v>
      </c>
      <c r="G116" s="3">
        <v>265</v>
      </c>
    </row>
    <row r="117" spans="1:7" outlineLevel="2" collapsed="1">
      <c r="A117" s="3" t="s">
        <v>14</v>
      </c>
      <c r="B117" s="10" t="s">
        <v>287</v>
      </c>
      <c r="C117" s="3"/>
      <c r="D117" s="3"/>
      <c r="E117" s="3" t="s">
        <v>288</v>
      </c>
      <c r="F117" s="3" t="s">
        <v>14</v>
      </c>
      <c r="G117" s="3"/>
    </row>
    <row r="118" spans="1:7" hidden="1" outlineLevel="4">
      <c r="A118" s="3" t="s">
        <v>11</v>
      </c>
      <c r="B118" s="10" t="s">
        <v>289</v>
      </c>
      <c r="C118" s="3"/>
      <c r="D118" s="3"/>
      <c r="E118" s="3" t="s">
        <v>290</v>
      </c>
      <c r="F118" s="3" t="s">
        <v>11</v>
      </c>
      <c r="G118" s="3"/>
    </row>
    <row r="119" spans="1:7" hidden="1" outlineLevel="5">
      <c r="A119" s="4" t="s">
        <v>11</v>
      </c>
      <c r="B119" s="4" t="s">
        <v>46</v>
      </c>
      <c r="C119" s="5" t="s">
        <v>47</v>
      </c>
      <c r="D119" s="8"/>
      <c r="E119" s="4" t="s">
        <v>225</v>
      </c>
      <c r="F119" s="4" t="s">
        <v>14</v>
      </c>
      <c r="G119" s="4" t="s">
        <v>226</v>
      </c>
    </row>
    <row r="120" spans="1:7" ht="30" hidden="1" outlineLevel="5">
      <c r="A120" s="4" t="s">
        <v>11</v>
      </c>
      <c r="B120" s="4" t="s">
        <v>82</v>
      </c>
      <c r="C120" s="5"/>
      <c r="D120" s="8"/>
      <c r="E120" s="4" t="s">
        <v>227</v>
      </c>
      <c r="F120" s="4" t="s">
        <v>14</v>
      </c>
      <c r="G120" s="4">
        <v>0.92</v>
      </c>
    </row>
    <row r="121" spans="1:7" ht="30" hidden="1" outlineLevel="5">
      <c r="A121" s="4" t="s">
        <v>11</v>
      </c>
      <c r="B121" s="4" t="s">
        <v>82</v>
      </c>
      <c r="C121" s="5"/>
      <c r="D121" s="8"/>
      <c r="E121" s="4" t="s">
        <v>291</v>
      </c>
      <c r="F121" s="4" t="s">
        <v>14</v>
      </c>
      <c r="G121" s="4">
        <v>0.21</v>
      </c>
    </row>
    <row r="122" spans="1:7" ht="30" hidden="1" outlineLevel="5">
      <c r="A122" s="4" t="s">
        <v>11</v>
      </c>
      <c r="B122" s="4" t="s">
        <v>82</v>
      </c>
      <c r="C122" s="5"/>
      <c r="D122" s="8"/>
      <c r="E122" s="4" t="s">
        <v>229</v>
      </c>
      <c r="F122" s="4" t="s">
        <v>14</v>
      </c>
      <c r="G122" s="4">
        <v>1423149.0296307299</v>
      </c>
    </row>
    <row r="123" spans="1:7" ht="18" hidden="1" outlineLevel="5">
      <c r="A123" s="4" t="s">
        <v>14</v>
      </c>
      <c r="B123" s="4" t="s">
        <v>82</v>
      </c>
      <c r="C123" s="5"/>
      <c r="D123" s="8" t="s">
        <v>48</v>
      </c>
      <c r="E123" s="4" t="s">
        <v>292</v>
      </c>
      <c r="F123" s="4" t="s">
        <v>14</v>
      </c>
      <c r="G123" s="4">
        <f>G122*G120*G121</f>
        <v>274952.39252465701</v>
      </c>
    </row>
    <row r="124" spans="1:7" ht="18" hidden="1" outlineLevel="3">
      <c r="A124" s="3" t="s">
        <v>11</v>
      </c>
      <c r="B124" s="3" t="s">
        <v>82</v>
      </c>
      <c r="C124" s="3"/>
      <c r="D124" s="3"/>
      <c r="E124" s="3" t="s">
        <v>293</v>
      </c>
      <c r="F124" s="3" t="s">
        <v>14</v>
      </c>
      <c r="G124" s="3">
        <f>SUM(G123)</f>
        <v>274952.39252465701</v>
      </c>
    </row>
    <row r="125" spans="1:7" ht="30" hidden="1" outlineLevel="3">
      <c r="A125" s="3" t="s">
        <v>14</v>
      </c>
      <c r="B125" s="3" t="s">
        <v>82</v>
      </c>
      <c r="C125" s="3"/>
      <c r="D125" s="3" t="s">
        <v>48</v>
      </c>
      <c r="E125" s="3" t="s">
        <v>294</v>
      </c>
      <c r="F125" s="3" t="s">
        <v>14</v>
      </c>
      <c r="G125" s="3">
        <f>((G126*G124)/G127)/G6</f>
        <v>6.3429048605999822E-2</v>
      </c>
    </row>
    <row r="126" spans="1:7" hidden="1" outlineLevel="3">
      <c r="A126" s="3" t="s">
        <v>11</v>
      </c>
      <c r="B126" s="3" t="s">
        <v>82</v>
      </c>
      <c r="C126" s="3"/>
      <c r="D126" s="3"/>
      <c r="E126" s="3" t="s">
        <v>114</v>
      </c>
      <c r="F126" s="3" t="s">
        <v>14</v>
      </c>
      <c r="G126" s="3">
        <v>265</v>
      </c>
    </row>
    <row r="127" spans="1:7" hidden="1" outlineLevel="3">
      <c r="A127" s="3" t="s">
        <v>14</v>
      </c>
      <c r="B127" s="3" t="s">
        <v>82</v>
      </c>
      <c r="C127" s="3"/>
      <c r="D127" s="3" t="s">
        <v>48</v>
      </c>
      <c r="E127" s="3" t="s">
        <v>220</v>
      </c>
      <c r="F127" s="3" t="s">
        <v>14</v>
      </c>
      <c r="G127" s="3">
        <f>10^6</f>
        <v>1000000</v>
      </c>
    </row>
    <row r="128" spans="1:7" outlineLevel="2">
      <c r="A128" s="3" t="s">
        <v>14</v>
      </c>
      <c r="B128" s="9" t="s">
        <v>295</v>
      </c>
      <c r="C128" s="3"/>
      <c r="D128" s="3"/>
      <c r="E128" s="3" t="s">
        <v>296</v>
      </c>
      <c r="F128" s="3" t="s">
        <v>14</v>
      </c>
      <c r="G128" s="3"/>
    </row>
    <row r="129" spans="1:7" ht="30" outlineLevel="3">
      <c r="A129" s="3" t="s">
        <v>14</v>
      </c>
      <c r="B129" s="3" t="s">
        <v>82</v>
      </c>
      <c r="C129" s="3"/>
      <c r="D129" s="3" t="s">
        <v>48</v>
      </c>
      <c r="E129" s="3" t="s">
        <v>297</v>
      </c>
      <c r="F129" s="3" t="s">
        <v>14</v>
      </c>
      <c r="G129" s="11">
        <f>G85+G106+G115</f>
        <v>1.7462226343656397</v>
      </c>
    </row>
    <row r="130" spans="1:7">
      <c r="A130" s="3" t="s">
        <v>11</v>
      </c>
      <c r="B130" s="9" t="s">
        <v>298</v>
      </c>
      <c r="C130" s="3"/>
      <c r="D130" s="3"/>
      <c r="E130" s="3" t="s">
        <v>299</v>
      </c>
      <c r="F130" s="3" t="s">
        <v>14</v>
      </c>
      <c r="G130" s="3"/>
    </row>
    <row r="131" spans="1:7" outlineLevel="3" collapsed="1">
      <c r="A131" s="3" t="s">
        <v>14</v>
      </c>
      <c r="B131" s="9" t="s">
        <v>300</v>
      </c>
      <c r="C131" s="3"/>
      <c r="D131" s="3"/>
      <c r="E131" s="3" t="s">
        <v>301</v>
      </c>
      <c r="F131" s="3" t="s">
        <v>14</v>
      </c>
      <c r="G131" s="3"/>
    </row>
    <row r="132" spans="1:7" hidden="1" outlineLevel="4">
      <c r="A132" s="3" t="s">
        <v>11</v>
      </c>
      <c r="B132" s="10" t="s">
        <v>302</v>
      </c>
      <c r="C132" s="3"/>
      <c r="D132" s="3"/>
      <c r="E132" s="3" t="s">
        <v>303</v>
      </c>
      <c r="F132" s="3" t="s">
        <v>11</v>
      </c>
      <c r="G132" s="3"/>
    </row>
    <row r="133" spans="1:7" hidden="1" outlineLevel="5">
      <c r="A133" s="4" t="s">
        <v>11</v>
      </c>
      <c r="B133" s="4" t="s">
        <v>46</v>
      </c>
      <c r="C133" s="5" t="s">
        <v>47</v>
      </c>
      <c r="D133" s="8"/>
      <c r="E133" s="4" t="s">
        <v>177</v>
      </c>
      <c r="F133" s="4" t="s">
        <v>14</v>
      </c>
      <c r="G133" s="4" t="s">
        <v>178</v>
      </c>
    </row>
    <row r="134" spans="1:7" ht="45" hidden="1" outlineLevel="5">
      <c r="A134" s="4" t="s">
        <v>14</v>
      </c>
      <c r="B134" s="4" t="s">
        <v>82</v>
      </c>
      <c r="C134" s="5" t="s">
        <v>47</v>
      </c>
      <c r="D134" s="8" t="s">
        <v>48</v>
      </c>
      <c r="E134" s="4" t="s">
        <v>304</v>
      </c>
      <c r="F134" s="4" t="s">
        <v>14</v>
      </c>
      <c r="G134" s="4">
        <f>G135*G136</f>
        <v>86.58</v>
      </c>
    </row>
    <row r="135" spans="1:7" hidden="1" outlineLevel="5">
      <c r="A135" s="4" t="s">
        <v>11</v>
      </c>
      <c r="B135" s="4" t="s">
        <v>82</v>
      </c>
      <c r="C135" s="5" t="s">
        <v>47</v>
      </c>
      <c r="D135" s="8"/>
      <c r="E135" s="4" t="s">
        <v>180</v>
      </c>
      <c r="F135" s="4" t="s">
        <v>14</v>
      </c>
      <c r="G135" s="4">
        <v>30000</v>
      </c>
    </row>
    <row r="136" spans="1:7" hidden="1" outlineLevel="5">
      <c r="A136" s="4" t="s">
        <v>11</v>
      </c>
      <c r="B136" s="4" t="s">
        <v>82</v>
      </c>
      <c r="C136" s="5" t="s">
        <v>47</v>
      </c>
      <c r="D136" s="8"/>
      <c r="E136" s="4" t="s">
        <v>181</v>
      </c>
      <c r="F136" s="4" t="s">
        <v>14</v>
      </c>
      <c r="G136" s="4">
        <v>2.8860000000000001E-3</v>
      </c>
    </row>
    <row r="137" spans="1:7" ht="30" hidden="1" outlineLevel="4" collapsed="1">
      <c r="A137" s="3" t="s">
        <v>14</v>
      </c>
      <c r="B137" s="3" t="s">
        <v>82</v>
      </c>
      <c r="C137" s="3" t="s">
        <v>47</v>
      </c>
      <c r="D137" s="3" t="s">
        <v>48</v>
      </c>
      <c r="E137" s="3" t="s">
        <v>305</v>
      </c>
      <c r="F137" s="3" t="s">
        <v>14</v>
      </c>
      <c r="G137" s="3">
        <f>G138/G6</f>
        <v>7.5370674487851674E-2</v>
      </c>
    </row>
    <row r="138" spans="1:7" ht="45" hidden="1" outlineLevel="4">
      <c r="A138" s="3" t="s">
        <v>14</v>
      </c>
      <c r="B138" s="3" t="s">
        <v>82</v>
      </c>
      <c r="C138" s="3"/>
      <c r="D138" s="3" t="s">
        <v>48</v>
      </c>
      <c r="E138" s="3" t="s">
        <v>306</v>
      </c>
      <c r="F138" s="3" t="s">
        <v>14</v>
      </c>
      <c r="G138" s="3">
        <f>SUM(G134)</f>
        <v>86.58</v>
      </c>
    </row>
    <row r="139" spans="1:7" outlineLevel="3" collapsed="1">
      <c r="A139" s="3" t="s">
        <v>14</v>
      </c>
      <c r="B139" s="9" t="s">
        <v>307</v>
      </c>
      <c r="C139" s="3"/>
      <c r="D139" s="3"/>
      <c r="E139" s="3" t="s">
        <v>308</v>
      </c>
      <c r="F139" s="3" t="s">
        <v>14</v>
      </c>
      <c r="G139" s="3"/>
    </row>
    <row r="140" spans="1:7" ht="30" hidden="1" outlineLevel="5">
      <c r="A140" s="4" t="s">
        <v>11</v>
      </c>
      <c r="B140" s="4" t="s">
        <v>82</v>
      </c>
      <c r="C140" s="5" t="s">
        <v>47</v>
      </c>
      <c r="D140" s="8"/>
      <c r="E140" s="4" t="s">
        <v>186</v>
      </c>
      <c r="F140" s="4" t="s">
        <v>14</v>
      </c>
      <c r="G140" s="4">
        <v>10</v>
      </c>
    </row>
    <row r="141" spans="1:7" hidden="1" outlineLevel="5">
      <c r="A141" s="4" t="s">
        <v>14</v>
      </c>
      <c r="B141" s="4" t="s">
        <v>82</v>
      </c>
      <c r="C141" s="5"/>
      <c r="D141" s="8" t="s">
        <v>48</v>
      </c>
      <c r="E141" s="4" t="s">
        <v>187</v>
      </c>
      <c r="F141" s="4" t="s">
        <v>14</v>
      </c>
      <c r="G141" s="4">
        <f>0.12</f>
        <v>0.12</v>
      </c>
    </row>
    <row r="142" spans="1:7" ht="30" hidden="1" outlineLevel="5">
      <c r="A142" s="4" t="s">
        <v>11</v>
      </c>
      <c r="B142" s="4" t="s">
        <v>82</v>
      </c>
      <c r="C142" s="5"/>
      <c r="D142" s="8"/>
      <c r="E142" s="4" t="s">
        <v>188</v>
      </c>
      <c r="F142" s="4" t="s">
        <v>14</v>
      </c>
      <c r="G142" s="4">
        <v>5</v>
      </c>
    </row>
    <row r="143" spans="1:7" hidden="1" outlineLevel="5">
      <c r="A143" s="4" t="s">
        <v>14</v>
      </c>
      <c r="B143" s="4" t="s">
        <v>82</v>
      </c>
      <c r="C143" s="5"/>
      <c r="D143" s="8" t="s">
        <v>48</v>
      </c>
      <c r="E143" s="4" t="s">
        <v>189</v>
      </c>
      <c r="F143" s="4" t="s">
        <v>14</v>
      </c>
      <c r="G143" s="4">
        <f>0.13</f>
        <v>0.13</v>
      </c>
    </row>
    <row r="144" spans="1:7" ht="30" hidden="1" outlineLevel="5">
      <c r="A144" s="4" t="s">
        <v>14</v>
      </c>
      <c r="B144" s="4" t="s">
        <v>82</v>
      </c>
      <c r="C144" s="5"/>
      <c r="D144" s="8" t="s">
        <v>48</v>
      </c>
      <c r="E144" s="4" t="s">
        <v>309</v>
      </c>
      <c r="F144" s="4" t="s">
        <v>14</v>
      </c>
      <c r="G144" s="4">
        <f>((G140*G141)+(G142*G143))*G146</f>
        <v>6.7833333333333332</v>
      </c>
    </row>
    <row r="145" spans="1:7" ht="30" hidden="1" outlineLevel="5">
      <c r="A145" s="4" t="s">
        <v>14</v>
      </c>
      <c r="B145" s="4" t="s">
        <v>82</v>
      </c>
      <c r="C145" s="5"/>
      <c r="D145" s="8" t="s">
        <v>48</v>
      </c>
      <c r="E145" s="4" t="s">
        <v>310</v>
      </c>
      <c r="F145" s="4" t="s">
        <v>14</v>
      </c>
      <c r="G145" s="4">
        <f>G144/G6</f>
        <v>5.9051098245467837E-3</v>
      </c>
    </row>
    <row r="146" spans="1:7" ht="30" hidden="1" outlineLevel="5">
      <c r="A146" s="4" t="s">
        <v>14</v>
      </c>
      <c r="B146" s="4" t="s">
        <v>82</v>
      </c>
      <c r="C146" s="5"/>
      <c r="D146" s="8" t="s">
        <v>48</v>
      </c>
      <c r="E146" s="4" t="s">
        <v>192</v>
      </c>
      <c r="F146" s="4" t="s">
        <v>14</v>
      </c>
      <c r="G146" s="4">
        <f>44/12</f>
        <v>3.6666666666666665</v>
      </c>
    </row>
    <row r="147" spans="1:7" outlineLevel="3" collapsed="1">
      <c r="A147" s="3" t="s">
        <v>14</v>
      </c>
      <c r="B147" s="9" t="s">
        <v>311</v>
      </c>
      <c r="C147" s="3"/>
      <c r="D147" s="3"/>
      <c r="E147" s="3" t="s">
        <v>312</v>
      </c>
      <c r="F147" s="3" t="s">
        <v>14</v>
      </c>
      <c r="G147" s="3"/>
    </row>
    <row r="148" spans="1:7" hidden="1" outlineLevel="4">
      <c r="A148" s="3" t="s">
        <v>11</v>
      </c>
      <c r="B148" s="10" t="s">
        <v>313</v>
      </c>
      <c r="C148" s="3"/>
      <c r="D148" s="3"/>
      <c r="E148" s="3" t="s">
        <v>314</v>
      </c>
      <c r="F148" s="3" t="s">
        <v>11</v>
      </c>
      <c r="G148" s="3"/>
    </row>
    <row r="149" spans="1:7" hidden="1" outlineLevel="5">
      <c r="A149" s="4" t="s">
        <v>11</v>
      </c>
      <c r="B149" s="4" t="s">
        <v>46</v>
      </c>
      <c r="C149" s="5" t="s">
        <v>47</v>
      </c>
      <c r="D149" s="8"/>
      <c r="E149" s="4" t="s">
        <v>197</v>
      </c>
      <c r="F149" s="4" t="s">
        <v>14</v>
      </c>
      <c r="G149" s="4" t="s">
        <v>198</v>
      </c>
    </row>
    <row r="150" spans="1:7" hidden="1" outlineLevel="5">
      <c r="A150" s="4" t="s">
        <v>11</v>
      </c>
      <c r="B150" s="4" t="s">
        <v>46</v>
      </c>
      <c r="C150" s="5"/>
      <c r="D150" s="8"/>
      <c r="E150" s="4" t="s">
        <v>199</v>
      </c>
      <c r="F150" s="4" t="s">
        <v>14</v>
      </c>
      <c r="G150" s="4" t="s">
        <v>200</v>
      </c>
    </row>
    <row r="151" spans="1:7" ht="30" hidden="1" outlineLevel="5">
      <c r="A151" s="4" t="s">
        <v>11</v>
      </c>
      <c r="B151" s="4" t="s">
        <v>82</v>
      </c>
      <c r="C151" s="5"/>
      <c r="D151" s="8"/>
      <c r="E151" s="4" t="s">
        <v>315</v>
      </c>
      <c r="F151" s="4" t="s">
        <v>14</v>
      </c>
      <c r="G151" s="4">
        <v>160</v>
      </c>
    </row>
    <row r="152" spans="1:7" ht="30" hidden="1" outlineLevel="5">
      <c r="A152" s="4" t="s">
        <v>11</v>
      </c>
      <c r="B152" s="4" t="s">
        <v>82</v>
      </c>
      <c r="C152" s="5"/>
      <c r="D152" s="8"/>
      <c r="E152" s="4" t="s">
        <v>202</v>
      </c>
      <c r="F152" s="4" t="s">
        <v>14</v>
      </c>
      <c r="G152" s="4">
        <v>5.9951801952627202</v>
      </c>
    </row>
    <row r="153" spans="1:7" ht="30" hidden="1" outlineLevel="5">
      <c r="A153" s="4" t="s">
        <v>14</v>
      </c>
      <c r="B153" s="4" t="s">
        <v>82</v>
      </c>
      <c r="C153" s="5"/>
      <c r="D153" s="8" t="s">
        <v>48</v>
      </c>
      <c r="E153" s="4" t="s">
        <v>309</v>
      </c>
      <c r="F153" s="4" t="s">
        <v>14</v>
      </c>
      <c r="G153" s="4">
        <f>G151*G152</f>
        <v>959.2288312420352</v>
      </c>
    </row>
    <row r="154" spans="1:7" ht="30" hidden="1" outlineLevel="4">
      <c r="A154" s="3" t="s">
        <v>14</v>
      </c>
      <c r="B154" s="3" t="s">
        <v>82</v>
      </c>
      <c r="C154" s="3"/>
      <c r="D154" s="3" t="s">
        <v>48</v>
      </c>
      <c r="E154" s="3" t="s">
        <v>310</v>
      </c>
      <c r="F154" s="3" t="s">
        <v>14</v>
      </c>
      <c r="G154" s="3">
        <f>SUM(G153)</f>
        <v>959.2288312420352</v>
      </c>
    </row>
    <row r="155" spans="1:7" ht="30" hidden="1" outlineLevel="4">
      <c r="A155" s="3" t="s">
        <v>14</v>
      </c>
      <c r="B155" s="3" t="s">
        <v>82</v>
      </c>
      <c r="C155" s="3"/>
      <c r="D155" s="3" t="s">
        <v>48</v>
      </c>
      <c r="E155" s="3" t="s">
        <v>316</v>
      </c>
      <c r="F155" s="3" t="s">
        <v>14</v>
      </c>
      <c r="G155" s="3">
        <f>((G157*G154)/G156)/G6</f>
        <v>2.3381107322353472E-2</v>
      </c>
    </row>
    <row r="156" spans="1:7" hidden="1" outlineLevel="4">
      <c r="A156" s="3" t="s">
        <v>14</v>
      </c>
      <c r="B156" s="3" t="s">
        <v>82</v>
      </c>
      <c r="C156" s="3"/>
      <c r="D156" s="3" t="s">
        <v>48</v>
      </c>
      <c r="E156" s="3" t="s">
        <v>204</v>
      </c>
      <c r="F156" s="3" t="s">
        <v>14</v>
      </c>
      <c r="G156" s="3">
        <f>1000</f>
        <v>1000</v>
      </c>
    </row>
    <row r="157" spans="1:7" hidden="1" outlineLevel="4">
      <c r="A157" s="3" t="s">
        <v>11</v>
      </c>
      <c r="B157" s="3" t="s">
        <v>82</v>
      </c>
      <c r="C157" s="3"/>
      <c r="D157" s="3"/>
      <c r="E157" s="3" t="s">
        <v>96</v>
      </c>
      <c r="F157" s="3" t="s">
        <v>14</v>
      </c>
      <c r="G157" s="3">
        <v>28</v>
      </c>
    </row>
    <row r="158" spans="1:7" outlineLevel="3" collapsed="1">
      <c r="A158" s="3" t="s">
        <v>14</v>
      </c>
      <c r="B158" s="9" t="s">
        <v>317</v>
      </c>
      <c r="C158" s="3"/>
      <c r="D158" s="3"/>
      <c r="E158" s="3" t="s">
        <v>318</v>
      </c>
      <c r="F158" s="3" t="s">
        <v>14</v>
      </c>
      <c r="G158" s="3"/>
    </row>
    <row r="159" spans="1:7" hidden="1" outlineLevel="4">
      <c r="A159" s="3" t="s">
        <v>11</v>
      </c>
      <c r="B159" s="10" t="s">
        <v>319</v>
      </c>
      <c r="C159" s="3"/>
      <c r="D159" s="3"/>
      <c r="E159" s="3" t="s">
        <v>320</v>
      </c>
      <c r="F159" s="3" t="s">
        <v>11</v>
      </c>
      <c r="G159" s="3"/>
    </row>
    <row r="160" spans="1:7" hidden="1" outlineLevel="5">
      <c r="A160" s="4" t="s">
        <v>11</v>
      </c>
      <c r="B160" s="4" t="s">
        <v>46</v>
      </c>
      <c r="C160" s="5" t="s">
        <v>47</v>
      </c>
      <c r="D160" s="8"/>
      <c r="E160" s="4" t="s">
        <v>197</v>
      </c>
      <c r="F160" s="4" t="s">
        <v>14</v>
      </c>
      <c r="G160" s="4" t="s">
        <v>198</v>
      </c>
    </row>
    <row r="161" spans="1:7" hidden="1" outlineLevel="5">
      <c r="A161" s="4" t="s">
        <v>11</v>
      </c>
      <c r="B161" s="4" t="s">
        <v>46</v>
      </c>
      <c r="C161" s="5"/>
      <c r="D161" s="8"/>
      <c r="E161" s="4" t="s">
        <v>199</v>
      </c>
      <c r="F161" s="4" t="s">
        <v>14</v>
      </c>
      <c r="G161" s="4" t="s">
        <v>200</v>
      </c>
    </row>
    <row r="162" spans="1:7" ht="30" hidden="1" outlineLevel="5">
      <c r="A162" s="4" t="s">
        <v>11</v>
      </c>
      <c r="B162" s="4" t="s">
        <v>82</v>
      </c>
      <c r="C162" s="5"/>
      <c r="D162" s="8"/>
      <c r="E162" s="4" t="s">
        <v>315</v>
      </c>
      <c r="F162" s="4" t="s">
        <v>14</v>
      </c>
      <c r="G162" s="4">
        <v>160</v>
      </c>
    </row>
    <row r="163" spans="1:7" hidden="1" outlineLevel="5">
      <c r="A163" s="4" t="s">
        <v>11</v>
      </c>
      <c r="B163" s="4" t="s">
        <v>46</v>
      </c>
      <c r="C163" s="5"/>
      <c r="D163" s="8"/>
      <c r="E163" s="4" t="s">
        <v>209</v>
      </c>
      <c r="F163" s="4" t="s">
        <v>14</v>
      </c>
      <c r="G163" s="4" t="s">
        <v>210</v>
      </c>
    </row>
    <row r="164" spans="1:7" ht="45" hidden="1" outlineLevel="5">
      <c r="A164" s="4" t="s">
        <v>14</v>
      </c>
      <c r="B164" s="4" t="s">
        <v>82</v>
      </c>
      <c r="C164" s="5"/>
      <c r="D164" s="8"/>
      <c r="E164" s="4" t="s">
        <v>211</v>
      </c>
      <c r="F164" s="4" t="s">
        <v>14</v>
      </c>
      <c r="G164" s="4">
        <v>1</v>
      </c>
    </row>
    <row r="165" spans="1:7" ht="30" hidden="1" outlineLevel="5">
      <c r="A165" s="4" t="s">
        <v>11</v>
      </c>
      <c r="B165" s="4" t="s">
        <v>82</v>
      </c>
      <c r="C165" s="5"/>
      <c r="D165" s="8"/>
      <c r="E165" s="4" t="s">
        <v>321</v>
      </c>
      <c r="F165" s="4" t="s">
        <v>14</v>
      </c>
      <c r="G165" s="4">
        <v>30</v>
      </c>
    </row>
    <row r="166" spans="1:7" ht="30" hidden="1" outlineLevel="5">
      <c r="A166" s="4" t="s">
        <v>11</v>
      </c>
      <c r="B166" s="4" t="s">
        <v>82</v>
      </c>
      <c r="C166" s="5"/>
      <c r="D166" s="8"/>
      <c r="E166" s="4" t="s">
        <v>213</v>
      </c>
      <c r="F166" s="4" t="s">
        <v>14</v>
      </c>
      <c r="G166" s="4">
        <v>8.3000000000000007</v>
      </c>
    </row>
    <row r="167" spans="1:7" ht="45" hidden="1" outlineLevel="5">
      <c r="A167" s="4" t="s">
        <v>14</v>
      </c>
      <c r="B167" s="4" t="s">
        <v>82</v>
      </c>
      <c r="C167" s="5"/>
      <c r="D167" s="8"/>
      <c r="E167" s="4" t="s">
        <v>214</v>
      </c>
      <c r="F167" s="4" t="s">
        <v>14</v>
      </c>
      <c r="G167" s="4">
        <v>0.6</v>
      </c>
    </row>
    <row r="168" spans="1:7" ht="45" hidden="1" outlineLevel="5">
      <c r="A168" s="4" t="s">
        <v>14</v>
      </c>
      <c r="B168" s="4" t="s">
        <v>82</v>
      </c>
      <c r="C168" s="5"/>
      <c r="D168" s="8" t="s">
        <v>48</v>
      </c>
      <c r="E168" s="4" t="s">
        <v>215</v>
      </c>
      <c r="F168" s="4" t="s">
        <v>14</v>
      </c>
      <c r="G168" s="4">
        <f>(G166*(G165/G169))*G170</f>
        <v>90.885000000000005</v>
      </c>
    </row>
    <row r="169" spans="1:7" hidden="1" outlineLevel="5">
      <c r="A169" s="4" t="s">
        <v>14</v>
      </c>
      <c r="B169" s="4" t="s">
        <v>82</v>
      </c>
      <c r="C169" s="5"/>
      <c r="D169" s="8" t="s">
        <v>48</v>
      </c>
      <c r="E169" s="4" t="s">
        <v>216</v>
      </c>
      <c r="F169" s="4" t="s">
        <v>14</v>
      </c>
      <c r="G169" s="4">
        <v>1000</v>
      </c>
    </row>
    <row r="170" spans="1:7" hidden="1" outlineLevel="5">
      <c r="A170" s="4" t="s">
        <v>14</v>
      </c>
      <c r="B170" s="4" t="s">
        <v>82</v>
      </c>
      <c r="C170" s="5"/>
      <c r="D170" s="8" t="s">
        <v>48</v>
      </c>
      <c r="E170" s="4" t="s">
        <v>217</v>
      </c>
      <c r="F170" s="4" t="s">
        <v>14</v>
      </c>
      <c r="G170" s="4">
        <f>365</f>
        <v>365</v>
      </c>
    </row>
    <row r="171" spans="1:7" ht="18" hidden="1" outlineLevel="4">
      <c r="A171" s="3" t="s">
        <v>14</v>
      </c>
      <c r="B171" s="3" t="s">
        <v>82</v>
      </c>
      <c r="C171" s="3"/>
      <c r="D171" s="3" t="s">
        <v>48</v>
      </c>
      <c r="E171" s="3" t="s">
        <v>322</v>
      </c>
      <c r="F171" s="3" t="s">
        <v>14</v>
      </c>
      <c r="G171" s="3">
        <f>SUM(G162*G168*G164*G167)</f>
        <v>8724.9599999999991</v>
      </c>
    </row>
    <row r="172" spans="1:7" ht="30" hidden="1" outlineLevel="4">
      <c r="A172" s="3" t="s">
        <v>14</v>
      </c>
      <c r="B172" s="3" t="s">
        <v>82</v>
      </c>
      <c r="C172" s="3"/>
      <c r="D172" s="3" t="s">
        <v>48</v>
      </c>
      <c r="E172" s="3" t="s">
        <v>323</v>
      </c>
      <c r="F172" s="3" t="s">
        <v>14</v>
      </c>
      <c r="G172" s="3">
        <f>G173*G171/(G174*G6)</f>
        <v>2.126700319037507E-4</v>
      </c>
    </row>
    <row r="173" spans="1:7" hidden="1" outlineLevel="4">
      <c r="A173" s="3" t="s">
        <v>11</v>
      </c>
      <c r="B173" s="3" t="s">
        <v>82</v>
      </c>
      <c r="C173" s="3"/>
      <c r="D173" s="3"/>
      <c r="E173" s="3" t="s">
        <v>96</v>
      </c>
      <c r="F173" s="3" t="s">
        <v>14</v>
      </c>
      <c r="G173" s="3">
        <v>28</v>
      </c>
    </row>
    <row r="174" spans="1:7" hidden="1" outlineLevel="4">
      <c r="A174" s="3" t="s">
        <v>14</v>
      </c>
      <c r="B174" s="3" t="s">
        <v>82</v>
      </c>
      <c r="C174" s="3"/>
      <c r="D174" s="3" t="s">
        <v>48</v>
      </c>
      <c r="E174" s="3" t="s">
        <v>220</v>
      </c>
      <c r="F174" s="3" t="s">
        <v>14</v>
      </c>
      <c r="G174" s="3">
        <f>10^6</f>
        <v>1000000</v>
      </c>
    </row>
    <row r="175" spans="1:7" outlineLevel="3" collapsed="1">
      <c r="A175" s="3" t="s">
        <v>14</v>
      </c>
      <c r="B175" s="9" t="s">
        <v>324</v>
      </c>
      <c r="C175" s="3"/>
      <c r="D175" s="3"/>
      <c r="E175" s="3" t="s">
        <v>325</v>
      </c>
      <c r="F175" s="3" t="s">
        <v>14</v>
      </c>
      <c r="G175" s="3"/>
    </row>
    <row r="176" spans="1:7" hidden="1" outlineLevel="4">
      <c r="A176" s="3" t="s">
        <v>11</v>
      </c>
      <c r="B176" s="10" t="s">
        <v>326</v>
      </c>
      <c r="C176" s="3"/>
      <c r="D176" s="3"/>
      <c r="E176" s="3" t="s">
        <v>327</v>
      </c>
      <c r="F176" s="3" t="s">
        <v>11</v>
      </c>
      <c r="G176" s="3"/>
    </row>
    <row r="177" spans="1:7" hidden="1" outlineLevel="5">
      <c r="A177" s="4" t="s">
        <v>11</v>
      </c>
      <c r="B177" s="4" t="s">
        <v>46</v>
      </c>
      <c r="C177" s="5" t="s">
        <v>47</v>
      </c>
      <c r="D177" s="8"/>
      <c r="E177" s="4" t="s">
        <v>225</v>
      </c>
      <c r="F177" s="4" t="s">
        <v>14</v>
      </c>
      <c r="G177" s="4" t="s">
        <v>226</v>
      </c>
    </row>
    <row r="178" spans="1:7" ht="30" hidden="1" outlineLevel="5">
      <c r="A178" s="4" t="s">
        <v>11</v>
      </c>
      <c r="B178" s="4" t="s">
        <v>82</v>
      </c>
      <c r="C178" s="5"/>
      <c r="D178" s="8"/>
      <c r="E178" s="4" t="s">
        <v>227</v>
      </c>
      <c r="F178" s="4" t="s">
        <v>14</v>
      </c>
      <c r="G178" s="4">
        <v>0.92</v>
      </c>
    </row>
    <row r="179" spans="1:7" ht="30" hidden="1" outlineLevel="5">
      <c r="A179" s="4" t="s">
        <v>11</v>
      </c>
      <c r="B179" s="4" t="s">
        <v>82</v>
      </c>
      <c r="C179" s="5"/>
      <c r="D179" s="8"/>
      <c r="E179" s="4" t="s">
        <v>228</v>
      </c>
      <c r="F179" s="4" t="s">
        <v>14</v>
      </c>
      <c r="G179" s="4">
        <v>2.2999999999999998</v>
      </c>
    </row>
    <row r="180" spans="1:7" ht="30" hidden="1" outlineLevel="5">
      <c r="A180" s="4" t="s">
        <v>11</v>
      </c>
      <c r="B180" s="4" t="s">
        <v>82</v>
      </c>
      <c r="C180" s="5"/>
      <c r="D180" s="8"/>
      <c r="E180" s="4" t="s">
        <v>328</v>
      </c>
      <c r="F180" s="4" t="s">
        <v>14</v>
      </c>
      <c r="G180" s="4">
        <v>1423149.0296307299</v>
      </c>
    </row>
    <row r="181" spans="1:7" ht="18" hidden="1" outlineLevel="5">
      <c r="A181" s="4" t="s">
        <v>14</v>
      </c>
      <c r="B181" s="4" t="s">
        <v>82</v>
      </c>
      <c r="C181" s="5"/>
      <c r="D181" s="8" t="s">
        <v>48</v>
      </c>
      <c r="E181" s="4" t="s">
        <v>329</v>
      </c>
      <c r="F181" s="4" t="s">
        <v>14</v>
      </c>
      <c r="G181" s="4">
        <f>G180*G178*G179</f>
        <v>3011383.3466986245</v>
      </c>
    </row>
    <row r="182" spans="1:7" ht="18" hidden="1" outlineLevel="4">
      <c r="A182" s="3" t="s">
        <v>14</v>
      </c>
      <c r="B182" s="3" t="s">
        <v>82</v>
      </c>
      <c r="C182" s="3"/>
      <c r="D182" s="3" t="s">
        <v>48</v>
      </c>
      <c r="E182" s="3" t="s">
        <v>330</v>
      </c>
      <c r="F182" s="3" t="s">
        <v>14</v>
      </c>
      <c r="G182" s="3">
        <f>SUM(G181)</f>
        <v>3011383.3466986245</v>
      </c>
    </row>
    <row r="183" spans="1:7" ht="30" hidden="1" outlineLevel="4">
      <c r="A183" s="3" t="s">
        <v>14</v>
      </c>
      <c r="B183" s="3" t="s">
        <v>82</v>
      </c>
      <c r="C183" s="3"/>
      <c r="D183" s="3" t="s">
        <v>48</v>
      </c>
      <c r="E183" s="3" t="s">
        <v>331</v>
      </c>
      <c r="F183" s="3" t="s">
        <v>14</v>
      </c>
      <c r="G183" s="3">
        <f>((G184*G182)/G185)/G6</f>
        <v>7.3402169455999811E-2</v>
      </c>
    </row>
    <row r="184" spans="1:7" hidden="1" outlineLevel="4">
      <c r="A184" s="3" t="s">
        <v>11</v>
      </c>
      <c r="B184" s="3" t="s">
        <v>82</v>
      </c>
      <c r="C184" s="3"/>
      <c r="D184" s="3"/>
      <c r="E184" s="3" t="s">
        <v>96</v>
      </c>
      <c r="F184" s="3" t="s">
        <v>14</v>
      </c>
      <c r="G184" s="3">
        <v>28</v>
      </c>
    </row>
    <row r="185" spans="1:7" hidden="1" outlineLevel="4">
      <c r="A185" s="3" t="s">
        <v>14</v>
      </c>
      <c r="B185" s="3" t="s">
        <v>82</v>
      </c>
      <c r="C185" s="3"/>
      <c r="D185" s="3" t="s">
        <v>48</v>
      </c>
      <c r="E185" s="3" t="s">
        <v>220</v>
      </c>
      <c r="F185" s="3" t="s">
        <v>14</v>
      </c>
      <c r="G185" s="3">
        <f>10^6</f>
        <v>1000000</v>
      </c>
    </row>
    <row r="186" spans="1:7" outlineLevel="3" collapsed="1">
      <c r="A186" s="3" t="s">
        <v>14</v>
      </c>
      <c r="B186" s="9" t="s">
        <v>332</v>
      </c>
      <c r="C186" s="3"/>
      <c r="D186" s="3"/>
      <c r="E186" s="3" t="s">
        <v>333</v>
      </c>
      <c r="F186" s="3" t="s">
        <v>14</v>
      </c>
      <c r="G186" s="3"/>
    </row>
    <row r="187" spans="1:7" hidden="1" outlineLevel="4">
      <c r="A187" s="3" t="s">
        <v>11</v>
      </c>
      <c r="B187" s="10" t="s">
        <v>334</v>
      </c>
      <c r="C187" s="3"/>
      <c r="D187" s="3"/>
      <c r="E187" s="3" t="s">
        <v>335</v>
      </c>
      <c r="F187" s="3" t="s">
        <v>11</v>
      </c>
      <c r="G187" s="3"/>
    </row>
    <row r="188" spans="1:7" hidden="1" outlineLevel="5">
      <c r="A188" s="4" t="s">
        <v>11</v>
      </c>
      <c r="B188" s="4" t="s">
        <v>46</v>
      </c>
      <c r="C188" s="5"/>
      <c r="D188" s="8"/>
      <c r="E188" s="4" t="s">
        <v>237</v>
      </c>
      <c r="F188" s="4" t="s">
        <v>14</v>
      </c>
      <c r="G188" s="4" t="s">
        <v>238</v>
      </c>
    </row>
    <row r="189" spans="1:7" ht="30" hidden="1" outlineLevel="5">
      <c r="A189" s="4" t="s">
        <v>11</v>
      </c>
      <c r="B189" s="4" t="s">
        <v>46</v>
      </c>
      <c r="C189" s="5" t="s">
        <v>47</v>
      </c>
      <c r="D189" s="8"/>
      <c r="E189" s="4" t="s">
        <v>336</v>
      </c>
      <c r="F189" s="4" t="s">
        <v>14</v>
      </c>
      <c r="G189" s="4">
        <v>314.03539242142602</v>
      </c>
    </row>
    <row r="190" spans="1:7" hidden="1" outlineLevel="5">
      <c r="A190" s="4" t="s">
        <v>11</v>
      </c>
      <c r="B190" s="4" t="s">
        <v>82</v>
      </c>
      <c r="C190" s="5"/>
      <c r="D190" s="8"/>
      <c r="E190" s="4" t="s">
        <v>240</v>
      </c>
      <c r="F190" s="4" t="s">
        <v>14</v>
      </c>
      <c r="G190" s="4">
        <v>0.82</v>
      </c>
    </row>
    <row r="191" spans="1:7" ht="30" hidden="1" outlineLevel="4">
      <c r="A191" s="3" t="s">
        <v>14</v>
      </c>
      <c r="B191" s="3" t="s">
        <v>82</v>
      </c>
      <c r="C191" s="3"/>
      <c r="D191" s="3" t="s">
        <v>48</v>
      </c>
      <c r="E191" s="3" t="s">
        <v>337</v>
      </c>
      <c r="F191" s="3" t="s">
        <v>14</v>
      </c>
      <c r="G191" s="3">
        <f>SUM(G189*G190)</f>
        <v>257.5090217855693</v>
      </c>
    </row>
    <row r="192" spans="1:7" hidden="1" outlineLevel="4">
      <c r="A192" s="3" t="s">
        <v>11</v>
      </c>
      <c r="B192" s="10" t="s">
        <v>338</v>
      </c>
      <c r="C192" s="3"/>
      <c r="D192" s="3"/>
      <c r="E192" s="3" t="s">
        <v>339</v>
      </c>
      <c r="F192" s="3" t="s">
        <v>11</v>
      </c>
      <c r="G192" s="3"/>
    </row>
    <row r="193" spans="1:7" hidden="1" outlineLevel="5">
      <c r="A193" s="4" t="s">
        <v>11</v>
      </c>
      <c r="B193" s="4" t="s">
        <v>46</v>
      </c>
      <c r="C193" s="5"/>
      <c r="D193" s="8"/>
      <c r="E193" s="4" t="s">
        <v>244</v>
      </c>
      <c r="F193" s="4" t="s">
        <v>14</v>
      </c>
      <c r="G193" s="4" t="s">
        <v>245</v>
      </c>
    </row>
    <row r="194" spans="1:7" ht="30" hidden="1" outlineLevel="5">
      <c r="A194" s="4" t="s">
        <v>11</v>
      </c>
      <c r="B194" s="4" t="s">
        <v>82</v>
      </c>
      <c r="C194" s="5"/>
      <c r="D194" s="8"/>
      <c r="E194" s="4" t="s">
        <v>340</v>
      </c>
      <c r="F194" s="4" t="s">
        <v>14</v>
      </c>
      <c r="G194" s="4">
        <v>483.31272857651902</v>
      </c>
    </row>
    <row r="195" spans="1:7" hidden="1" outlineLevel="5">
      <c r="A195" s="4" t="s">
        <v>11</v>
      </c>
      <c r="B195" s="4" t="s">
        <v>82</v>
      </c>
      <c r="C195" s="5"/>
      <c r="D195" s="8"/>
      <c r="E195" s="4" t="s">
        <v>247</v>
      </c>
      <c r="F195" s="4" t="s">
        <v>14</v>
      </c>
      <c r="G195" s="4">
        <v>6.6600000000000006E-2</v>
      </c>
    </row>
    <row r="196" spans="1:7" ht="30" hidden="1" outlineLevel="4">
      <c r="A196" s="3" t="s">
        <v>14</v>
      </c>
      <c r="B196" s="3" t="s">
        <v>82</v>
      </c>
      <c r="C196" s="3"/>
      <c r="D196" s="3" t="s">
        <v>48</v>
      </c>
      <c r="E196" s="3" t="s">
        <v>341</v>
      </c>
      <c r="F196" s="3" t="s">
        <v>14</v>
      </c>
      <c r="G196" s="3">
        <f>SUM(G194*G195)</f>
        <v>32.18862772319617</v>
      </c>
    </row>
    <row r="197" spans="1:7" ht="30" hidden="1" outlineLevel="4">
      <c r="A197" s="3" t="s">
        <v>11</v>
      </c>
      <c r="B197" s="3" t="s">
        <v>82</v>
      </c>
      <c r="C197" s="3"/>
      <c r="D197" s="3"/>
      <c r="E197" s="3" t="s">
        <v>249</v>
      </c>
      <c r="F197" s="3" t="s">
        <v>14</v>
      </c>
      <c r="G197" s="3">
        <v>0.01</v>
      </c>
    </row>
    <row r="198" spans="1:7" ht="30" hidden="1" outlineLevel="4">
      <c r="A198" s="3" t="s">
        <v>14</v>
      </c>
      <c r="B198" s="3" t="s">
        <v>82</v>
      </c>
      <c r="C198" s="3"/>
      <c r="D198" s="3" t="s">
        <v>48</v>
      </c>
      <c r="E198" s="3" t="s">
        <v>342</v>
      </c>
      <c r="F198" s="3" t="s">
        <v>14</v>
      </c>
      <c r="G198" s="3">
        <f>((G191+G196)*G197*44/28*G208)/G6</f>
        <v>1.0501958817208847</v>
      </c>
    </row>
    <row r="199" spans="1:7" ht="30" hidden="1" outlineLevel="4">
      <c r="A199" s="3" t="s">
        <v>11</v>
      </c>
      <c r="B199" s="3" t="s">
        <v>82</v>
      </c>
      <c r="C199" s="3"/>
      <c r="D199" s="3"/>
      <c r="E199" s="3" t="s">
        <v>251</v>
      </c>
      <c r="F199" s="3" t="s">
        <v>14</v>
      </c>
      <c r="G199" s="3">
        <v>0.11</v>
      </c>
    </row>
    <row r="200" spans="1:7" ht="30" hidden="1" outlineLevel="4">
      <c r="A200" s="3" t="s">
        <v>11</v>
      </c>
      <c r="B200" s="3" t="s">
        <v>82</v>
      </c>
      <c r="C200" s="3"/>
      <c r="D200" s="3"/>
      <c r="E200" s="3" t="s">
        <v>252</v>
      </c>
      <c r="F200" s="3" t="s">
        <v>14</v>
      </c>
      <c r="G200" s="3">
        <v>0.21</v>
      </c>
    </row>
    <row r="201" spans="1:7" ht="30" hidden="1" outlineLevel="4">
      <c r="A201" s="3" t="s">
        <v>11</v>
      </c>
      <c r="B201" s="3" t="s">
        <v>82</v>
      </c>
      <c r="C201" s="3"/>
      <c r="D201" s="3"/>
      <c r="E201" s="3" t="s">
        <v>253</v>
      </c>
      <c r="F201" s="3" t="s">
        <v>14</v>
      </c>
      <c r="G201" s="3">
        <v>0.01</v>
      </c>
    </row>
    <row r="202" spans="1:7" ht="45" hidden="1" outlineLevel="4">
      <c r="A202" s="3" t="s">
        <v>14</v>
      </c>
      <c r="B202" s="3" t="s">
        <v>82</v>
      </c>
      <c r="C202" s="3"/>
      <c r="D202" s="3" t="s">
        <v>48</v>
      </c>
      <c r="E202" s="3" t="s">
        <v>343</v>
      </c>
      <c r="F202" s="3" t="s">
        <v>14</v>
      </c>
      <c r="G202" s="3">
        <f>((G191*G199)+(G196*G200))*G201*(44/28)*G208</f>
        <v>146.10648042328191</v>
      </c>
    </row>
    <row r="203" spans="1:7" ht="45" hidden="1" outlineLevel="4">
      <c r="A203" s="3" t="s">
        <v>11</v>
      </c>
      <c r="B203" s="3" t="s">
        <v>82</v>
      </c>
      <c r="C203" s="3"/>
      <c r="D203" s="3"/>
      <c r="E203" s="3" t="s">
        <v>255</v>
      </c>
      <c r="F203" s="3" t="s">
        <v>14</v>
      </c>
      <c r="G203" s="3">
        <v>0.24</v>
      </c>
    </row>
    <row r="204" spans="1:7" ht="30" hidden="1" outlineLevel="4">
      <c r="A204" s="3" t="s">
        <v>11</v>
      </c>
      <c r="B204" s="3" t="s">
        <v>82</v>
      </c>
      <c r="C204" s="3"/>
      <c r="D204" s="3"/>
      <c r="E204" s="3" t="s">
        <v>256</v>
      </c>
      <c r="F204" s="3" t="s">
        <v>14</v>
      </c>
      <c r="G204" s="3">
        <v>1.0999999999999999E-2</v>
      </c>
    </row>
    <row r="205" spans="1:7" ht="45" hidden="1" outlineLevel="4">
      <c r="A205" s="3" t="s">
        <v>14</v>
      </c>
      <c r="B205" s="3" t="s">
        <v>82</v>
      </c>
      <c r="C205" s="3"/>
      <c r="D205" s="3" t="s">
        <v>48</v>
      </c>
      <c r="E205" s="3" t="s">
        <v>344</v>
      </c>
      <c r="F205" s="3" t="s">
        <v>14</v>
      </c>
      <c r="G205" s="3">
        <f>(G191+G196)*G203*G204*(44/28)*G208</f>
        <v>318.48531879423649</v>
      </c>
    </row>
    <row r="206" spans="1:7" ht="30" hidden="1" outlineLevel="4">
      <c r="A206" s="3" t="s">
        <v>14</v>
      </c>
      <c r="B206" s="3" t="s">
        <v>82</v>
      </c>
      <c r="C206" s="3"/>
      <c r="D206" s="3" t="s">
        <v>48</v>
      </c>
      <c r="E206" s="3" t="s">
        <v>345</v>
      </c>
      <c r="F206" s="3" t="s">
        <v>14</v>
      </c>
      <c r="G206" s="3">
        <f>(G202+G205)/G6</f>
        <v>0.40444210289384297</v>
      </c>
    </row>
    <row r="207" spans="1:7" ht="30" hidden="1" outlineLevel="4">
      <c r="A207" s="3" t="s">
        <v>14</v>
      </c>
      <c r="B207" s="3" t="s">
        <v>82</v>
      </c>
      <c r="C207" s="3"/>
      <c r="D207" s="3" t="s">
        <v>48</v>
      </c>
      <c r="E207" s="3" t="s">
        <v>346</v>
      </c>
      <c r="F207" s="3" t="s">
        <v>14</v>
      </c>
      <c r="G207" s="3">
        <f>G198+G206</f>
        <v>1.4546379846147277</v>
      </c>
    </row>
    <row r="208" spans="1:7" hidden="1" outlineLevel="4">
      <c r="A208" s="3" t="s">
        <v>11</v>
      </c>
      <c r="B208" s="3" t="s">
        <v>82</v>
      </c>
      <c r="C208" s="3"/>
      <c r="D208" s="3"/>
      <c r="E208" s="3" t="s">
        <v>114</v>
      </c>
      <c r="F208" s="3" t="s">
        <v>14</v>
      </c>
      <c r="G208" s="3">
        <v>265</v>
      </c>
    </row>
    <row r="209" spans="1:7" outlineLevel="3" collapsed="1">
      <c r="A209" s="3" t="s">
        <v>14</v>
      </c>
      <c r="B209" s="9" t="s">
        <v>347</v>
      </c>
      <c r="C209" s="3"/>
      <c r="D209" s="3"/>
      <c r="E209" s="3" t="s">
        <v>348</v>
      </c>
      <c r="F209" s="3" t="s">
        <v>14</v>
      </c>
      <c r="G209" s="3"/>
    </row>
    <row r="210" spans="1:7" hidden="1" outlineLevel="4">
      <c r="A210" s="3" t="s">
        <v>11</v>
      </c>
      <c r="B210" s="10" t="s">
        <v>349</v>
      </c>
      <c r="C210" s="3"/>
      <c r="D210" s="3"/>
      <c r="E210" s="3" t="s">
        <v>350</v>
      </c>
      <c r="F210" s="3" t="s">
        <v>11</v>
      </c>
      <c r="G210" s="3"/>
    </row>
    <row r="211" spans="1:7" hidden="1" outlineLevel="5">
      <c r="A211" s="4" t="s">
        <v>11</v>
      </c>
      <c r="B211" s="4" t="s">
        <v>46</v>
      </c>
      <c r="C211" s="5"/>
      <c r="D211" s="8"/>
      <c r="E211" s="4" t="s">
        <v>264</v>
      </c>
      <c r="F211" s="4" t="s">
        <v>14</v>
      </c>
      <c r="G211" s="4" t="s">
        <v>198</v>
      </c>
    </row>
    <row r="212" spans="1:7" ht="30" hidden="1" outlineLevel="5">
      <c r="A212" s="4" t="s">
        <v>11</v>
      </c>
      <c r="B212" s="4" t="s">
        <v>82</v>
      </c>
      <c r="C212" s="5"/>
      <c r="D212" s="8"/>
      <c r="E212" s="4" t="s">
        <v>315</v>
      </c>
      <c r="F212" s="4" t="s">
        <v>14</v>
      </c>
      <c r="G212" s="4">
        <v>160</v>
      </c>
    </row>
    <row r="213" spans="1:7" hidden="1" outlineLevel="5">
      <c r="A213" s="4" t="s">
        <v>11</v>
      </c>
      <c r="B213" s="4" t="s">
        <v>46</v>
      </c>
      <c r="C213" s="5" t="s">
        <v>47</v>
      </c>
      <c r="D213" s="8"/>
      <c r="E213" s="4" t="s">
        <v>199</v>
      </c>
      <c r="F213" s="4" t="s">
        <v>14</v>
      </c>
      <c r="G213" s="4" t="s">
        <v>200</v>
      </c>
    </row>
    <row r="214" spans="1:7" hidden="1" outlineLevel="5">
      <c r="A214" s="4" t="s">
        <v>11</v>
      </c>
      <c r="B214" s="4" t="s">
        <v>46</v>
      </c>
      <c r="C214" s="5"/>
      <c r="D214" s="8"/>
      <c r="E214" s="4" t="s">
        <v>265</v>
      </c>
      <c r="F214" s="4" t="s">
        <v>14</v>
      </c>
      <c r="G214" s="4" t="s">
        <v>266</v>
      </c>
    </row>
    <row r="215" spans="1:7" ht="45" hidden="1" outlineLevel="5">
      <c r="A215" s="4" t="s">
        <v>14</v>
      </c>
      <c r="B215" s="4" t="s">
        <v>82</v>
      </c>
      <c r="C215" s="5"/>
      <c r="D215" s="8"/>
      <c r="E215" s="4" t="s">
        <v>267</v>
      </c>
      <c r="F215" s="4" t="s">
        <v>14</v>
      </c>
      <c r="G215" s="4">
        <v>1</v>
      </c>
    </row>
    <row r="216" spans="1:7" ht="30" hidden="1" outlineLevel="5">
      <c r="A216" s="4" t="s">
        <v>11</v>
      </c>
      <c r="B216" s="4"/>
      <c r="C216" s="5"/>
      <c r="D216" s="8"/>
      <c r="E216" s="4" t="s">
        <v>268</v>
      </c>
      <c r="F216" s="4" t="s">
        <v>11</v>
      </c>
      <c r="G216" s="4">
        <v>3.504</v>
      </c>
    </row>
    <row r="217" spans="1:7" ht="30" hidden="1" outlineLevel="5">
      <c r="A217" s="4" t="s">
        <v>11</v>
      </c>
      <c r="B217" s="4" t="s">
        <v>82</v>
      </c>
      <c r="C217" s="5"/>
      <c r="D217" s="8"/>
      <c r="E217" s="4" t="s">
        <v>269</v>
      </c>
      <c r="F217" s="4" t="s">
        <v>14</v>
      </c>
      <c r="G217" s="4">
        <v>3.0000000000000001E-3</v>
      </c>
    </row>
    <row r="218" spans="1:7" ht="30" hidden="1" outlineLevel="5">
      <c r="A218" s="4" t="s">
        <v>11</v>
      </c>
      <c r="B218" s="4" t="s">
        <v>82</v>
      </c>
      <c r="C218" s="5"/>
      <c r="D218" s="8"/>
      <c r="E218" s="4" t="s">
        <v>351</v>
      </c>
      <c r="F218" s="4" t="s">
        <v>14</v>
      </c>
      <c r="G218" s="4">
        <v>1</v>
      </c>
    </row>
    <row r="219" spans="1:7" ht="30" hidden="1" outlineLevel="5">
      <c r="A219" s="4" t="s">
        <v>14</v>
      </c>
      <c r="B219" s="4" t="s">
        <v>82</v>
      </c>
      <c r="C219" s="5"/>
      <c r="D219" s="8" t="s">
        <v>48</v>
      </c>
      <c r="E219" s="4" t="s">
        <v>271</v>
      </c>
      <c r="F219" s="4" t="s">
        <v>14</v>
      </c>
      <c r="G219" s="4">
        <f>(G212*G216)*G215*G218/1000</f>
        <v>0.56064000000000003</v>
      </c>
    </row>
    <row r="220" spans="1:7" ht="45" hidden="1" outlineLevel="5">
      <c r="A220" s="4"/>
      <c r="B220" s="4" t="s">
        <v>82</v>
      </c>
      <c r="C220" s="5"/>
      <c r="D220" s="8"/>
      <c r="E220" s="4" t="s">
        <v>255</v>
      </c>
      <c r="F220" s="4" t="s">
        <v>14</v>
      </c>
      <c r="G220" s="4">
        <v>0.24</v>
      </c>
    </row>
    <row r="221" spans="1:7" ht="30" hidden="1" outlineLevel="5">
      <c r="A221" s="4" t="s">
        <v>11</v>
      </c>
      <c r="B221" s="4" t="s">
        <v>82</v>
      </c>
      <c r="C221" s="5"/>
      <c r="D221" s="8"/>
      <c r="E221" s="4" t="s">
        <v>252</v>
      </c>
      <c r="F221" s="4" t="s">
        <v>14</v>
      </c>
      <c r="G221" s="4">
        <v>0.21</v>
      </c>
    </row>
    <row r="222" spans="1:7" ht="30" hidden="1" outlineLevel="5">
      <c r="A222" s="4" t="s">
        <v>11</v>
      </c>
      <c r="B222" s="4" t="s">
        <v>82</v>
      </c>
      <c r="C222" s="5"/>
      <c r="D222" s="8"/>
      <c r="E222" s="4" t="s">
        <v>256</v>
      </c>
      <c r="F222" s="4" t="s">
        <v>14</v>
      </c>
      <c r="G222" s="4">
        <v>1.0999999999999999E-2</v>
      </c>
    </row>
    <row r="223" spans="1:7" ht="30" hidden="1" outlineLevel="5">
      <c r="A223" s="4" t="s">
        <v>11</v>
      </c>
      <c r="B223" s="4" t="s">
        <v>82</v>
      </c>
      <c r="C223" s="5"/>
      <c r="D223" s="8"/>
      <c r="E223" s="4" t="s">
        <v>253</v>
      </c>
      <c r="F223" s="4" t="s">
        <v>14</v>
      </c>
      <c r="G223" s="4">
        <v>0.01</v>
      </c>
    </row>
    <row r="224" spans="1:7" ht="75" hidden="1" outlineLevel="5">
      <c r="A224" s="4" t="s">
        <v>14</v>
      </c>
      <c r="B224" s="4" t="s">
        <v>82</v>
      </c>
      <c r="C224" s="5"/>
      <c r="D224" s="8" t="s">
        <v>48</v>
      </c>
      <c r="E224" s="4" t="s">
        <v>272</v>
      </c>
      <c r="F224" s="4" t="s">
        <v>14</v>
      </c>
      <c r="G224" s="4">
        <f>G219*G220*G222*(44/28)*G229</f>
        <v>0.6163515977142856</v>
      </c>
    </row>
    <row r="225" spans="1:7" ht="45" hidden="1" outlineLevel="5">
      <c r="A225" s="4" t="s">
        <v>14</v>
      </c>
      <c r="B225" s="4" t="s">
        <v>82</v>
      </c>
      <c r="C225" s="5"/>
      <c r="D225" s="8" t="s">
        <v>48</v>
      </c>
      <c r="E225" s="4" t="s">
        <v>273</v>
      </c>
      <c r="F225" s="4" t="s">
        <v>14</v>
      </c>
      <c r="G225" s="4">
        <f>G219*G221*G223*(44/28)*G229</f>
        <v>0.49027968000000005</v>
      </c>
    </row>
    <row r="226" spans="1:7" ht="45" hidden="1" outlineLevel="4">
      <c r="A226" s="3" t="s">
        <v>14</v>
      </c>
      <c r="B226" s="3" t="s">
        <v>82</v>
      </c>
      <c r="C226" s="3"/>
      <c r="D226" s="3" t="s">
        <v>48</v>
      </c>
      <c r="E226" s="3" t="s">
        <v>352</v>
      </c>
      <c r="F226" s="3" t="s">
        <v>14</v>
      </c>
      <c r="G226" s="3">
        <f>SUM(G219*G217*(44/28)*G229)/G6</f>
        <v>6.0972032751358094E-4</v>
      </c>
    </row>
    <row r="227" spans="1:7" ht="30" hidden="1" outlineLevel="4">
      <c r="A227" s="3" t="s">
        <v>14</v>
      </c>
      <c r="B227" s="3" t="s">
        <v>82</v>
      </c>
      <c r="C227" s="3"/>
      <c r="D227" s="3" t="s">
        <v>48</v>
      </c>
      <c r="E227" s="3" t="s">
        <v>353</v>
      </c>
      <c r="F227" s="3" t="s">
        <v>14</v>
      </c>
      <c r="G227" s="3">
        <f>(G225+G224)/G6</f>
        <v>9.6335811747145779E-4</v>
      </c>
    </row>
    <row r="228" spans="1:7" ht="30" hidden="1" outlineLevel="4">
      <c r="A228" s="3" t="s">
        <v>14</v>
      </c>
      <c r="B228" s="3" t="s">
        <v>82</v>
      </c>
      <c r="C228" s="3"/>
      <c r="D228" s="3" t="s">
        <v>48</v>
      </c>
      <c r="E228" s="3" t="s">
        <v>354</v>
      </c>
      <c r="F228" s="3" t="s">
        <v>14</v>
      </c>
      <c r="G228" s="3">
        <f>G226+G227</f>
        <v>1.5730784449850387E-3</v>
      </c>
    </row>
    <row r="229" spans="1:7" hidden="1" outlineLevel="4">
      <c r="A229" s="3" t="s">
        <v>11</v>
      </c>
      <c r="B229" s="3" t="s">
        <v>82</v>
      </c>
      <c r="C229" s="3"/>
      <c r="D229" s="3"/>
      <c r="E229" s="3" t="s">
        <v>114</v>
      </c>
      <c r="F229" s="3" t="s">
        <v>14</v>
      </c>
      <c r="G229" s="3">
        <v>265</v>
      </c>
    </row>
    <row r="230" spans="1:7" outlineLevel="3">
      <c r="A230" s="3" t="s">
        <v>14</v>
      </c>
      <c r="B230" s="9" t="s">
        <v>355</v>
      </c>
      <c r="C230" s="3"/>
      <c r="D230" s="3"/>
      <c r="E230" s="3" t="s">
        <v>356</v>
      </c>
      <c r="F230" s="3" t="s">
        <v>14</v>
      </c>
      <c r="G230" s="3"/>
    </row>
    <row r="231" spans="1:7" outlineLevel="4">
      <c r="A231" s="3" t="s">
        <v>11</v>
      </c>
      <c r="B231" s="10" t="s">
        <v>357</v>
      </c>
      <c r="C231" s="3"/>
      <c r="D231" s="3"/>
      <c r="E231" s="3" t="s">
        <v>280</v>
      </c>
      <c r="F231" s="3" t="s">
        <v>11</v>
      </c>
      <c r="G231" s="3"/>
    </row>
    <row r="232" spans="1:7" outlineLevel="5">
      <c r="A232" s="4" t="s">
        <v>11</v>
      </c>
      <c r="B232" s="4" t="s">
        <v>46</v>
      </c>
      <c r="C232" s="5"/>
      <c r="D232" s="8"/>
      <c r="E232" s="4" t="s">
        <v>281</v>
      </c>
      <c r="F232" s="4" t="s">
        <v>14</v>
      </c>
      <c r="G232" s="4" t="s">
        <v>282</v>
      </c>
    </row>
    <row r="233" spans="1:7" ht="30" outlineLevel="5">
      <c r="A233" s="4" t="s">
        <v>11</v>
      </c>
      <c r="B233" s="4" t="s">
        <v>82</v>
      </c>
      <c r="C233" s="5"/>
      <c r="D233" s="8"/>
      <c r="E233" s="4" t="s">
        <v>283</v>
      </c>
      <c r="F233" s="4" t="s">
        <v>14</v>
      </c>
      <c r="G233" s="4">
        <v>10000</v>
      </c>
    </row>
    <row r="234" spans="1:7" outlineLevel="5">
      <c r="A234" s="4" t="s">
        <v>11</v>
      </c>
      <c r="B234" s="4" t="s">
        <v>82</v>
      </c>
      <c r="C234" s="5" t="s">
        <v>47</v>
      </c>
      <c r="D234" s="8"/>
      <c r="E234" s="4" t="s">
        <v>284</v>
      </c>
      <c r="F234" s="4" t="s">
        <v>14</v>
      </c>
      <c r="G234" s="4">
        <v>8.0000000000000002E-3</v>
      </c>
    </row>
    <row r="235" spans="1:7" outlineLevel="4">
      <c r="A235" s="3" t="s">
        <v>11</v>
      </c>
      <c r="B235" s="3" t="s">
        <v>82</v>
      </c>
      <c r="C235" s="3"/>
      <c r="D235" s="3"/>
      <c r="E235" s="3" t="s">
        <v>240</v>
      </c>
      <c r="F235" s="3" t="s">
        <v>14</v>
      </c>
      <c r="G235" s="3">
        <v>0.01</v>
      </c>
    </row>
    <row r="236" spans="1:7" ht="30" outlineLevel="4">
      <c r="A236" s="3" t="s">
        <v>14</v>
      </c>
      <c r="B236" s="3" t="s">
        <v>82</v>
      </c>
      <c r="C236" s="3"/>
      <c r="D236" s="3" t="s">
        <v>48</v>
      </c>
      <c r="E236" s="3" t="s">
        <v>359</v>
      </c>
      <c r="F236" s="3" t="s">
        <v>14</v>
      </c>
      <c r="G236" s="3">
        <f>SUM(G233*G234)</f>
        <v>80</v>
      </c>
    </row>
    <row r="237" spans="1:7" ht="45" outlineLevel="4">
      <c r="A237" s="3" t="s">
        <v>11</v>
      </c>
      <c r="B237" s="3" t="s">
        <v>82</v>
      </c>
      <c r="C237" s="3"/>
      <c r="D237" s="3" t="s">
        <v>48</v>
      </c>
      <c r="E237" s="3" t="s">
        <v>360</v>
      </c>
      <c r="F237" s="3" t="s">
        <v>14</v>
      </c>
      <c r="G237" s="3">
        <f>(G236*G235*(44/28)*G238)/G6</f>
        <v>0.29001157130592697</v>
      </c>
    </row>
    <row r="238" spans="1:7" outlineLevel="4">
      <c r="A238" s="3" t="s">
        <v>11</v>
      </c>
      <c r="B238" s="3" t="s">
        <v>82</v>
      </c>
      <c r="C238" s="3"/>
      <c r="D238" s="3"/>
      <c r="E238" s="3" t="s">
        <v>114</v>
      </c>
      <c r="F238" s="3" t="s">
        <v>14</v>
      </c>
      <c r="G238" s="3">
        <v>265</v>
      </c>
    </row>
    <row r="239" spans="1:7" outlineLevel="3" collapsed="1">
      <c r="A239" s="3" t="s">
        <v>14</v>
      </c>
      <c r="B239" s="9" t="s">
        <v>361</v>
      </c>
      <c r="C239" s="3"/>
      <c r="D239" s="3"/>
      <c r="E239" s="3" t="s">
        <v>362</v>
      </c>
      <c r="F239" s="3" t="s">
        <v>14</v>
      </c>
      <c r="G239" s="3"/>
    </row>
    <row r="240" spans="1:7" hidden="1" outlineLevel="4">
      <c r="A240" s="3" t="s">
        <v>11</v>
      </c>
      <c r="B240" s="10" t="s">
        <v>363</v>
      </c>
      <c r="C240" s="3"/>
      <c r="D240" s="3"/>
      <c r="E240" s="3" t="s">
        <v>364</v>
      </c>
      <c r="F240" s="3" t="s">
        <v>11</v>
      </c>
      <c r="G240" s="3"/>
    </row>
    <row r="241" spans="1:7" hidden="1" outlineLevel="5">
      <c r="A241" s="4" t="s">
        <v>11</v>
      </c>
      <c r="B241" s="4" t="s">
        <v>46</v>
      </c>
      <c r="C241" s="5" t="s">
        <v>47</v>
      </c>
      <c r="D241" s="8"/>
      <c r="E241" s="4" t="s">
        <v>225</v>
      </c>
      <c r="F241" s="4" t="s">
        <v>14</v>
      </c>
      <c r="G241" s="4" t="s">
        <v>226</v>
      </c>
    </row>
    <row r="242" spans="1:7" ht="30" hidden="1" outlineLevel="5">
      <c r="A242" s="4" t="s">
        <v>11</v>
      </c>
      <c r="B242" s="4" t="s">
        <v>82</v>
      </c>
      <c r="C242" s="5"/>
      <c r="D242" s="8"/>
      <c r="E242" s="4" t="s">
        <v>227</v>
      </c>
      <c r="F242" s="4" t="s">
        <v>14</v>
      </c>
      <c r="G242" s="4">
        <v>0.92</v>
      </c>
    </row>
    <row r="243" spans="1:7" ht="30" hidden="1" outlineLevel="5">
      <c r="A243" s="4" t="s">
        <v>11</v>
      </c>
      <c r="B243" s="4" t="s">
        <v>82</v>
      </c>
      <c r="C243" s="5"/>
      <c r="D243" s="8"/>
      <c r="E243" s="4" t="s">
        <v>291</v>
      </c>
      <c r="F243" s="4" t="s">
        <v>14</v>
      </c>
      <c r="G243" s="4">
        <v>0.21</v>
      </c>
    </row>
    <row r="244" spans="1:7" ht="30" hidden="1" outlineLevel="5">
      <c r="A244" s="4" t="s">
        <v>11</v>
      </c>
      <c r="B244" s="4" t="s">
        <v>82</v>
      </c>
      <c r="C244" s="5"/>
      <c r="D244" s="8"/>
      <c r="E244" s="4" t="s">
        <v>328</v>
      </c>
      <c r="F244" s="4" t="s">
        <v>14</v>
      </c>
      <c r="G244" s="4">
        <v>1281290.3410132199</v>
      </c>
    </row>
    <row r="245" spans="1:7" ht="18" hidden="1" outlineLevel="5">
      <c r="A245" s="4" t="s">
        <v>14</v>
      </c>
      <c r="B245" s="4" t="s">
        <v>82</v>
      </c>
      <c r="C245" s="5"/>
      <c r="D245" s="8" t="s">
        <v>48</v>
      </c>
      <c r="E245" s="4" t="s">
        <v>365</v>
      </c>
      <c r="F245" s="4" t="s">
        <v>14</v>
      </c>
      <c r="G245" s="4">
        <f>G244*G242*G243</f>
        <v>247545.29388375409</v>
      </c>
    </row>
    <row r="246" spans="1:7" ht="18" hidden="1" outlineLevel="4">
      <c r="A246" s="3" t="s">
        <v>11</v>
      </c>
      <c r="B246" s="3" t="s">
        <v>82</v>
      </c>
      <c r="C246" s="3"/>
      <c r="D246" s="3"/>
      <c r="E246" s="3" t="s">
        <v>366</v>
      </c>
      <c r="F246" s="3" t="s">
        <v>14</v>
      </c>
      <c r="G246" s="3">
        <f>SUM(G245)</f>
        <v>247545.29388375409</v>
      </c>
    </row>
    <row r="247" spans="1:7" ht="30" hidden="1" outlineLevel="4">
      <c r="A247" s="3" t="s">
        <v>14</v>
      </c>
      <c r="B247" s="3" t="s">
        <v>82</v>
      </c>
      <c r="C247" s="3"/>
      <c r="D247" s="3" t="s">
        <v>48</v>
      </c>
      <c r="E247" s="3" t="s">
        <v>367</v>
      </c>
      <c r="F247" s="3" t="s">
        <v>14</v>
      </c>
      <c r="G247" s="3">
        <f>((G248*G246)/G249)/G6</f>
        <v>5.7106476993216471E-2</v>
      </c>
    </row>
    <row r="248" spans="1:7" hidden="1" outlineLevel="4">
      <c r="A248" s="3" t="s">
        <v>11</v>
      </c>
      <c r="B248" s="3" t="s">
        <v>82</v>
      </c>
      <c r="C248" s="3"/>
      <c r="D248" s="3"/>
      <c r="E248" s="3" t="s">
        <v>114</v>
      </c>
      <c r="F248" s="3" t="s">
        <v>14</v>
      </c>
      <c r="G248" s="3">
        <v>265</v>
      </c>
    </row>
    <row r="249" spans="1:7" hidden="1" outlineLevel="4">
      <c r="A249" s="3" t="s">
        <v>14</v>
      </c>
      <c r="B249" s="3" t="s">
        <v>82</v>
      </c>
      <c r="C249" s="3"/>
      <c r="D249" s="3" t="s">
        <v>48</v>
      </c>
      <c r="E249" s="3" t="s">
        <v>220</v>
      </c>
      <c r="F249" s="3" t="s">
        <v>14</v>
      </c>
      <c r="G249" s="3">
        <f>10^6</f>
        <v>1000000</v>
      </c>
    </row>
    <row r="250" spans="1:7" outlineLevel="3">
      <c r="A250" s="3" t="s">
        <v>14</v>
      </c>
      <c r="B250" s="9" t="s">
        <v>368</v>
      </c>
      <c r="C250" s="3"/>
      <c r="D250" s="3"/>
      <c r="E250" s="3" t="s">
        <v>369</v>
      </c>
      <c r="F250" s="3" t="s">
        <v>14</v>
      </c>
      <c r="G250" s="3"/>
    </row>
    <row r="251" spans="1:7" ht="30" outlineLevel="4">
      <c r="A251" s="3" t="s">
        <v>14</v>
      </c>
      <c r="B251" s="3" t="s">
        <v>82</v>
      </c>
      <c r="C251" s="3"/>
      <c r="D251" s="3" t="s">
        <v>48</v>
      </c>
      <c r="E251" s="3" t="s">
        <v>370</v>
      </c>
      <c r="F251" s="3" t="s">
        <v>14</v>
      </c>
      <c r="G251" s="11">
        <f>G207+G228+G237</f>
        <v>1.7462226343656397</v>
      </c>
    </row>
  </sheetData>
  <mergeCells count="3">
    <mergeCell ref="A1:G1"/>
    <mergeCell ref="B2:G2"/>
    <mergeCell ref="B3:G3"/>
  </mergeCells>
  <dataValidations count="2">
    <dataValidation type="list" allowBlank="1" showInputMessage="1" showErrorMessage="1" sqref="A26:A34 F26:F34 F37:F51 A37:A51 F54:F62 A54:A62 A64 F64 A71:A85 A66:A69 F66:F69 F71:F85 A110:A114 F110:F114 A241:A250 F89:F93 A9:A15 F9:F15 F17:F23 A17:A23 F149:F157 A149:A157 F160:F174 A160:A174 A193:A207 A188:A191 F188:F191 F193:F207 F177:F185 A177:A185 A232:A236 F232:F236 F241:F250 F211:F215 A132:A138 F132:F138 F140:F146 A140:A146 A89:A93 A119:A128 A211:A215 F119:F127" xr:uid="{C7B7ED22-7927-4AE6-A32A-CC25D6A5EB19}">
      <formula1>"Yes,No"</formula1>
    </dataValidation>
    <dataValidation type="list" allowBlank="1" showInputMessage="1" showErrorMessage="1" sqref="B3:G3" xr:uid="{E100D1E1-DF32-47A2-A99E-C711E6D5C990}">
      <formula1>"Verifiable Credentials,Encrypted Verifiable Credential,Sub-Schema"</formula1>
    </dataValidation>
  </dataValidations>
  <hyperlinks>
    <hyperlink ref="B9" location="CO2_FF_Baseline_Data_ByType!A1" display="CO2_FF_Baseline_Data_ByType" xr:uid="{620D7DBB-1614-4CF3-A555-1DC1F4631F71}"/>
    <hyperlink ref="B25" location="Livestock_Data_ByType_Base!A1" display="Livestock_Data_ByType_Base" xr:uid="{7533FE63-E667-419A-8577-7E2B38962AA6}"/>
    <hyperlink ref="B36" location="CH4_Manure_Data_ByType_Baseline!A1" display="CH4_Manure_Data_ByType_Baseline" xr:uid="{16E48989-4A5B-421D-B834-7207595EF854}"/>
    <hyperlink ref="B53" location="CH4_BiomassData_ByType_Baseline!A1" display="CH4_BiomassData_ByType_Baseline" xr:uid="{9F5F48B4-1207-4EF0-9362-8D7EBB971937}"/>
    <hyperlink ref="B65" location="SyntheticFertilizer_Data_Baseli!A1" display="SyntheticFertilizer_Data_Baseli" xr:uid="{A7F98780-50C2-4D94-9A5F-1A26B8B780D1}"/>
    <hyperlink ref="B70" location="OrganicFertilizer_Data_Baseline!A1" display="OrganicFertilizer_Data_Baseline" xr:uid="{DC69B6D1-6369-4E5D-AC00-9FE8E5ABE637}"/>
    <hyperlink ref="B109" location="NFixingSpecies_Data_Baseline!A1" display="NFixingSpecies_Data_Baseline" xr:uid="{A7229611-2577-4A66-91DA-A6348872661D}"/>
    <hyperlink ref="B118" location="N2O_BiomassData_ByType_Baseline!A1" display="N2O_BiomassData_ByType_Baseline" xr:uid="{5CA5BE43-9FA5-4A46-887E-D118803E5E73}"/>
    <hyperlink ref="B8" location="CO2_FossilFuel_Baseline!A1" display="CO2_FossilFuel_Baseline" xr:uid="{504685BC-49BF-4D35-AD6F-C89F7AC2CDA4}"/>
    <hyperlink ref="B16" location="CO2_Liming_Baseline!A1" display="CO2_Liming_Baseline" xr:uid="{75B2FF15-9681-4EC0-AE7B-67B014BF7939}"/>
    <hyperlink ref="B24" location="CH4_Enteric_Baseline!A1" display="CH4_Enteric_Baseline" xr:uid="{0973D5B1-91EE-49EC-BC27-47F603CEA525}"/>
    <hyperlink ref="B35" location="CH4_Manure_Baseline!A1" display="CH4_Manure_Baseline" xr:uid="{F460D689-C987-49CC-835F-796C6573953F}"/>
    <hyperlink ref="B52" location="CH4_Biomass_Baseline!A1" display="CH4_Biomass_Baseline" xr:uid="{2C31453E-D2A2-444A-889C-8562425AAC13}"/>
    <hyperlink ref="B63" location="N2O_NFert_Baseline!A1" display="N2O_NFert_Baseline" xr:uid="{865223FE-F6BE-44E5-8240-445465E13123}"/>
    <hyperlink ref="B108" location="N2O_NFixing_Baseline!A1" display="N2O_NFixing_Baseline" xr:uid="{308B7CB2-0FFB-4C3D-8B3E-C11D2071D565}"/>
    <hyperlink ref="B117" location="N2O_Biomass_Baseline!A1" display="N2O_Biomass_Baseline" xr:uid="{2A7BB01B-B136-4903-AABF-E8EB6A34C11D}"/>
    <hyperlink ref="B7" location="QA3_DefaultFactors_Baseline!A1" display="QA3_DefaultFactors_Baseline" xr:uid="{71F9A90D-D4B5-4445-B64D-EE012B1FBEAA}"/>
    <hyperlink ref="B132" location="CO2_FF_Project_Data_ByType!A1" display="CO2_FF_Project_Data_ByType" xr:uid="{0C6D81DE-DE48-40FE-836B-9A3069E6C944}"/>
    <hyperlink ref="B148" location="Livestock_Data_ByType_Project!A1" display="Livestock_Data_ByType_Project" xr:uid="{961D1146-7710-46B4-8EF2-1785AA88A3BA}"/>
    <hyperlink ref="B159" location="CH4_Manure_Data_ByType_Project!A1" display="CH4_Manure_Data_ByType_Project" xr:uid="{9D195574-3C8B-4CFA-889A-99E95FB0B49E}"/>
    <hyperlink ref="B176" location="CH4_BiomassData_ByType_Project!A1" display="CH4_BiomassData_ByType_Project" xr:uid="{F719FF45-EF56-4BC3-A0D8-3702B2DF2C34}"/>
    <hyperlink ref="B231" location="NFixingSpecies_Data_Project!A1" display="NFixingSpecies_Data_Project" xr:uid="{81959E39-47D2-4FAD-8BA6-031C9EF892CB}"/>
    <hyperlink ref="B240" location="N2O_BiomassData_ByType_Project!A1" display="N2O_BiomassData_ByType_Project" xr:uid="{BA72883E-3F24-4F64-A5E3-4BC42C3979E5}"/>
    <hyperlink ref="B131" location="CO2_FossilFuel_Project!A1" display="CO2_FossilFuel_Project" xr:uid="{67EA4DE8-D777-41DB-A68E-F1043D9D3696}"/>
    <hyperlink ref="B139" location="CO2_Liming_Project!A1" display="CO2_Liming_Project" xr:uid="{926F61B3-B53F-4F97-B722-202926892B92}"/>
    <hyperlink ref="B147" location="CH4_Enteric_Project!A1" display="CH4_Enteric_Project" xr:uid="{4443DC0F-0C78-4770-A564-50428D8ECCF9}"/>
    <hyperlink ref="B158" location="CH4_Manure_Project!A1" display="CH4_Manure_Project" xr:uid="{16B17DAB-33CC-4303-BE04-35064648E8D2}"/>
    <hyperlink ref="B175" location="CH4_Biomass_Project!A1" display="CH4_Biomass_Project" xr:uid="{2ECB8C0F-C843-40F1-A8F7-E3BBCAB0908E}"/>
    <hyperlink ref="B186" location="N2O_NFert_Project!A1" display="N2O_NFert_Project" xr:uid="{DF9B1325-FF5E-43D9-9D08-CC0711AAF517}"/>
    <hyperlink ref="B230" location="N2O_NFixing_Project!A1" display="N2O_NFixing_Project" xr:uid="{2CD5C64C-8FDF-483B-BCA8-264A4CC7BCAC}"/>
    <hyperlink ref="B239" location="N2O_Biomass_Project!A1" display="N2O_Biomass_Project" xr:uid="{45A3C247-56E1-4D37-B1A4-E54DEF034173}"/>
    <hyperlink ref="B187" location="SyntheticFertilizer_Data_Projec!A1" display="SyntheticFertilizer_Data_Projec" xr:uid="{AC7EFBA7-4518-496F-AB86-1A4E0CFED6EB}"/>
    <hyperlink ref="B192" location="OrganicFertilizer_Data_Project!A1" display="OrganicFertilizer_Data_Project" xr:uid="{D6E2135C-6878-4852-8F55-37FA56F3B654}"/>
    <hyperlink ref="B130" location="QA3_DefaultFactors_Project!A1" display="QA3_DefaultFactors_Project" xr:uid="{FC5F135C-11C2-4727-8A64-D9DF64771045}"/>
    <hyperlink ref="B88" location="N2O_ManureData_ByType_Baseline!A1" display="N2O_ManureData_ByType_Baseline" xr:uid="{6E558B93-7AB6-4880-98DC-9214DE72B6A5}"/>
    <hyperlink ref="B87" location="N2O_Manure_Baseline!A1" display="N2O_Manure_Baseline" xr:uid="{83BD5E4E-81EB-4057-8590-24EB99F17C67}"/>
    <hyperlink ref="B128" location="NitrousOxide_SoilInputs_Baselin!A1" display="NitrousOxide_SoilInputs_Baselin" xr:uid="{A4BD72C4-FD32-4056-8929-773B97C7FD20}"/>
    <hyperlink ref="B209" location="N2O_Manure_Project!A1" display="N2O_Manure_Project" xr:uid="{F49E20EB-A146-4CBE-A486-B77533F41935}"/>
    <hyperlink ref="B210" location="N2O_ManureData_ByType_Project!A1" display="N2O_ManureData_ByType_Project" xr:uid="{4CDD8A29-0CBB-4711-949A-5FA451BB7A62}"/>
    <hyperlink ref="B250" location="NitrousOxide_SoilInputs_Project!A1" display="NitrousOxide_SoilInputs_Project" xr:uid="{8756C349-3234-4B60-AF21-FF300872A247}"/>
  </hyperlinks>
  <pageMargins left="0.7" right="0.7" top="0.75" bottom="0.75" header="0.3" footer="0.3"/>
  <pageSetup orientation="portrait" horizontalDpi="4294967295" verticalDpi="4294967295"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208E-2BDE-48DE-974B-7F7B9B0994CD}">
  <sheetPr codeName="Sheet43">
    <tabColor rgb="FFFFC000"/>
    <outlinePr summaryBelow="0" summaryRight="0"/>
  </sheetPr>
  <dimension ref="A1:G126"/>
  <sheetViews>
    <sheetView workbookViewId="0">
      <selection activeCell="B138" sqref="B138"/>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2" t="s">
        <v>171</v>
      </c>
      <c r="B1" s="32"/>
      <c r="C1" s="32"/>
      <c r="D1" s="32"/>
      <c r="E1" s="32"/>
      <c r="F1" s="32"/>
      <c r="G1" s="32"/>
    </row>
    <row r="2" spans="1:7" ht="18.75">
      <c r="A2" s="1" t="s">
        <v>1</v>
      </c>
      <c r="B2" s="33" t="s">
        <v>691</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ollapsed="1">
      <c r="A5" s="3" t="s">
        <v>14</v>
      </c>
      <c r="B5" s="9" t="s">
        <v>173</v>
      </c>
      <c r="C5" s="3"/>
      <c r="D5" s="3"/>
      <c r="E5" s="3" t="s">
        <v>174</v>
      </c>
      <c r="F5" s="3" t="s">
        <v>14</v>
      </c>
      <c r="G5" s="3"/>
    </row>
    <row r="6" spans="1:7" hidden="1" outlineLevel="1">
      <c r="A6" s="3" t="s">
        <v>11</v>
      </c>
      <c r="B6" s="10" t="s">
        <v>175</v>
      </c>
      <c r="C6" s="3"/>
      <c r="D6" s="3"/>
      <c r="E6" s="3" t="s">
        <v>176</v>
      </c>
      <c r="F6" s="3" t="s">
        <v>11</v>
      </c>
      <c r="G6" s="3"/>
    </row>
    <row r="7" spans="1:7" hidden="1" outlineLevel="2">
      <c r="A7" s="4" t="s">
        <v>11</v>
      </c>
      <c r="B7" s="4" t="s">
        <v>46</v>
      </c>
      <c r="C7" s="5" t="s">
        <v>47</v>
      </c>
      <c r="D7" s="8"/>
      <c r="E7" s="4" t="s">
        <v>177</v>
      </c>
      <c r="F7" s="4" t="s">
        <v>14</v>
      </c>
      <c r="G7" s="4" t="s">
        <v>178</v>
      </c>
    </row>
    <row r="8" spans="1:7" ht="45" hidden="1" outlineLevel="2">
      <c r="A8" s="4" t="s">
        <v>14</v>
      </c>
      <c r="B8" s="4" t="s">
        <v>82</v>
      </c>
      <c r="C8" s="5" t="s">
        <v>47</v>
      </c>
      <c r="D8" s="8" t="s">
        <v>48</v>
      </c>
      <c r="E8" s="4" t="s">
        <v>179</v>
      </c>
      <c r="F8" s="4" t="s">
        <v>14</v>
      </c>
      <c r="G8" s="4">
        <f>G9*G10</f>
        <v>86.58</v>
      </c>
    </row>
    <row r="9" spans="1:7" hidden="1" outlineLevel="2">
      <c r="A9" s="4" t="s">
        <v>11</v>
      </c>
      <c r="B9" s="4" t="s">
        <v>82</v>
      </c>
      <c r="C9" s="5" t="s">
        <v>47</v>
      </c>
      <c r="D9" s="8"/>
      <c r="E9" s="4" t="s">
        <v>180</v>
      </c>
      <c r="F9" s="4" t="s">
        <v>14</v>
      </c>
      <c r="G9" s="4">
        <v>30000</v>
      </c>
    </row>
    <row r="10" spans="1:7" hidden="1" outlineLevel="2">
      <c r="A10" s="4" t="s">
        <v>11</v>
      </c>
      <c r="B10" s="4" t="s">
        <v>82</v>
      </c>
      <c r="C10" s="5" t="s">
        <v>47</v>
      </c>
      <c r="D10" s="8"/>
      <c r="E10" s="4" t="s">
        <v>181</v>
      </c>
      <c r="F10" s="4" t="s">
        <v>14</v>
      </c>
      <c r="G10" s="4">
        <v>2.8860000000000001E-3</v>
      </c>
    </row>
    <row r="11" spans="1:7" ht="30" hidden="1" outlineLevel="1" collapsed="1">
      <c r="A11" s="3" t="s">
        <v>14</v>
      </c>
      <c r="B11" s="3" t="s">
        <v>82</v>
      </c>
      <c r="C11" s="3" t="s">
        <v>47</v>
      </c>
      <c r="D11" s="3" t="s">
        <v>48</v>
      </c>
      <c r="E11" s="3" t="s">
        <v>182</v>
      </c>
      <c r="F11" s="3" t="s">
        <v>14</v>
      </c>
      <c r="G11" s="3" t="e">
        <f>G12/#REF!</f>
        <v>#REF!</v>
      </c>
    </row>
    <row r="12" spans="1:7" ht="45" hidden="1" outlineLevel="1">
      <c r="A12" s="3" t="s">
        <v>14</v>
      </c>
      <c r="B12" s="3" t="s">
        <v>82</v>
      </c>
      <c r="C12" s="3"/>
      <c r="D12" s="3" t="s">
        <v>48</v>
      </c>
      <c r="E12" s="3" t="s">
        <v>183</v>
      </c>
      <c r="F12" s="3" t="s">
        <v>14</v>
      </c>
      <c r="G12" s="3">
        <f>SUM(G8)</f>
        <v>86.58</v>
      </c>
    </row>
    <row r="13" spans="1:7" collapsed="1">
      <c r="A13" s="3" t="s">
        <v>14</v>
      </c>
      <c r="B13" s="9" t="s">
        <v>184</v>
      </c>
      <c r="C13" s="3"/>
      <c r="D13" s="3"/>
      <c r="E13" s="3" t="s">
        <v>185</v>
      </c>
      <c r="F13" s="3" t="s">
        <v>14</v>
      </c>
      <c r="G13" s="3"/>
    </row>
    <row r="14" spans="1:7" ht="30" hidden="1" outlineLevel="2">
      <c r="A14" s="4" t="s">
        <v>11</v>
      </c>
      <c r="B14" s="4" t="s">
        <v>82</v>
      </c>
      <c r="C14" s="5" t="s">
        <v>47</v>
      </c>
      <c r="D14" s="8"/>
      <c r="E14" s="4" t="s">
        <v>186</v>
      </c>
      <c r="F14" s="4" t="s">
        <v>14</v>
      </c>
      <c r="G14" s="4">
        <v>10</v>
      </c>
    </row>
    <row r="15" spans="1:7" hidden="1" outlineLevel="2">
      <c r="A15" s="4" t="s">
        <v>14</v>
      </c>
      <c r="B15" s="4" t="s">
        <v>82</v>
      </c>
      <c r="C15" s="5"/>
      <c r="D15" s="8" t="s">
        <v>48</v>
      </c>
      <c r="E15" s="4" t="s">
        <v>187</v>
      </c>
      <c r="F15" s="4" t="s">
        <v>14</v>
      </c>
      <c r="G15" s="4">
        <f>0.12</f>
        <v>0.12</v>
      </c>
    </row>
    <row r="16" spans="1:7" ht="30" hidden="1" outlineLevel="2">
      <c r="A16" s="4" t="s">
        <v>11</v>
      </c>
      <c r="B16" s="4" t="s">
        <v>82</v>
      </c>
      <c r="C16" s="5"/>
      <c r="D16" s="8"/>
      <c r="E16" s="4" t="s">
        <v>188</v>
      </c>
      <c r="F16" s="4" t="s">
        <v>14</v>
      </c>
      <c r="G16" s="4">
        <v>5</v>
      </c>
    </row>
    <row r="17" spans="1:7" hidden="1" outlineLevel="2">
      <c r="A17" s="4" t="s">
        <v>14</v>
      </c>
      <c r="B17" s="4" t="s">
        <v>82</v>
      </c>
      <c r="C17" s="5"/>
      <c r="D17" s="8" t="s">
        <v>48</v>
      </c>
      <c r="E17" s="4" t="s">
        <v>189</v>
      </c>
      <c r="F17" s="4" t="s">
        <v>14</v>
      </c>
      <c r="G17" s="4">
        <f>0.13</f>
        <v>0.13</v>
      </c>
    </row>
    <row r="18" spans="1:7" ht="30" hidden="1" outlineLevel="2">
      <c r="A18" s="4" t="s">
        <v>14</v>
      </c>
      <c r="B18" s="4" t="s">
        <v>82</v>
      </c>
      <c r="C18" s="5"/>
      <c r="D18" s="8" t="s">
        <v>48</v>
      </c>
      <c r="E18" s="4" t="s">
        <v>190</v>
      </c>
      <c r="F18" s="4" t="s">
        <v>14</v>
      </c>
      <c r="G18" s="4">
        <f>((G14*G15)+(G16*G17))*G20</f>
        <v>6.7833333333333332</v>
      </c>
    </row>
    <row r="19" spans="1:7" ht="30" hidden="1" outlineLevel="2">
      <c r="A19" s="4" t="s">
        <v>14</v>
      </c>
      <c r="B19" s="4" t="s">
        <v>82</v>
      </c>
      <c r="C19" s="5"/>
      <c r="D19" s="8" t="s">
        <v>48</v>
      </c>
      <c r="E19" s="4" t="s">
        <v>191</v>
      </c>
      <c r="F19" s="4" t="s">
        <v>14</v>
      </c>
      <c r="G19" s="4" t="e">
        <f>G18/#REF!</f>
        <v>#REF!</v>
      </c>
    </row>
    <row r="20" spans="1:7" ht="30" hidden="1" outlineLevel="2">
      <c r="A20" s="4" t="s">
        <v>14</v>
      </c>
      <c r="B20" s="4" t="s">
        <v>82</v>
      </c>
      <c r="C20" s="5"/>
      <c r="D20" s="8" t="s">
        <v>48</v>
      </c>
      <c r="E20" s="4" t="s">
        <v>192</v>
      </c>
      <c r="F20" s="4" t="s">
        <v>14</v>
      </c>
      <c r="G20" s="4">
        <f>44/12</f>
        <v>3.6666666666666665</v>
      </c>
    </row>
    <row r="21" spans="1:7" collapsed="1">
      <c r="A21" s="3" t="s">
        <v>14</v>
      </c>
      <c r="B21" s="9" t="s">
        <v>193</v>
      </c>
      <c r="C21" s="3"/>
      <c r="D21" s="3"/>
      <c r="E21" s="3" t="s">
        <v>194</v>
      </c>
      <c r="F21" s="3" t="s">
        <v>14</v>
      </c>
      <c r="G21" s="3"/>
    </row>
    <row r="22" spans="1:7" hidden="1" outlineLevel="1">
      <c r="A22" s="3" t="s">
        <v>11</v>
      </c>
      <c r="B22" s="10" t="s">
        <v>195</v>
      </c>
      <c r="C22" s="3"/>
      <c r="D22" s="3"/>
      <c r="E22" s="3" t="s">
        <v>196</v>
      </c>
      <c r="F22" s="3" t="s">
        <v>11</v>
      </c>
      <c r="G22" s="3"/>
    </row>
    <row r="23" spans="1:7" hidden="1" outlineLevel="2">
      <c r="A23" s="4" t="s">
        <v>11</v>
      </c>
      <c r="B23" s="4" t="s">
        <v>46</v>
      </c>
      <c r="C23" s="5" t="s">
        <v>47</v>
      </c>
      <c r="D23" s="8"/>
      <c r="E23" s="4" t="s">
        <v>197</v>
      </c>
      <c r="F23" s="4" t="s">
        <v>14</v>
      </c>
      <c r="G23" s="4" t="s">
        <v>198</v>
      </c>
    </row>
    <row r="24" spans="1:7" hidden="1" outlineLevel="2">
      <c r="A24" s="4" t="s">
        <v>11</v>
      </c>
      <c r="B24" s="4" t="s">
        <v>46</v>
      </c>
      <c r="C24" s="5"/>
      <c r="D24" s="8"/>
      <c r="E24" s="4" t="s">
        <v>199</v>
      </c>
      <c r="F24" s="4" t="s">
        <v>14</v>
      </c>
      <c r="G24" s="4" t="s">
        <v>200</v>
      </c>
    </row>
    <row r="25" spans="1:7" ht="30" hidden="1" outlineLevel="2">
      <c r="A25" s="4" t="s">
        <v>11</v>
      </c>
      <c r="B25" s="4" t="s">
        <v>82</v>
      </c>
      <c r="C25" s="5"/>
      <c r="D25" s="8"/>
      <c r="E25" s="4" t="s">
        <v>201</v>
      </c>
      <c r="F25" s="4" t="s">
        <v>14</v>
      </c>
      <c r="G25" s="4">
        <v>160</v>
      </c>
    </row>
    <row r="26" spans="1:7" ht="30" hidden="1" outlineLevel="2">
      <c r="A26" s="4" t="s">
        <v>11</v>
      </c>
      <c r="B26" s="4" t="s">
        <v>82</v>
      </c>
      <c r="C26" s="5"/>
      <c r="D26" s="8"/>
      <c r="E26" s="4" t="s">
        <v>202</v>
      </c>
      <c r="F26" s="4" t="s">
        <v>14</v>
      </c>
      <c r="G26" s="4">
        <v>13.289693946836101</v>
      </c>
    </row>
    <row r="27" spans="1:7" ht="30" hidden="1" outlineLevel="2">
      <c r="A27" s="4" t="s">
        <v>14</v>
      </c>
      <c r="B27" s="4" t="s">
        <v>82</v>
      </c>
      <c r="C27" s="5"/>
      <c r="D27" s="8" t="s">
        <v>48</v>
      </c>
      <c r="E27" s="4" t="s">
        <v>190</v>
      </c>
      <c r="F27" s="4" t="s">
        <v>14</v>
      </c>
      <c r="G27" s="4">
        <f>G25*G26</f>
        <v>2126.3510314937762</v>
      </c>
    </row>
    <row r="28" spans="1:7" ht="30" hidden="1" outlineLevel="1">
      <c r="A28" s="3" t="s">
        <v>14</v>
      </c>
      <c r="B28" s="3" t="s">
        <v>82</v>
      </c>
      <c r="C28" s="3"/>
      <c r="D28" s="3" t="s">
        <v>48</v>
      </c>
      <c r="E28" s="3" t="s">
        <v>191</v>
      </c>
      <c r="F28" s="3" t="s">
        <v>14</v>
      </c>
      <c r="G28" s="3">
        <f>SUM(G27)</f>
        <v>2126.3510314937762</v>
      </c>
    </row>
    <row r="29" spans="1:7" ht="30" hidden="1" outlineLevel="1">
      <c r="A29" s="3" t="s">
        <v>14</v>
      </c>
      <c r="B29" s="3" t="s">
        <v>82</v>
      </c>
      <c r="C29" s="3"/>
      <c r="D29" s="3" t="s">
        <v>48</v>
      </c>
      <c r="E29" s="3" t="s">
        <v>203</v>
      </c>
      <c r="F29" s="3" t="s">
        <v>14</v>
      </c>
      <c r="G29" s="3" t="e">
        <f>((G31*G28)/G30)/#REF!</f>
        <v>#REF!</v>
      </c>
    </row>
    <row r="30" spans="1:7" hidden="1" outlineLevel="1">
      <c r="A30" s="3" t="s">
        <v>14</v>
      </c>
      <c r="B30" s="3" t="s">
        <v>82</v>
      </c>
      <c r="C30" s="3"/>
      <c r="D30" s="3" t="s">
        <v>48</v>
      </c>
      <c r="E30" s="3" t="s">
        <v>204</v>
      </c>
      <c r="F30" s="3" t="s">
        <v>14</v>
      </c>
      <c r="G30" s="3">
        <f>1000</f>
        <v>1000</v>
      </c>
    </row>
    <row r="31" spans="1:7" hidden="1" outlineLevel="1">
      <c r="A31" s="3" t="s">
        <v>11</v>
      </c>
      <c r="B31" s="3" t="s">
        <v>82</v>
      </c>
      <c r="C31" s="3"/>
      <c r="D31" s="3"/>
      <c r="E31" s="3" t="s">
        <v>96</v>
      </c>
      <c r="F31" s="3" t="s">
        <v>14</v>
      </c>
      <c r="G31" s="3">
        <v>28</v>
      </c>
    </row>
    <row r="32" spans="1:7" collapsed="1">
      <c r="A32" s="3" t="s">
        <v>14</v>
      </c>
      <c r="B32" s="9" t="s">
        <v>205</v>
      </c>
      <c r="C32" s="3"/>
      <c r="D32" s="3"/>
      <c r="E32" s="3" t="s">
        <v>206</v>
      </c>
      <c r="F32" s="3" t="s">
        <v>14</v>
      </c>
      <c r="G32" s="3"/>
    </row>
    <row r="33" spans="1:7" hidden="1" outlineLevel="1">
      <c r="A33" s="3" t="s">
        <v>11</v>
      </c>
      <c r="B33" s="10" t="s">
        <v>207</v>
      </c>
      <c r="C33" s="3"/>
      <c r="D33" s="3"/>
      <c r="E33" s="3" t="s">
        <v>208</v>
      </c>
      <c r="F33" s="3" t="s">
        <v>11</v>
      </c>
      <c r="G33" s="3"/>
    </row>
    <row r="34" spans="1:7" hidden="1" outlineLevel="2">
      <c r="A34" s="4" t="s">
        <v>11</v>
      </c>
      <c r="B34" s="4" t="s">
        <v>46</v>
      </c>
      <c r="C34" s="5" t="s">
        <v>47</v>
      </c>
      <c r="D34" s="8"/>
      <c r="E34" s="4" t="s">
        <v>197</v>
      </c>
      <c r="F34" s="4" t="s">
        <v>14</v>
      </c>
      <c r="G34" s="4" t="s">
        <v>198</v>
      </c>
    </row>
    <row r="35" spans="1:7" hidden="1" outlineLevel="2">
      <c r="A35" s="4" t="s">
        <v>11</v>
      </c>
      <c r="B35" s="4" t="s">
        <v>46</v>
      </c>
      <c r="C35" s="5"/>
      <c r="D35" s="8"/>
      <c r="E35" s="4" t="s">
        <v>199</v>
      </c>
      <c r="F35" s="4" t="s">
        <v>14</v>
      </c>
      <c r="G35" s="4" t="s">
        <v>200</v>
      </c>
    </row>
    <row r="36" spans="1:7" ht="30" hidden="1" outlineLevel="2">
      <c r="A36" s="4" t="s">
        <v>11</v>
      </c>
      <c r="B36" s="4" t="s">
        <v>82</v>
      </c>
      <c r="C36" s="5"/>
      <c r="D36" s="8"/>
      <c r="E36" s="4" t="s">
        <v>201</v>
      </c>
      <c r="F36" s="4" t="s">
        <v>14</v>
      </c>
      <c r="G36" s="4">
        <v>160</v>
      </c>
    </row>
    <row r="37" spans="1:7" hidden="1" outlineLevel="2">
      <c r="A37" s="4" t="s">
        <v>11</v>
      </c>
      <c r="B37" s="4" t="s">
        <v>46</v>
      </c>
      <c r="C37" s="5"/>
      <c r="D37" s="8"/>
      <c r="E37" s="4" t="s">
        <v>209</v>
      </c>
      <c r="F37" s="4" t="s">
        <v>14</v>
      </c>
      <c r="G37" s="4" t="s">
        <v>210</v>
      </c>
    </row>
    <row r="38" spans="1:7" ht="45" hidden="1" outlineLevel="2">
      <c r="A38" s="4" t="s">
        <v>14</v>
      </c>
      <c r="B38" s="4" t="s">
        <v>82</v>
      </c>
      <c r="C38" s="5"/>
      <c r="D38" s="8"/>
      <c r="E38" s="4" t="s">
        <v>211</v>
      </c>
      <c r="F38" s="4" t="s">
        <v>14</v>
      </c>
      <c r="G38" s="4">
        <v>1</v>
      </c>
    </row>
    <row r="39" spans="1:7" ht="30" hidden="1" outlineLevel="2">
      <c r="A39" s="4" t="s">
        <v>11</v>
      </c>
      <c r="B39" s="4" t="s">
        <v>82</v>
      </c>
      <c r="C39" s="5"/>
      <c r="D39" s="8"/>
      <c r="E39" s="4" t="s">
        <v>212</v>
      </c>
      <c r="F39" s="4" t="s">
        <v>14</v>
      </c>
      <c r="G39" s="4">
        <v>30</v>
      </c>
    </row>
    <row r="40" spans="1:7" ht="30" hidden="1" outlineLevel="2">
      <c r="A40" s="4" t="s">
        <v>11</v>
      </c>
      <c r="B40" s="4" t="s">
        <v>82</v>
      </c>
      <c r="C40" s="5"/>
      <c r="D40" s="8"/>
      <c r="E40" s="4" t="s">
        <v>213</v>
      </c>
      <c r="F40" s="4" t="s">
        <v>14</v>
      </c>
      <c r="G40" s="4">
        <v>8.3000000000000007</v>
      </c>
    </row>
    <row r="41" spans="1:7" ht="45" hidden="1" outlineLevel="2">
      <c r="A41" s="4" t="s">
        <v>14</v>
      </c>
      <c r="B41" s="4" t="s">
        <v>82</v>
      </c>
      <c r="C41" s="5"/>
      <c r="D41" s="8"/>
      <c r="E41" s="4" t="s">
        <v>214</v>
      </c>
      <c r="F41" s="4" t="s">
        <v>14</v>
      </c>
      <c r="G41" s="4">
        <v>0.6</v>
      </c>
    </row>
    <row r="42" spans="1:7" ht="45" hidden="1" outlineLevel="2">
      <c r="A42" s="4" t="s">
        <v>14</v>
      </c>
      <c r="B42" s="4" t="s">
        <v>82</v>
      </c>
      <c r="C42" s="5"/>
      <c r="D42" s="8" t="s">
        <v>48</v>
      </c>
      <c r="E42" s="4" t="s">
        <v>215</v>
      </c>
      <c r="F42" s="4" t="s">
        <v>14</v>
      </c>
      <c r="G42" s="4">
        <f>(G40*(G39/G43))*G44</f>
        <v>90.885000000000005</v>
      </c>
    </row>
    <row r="43" spans="1:7" hidden="1" outlineLevel="2">
      <c r="A43" s="4" t="s">
        <v>14</v>
      </c>
      <c r="B43" s="4" t="s">
        <v>82</v>
      </c>
      <c r="C43" s="5"/>
      <c r="D43" s="8" t="s">
        <v>48</v>
      </c>
      <c r="E43" s="4" t="s">
        <v>216</v>
      </c>
      <c r="F43" s="4" t="s">
        <v>14</v>
      </c>
      <c r="G43" s="4">
        <v>1000</v>
      </c>
    </row>
    <row r="44" spans="1:7" hidden="1" outlineLevel="2">
      <c r="A44" s="4" t="s">
        <v>14</v>
      </c>
      <c r="B44" s="4" t="s">
        <v>82</v>
      </c>
      <c r="C44" s="5"/>
      <c r="D44" s="8" t="s">
        <v>48</v>
      </c>
      <c r="E44" s="4" t="s">
        <v>217</v>
      </c>
      <c r="F44" s="4" t="s">
        <v>14</v>
      </c>
      <c r="G44" s="4">
        <f>365</f>
        <v>365</v>
      </c>
    </row>
    <row r="45" spans="1:7" ht="18" hidden="1" outlineLevel="1">
      <c r="A45" s="3" t="s">
        <v>14</v>
      </c>
      <c r="B45" s="3" t="s">
        <v>82</v>
      </c>
      <c r="C45" s="3"/>
      <c r="D45" s="3" t="s">
        <v>48</v>
      </c>
      <c r="E45" s="3" t="s">
        <v>218</v>
      </c>
      <c r="F45" s="3" t="s">
        <v>14</v>
      </c>
      <c r="G45" s="3">
        <f>SUM(G36*G42*G38*G41)</f>
        <v>8724.9599999999991</v>
      </c>
    </row>
    <row r="46" spans="1:7" ht="30" hidden="1" outlineLevel="1">
      <c r="A46" s="3" t="s">
        <v>14</v>
      </c>
      <c r="B46" s="3" t="s">
        <v>82</v>
      </c>
      <c r="C46" s="3"/>
      <c r="D46" s="3" t="s">
        <v>48</v>
      </c>
      <c r="E46" s="3" t="s">
        <v>219</v>
      </c>
      <c r="F46" s="3" t="s">
        <v>14</v>
      </c>
      <c r="G46" s="3" t="e">
        <f>G47*G45/(G48*#REF!)</f>
        <v>#REF!</v>
      </c>
    </row>
    <row r="47" spans="1:7" hidden="1" outlineLevel="1">
      <c r="A47" s="3" t="s">
        <v>11</v>
      </c>
      <c r="B47" s="3" t="s">
        <v>82</v>
      </c>
      <c r="C47" s="3"/>
      <c r="D47" s="3"/>
      <c r="E47" s="3" t="s">
        <v>96</v>
      </c>
      <c r="F47" s="3" t="s">
        <v>14</v>
      </c>
      <c r="G47" s="3">
        <v>28</v>
      </c>
    </row>
    <row r="48" spans="1:7" hidden="1" outlineLevel="1">
      <c r="A48" s="3" t="s">
        <v>14</v>
      </c>
      <c r="B48" s="3" t="s">
        <v>82</v>
      </c>
      <c r="C48" s="3"/>
      <c r="D48" s="3" t="s">
        <v>48</v>
      </c>
      <c r="E48" s="3" t="s">
        <v>220</v>
      </c>
      <c r="F48" s="3" t="s">
        <v>14</v>
      </c>
      <c r="G48" s="3">
        <f>10^6</f>
        <v>1000000</v>
      </c>
    </row>
    <row r="49" spans="1:7" collapsed="1">
      <c r="A49" s="3" t="s">
        <v>14</v>
      </c>
      <c r="B49" s="9" t="s">
        <v>221</v>
      </c>
      <c r="C49" s="3"/>
      <c r="D49" s="3"/>
      <c r="E49" s="3" t="s">
        <v>222</v>
      </c>
      <c r="F49" s="3" t="s">
        <v>14</v>
      </c>
      <c r="G49" s="3"/>
    </row>
    <row r="50" spans="1:7" hidden="1" outlineLevel="1">
      <c r="A50" s="3" t="s">
        <v>11</v>
      </c>
      <c r="B50" s="10" t="s">
        <v>223</v>
      </c>
      <c r="C50" s="3"/>
      <c r="D50" s="3"/>
      <c r="E50" s="3" t="s">
        <v>224</v>
      </c>
      <c r="F50" s="3" t="s">
        <v>11</v>
      </c>
      <c r="G50" s="3"/>
    </row>
    <row r="51" spans="1:7" hidden="1" outlineLevel="2">
      <c r="A51" s="4" t="s">
        <v>11</v>
      </c>
      <c r="B51" s="4" t="s">
        <v>46</v>
      </c>
      <c r="C51" s="5" t="s">
        <v>47</v>
      </c>
      <c r="D51" s="8"/>
      <c r="E51" s="4" t="s">
        <v>225</v>
      </c>
      <c r="F51" s="4" t="s">
        <v>14</v>
      </c>
      <c r="G51" s="4" t="s">
        <v>226</v>
      </c>
    </row>
    <row r="52" spans="1:7" ht="30" hidden="1" outlineLevel="2">
      <c r="A52" s="4" t="s">
        <v>11</v>
      </c>
      <c r="B52" s="4" t="s">
        <v>82</v>
      </c>
      <c r="C52" s="5"/>
      <c r="D52" s="8"/>
      <c r="E52" s="4" t="s">
        <v>227</v>
      </c>
      <c r="F52" s="4" t="s">
        <v>14</v>
      </c>
      <c r="G52" s="4">
        <v>0.92</v>
      </c>
    </row>
    <row r="53" spans="1:7" ht="30" hidden="1" outlineLevel="2">
      <c r="A53" s="4" t="s">
        <v>11</v>
      </c>
      <c r="B53" s="4" t="s">
        <v>82</v>
      </c>
      <c r="C53" s="5"/>
      <c r="D53" s="8"/>
      <c r="E53" s="4" t="s">
        <v>228</v>
      </c>
      <c r="F53" s="4" t="s">
        <v>14</v>
      </c>
      <c r="G53" s="4">
        <v>2.2999999999999998</v>
      </c>
    </row>
    <row r="54" spans="1:7" ht="30" hidden="1" outlineLevel="2">
      <c r="A54" s="4" t="s">
        <v>11</v>
      </c>
      <c r="B54" s="4" t="s">
        <v>82</v>
      </c>
      <c r="C54" s="5"/>
      <c r="D54" s="8"/>
      <c r="E54" s="4" t="s">
        <v>229</v>
      </c>
      <c r="F54" s="4" t="s">
        <v>14</v>
      </c>
      <c r="G54" s="4">
        <v>1423149.0296307299</v>
      </c>
    </row>
    <row r="55" spans="1:7" ht="18" hidden="1" outlineLevel="2">
      <c r="A55" s="4" t="s">
        <v>14</v>
      </c>
      <c r="B55" s="4" t="s">
        <v>82</v>
      </c>
      <c r="C55" s="5"/>
      <c r="D55" s="8" t="s">
        <v>48</v>
      </c>
      <c r="E55" s="4" t="s">
        <v>230</v>
      </c>
      <c r="F55" s="4" t="s">
        <v>14</v>
      </c>
      <c r="G55" s="4">
        <f>G54*G52*G53</f>
        <v>3011383.3466986245</v>
      </c>
    </row>
    <row r="56" spans="1:7" ht="18" hidden="1" outlineLevel="1">
      <c r="A56" s="3" t="s">
        <v>11</v>
      </c>
      <c r="B56" s="3" t="s">
        <v>82</v>
      </c>
      <c r="C56" s="3"/>
      <c r="D56" s="3"/>
      <c r="E56" s="3" t="s">
        <v>231</v>
      </c>
      <c r="F56" s="3" t="s">
        <v>14</v>
      </c>
      <c r="G56" s="3">
        <f>SUM(G55)</f>
        <v>3011383.3466986245</v>
      </c>
    </row>
    <row r="57" spans="1:7" ht="30" hidden="1" outlineLevel="1">
      <c r="A57" s="3" t="s">
        <v>14</v>
      </c>
      <c r="B57" s="3" t="s">
        <v>82</v>
      </c>
      <c r="C57" s="3"/>
      <c r="D57" s="3" t="s">
        <v>48</v>
      </c>
      <c r="E57" s="3" t="s">
        <v>232</v>
      </c>
      <c r="F57" s="3" t="s">
        <v>14</v>
      </c>
      <c r="G57" s="3" t="e">
        <f>((G58*G56)/G59)/#REF!</f>
        <v>#REF!</v>
      </c>
    </row>
    <row r="58" spans="1:7" hidden="1" outlineLevel="1">
      <c r="A58" s="3" t="s">
        <v>11</v>
      </c>
      <c r="B58" s="3" t="s">
        <v>82</v>
      </c>
      <c r="C58" s="3"/>
      <c r="D58" s="3"/>
      <c r="E58" s="3" t="s">
        <v>96</v>
      </c>
      <c r="F58" s="3" t="s">
        <v>14</v>
      </c>
      <c r="G58" s="3">
        <v>28</v>
      </c>
    </row>
    <row r="59" spans="1:7" hidden="1" outlineLevel="1">
      <c r="A59" s="3" t="s">
        <v>14</v>
      </c>
      <c r="B59" s="3" t="s">
        <v>82</v>
      </c>
      <c r="C59" s="3"/>
      <c r="D59" s="3" t="s">
        <v>48</v>
      </c>
      <c r="E59" s="3" t="s">
        <v>220</v>
      </c>
      <c r="F59" s="3" t="s">
        <v>14</v>
      </c>
      <c r="G59" s="3">
        <f>10^6</f>
        <v>1000000</v>
      </c>
    </row>
    <row r="60" spans="1:7" collapsed="1">
      <c r="A60" s="3" t="s">
        <v>14</v>
      </c>
      <c r="B60" s="9" t="s">
        <v>233</v>
      </c>
      <c r="C60" s="3"/>
      <c r="D60" s="3"/>
      <c r="E60" s="3" t="s">
        <v>234</v>
      </c>
      <c r="F60" s="3" t="s">
        <v>14</v>
      </c>
      <c r="G60" s="3"/>
    </row>
    <row r="61" spans="1:7" hidden="1" outlineLevel="2">
      <c r="A61" s="3" t="s">
        <v>11</v>
      </c>
      <c r="B61" s="3" t="s">
        <v>82</v>
      </c>
      <c r="C61" s="3" t="s">
        <v>47</v>
      </c>
      <c r="D61" s="3"/>
      <c r="E61" s="3" t="s">
        <v>90</v>
      </c>
      <c r="F61" s="3" t="s">
        <v>14</v>
      </c>
      <c r="G61" s="3">
        <v>1148.722638</v>
      </c>
    </row>
    <row r="62" spans="1:7" hidden="1" outlineLevel="1">
      <c r="A62" s="3" t="s">
        <v>11</v>
      </c>
      <c r="B62" s="10" t="s">
        <v>235</v>
      </c>
      <c r="C62" s="3"/>
      <c r="D62" s="3"/>
      <c r="E62" s="3" t="s">
        <v>236</v>
      </c>
      <c r="F62" s="3" t="s">
        <v>11</v>
      </c>
      <c r="G62" s="3"/>
    </row>
    <row r="63" spans="1:7" hidden="1" outlineLevel="2">
      <c r="A63" s="4" t="s">
        <v>11</v>
      </c>
      <c r="B63" s="4" t="s">
        <v>46</v>
      </c>
      <c r="C63" s="5"/>
      <c r="D63" s="8"/>
      <c r="E63" s="4" t="s">
        <v>237</v>
      </c>
      <c r="F63" s="4" t="s">
        <v>14</v>
      </c>
      <c r="G63" s="4" t="s">
        <v>238</v>
      </c>
    </row>
    <row r="64" spans="1:7" ht="30" hidden="1" outlineLevel="2">
      <c r="A64" s="4" t="s">
        <v>11</v>
      </c>
      <c r="B64" s="4" t="s">
        <v>46</v>
      </c>
      <c r="C64" s="5" t="s">
        <v>47</v>
      </c>
      <c r="D64" s="8"/>
      <c r="E64" s="4" t="s">
        <v>239</v>
      </c>
      <c r="F64" s="4" t="s">
        <v>14</v>
      </c>
      <c r="G64" s="4">
        <v>314.03539242142602</v>
      </c>
    </row>
    <row r="65" spans="1:7" hidden="1" outlineLevel="2">
      <c r="A65" s="4" t="s">
        <v>11</v>
      </c>
      <c r="B65" s="4" t="s">
        <v>82</v>
      </c>
      <c r="C65" s="5"/>
      <c r="D65" s="8"/>
      <c r="E65" s="4" t="s">
        <v>240</v>
      </c>
      <c r="F65" s="4" t="s">
        <v>14</v>
      </c>
      <c r="G65" s="4">
        <v>0.82</v>
      </c>
    </row>
    <row r="66" spans="1:7" ht="30" hidden="1" outlineLevel="1">
      <c r="A66" s="3" t="s">
        <v>14</v>
      </c>
      <c r="B66" s="3" t="s">
        <v>82</v>
      </c>
      <c r="C66" s="3"/>
      <c r="D66" s="3" t="s">
        <v>48</v>
      </c>
      <c r="E66" s="3" t="s">
        <v>241</v>
      </c>
      <c r="F66" s="3" t="s">
        <v>14</v>
      </c>
      <c r="G66" s="3">
        <f>SUM(G64*G65)</f>
        <v>257.5090217855693</v>
      </c>
    </row>
    <row r="67" spans="1:7" hidden="1" outlineLevel="1">
      <c r="A67" s="3" t="s">
        <v>11</v>
      </c>
      <c r="B67" s="10" t="s">
        <v>242</v>
      </c>
      <c r="C67" s="3"/>
      <c r="D67" s="3"/>
      <c r="E67" s="3" t="s">
        <v>243</v>
      </c>
      <c r="F67" s="3" t="s">
        <v>11</v>
      </c>
      <c r="G67" s="3"/>
    </row>
    <row r="68" spans="1:7" hidden="1" outlineLevel="2">
      <c r="A68" s="4" t="s">
        <v>11</v>
      </c>
      <c r="B68" s="4" t="s">
        <v>46</v>
      </c>
      <c r="C68" s="5"/>
      <c r="D68" s="8"/>
      <c r="E68" s="4" t="s">
        <v>244</v>
      </c>
      <c r="F68" s="4" t="s">
        <v>14</v>
      </c>
      <c r="G68" s="4" t="s">
        <v>245</v>
      </c>
    </row>
    <row r="69" spans="1:7" ht="30" hidden="1" outlineLevel="2">
      <c r="A69" s="4" t="s">
        <v>11</v>
      </c>
      <c r="B69" s="4" t="s">
        <v>82</v>
      </c>
      <c r="C69" s="5"/>
      <c r="D69" s="8"/>
      <c r="E69" s="4" t="s">
        <v>246</v>
      </c>
      <c r="F69" s="4" t="s">
        <v>14</v>
      </c>
      <c r="G69" s="4">
        <v>483.31272857651902</v>
      </c>
    </row>
    <row r="70" spans="1:7" hidden="1" outlineLevel="2">
      <c r="A70" s="4" t="s">
        <v>11</v>
      </c>
      <c r="B70" s="4" t="s">
        <v>82</v>
      </c>
      <c r="C70" s="5"/>
      <c r="D70" s="8"/>
      <c r="E70" s="4" t="s">
        <v>247</v>
      </c>
      <c r="F70" s="4" t="s">
        <v>14</v>
      </c>
      <c r="G70" s="4">
        <v>6.6600000000000006E-2</v>
      </c>
    </row>
    <row r="71" spans="1:7" ht="30" hidden="1" outlineLevel="1">
      <c r="A71" s="3" t="s">
        <v>14</v>
      </c>
      <c r="B71" s="3" t="s">
        <v>82</v>
      </c>
      <c r="C71" s="3"/>
      <c r="D71" s="3" t="s">
        <v>48</v>
      </c>
      <c r="E71" s="3" t="s">
        <v>248</v>
      </c>
      <c r="F71" s="3" t="s">
        <v>14</v>
      </c>
      <c r="G71" s="3">
        <f>SUM(G69*G70)</f>
        <v>32.18862772319617</v>
      </c>
    </row>
    <row r="72" spans="1:7" ht="30" hidden="1" outlineLevel="1">
      <c r="A72" s="3" t="s">
        <v>11</v>
      </c>
      <c r="B72" s="3" t="s">
        <v>82</v>
      </c>
      <c r="C72" s="3"/>
      <c r="D72" s="3"/>
      <c r="E72" s="3" t="s">
        <v>249</v>
      </c>
      <c r="F72" s="3" t="s">
        <v>14</v>
      </c>
      <c r="G72" s="3">
        <v>0.01</v>
      </c>
    </row>
    <row r="73" spans="1:7" ht="30" hidden="1" outlineLevel="1">
      <c r="A73" s="3" t="s">
        <v>14</v>
      </c>
      <c r="B73" s="3" t="s">
        <v>82</v>
      </c>
      <c r="C73" s="3"/>
      <c r="D73" s="3" t="s">
        <v>48</v>
      </c>
      <c r="E73" s="3" t="s">
        <v>250</v>
      </c>
      <c r="F73" s="3" t="s">
        <v>14</v>
      </c>
      <c r="G73" s="3">
        <f>((G66+G71)*G72*44/28*G83)/QA3_DefaultFactors_Baseline!G61</f>
        <v>1.0501958814112811</v>
      </c>
    </row>
    <row r="74" spans="1:7" ht="30" hidden="1" outlineLevel="1">
      <c r="A74" s="3" t="s">
        <v>11</v>
      </c>
      <c r="B74" s="3" t="s">
        <v>82</v>
      </c>
      <c r="C74" s="3"/>
      <c r="D74" s="3"/>
      <c r="E74" s="3" t="s">
        <v>251</v>
      </c>
      <c r="F74" s="3" t="s">
        <v>14</v>
      </c>
      <c r="G74" s="3">
        <v>0.11</v>
      </c>
    </row>
    <row r="75" spans="1:7" ht="30" hidden="1" outlineLevel="1">
      <c r="A75" s="3" t="s">
        <v>11</v>
      </c>
      <c r="B75" s="3" t="s">
        <v>82</v>
      </c>
      <c r="C75" s="3"/>
      <c r="D75" s="3"/>
      <c r="E75" s="3" t="s">
        <v>252</v>
      </c>
      <c r="F75" s="3" t="s">
        <v>14</v>
      </c>
      <c r="G75" s="3">
        <v>0.21</v>
      </c>
    </row>
    <row r="76" spans="1:7" ht="30" hidden="1" outlineLevel="1">
      <c r="A76" s="3" t="s">
        <v>11</v>
      </c>
      <c r="B76" s="3" t="s">
        <v>82</v>
      </c>
      <c r="C76" s="3"/>
      <c r="D76" s="3"/>
      <c r="E76" s="3" t="s">
        <v>253</v>
      </c>
      <c r="F76" s="3" t="s">
        <v>14</v>
      </c>
      <c r="G76" s="3">
        <v>0.01</v>
      </c>
    </row>
    <row r="77" spans="1:7" ht="45" hidden="1" outlineLevel="1">
      <c r="A77" s="3" t="s">
        <v>14</v>
      </c>
      <c r="B77" s="3" t="s">
        <v>82</v>
      </c>
      <c r="C77" s="3"/>
      <c r="D77" s="3" t="s">
        <v>48</v>
      </c>
      <c r="E77" s="3" t="s">
        <v>254</v>
      </c>
      <c r="F77" s="3" t="s">
        <v>14</v>
      </c>
      <c r="G77" s="3">
        <f>((G66*G74)+(G71*G75))*G76*(44/28)*G83</f>
        <v>146.10648042328191</v>
      </c>
    </row>
    <row r="78" spans="1:7" ht="45" hidden="1" outlineLevel="1">
      <c r="A78" s="3" t="s">
        <v>11</v>
      </c>
      <c r="B78" s="3" t="s">
        <v>82</v>
      </c>
      <c r="C78" s="3"/>
      <c r="D78" s="3"/>
      <c r="E78" s="3" t="s">
        <v>255</v>
      </c>
      <c r="F78" s="3" t="s">
        <v>14</v>
      </c>
      <c r="G78" s="3">
        <v>0.24</v>
      </c>
    </row>
    <row r="79" spans="1:7" ht="30" hidden="1" outlineLevel="1">
      <c r="A79" s="3" t="s">
        <v>11</v>
      </c>
      <c r="B79" s="3" t="s">
        <v>82</v>
      </c>
      <c r="C79" s="3"/>
      <c r="D79" s="3"/>
      <c r="E79" s="3" t="s">
        <v>256</v>
      </c>
      <c r="F79" s="3" t="s">
        <v>14</v>
      </c>
      <c r="G79" s="3">
        <v>1.0999999999999999E-2</v>
      </c>
    </row>
    <row r="80" spans="1:7" ht="45" hidden="1" outlineLevel="1">
      <c r="A80" s="3" t="s">
        <v>14</v>
      </c>
      <c r="B80" s="3" t="s">
        <v>82</v>
      </c>
      <c r="C80" s="3"/>
      <c r="D80" s="3" t="s">
        <v>48</v>
      </c>
      <c r="E80" s="3" t="s">
        <v>257</v>
      </c>
      <c r="F80" s="3" t="s">
        <v>14</v>
      </c>
      <c r="G80" s="3">
        <f>(G66+G71)*G78*G79*(44/28)*G83</f>
        <v>318.48531879423649</v>
      </c>
    </row>
    <row r="81" spans="1:7" ht="30" hidden="1" outlineLevel="1">
      <c r="A81" s="3" t="s">
        <v>14</v>
      </c>
      <c r="B81" s="3" t="s">
        <v>82</v>
      </c>
      <c r="C81" s="3"/>
      <c r="D81" s="3" t="s">
        <v>48</v>
      </c>
      <c r="E81" s="3" t="s">
        <v>258</v>
      </c>
      <c r="F81" s="3" t="s">
        <v>14</v>
      </c>
      <c r="G81" s="3" t="e">
        <f>(G77+G80)/QA3_DefaultFactors_Baseline!#REF!</f>
        <v>#REF!</v>
      </c>
    </row>
    <row r="82" spans="1:7" ht="30" hidden="1" outlineLevel="1">
      <c r="A82" s="3" t="s">
        <v>14</v>
      </c>
      <c r="B82" s="3" t="s">
        <v>82</v>
      </c>
      <c r="C82" s="3"/>
      <c r="D82" s="3" t="s">
        <v>48</v>
      </c>
      <c r="E82" s="3" t="s">
        <v>259</v>
      </c>
      <c r="F82" s="3" t="s">
        <v>14</v>
      </c>
      <c r="G82" s="3" t="e">
        <f>G73+G81</f>
        <v>#REF!</v>
      </c>
    </row>
    <row r="83" spans="1:7" hidden="1" outlineLevel="1">
      <c r="A83" s="3" t="s">
        <v>11</v>
      </c>
      <c r="B83" s="3" t="s">
        <v>82</v>
      </c>
      <c r="C83" s="3"/>
      <c r="D83" s="3"/>
      <c r="E83" s="3" t="s">
        <v>114</v>
      </c>
      <c r="F83" s="3" t="s">
        <v>14</v>
      </c>
      <c r="G83" s="3">
        <v>265</v>
      </c>
    </row>
    <row r="84" spans="1:7" collapsed="1">
      <c r="A84" s="3" t="s">
        <v>14</v>
      </c>
      <c r="B84" s="9" t="s">
        <v>260</v>
      </c>
      <c r="C84" s="3"/>
      <c r="D84" s="3"/>
      <c r="E84" s="3" t="s">
        <v>261</v>
      </c>
      <c r="F84" s="3" t="s">
        <v>14</v>
      </c>
      <c r="G84" s="3"/>
    </row>
    <row r="85" spans="1:7" hidden="1" outlineLevel="2">
      <c r="A85" s="3" t="s">
        <v>11</v>
      </c>
      <c r="B85" s="10" t="s">
        <v>262</v>
      </c>
      <c r="C85" s="3"/>
      <c r="D85" s="3"/>
      <c r="E85" s="3" t="s">
        <v>263</v>
      </c>
      <c r="F85" s="3" t="s">
        <v>11</v>
      </c>
      <c r="G85" s="3"/>
    </row>
    <row r="86" spans="1:7" hidden="1" outlineLevel="3">
      <c r="A86" s="4" t="s">
        <v>11</v>
      </c>
      <c r="B86" s="4" t="s">
        <v>46</v>
      </c>
      <c r="C86" s="5"/>
      <c r="D86" s="8"/>
      <c r="E86" s="4" t="s">
        <v>264</v>
      </c>
      <c r="F86" s="4" t="s">
        <v>14</v>
      </c>
      <c r="G86" s="4" t="s">
        <v>198</v>
      </c>
    </row>
    <row r="87" spans="1:7" ht="30" hidden="1" outlineLevel="3">
      <c r="A87" s="4" t="s">
        <v>11</v>
      </c>
      <c r="B87" s="4" t="s">
        <v>82</v>
      </c>
      <c r="C87" s="5"/>
      <c r="D87" s="8"/>
      <c r="E87" s="4" t="s">
        <v>201</v>
      </c>
      <c r="F87" s="4" t="s">
        <v>14</v>
      </c>
      <c r="G87" s="4">
        <v>160</v>
      </c>
    </row>
    <row r="88" spans="1:7" hidden="1" outlineLevel="3">
      <c r="A88" s="4" t="s">
        <v>11</v>
      </c>
      <c r="B88" s="4" t="s">
        <v>46</v>
      </c>
      <c r="C88" s="5" t="s">
        <v>47</v>
      </c>
      <c r="D88" s="8"/>
      <c r="E88" s="4" t="s">
        <v>199</v>
      </c>
      <c r="F88" s="4" t="s">
        <v>14</v>
      </c>
      <c r="G88" s="4" t="s">
        <v>200</v>
      </c>
    </row>
    <row r="89" spans="1:7" hidden="1" outlineLevel="3">
      <c r="A89" s="4" t="s">
        <v>11</v>
      </c>
      <c r="B89" s="4" t="s">
        <v>46</v>
      </c>
      <c r="C89" s="5"/>
      <c r="D89" s="8"/>
      <c r="E89" s="4" t="s">
        <v>265</v>
      </c>
      <c r="F89" s="4" t="s">
        <v>14</v>
      </c>
      <c r="G89" s="4" t="s">
        <v>266</v>
      </c>
    </row>
    <row r="90" spans="1:7" ht="45" hidden="1" outlineLevel="3">
      <c r="A90" s="4" t="s">
        <v>14</v>
      </c>
      <c r="B90" s="4" t="s">
        <v>82</v>
      </c>
      <c r="C90" s="5"/>
      <c r="D90" s="8"/>
      <c r="E90" s="4" t="s">
        <v>267</v>
      </c>
      <c r="F90" s="4" t="s">
        <v>14</v>
      </c>
      <c r="G90" s="4">
        <v>1</v>
      </c>
    </row>
    <row r="91" spans="1:7" ht="30" hidden="1" outlineLevel="3">
      <c r="A91" s="4" t="s">
        <v>11</v>
      </c>
      <c r="B91" s="4"/>
      <c r="C91" s="5"/>
      <c r="D91" s="8"/>
      <c r="E91" s="4" t="s">
        <v>268</v>
      </c>
      <c r="F91" s="4" t="s">
        <v>11</v>
      </c>
      <c r="G91" s="4">
        <v>3.504</v>
      </c>
    </row>
    <row r="92" spans="1:7" ht="30" hidden="1" outlineLevel="3">
      <c r="A92" s="4" t="s">
        <v>11</v>
      </c>
      <c r="B92" s="4" t="s">
        <v>82</v>
      </c>
      <c r="C92" s="5"/>
      <c r="D92" s="8"/>
      <c r="E92" s="4" t="s">
        <v>269</v>
      </c>
      <c r="F92" s="4" t="s">
        <v>14</v>
      </c>
      <c r="G92" s="4">
        <v>3.0000000000000001E-3</v>
      </c>
    </row>
    <row r="93" spans="1:7" ht="30" hidden="1" outlineLevel="3">
      <c r="A93" s="4" t="s">
        <v>11</v>
      </c>
      <c r="B93" s="4" t="s">
        <v>82</v>
      </c>
      <c r="C93" s="5"/>
      <c r="D93" s="8"/>
      <c r="E93" s="4" t="s">
        <v>270</v>
      </c>
      <c r="F93" s="4" t="s">
        <v>14</v>
      </c>
      <c r="G93" s="4">
        <v>1</v>
      </c>
    </row>
    <row r="94" spans="1:7" ht="30" hidden="1" outlineLevel="3">
      <c r="A94" s="4" t="s">
        <v>14</v>
      </c>
      <c r="B94" s="4" t="s">
        <v>82</v>
      </c>
      <c r="C94" s="5"/>
      <c r="D94" s="8" t="s">
        <v>48</v>
      </c>
      <c r="E94" s="4" t="s">
        <v>271</v>
      </c>
      <c r="F94" s="4" t="s">
        <v>14</v>
      </c>
      <c r="G94" s="4">
        <f>(G87*G91)*G90*G93/1000</f>
        <v>0.56064000000000003</v>
      </c>
    </row>
    <row r="95" spans="1:7" ht="45" hidden="1" outlineLevel="3">
      <c r="A95" s="4"/>
      <c r="B95" s="4" t="s">
        <v>82</v>
      </c>
      <c r="C95" s="5"/>
      <c r="D95" s="8"/>
      <c r="E95" s="4" t="s">
        <v>255</v>
      </c>
      <c r="F95" s="4" t="s">
        <v>14</v>
      </c>
      <c r="G95" s="4">
        <v>0.24</v>
      </c>
    </row>
    <row r="96" spans="1:7" ht="30" hidden="1" outlineLevel="3">
      <c r="A96" s="4" t="s">
        <v>11</v>
      </c>
      <c r="B96" s="4" t="s">
        <v>82</v>
      </c>
      <c r="C96" s="5"/>
      <c r="D96" s="8"/>
      <c r="E96" s="4" t="s">
        <v>252</v>
      </c>
      <c r="F96" s="4" t="s">
        <v>14</v>
      </c>
      <c r="G96" s="4">
        <v>0.21</v>
      </c>
    </row>
    <row r="97" spans="1:7" ht="45" hidden="1" outlineLevel="1">
      <c r="A97" s="3" t="s">
        <v>14</v>
      </c>
      <c r="B97" s="3" t="s">
        <v>82</v>
      </c>
      <c r="C97" s="3"/>
      <c r="D97" s="3" t="s">
        <v>48</v>
      </c>
      <c r="E97" s="3" t="s">
        <v>274</v>
      </c>
      <c r="F97" s="3" t="s">
        <v>14</v>
      </c>
      <c r="G97" s="3" t="e">
        <f>SUM(G94*G92*(44/28)*G104)/#REF!</f>
        <v>#REF!</v>
      </c>
    </row>
    <row r="98" spans="1:7" ht="30" hidden="1" outlineLevel="1">
      <c r="A98" s="3" t="s">
        <v>11</v>
      </c>
      <c r="B98" s="3" t="s">
        <v>82</v>
      </c>
      <c r="C98" s="3"/>
      <c r="D98" s="3"/>
      <c r="E98" s="3" t="s">
        <v>253</v>
      </c>
      <c r="F98" s="3" t="s">
        <v>14</v>
      </c>
      <c r="G98" s="3">
        <v>0.01</v>
      </c>
    </row>
    <row r="99" spans="1:7" ht="30" hidden="1" outlineLevel="1">
      <c r="A99" s="3" t="s">
        <v>11</v>
      </c>
      <c r="B99" s="3" t="s">
        <v>82</v>
      </c>
      <c r="C99" s="3"/>
      <c r="D99" s="3"/>
      <c r="E99" s="3" t="s">
        <v>256</v>
      </c>
      <c r="F99" s="3" t="s">
        <v>14</v>
      </c>
      <c r="G99" s="3">
        <v>1.0999999999999999E-2</v>
      </c>
    </row>
    <row r="100" spans="1:7" ht="75" hidden="1" outlineLevel="1">
      <c r="A100" s="3" t="s">
        <v>14</v>
      </c>
      <c r="B100" s="3" t="s">
        <v>82</v>
      </c>
      <c r="C100" s="3"/>
      <c r="D100" s="3" t="s">
        <v>48</v>
      </c>
      <c r="E100" s="3" t="s">
        <v>272</v>
      </c>
      <c r="F100" s="3" t="s">
        <v>14</v>
      </c>
      <c r="G100" s="3">
        <f>G94*G95*G99*(44/28)*G104</f>
        <v>0.6163515977142856</v>
      </c>
    </row>
    <row r="101" spans="1:7" ht="45" hidden="1" outlineLevel="1">
      <c r="A101" s="3" t="s">
        <v>14</v>
      </c>
      <c r="B101" s="3" t="s">
        <v>82</v>
      </c>
      <c r="C101" s="3"/>
      <c r="D101" s="3" t="s">
        <v>48</v>
      </c>
      <c r="E101" s="3" t="s">
        <v>273</v>
      </c>
      <c r="F101" s="3" t="s">
        <v>14</v>
      </c>
      <c r="G101" s="3">
        <f>G94*G96*G98*(44/28)*G104</f>
        <v>0.49027968000000005</v>
      </c>
    </row>
    <row r="102" spans="1:7" ht="30" hidden="1" outlineLevel="1">
      <c r="A102" s="3" t="s">
        <v>14</v>
      </c>
      <c r="B102" s="3" t="s">
        <v>82</v>
      </c>
      <c r="C102" s="3"/>
      <c r="D102" s="3" t="s">
        <v>48</v>
      </c>
      <c r="E102" s="3" t="s">
        <v>275</v>
      </c>
      <c r="F102" s="3" t="s">
        <v>14</v>
      </c>
      <c r="G102" s="3" t="e">
        <f>(G100+G101)/#REF!</f>
        <v>#REF!</v>
      </c>
    </row>
    <row r="103" spans="1:7" ht="30" hidden="1" outlineLevel="1">
      <c r="A103" s="3" t="s">
        <v>14</v>
      </c>
      <c r="B103" s="3" t="s">
        <v>82</v>
      </c>
      <c r="C103" s="3"/>
      <c r="D103" s="3" t="s">
        <v>48</v>
      </c>
      <c r="E103" s="3" t="s">
        <v>276</v>
      </c>
      <c r="F103" s="3" t="s">
        <v>14</v>
      </c>
      <c r="G103" s="3" t="e">
        <f>G97+G102</f>
        <v>#REF!</v>
      </c>
    </row>
    <row r="104" spans="1:7" hidden="1" outlineLevel="1">
      <c r="A104" s="3" t="s">
        <v>11</v>
      </c>
      <c r="B104" s="3" t="s">
        <v>82</v>
      </c>
      <c r="C104" s="3"/>
      <c r="D104" s="3"/>
      <c r="E104" s="3" t="s">
        <v>114</v>
      </c>
      <c r="F104" s="3" t="s">
        <v>14</v>
      </c>
      <c r="G104" s="3">
        <v>265</v>
      </c>
    </row>
    <row r="105" spans="1:7" collapsed="1">
      <c r="A105" s="3" t="s">
        <v>14</v>
      </c>
      <c r="B105" s="9" t="s">
        <v>277</v>
      </c>
      <c r="C105" s="3"/>
      <c r="D105" s="3"/>
      <c r="E105" s="3" t="s">
        <v>278</v>
      </c>
      <c r="F105" s="3" t="s">
        <v>14</v>
      </c>
      <c r="G105" s="3"/>
    </row>
    <row r="106" spans="1:7" hidden="1" outlineLevel="1">
      <c r="A106" s="3" t="s">
        <v>11</v>
      </c>
      <c r="B106" s="10" t="s">
        <v>279</v>
      </c>
      <c r="C106" s="3"/>
      <c r="D106" s="3"/>
      <c r="E106" s="3" t="s">
        <v>280</v>
      </c>
      <c r="F106" s="3" t="s">
        <v>11</v>
      </c>
      <c r="G106" s="3"/>
    </row>
    <row r="107" spans="1:7" hidden="1" outlineLevel="2">
      <c r="A107" s="4" t="s">
        <v>11</v>
      </c>
      <c r="B107" s="4" t="s">
        <v>46</v>
      </c>
      <c r="C107" s="5"/>
      <c r="D107" s="8"/>
      <c r="E107" s="4" t="s">
        <v>281</v>
      </c>
      <c r="F107" s="4" t="s">
        <v>14</v>
      </c>
      <c r="G107" s="4" t="s">
        <v>282</v>
      </c>
    </row>
    <row r="108" spans="1:7" ht="30" hidden="1" outlineLevel="2">
      <c r="A108" s="4" t="s">
        <v>11</v>
      </c>
      <c r="B108" s="4" t="s">
        <v>82</v>
      </c>
      <c r="C108" s="5"/>
      <c r="D108" s="8"/>
      <c r="E108" s="4" t="s">
        <v>283</v>
      </c>
      <c r="F108" s="4" t="s">
        <v>14</v>
      </c>
      <c r="G108" s="4">
        <v>10000</v>
      </c>
    </row>
    <row r="109" spans="1:7" hidden="1" outlineLevel="2">
      <c r="A109" s="4" t="s">
        <v>11</v>
      </c>
      <c r="B109" s="4" t="s">
        <v>82</v>
      </c>
      <c r="C109" s="5" t="s">
        <v>47</v>
      </c>
      <c r="D109" s="8"/>
      <c r="E109" s="4" t="s">
        <v>284</v>
      </c>
      <c r="F109" s="4" t="s">
        <v>14</v>
      </c>
      <c r="G109" s="4">
        <v>8.0000000000000002E-3</v>
      </c>
    </row>
    <row r="110" spans="1:7" hidden="1" outlineLevel="1">
      <c r="A110" s="3" t="s">
        <v>11</v>
      </c>
      <c r="B110" s="3" t="s">
        <v>82</v>
      </c>
      <c r="C110" s="3"/>
      <c r="D110" s="3"/>
      <c r="E110" s="3" t="s">
        <v>240</v>
      </c>
      <c r="F110" s="3" t="s">
        <v>14</v>
      </c>
      <c r="G110" s="3">
        <v>0.01</v>
      </c>
    </row>
    <row r="111" spans="1:7" ht="30" hidden="1" outlineLevel="1">
      <c r="A111" s="3" t="s">
        <v>14</v>
      </c>
      <c r="B111" s="3" t="s">
        <v>82</v>
      </c>
      <c r="C111" s="3"/>
      <c r="D111" s="3" t="s">
        <v>48</v>
      </c>
      <c r="E111" s="3" t="s">
        <v>285</v>
      </c>
      <c r="F111" s="3" t="s">
        <v>14</v>
      </c>
      <c r="G111" s="3">
        <f>SUM(G108*G109)</f>
        <v>80</v>
      </c>
    </row>
    <row r="112" spans="1:7" ht="45" hidden="1" outlineLevel="1">
      <c r="A112" s="3" t="s">
        <v>11</v>
      </c>
      <c r="B112" s="10"/>
      <c r="C112" s="3"/>
      <c r="D112" s="3" t="s">
        <v>48</v>
      </c>
      <c r="E112" s="3" t="s">
        <v>286</v>
      </c>
      <c r="F112" s="3" t="s">
        <v>11</v>
      </c>
      <c r="G112" s="3" t="e">
        <f>(G111*G110*(44/28)*G113)/#REF!</f>
        <v>#REF!</v>
      </c>
    </row>
    <row r="113" spans="1:7" hidden="1" outlineLevel="1">
      <c r="A113" s="3" t="s">
        <v>11</v>
      </c>
      <c r="B113" s="3" t="s">
        <v>82</v>
      </c>
      <c r="C113" s="3"/>
      <c r="D113" s="3"/>
      <c r="E113" s="3" t="s">
        <v>114</v>
      </c>
      <c r="F113" s="3" t="s">
        <v>14</v>
      </c>
      <c r="G113" s="3">
        <v>265</v>
      </c>
    </row>
    <row r="114" spans="1:7" collapsed="1">
      <c r="A114" s="3" t="s">
        <v>14</v>
      </c>
      <c r="B114" s="10" t="s">
        <v>287</v>
      </c>
      <c r="C114" s="3"/>
      <c r="D114" s="3"/>
      <c r="E114" s="3" t="s">
        <v>288</v>
      </c>
      <c r="F114" s="3" t="s">
        <v>14</v>
      </c>
      <c r="G114" s="3"/>
    </row>
    <row r="115" spans="1:7" hidden="1" outlineLevel="4">
      <c r="A115" s="3" t="s">
        <v>11</v>
      </c>
      <c r="B115" s="10" t="s">
        <v>289</v>
      </c>
      <c r="C115" s="3"/>
      <c r="D115" s="3"/>
      <c r="E115" s="3" t="s">
        <v>290</v>
      </c>
      <c r="F115" s="3" t="s">
        <v>11</v>
      </c>
      <c r="G115" s="3"/>
    </row>
    <row r="116" spans="1:7" hidden="1" outlineLevel="5">
      <c r="A116" s="4" t="s">
        <v>11</v>
      </c>
      <c r="B116" s="4" t="s">
        <v>46</v>
      </c>
      <c r="C116" s="5" t="s">
        <v>47</v>
      </c>
      <c r="D116" s="8"/>
      <c r="E116" s="4" t="s">
        <v>225</v>
      </c>
      <c r="F116" s="4" t="s">
        <v>14</v>
      </c>
      <c r="G116" s="4" t="s">
        <v>226</v>
      </c>
    </row>
    <row r="117" spans="1:7" ht="30" hidden="1" outlineLevel="5">
      <c r="A117" s="4" t="s">
        <v>11</v>
      </c>
      <c r="B117" s="4" t="s">
        <v>82</v>
      </c>
      <c r="C117" s="5"/>
      <c r="D117" s="8"/>
      <c r="E117" s="4" t="s">
        <v>227</v>
      </c>
      <c r="F117" s="4" t="s">
        <v>14</v>
      </c>
      <c r="G117" s="4">
        <v>0.92</v>
      </c>
    </row>
    <row r="118" spans="1:7" ht="30" hidden="1" outlineLevel="5">
      <c r="A118" s="4" t="s">
        <v>11</v>
      </c>
      <c r="B118" s="4" t="s">
        <v>82</v>
      </c>
      <c r="C118" s="5"/>
      <c r="D118" s="8"/>
      <c r="E118" s="4" t="s">
        <v>291</v>
      </c>
      <c r="F118" s="4" t="s">
        <v>14</v>
      </c>
      <c r="G118" s="4">
        <v>0.21</v>
      </c>
    </row>
    <row r="119" spans="1:7" ht="30" hidden="1" outlineLevel="5">
      <c r="A119" s="4" t="s">
        <v>11</v>
      </c>
      <c r="B119" s="4" t="s">
        <v>82</v>
      </c>
      <c r="C119" s="5"/>
      <c r="D119" s="8"/>
      <c r="E119" s="4" t="s">
        <v>229</v>
      </c>
      <c r="F119" s="4" t="s">
        <v>14</v>
      </c>
      <c r="G119" s="4">
        <v>1423149.0296307299</v>
      </c>
    </row>
    <row r="120" spans="1:7" ht="18" hidden="1" outlineLevel="5">
      <c r="A120" s="4" t="s">
        <v>14</v>
      </c>
      <c r="B120" s="4" t="s">
        <v>82</v>
      </c>
      <c r="C120" s="5"/>
      <c r="D120" s="8" t="s">
        <v>48</v>
      </c>
      <c r="E120" s="4" t="s">
        <v>292</v>
      </c>
      <c r="F120" s="4" t="s">
        <v>14</v>
      </c>
      <c r="G120" s="4">
        <f>G119*G117*G118</f>
        <v>274952.39252465701</v>
      </c>
    </row>
    <row r="121" spans="1:7" ht="18" hidden="1" outlineLevel="3">
      <c r="A121" s="3" t="s">
        <v>11</v>
      </c>
      <c r="B121" s="3" t="s">
        <v>82</v>
      </c>
      <c r="C121" s="3"/>
      <c r="D121" s="3"/>
      <c r="E121" s="3" t="s">
        <v>293</v>
      </c>
      <c r="F121" s="3" t="s">
        <v>14</v>
      </c>
      <c r="G121" s="3">
        <f>SUM(G120)</f>
        <v>274952.39252465701</v>
      </c>
    </row>
    <row r="122" spans="1:7" ht="30" hidden="1" outlineLevel="3">
      <c r="A122" s="3" t="s">
        <v>14</v>
      </c>
      <c r="B122" s="3" t="s">
        <v>82</v>
      </c>
      <c r="C122" s="3"/>
      <c r="D122" s="3" t="s">
        <v>48</v>
      </c>
      <c r="E122" s="3" t="s">
        <v>294</v>
      </c>
      <c r="F122" s="3" t="s">
        <v>14</v>
      </c>
      <c r="G122" s="3" t="e">
        <f>((G123*G121)/G124)/#REF!</f>
        <v>#REF!</v>
      </c>
    </row>
    <row r="123" spans="1:7" hidden="1" outlineLevel="3">
      <c r="A123" s="3" t="s">
        <v>11</v>
      </c>
      <c r="B123" s="3" t="s">
        <v>82</v>
      </c>
      <c r="C123" s="3"/>
      <c r="D123" s="3"/>
      <c r="E123" s="3" t="s">
        <v>114</v>
      </c>
      <c r="F123" s="3" t="s">
        <v>14</v>
      </c>
      <c r="G123" s="3">
        <v>265</v>
      </c>
    </row>
    <row r="124" spans="1:7" hidden="1" outlineLevel="3">
      <c r="A124" s="3" t="s">
        <v>14</v>
      </c>
      <c r="B124" s="3" t="s">
        <v>82</v>
      </c>
      <c r="C124" s="3"/>
      <c r="D124" s="3" t="s">
        <v>48</v>
      </c>
      <c r="E124" s="3" t="s">
        <v>220</v>
      </c>
      <c r="F124" s="3" t="s">
        <v>14</v>
      </c>
      <c r="G124" s="3">
        <f>10^6</f>
        <v>1000000</v>
      </c>
    </row>
    <row r="125" spans="1:7">
      <c r="A125" s="3" t="s">
        <v>14</v>
      </c>
      <c r="B125" s="9" t="s">
        <v>295</v>
      </c>
      <c r="C125" s="3"/>
      <c r="D125" s="3"/>
      <c r="E125" s="3" t="s">
        <v>296</v>
      </c>
      <c r="F125" s="3" t="s">
        <v>14</v>
      </c>
      <c r="G125" s="3"/>
    </row>
    <row r="126" spans="1:7" ht="30" outlineLevel="1">
      <c r="A126" s="3" t="s">
        <v>14</v>
      </c>
      <c r="B126" s="3" t="s">
        <v>82</v>
      </c>
      <c r="C126" s="3"/>
      <c r="D126" s="3" t="s">
        <v>48</v>
      </c>
      <c r="E126" s="3" t="s">
        <v>297</v>
      </c>
      <c r="F126" s="3" t="s">
        <v>14</v>
      </c>
      <c r="G126" s="11" t="e">
        <f>G82+G103+G112</f>
        <v>#REF!</v>
      </c>
    </row>
  </sheetData>
  <mergeCells count="3">
    <mergeCell ref="A1:G1"/>
    <mergeCell ref="B2:G2"/>
    <mergeCell ref="B3:G3"/>
  </mergeCells>
  <dataValidations count="2">
    <dataValidation type="list" allowBlank="1" showInputMessage="1" showErrorMessage="1" sqref="A23:A31 F23:F31 F34:F48 A34:A48 F51:F59 A51:A59 A61 F61 A68:A82 A63:A66 F63:F66 F68:F82 A86:A90 F86:F90 A107:A111 F107:F111 A116:A125 F116:F124 A6:A12 F6:F12 F14:F20 A14:A20" xr:uid="{2AB87DE4-D970-4769-9A08-895E11A72A8C}">
      <formula1>"Yes,No"</formula1>
    </dataValidation>
    <dataValidation type="list" allowBlank="1" showInputMessage="1" showErrorMessage="1" sqref="B3:G3" xr:uid="{2C0C91E9-223F-4783-BECC-52F3627C961E}">
      <formula1>"Verifiable Credentials,Encrypted Verifiable Credential,Sub-Schema"</formula1>
    </dataValidation>
  </dataValidations>
  <hyperlinks>
    <hyperlink ref="B6" location="CO2_FF_Baseline_Data_ByType!A1" display="CO2_FF_Baseline_Data_ByType" xr:uid="{C2BFFF3A-D4DC-47AC-9676-1B85AD7F0176}"/>
    <hyperlink ref="B22" location="Livestock_Data_ByType_Base!A1" display="Livestock_Data_ByType_Base" xr:uid="{338319B4-97B3-4DD3-9F46-C6A0F904C061}"/>
    <hyperlink ref="B33" location="CH4_Manure_Data_ByType_Baseline!A1" display="CH4_Manure_Data_ByType_Baseline" xr:uid="{D363DDB9-0E7F-4079-A21A-94CEB1A072A8}"/>
    <hyperlink ref="B50" location="CH4_BiomassData_ByType_Baseline!A1" display="CH4_BiomassData_ByType_Baseline" xr:uid="{585F73A9-6F08-424F-8302-A74D779EF545}"/>
    <hyperlink ref="B62" location="SyntheticFertilizer_Data_Baseli!A1" display="SyntheticFertilizer_Data_Baseli" xr:uid="{EAC086E4-1DA0-4174-B163-A2203840FCB9}"/>
    <hyperlink ref="B67" location="OrganicFertilizer_Data_Baseline!A1" display="OrganicFertilizer_Data_Baseline" xr:uid="{5856BBEC-735E-4698-A89F-B39F5BBCB48C}"/>
    <hyperlink ref="B85" location="N2O_ManureData_ByType_Baseline!A1" display="N2O_ManureData_ByType_Baseline" xr:uid="{A53C96DD-B1EE-4E0E-9646-648CA52C115B}"/>
    <hyperlink ref="B106" location="NFixingSpecies_Data_Baseline!A1" display="NFixingSpecies_Data_Baseline" xr:uid="{F738EEAB-60DF-41DE-9430-FBA07C9F227C}"/>
    <hyperlink ref="B115" location="N2O_BiomassData_ByType_Baseline!A1" display="N2O_BiomassData_ByType_Baseline" xr:uid="{661E35BE-3C3A-4E8D-B784-62EA311AFA5B}"/>
    <hyperlink ref="B5" location="CO2_FossilFuel_Baseline!A1" display="CO2_FossilFuel_Baseline" xr:uid="{01232EA9-A9C0-4058-9A44-E7FD01227C61}"/>
    <hyperlink ref="B13" location="CO2_Liming_Baseline!A1" display="CO2_Liming_Baseline" xr:uid="{D34DE5B0-3D30-4AD4-A57E-DC7BC89EAF0F}"/>
    <hyperlink ref="B21" location="CH4_Enteric_Baseline!A1" display="CH4_Enteric_Baseline" xr:uid="{DF3C5B67-B6A5-4E5B-8B05-8E7D6D3DC84B}"/>
    <hyperlink ref="B32" location="CH4_Manure_Baseline!A1" display="CH4_Manure_Baseline" xr:uid="{180A67BB-090B-4246-BB9D-FBF97401F429}"/>
    <hyperlink ref="B49" location="CH4_Biomass_Baseline!A1" display="CH4_Biomass_Baseline" xr:uid="{10E8645D-267E-437E-A0F2-0ABD047D47E5}"/>
    <hyperlink ref="B60" location="N2O_NFert_Baseline!A1" display="N2O_NFert_Baseline" xr:uid="{A7347C73-A49A-4C77-B267-1E3DF450DA79}"/>
    <hyperlink ref="B84" location="N2O_Manure_Baseline!A1" display="N2O_Manure_Baseline" xr:uid="{5963B2B1-C220-4CCB-8660-DCEDAEF875CE}"/>
    <hyperlink ref="B105" location="N2O_NFixing_Baseline!A1" display="N2O_NFixing_Baseline" xr:uid="{7E9880D9-044A-498B-93A3-39E4485BC99E}"/>
    <hyperlink ref="B114" location="N2O_Biomass_Baseline!A1" display="N2O_Biomass_Baseline" xr:uid="{F41A7FD7-9B64-40D7-8262-CECCD7382948}"/>
    <hyperlink ref="B125" location="NitrousOxide_SoilInputs_Baselin!A1" display="NitrousOxide_SoilInputs_Baselin" xr:uid="{EC8A32F2-4BE5-41F1-AA30-41A2A6BC8A23}"/>
  </hyperlinks>
  <pageMargins left="0.7" right="0.7" top="0.75" bottom="0.75" header="0.3" footer="0.3"/>
  <pageSetup orientation="portrait" horizontalDpi="4294967295" verticalDpi="4294967295"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BFBBF-C77F-4D6F-9384-CD946D758C8E}">
  <sheetPr codeName="Sheet44">
    <tabColor rgb="FFFFC000"/>
    <outlinePr summaryBelow="0" summaryRight="0"/>
  </sheetPr>
  <dimension ref="A1:G125"/>
  <sheetViews>
    <sheetView workbookViewId="0">
      <selection activeCell="E4" sqref="E1:E1048576"/>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2" t="s">
        <v>298</v>
      </c>
      <c r="B1" s="32"/>
      <c r="C1" s="32"/>
      <c r="D1" s="32"/>
      <c r="E1" s="32"/>
      <c r="F1" s="32"/>
      <c r="G1" s="32"/>
    </row>
    <row r="2" spans="1:7" ht="18.75">
      <c r="A2" s="1" t="s">
        <v>1</v>
      </c>
      <c r="B2" s="33" t="s">
        <v>692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ollapsed="1">
      <c r="A5" s="3" t="s">
        <v>14</v>
      </c>
      <c r="B5" s="9" t="s">
        <v>300</v>
      </c>
      <c r="C5" s="3"/>
      <c r="D5" s="3"/>
      <c r="E5" s="3" t="s">
        <v>301</v>
      </c>
      <c r="F5" s="3" t="s">
        <v>14</v>
      </c>
      <c r="G5" s="3"/>
    </row>
    <row r="6" spans="1:7" hidden="1" outlineLevel="1">
      <c r="A6" s="3" t="s">
        <v>11</v>
      </c>
      <c r="B6" s="10" t="s">
        <v>302</v>
      </c>
      <c r="C6" s="3"/>
      <c r="D6" s="3"/>
      <c r="E6" s="3" t="s">
        <v>303</v>
      </c>
      <c r="F6" s="3" t="s">
        <v>11</v>
      </c>
      <c r="G6" s="3"/>
    </row>
    <row r="7" spans="1:7" hidden="1" outlineLevel="2">
      <c r="A7" s="4" t="s">
        <v>11</v>
      </c>
      <c r="B7" s="4" t="s">
        <v>46</v>
      </c>
      <c r="C7" s="5" t="s">
        <v>47</v>
      </c>
      <c r="D7" s="8"/>
      <c r="E7" s="4" t="s">
        <v>177</v>
      </c>
      <c r="F7" s="4" t="s">
        <v>14</v>
      </c>
      <c r="G7" s="4" t="s">
        <v>178</v>
      </c>
    </row>
    <row r="8" spans="1:7" ht="45" hidden="1" outlineLevel="2">
      <c r="A8" s="4" t="s">
        <v>14</v>
      </c>
      <c r="B8" s="4" t="s">
        <v>82</v>
      </c>
      <c r="C8" s="5" t="s">
        <v>47</v>
      </c>
      <c r="D8" s="8" t="s">
        <v>48</v>
      </c>
      <c r="E8" s="4" t="s">
        <v>304</v>
      </c>
      <c r="F8" s="4" t="s">
        <v>14</v>
      </c>
      <c r="G8" s="4">
        <f>G9*G10</f>
        <v>86.58</v>
      </c>
    </row>
    <row r="9" spans="1:7" hidden="1" outlineLevel="2">
      <c r="A9" s="4" t="s">
        <v>11</v>
      </c>
      <c r="B9" s="4" t="s">
        <v>82</v>
      </c>
      <c r="C9" s="5" t="s">
        <v>47</v>
      </c>
      <c r="D9" s="8"/>
      <c r="E9" s="4" t="s">
        <v>180</v>
      </c>
      <c r="F9" s="4" t="s">
        <v>14</v>
      </c>
      <c r="G9" s="4">
        <v>30000</v>
      </c>
    </row>
    <row r="10" spans="1:7" hidden="1" outlineLevel="2">
      <c r="A10" s="4" t="s">
        <v>11</v>
      </c>
      <c r="B10" s="4" t="s">
        <v>82</v>
      </c>
      <c r="C10" s="5" t="s">
        <v>47</v>
      </c>
      <c r="D10" s="8"/>
      <c r="E10" s="4" t="s">
        <v>181</v>
      </c>
      <c r="F10" s="4" t="s">
        <v>14</v>
      </c>
      <c r="G10" s="4">
        <v>2.8860000000000001E-3</v>
      </c>
    </row>
    <row r="11" spans="1:7" ht="30" hidden="1" outlineLevel="1" collapsed="1">
      <c r="A11" s="3" t="s">
        <v>14</v>
      </c>
      <c r="B11" s="3" t="s">
        <v>82</v>
      </c>
      <c r="C11" s="3" t="s">
        <v>47</v>
      </c>
      <c r="D11" s="3" t="s">
        <v>48</v>
      </c>
      <c r="E11" s="3" t="s">
        <v>305</v>
      </c>
      <c r="F11" s="3" t="s">
        <v>14</v>
      </c>
      <c r="G11" s="3" t="e">
        <f>G12/#REF!</f>
        <v>#REF!</v>
      </c>
    </row>
    <row r="12" spans="1:7" ht="45" hidden="1" outlineLevel="1">
      <c r="A12" s="3" t="s">
        <v>14</v>
      </c>
      <c r="B12" s="3" t="s">
        <v>82</v>
      </c>
      <c r="C12" s="3"/>
      <c r="D12" s="3" t="s">
        <v>48</v>
      </c>
      <c r="E12" s="3" t="s">
        <v>306</v>
      </c>
      <c r="F12" s="3" t="s">
        <v>14</v>
      </c>
      <c r="G12" s="3">
        <f>SUM(G8)</f>
        <v>86.58</v>
      </c>
    </row>
    <row r="13" spans="1:7" collapsed="1">
      <c r="A13" s="3" t="s">
        <v>11</v>
      </c>
      <c r="B13" s="9" t="s">
        <v>307</v>
      </c>
      <c r="C13" s="3"/>
      <c r="D13" s="3"/>
      <c r="E13" s="3" t="s">
        <v>308</v>
      </c>
      <c r="F13" s="3" t="s">
        <v>14</v>
      </c>
      <c r="G13" s="3"/>
    </row>
    <row r="14" spans="1:7" ht="30" hidden="1" outlineLevel="2">
      <c r="A14" s="4" t="s">
        <v>11</v>
      </c>
      <c r="B14" s="4" t="s">
        <v>82</v>
      </c>
      <c r="C14" s="5" t="s">
        <v>47</v>
      </c>
      <c r="D14" s="8"/>
      <c r="E14" s="4" t="s">
        <v>186</v>
      </c>
      <c r="F14" s="4" t="s">
        <v>14</v>
      </c>
      <c r="G14" s="4">
        <v>10</v>
      </c>
    </row>
    <row r="15" spans="1:7" hidden="1" outlineLevel="2">
      <c r="A15" s="4" t="s">
        <v>14</v>
      </c>
      <c r="B15" s="4" t="s">
        <v>82</v>
      </c>
      <c r="C15" s="5"/>
      <c r="D15" s="8" t="s">
        <v>48</v>
      </c>
      <c r="E15" s="4" t="s">
        <v>187</v>
      </c>
      <c r="F15" s="4" t="s">
        <v>14</v>
      </c>
      <c r="G15" s="4">
        <f>0.12</f>
        <v>0.12</v>
      </c>
    </row>
    <row r="16" spans="1:7" ht="30" hidden="1" outlineLevel="2">
      <c r="A16" s="4" t="s">
        <v>11</v>
      </c>
      <c r="B16" s="4" t="s">
        <v>82</v>
      </c>
      <c r="C16" s="5"/>
      <c r="D16" s="8"/>
      <c r="E16" s="4" t="s">
        <v>188</v>
      </c>
      <c r="F16" s="4" t="s">
        <v>14</v>
      </c>
      <c r="G16" s="4">
        <v>5</v>
      </c>
    </row>
    <row r="17" spans="1:7" hidden="1" outlineLevel="2">
      <c r="A17" s="4" t="s">
        <v>14</v>
      </c>
      <c r="B17" s="4" t="s">
        <v>82</v>
      </c>
      <c r="C17" s="5"/>
      <c r="D17" s="8" t="s">
        <v>48</v>
      </c>
      <c r="E17" s="4" t="s">
        <v>189</v>
      </c>
      <c r="F17" s="4" t="s">
        <v>14</v>
      </c>
      <c r="G17" s="4">
        <f>0.13</f>
        <v>0.13</v>
      </c>
    </row>
    <row r="18" spans="1:7" ht="30" hidden="1" outlineLevel="2">
      <c r="A18" s="4" t="s">
        <v>14</v>
      </c>
      <c r="B18" s="4" t="s">
        <v>82</v>
      </c>
      <c r="C18" s="5"/>
      <c r="D18" s="8" t="s">
        <v>48</v>
      </c>
      <c r="E18" s="4" t="s">
        <v>309</v>
      </c>
      <c r="F18" s="4" t="s">
        <v>14</v>
      </c>
      <c r="G18" s="4">
        <f>((G14*G15)+(G16*G17))*G20</f>
        <v>6.7833333333333332</v>
      </c>
    </row>
    <row r="19" spans="1:7" ht="30" hidden="1" outlineLevel="2">
      <c r="A19" s="4" t="s">
        <v>14</v>
      </c>
      <c r="B19" s="4" t="s">
        <v>82</v>
      </c>
      <c r="C19" s="5"/>
      <c r="D19" s="8" t="s">
        <v>48</v>
      </c>
      <c r="E19" s="4" t="s">
        <v>310</v>
      </c>
      <c r="F19" s="4" t="s">
        <v>14</v>
      </c>
      <c r="G19" s="4" t="e">
        <f>G18/#REF!</f>
        <v>#REF!</v>
      </c>
    </row>
    <row r="20" spans="1:7" ht="30" hidden="1" outlineLevel="2">
      <c r="A20" s="4" t="s">
        <v>14</v>
      </c>
      <c r="B20" s="4" t="s">
        <v>82</v>
      </c>
      <c r="C20" s="5"/>
      <c r="D20" s="8" t="s">
        <v>48</v>
      </c>
      <c r="E20" s="4" t="s">
        <v>192</v>
      </c>
      <c r="F20" s="4" t="s">
        <v>14</v>
      </c>
      <c r="G20" s="4">
        <f>44/12</f>
        <v>3.6666666666666665</v>
      </c>
    </row>
    <row r="21" spans="1:7" collapsed="1">
      <c r="A21" s="3" t="s">
        <v>14</v>
      </c>
      <c r="B21" s="9" t="s">
        <v>311</v>
      </c>
      <c r="C21" s="3"/>
      <c r="D21" s="3"/>
      <c r="E21" s="3" t="s">
        <v>312</v>
      </c>
      <c r="F21" s="3" t="s">
        <v>14</v>
      </c>
      <c r="G21" s="3"/>
    </row>
    <row r="22" spans="1:7" hidden="1" outlineLevel="1">
      <c r="A22" s="3" t="s">
        <v>11</v>
      </c>
      <c r="B22" s="10" t="s">
        <v>313</v>
      </c>
      <c r="C22" s="3"/>
      <c r="D22" s="3"/>
      <c r="E22" s="3" t="s">
        <v>314</v>
      </c>
      <c r="F22" s="3" t="s">
        <v>11</v>
      </c>
      <c r="G22" s="3"/>
    </row>
    <row r="23" spans="1:7" hidden="1" outlineLevel="2">
      <c r="A23" s="4" t="s">
        <v>11</v>
      </c>
      <c r="B23" s="4" t="s">
        <v>46</v>
      </c>
      <c r="C23" s="5" t="s">
        <v>47</v>
      </c>
      <c r="D23" s="8"/>
      <c r="E23" s="4" t="s">
        <v>197</v>
      </c>
      <c r="F23" s="4" t="s">
        <v>14</v>
      </c>
      <c r="G23" s="4" t="s">
        <v>198</v>
      </c>
    </row>
    <row r="24" spans="1:7" hidden="1" outlineLevel="2">
      <c r="A24" s="4" t="s">
        <v>11</v>
      </c>
      <c r="B24" s="4" t="s">
        <v>46</v>
      </c>
      <c r="C24" s="5"/>
      <c r="D24" s="8"/>
      <c r="E24" s="4" t="s">
        <v>199</v>
      </c>
      <c r="F24" s="4" t="s">
        <v>14</v>
      </c>
      <c r="G24" s="4" t="s">
        <v>200</v>
      </c>
    </row>
    <row r="25" spans="1:7" ht="30" hidden="1" outlineLevel="2">
      <c r="A25" s="4" t="s">
        <v>11</v>
      </c>
      <c r="B25" s="4" t="s">
        <v>82</v>
      </c>
      <c r="C25" s="5"/>
      <c r="D25" s="8"/>
      <c r="E25" s="4" t="s">
        <v>315</v>
      </c>
      <c r="F25" s="4" t="s">
        <v>14</v>
      </c>
      <c r="G25" s="4">
        <v>160</v>
      </c>
    </row>
    <row r="26" spans="1:7" ht="30" hidden="1" outlineLevel="2">
      <c r="A26" s="4" t="s">
        <v>11</v>
      </c>
      <c r="B26" s="4" t="s">
        <v>82</v>
      </c>
      <c r="C26" s="5"/>
      <c r="D26" s="8"/>
      <c r="E26" s="4" t="s">
        <v>202</v>
      </c>
      <c r="F26" s="4" t="s">
        <v>14</v>
      </c>
      <c r="G26" s="4">
        <v>5.9951801952627202</v>
      </c>
    </row>
    <row r="27" spans="1:7" ht="30" hidden="1" outlineLevel="2">
      <c r="A27" s="4" t="s">
        <v>14</v>
      </c>
      <c r="B27" s="4" t="s">
        <v>82</v>
      </c>
      <c r="C27" s="5"/>
      <c r="D27" s="8" t="s">
        <v>48</v>
      </c>
      <c r="E27" s="4" t="s">
        <v>309</v>
      </c>
      <c r="F27" s="4" t="s">
        <v>14</v>
      </c>
      <c r="G27" s="4">
        <f>G25*G26</f>
        <v>959.2288312420352</v>
      </c>
    </row>
    <row r="28" spans="1:7" ht="30" hidden="1" outlineLevel="1">
      <c r="A28" s="3" t="s">
        <v>14</v>
      </c>
      <c r="B28" s="3" t="s">
        <v>82</v>
      </c>
      <c r="C28" s="3"/>
      <c r="D28" s="3" t="s">
        <v>48</v>
      </c>
      <c r="E28" s="3" t="s">
        <v>310</v>
      </c>
      <c r="F28" s="3" t="s">
        <v>14</v>
      </c>
      <c r="G28" s="3">
        <f>SUM(G27)</f>
        <v>959.2288312420352</v>
      </c>
    </row>
    <row r="29" spans="1:7" ht="30" hidden="1" outlineLevel="1">
      <c r="A29" s="3" t="s">
        <v>14</v>
      </c>
      <c r="B29" s="3" t="s">
        <v>82</v>
      </c>
      <c r="C29" s="3"/>
      <c r="D29" s="3" t="s">
        <v>48</v>
      </c>
      <c r="E29" s="3" t="s">
        <v>316</v>
      </c>
      <c r="F29" s="3" t="s">
        <v>14</v>
      </c>
      <c r="G29" s="3" t="e">
        <f>((G31*G28)/G30)/#REF!</f>
        <v>#REF!</v>
      </c>
    </row>
    <row r="30" spans="1:7" hidden="1" outlineLevel="1">
      <c r="A30" s="3" t="s">
        <v>14</v>
      </c>
      <c r="B30" s="3" t="s">
        <v>82</v>
      </c>
      <c r="C30" s="3"/>
      <c r="D30" s="3" t="s">
        <v>48</v>
      </c>
      <c r="E30" s="3" t="s">
        <v>204</v>
      </c>
      <c r="F30" s="3" t="s">
        <v>14</v>
      </c>
      <c r="G30" s="3">
        <f>1000</f>
        <v>1000</v>
      </c>
    </row>
    <row r="31" spans="1:7" hidden="1" outlineLevel="1">
      <c r="A31" s="3" t="s">
        <v>11</v>
      </c>
      <c r="B31" s="3" t="s">
        <v>82</v>
      </c>
      <c r="C31" s="3"/>
      <c r="D31" s="3"/>
      <c r="E31" s="3" t="s">
        <v>96</v>
      </c>
      <c r="F31" s="3" t="s">
        <v>14</v>
      </c>
      <c r="G31" s="3">
        <v>28</v>
      </c>
    </row>
    <row r="32" spans="1:7" collapsed="1">
      <c r="A32" s="3" t="s">
        <v>14</v>
      </c>
      <c r="B32" s="9" t="s">
        <v>317</v>
      </c>
      <c r="C32" s="3"/>
      <c r="D32" s="3"/>
      <c r="E32" s="3" t="s">
        <v>318</v>
      </c>
      <c r="F32" s="3" t="s">
        <v>14</v>
      </c>
      <c r="G32" s="3"/>
    </row>
    <row r="33" spans="1:7" hidden="1" outlineLevel="1">
      <c r="A33" s="3" t="s">
        <v>11</v>
      </c>
      <c r="B33" s="10" t="s">
        <v>319</v>
      </c>
      <c r="C33" s="3"/>
      <c r="D33" s="3"/>
      <c r="E33" s="3" t="s">
        <v>320</v>
      </c>
      <c r="F33" s="3" t="s">
        <v>11</v>
      </c>
      <c r="G33" s="3"/>
    </row>
    <row r="34" spans="1:7" hidden="1" outlineLevel="2">
      <c r="A34" s="4" t="s">
        <v>11</v>
      </c>
      <c r="B34" s="4" t="s">
        <v>46</v>
      </c>
      <c r="C34" s="5" t="s">
        <v>47</v>
      </c>
      <c r="D34" s="8"/>
      <c r="E34" s="4" t="s">
        <v>197</v>
      </c>
      <c r="F34" s="4" t="s">
        <v>14</v>
      </c>
      <c r="G34" s="4" t="s">
        <v>198</v>
      </c>
    </row>
    <row r="35" spans="1:7" hidden="1" outlineLevel="2">
      <c r="A35" s="4" t="s">
        <v>11</v>
      </c>
      <c r="B35" s="4" t="s">
        <v>46</v>
      </c>
      <c r="C35" s="5"/>
      <c r="D35" s="8"/>
      <c r="E35" s="4" t="s">
        <v>199</v>
      </c>
      <c r="F35" s="4" t="s">
        <v>14</v>
      </c>
      <c r="G35" s="4" t="s">
        <v>200</v>
      </c>
    </row>
    <row r="36" spans="1:7" ht="30" hidden="1" outlineLevel="2">
      <c r="A36" s="4" t="s">
        <v>11</v>
      </c>
      <c r="B36" s="4" t="s">
        <v>82</v>
      </c>
      <c r="C36" s="5"/>
      <c r="D36" s="8"/>
      <c r="E36" s="4" t="s">
        <v>315</v>
      </c>
      <c r="F36" s="4" t="s">
        <v>14</v>
      </c>
      <c r="G36" s="4">
        <v>160</v>
      </c>
    </row>
    <row r="37" spans="1:7" hidden="1" outlineLevel="2">
      <c r="A37" s="4" t="s">
        <v>11</v>
      </c>
      <c r="B37" s="4" t="s">
        <v>46</v>
      </c>
      <c r="C37" s="5"/>
      <c r="D37" s="8"/>
      <c r="E37" s="4" t="s">
        <v>209</v>
      </c>
      <c r="F37" s="4" t="s">
        <v>14</v>
      </c>
      <c r="G37" s="4" t="s">
        <v>210</v>
      </c>
    </row>
    <row r="38" spans="1:7" ht="45" hidden="1" outlineLevel="2">
      <c r="A38" s="4" t="s">
        <v>14</v>
      </c>
      <c r="B38" s="4" t="s">
        <v>82</v>
      </c>
      <c r="C38" s="5"/>
      <c r="D38" s="8"/>
      <c r="E38" s="4" t="s">
        <v>211</v>
      </c>
      <c r="F38" s="4" t="s">
        <v>14</v>
      </c>
      <c r="G38" s="4">
        <v>1</v>
      </c>
    </row>
    <row r="39" spans="1:7" ht="30" hidden="1" outlineLevel="2">
      <c r="A39" s="4" t="s">
        <v>11</v>
      </c>
      <c r="B39" s="4" t="s">
        <v>82</v>
      </c>
      <c r="C39" s="5"/>
      <c r="D39" s="8"/>
      <c r="E39" s="4" t="s">
        <v>321</v>
      </c>
      <c r="F39" s="4" t="s">
        <v>14</v>
      </c>
      <c r="G39" s="4">
        <v>30</v>
      </c>
    </row>
    <row r="40" spans="1:7" ht="30" hidden="1" outlineLevel="2">
      <c r="A40" s="4" t="s">
        <v>11</v>
      </c>
      <c r="B40" s="4" t="s">
        <v>82</v>
      </c>
      <c r="C40" s="5"/>
      <c r="D40" s="8"/>
      <c r="E40" s="4" t="s">
        <v>213</v>
      </c>
      <c r="F40" s="4" t="s">
        <v>14</v>
      </c>
      <c r="G40" s="4">
        <v>8.3000000000000007</v>
      </c>
    </row>
    <row r="41" spans="1:7" ht="45" hidden="1" outlineLevel="2">
      <c r="A41" s="4" t="s">
        <v>14</v>
      </c>
      <c r="B41" s="4" t="s">
        <v>82</v>
      </c>
      <c r="C41" s="5"/>
      <c r="D41" s="8"/>
      <c r="E41" s="4" t="s">
        <v>214</v>
      </c>
      <c r="F41" s="4" t="s">
        <v>14</v>
      </c>
      <c r="G41" s="4">
        <v>0.6</v>
      </c>
    </row>
    <row r="42" spans="1:7" ht="45" hidden="1" outlineLevel="2">
      <c r="A42" s="4" t="s">
        <v>14</v>
      </c>
      <c r="B42" s="4" t="s">
        <v>82</v>
      </c>
      <c r="C42" s="5"/>
      <c r="D42" s="8" t="s">
        <v>48</v>
      </c>
      <c r="E42" s="4" t="s">
        <v>215</v>
      </c>
      <c r="F42" s="4" t="s">
        <v>14</v>
      </c>
      <c r="G42" s="4">
        <f>(G40*(G39/G43))*G44</f>
        <v>90.885000000000005</v>
      </c>
    </row>
    <row r="43" spans="1:7" hidden="1" outlineLevel="2">
      <c r="A43" s="4" t="s">
        <v>14</v>
      </c>
      <c r="B43" s="4" t="s">
        <v>82</v>
      </c>
      <c r="C43" s="5"/>
      <c r="D43" s="8" t="s">
        <v>48</v>
      </c>
      <c r="E43" s="4" t="s">
        <v>216</v>
      </c>
      <c r="F43" s="4" t="s">
        <v>14</v>
      </c>
      <c r="G43" s="4">
        <v>1000</v>
      </c>
    </row>
    <row r="44" spans="1:7" hidden="1" outlineLevel="2">
      <c r="A44" s="4" t="s">
        <v>14</v>
      </c>
      <c r="B44" s="4" t="s">
        <v>82</v>
      </c>
      <c r="C44" s="5"/>
      <c r="D44" s="8" t="s">
        <v>48</v>
      </c>
      <c r="E44" s="4" t="s">
        <v>217</v>
      </c>
      <c r="F44" s="4" t="s">
        <v>14</v>
      </c>
      <c r="G44" s="4">
        <f>365</f>
        <v>365</v>
      </c>
    </row>
    <row r="45" spans="1:7" ht="18" hidden="1" outlineLevel="1">
      <c r="A45" s="3" t="s">
        <v>14</v>
      </c>
      <c r="B45" s="3" t="s">
        <v>82</v>
      </c>
      <c r="C45" s="3"/>
      <c r="D45" s="3" t="s">
        <v>48</v>
      </c>
      <c r="E45" s="3" t="s">
        <v>322</v>
      </c>
      <c r="F45" s="3" t="s">
        <v>14</v>
      </c>
      <c r="G45" s="3">
        <f>SUM(G36*G42*G38*G41)</f>
        <v>8724.9599999999991</v>
      </c>
    </row>
    <row r="46" spans="1:7" ht="30" hidden="1" outlineLevel="1">
      <c r="A46" s="3" t="s">
        <v>14</v>
      </c>
      <c r="B46" s="3" t="s">
        <v>82</v>
      </c>
      <c r="C46" s="3"/>
      <c r="D46" s="3" t="s">
        <v>48</v>
      </c>
      <c r="E46" s="3" t="s">
        <v>323</v>
      </c>
      <c r="F46" s="3" t="s">
        <v>14</v>
      </c>
      <c r="G46" s="3" t="e">
        <f>G47*G45/(G48*#REF!)</f>
        <v>#REF!</v>
      </c>
    </row>
    <row r="47" spans="1:7" hidden="1" outlineLevel="1">
      <c r="A47" s="3" t="s">
        <v>11</v>
      </c>
      <c r="B47" s="3" t="s">
        <v>82</v>
      </c>
      <c r="C47" s="3"/>
      <c r="D47" s="3"/>
      <c r="E47" s="3" t="s">
        <v>96</v>
      </c>
      <c r="F47" s="3" t="s">
        <v>14</v>
      </c>
      <c r="G47" s="3">
        <v>28</v>
      </c>
    </row>
    <row r="48" spans="1:7" hidden="1" outlineLevel="1">
      <c r="A48" s="3" t="s">
        <v>14</v>
      </c>
      <c r="B48" s="3" t="s">
        <v>82</v>
      </c>
      <c r="C48" s="3"/>
      <c r="D48" s="3" t="s">
        <v>48</v>
      </c>
      <c r="E48" s="3" t="s">
        <v>220</v>
      </c>
      <c r="F48" s="3" t="s">
        <v>14</v>
      </c>
      <c r="G48" s="3">
        <f>10^6</f>
        <v>1000000</v>
      </c>
    </row>
    <row r="49" spans="1:7" collapsed="1">
      <c r="A49" s="3" t="s">
        <v>14</v>
      </c>
      <c r="B49" s="9" t="s">
        <v>324</v>
      </c>
      <c r="C49" s="3"/>
      <c r="D49" s="3"/>
      <c r="E49" s="3" t="s">
        <v>325</v>
      </c>
      <c r="F49" s="3" t="s">
        <v>14</v>
      </c>
      <c r="G49" s="3"/>
    </row>
    <row r="50" spans="1:7" hidden="1" outlineLevel="1">
      <c r="A50" s="3" t="s">
        <v>11</v>
      </c>
      <c r="B50" s="10" t="s">
        <v>326</v>
      </c>
      <c r="C50" s="3"/>
      <c r="D50" s="3"/>
      <c r="E50" s="3" t="s">
        <v>327</v>
      </c>
      <c r="F50" s="3" t="s">
        <v>11</v>
      </c>
      <c r="G50" s="3"/>
    </row>
    <row r="51" spans="1:7" hidden="1" outlineLevel="2">
      <c r="A51" s="4" t="s">
        <v>11</v>
      </c>
      <c r="B51" s="4" t="s">
        <v>46</v>
      </c>
      <c r="C51" s="5" t="s">
        <v>47</v>
      </c>
      <c r="D51" s="8"/>
      <c r="E51" s="4" t="s">
        <v>225</v>
      </c>
      <c r="F51" s="4" t="s">
        <v>14</v>
      </c>
      <c r="G51" s="4" t="s">
        <v>226</v>
      </c>
    </row>
    <row r="52" spans="1:7" ht="30" hidden="1" outlineLevel="2">
      <c r="A52" s="4" t="s">
        <v>11</v>
      </c>
      <c r="B52" s="4" t="s">
        <v>82</v>
      </c>
      <c r="C52" s="5"/>
      <c r="D52" s="8"/>
      <c r="E52" s="4" t="s">
        <v>227</v>
      </c>
      <c r="F52" s="4" t="s">
        <v>14</v>
      </c>
      <c r="G52" s="4">
        <v>0.92</v>
      </c>
    </row>
    <row r="53" spans="1:7" ht="30" hidden="1" outlineLevel="2">
      <c r="A53" s="4" t="s">
        <v>11</v>
      </c>
      <c r="B53" s="4" t="s">
        <v>82</v>
      </c>
      <c r="C53" s="5"/>
      <c r="D53" s="8"/>
      <c r="E53" s="4" t="s">
        <v>228</v>
      </c>
      <c r="F53" s="4" t="s">
        <v>14</v>
      </c>
      <c r="G53" s="4">
        <v>2.2999999999999998</v>
      </c>
    </row>
    <row r="54" spans="1:7" ht="30" hidden="1" outlineLevel="2">
      <c r="A54" s="4" t="s">
        <v>11</v>
      </c>
      <c r="B54" s="4" t="s">
        <v>82</v>
      </c>
      <c r="C54" s="5"/>
      <c r="D54" s="8"/>
      <c r="E54" s="4" t="s">
        <v>328</v>
      </c>
      <c r="F54" s="4" t="s">
        <v>14</v>
      </c>
      <c r="G54" s="4">
        <v>1423149.0296307299</v>
      </c>
    </row>
    <row r="55" spans="1:7" ht="18" hidden="1" outlineLevel="2">
      <c r="A55" s="4" t="s">
        <v>14</v>
      </c>
      <c r="B55" s="4" t="s">
        <v>82</v>
      </c>
      <c r="C55" s="5"/>
      <c r="D55" s="8" t="s">
        <v>48</v>
      </c>
      <c r="E55" s="4" t="s">
        <v>329</v>
      </c>
      <c r="F55" s="4" t="s">
        <v>14</v>
      </c>
      <c r="G55" s="4">
        <f>G54*G52*G53</f>
        <v>3011383.3466986245</v>
      </c>
    </row>
    <row r="56" spans="1:7" ht="18" hidden="1" outlineLevel="1">
      <c r="A56" s="3" t="s">
        <v>14</v>
      </c>
      <c r="B56" s="3" t="s">
        <v>82</v>
      </c>
      <c r="C56" s="3"/>
      <c r="D56" s="3" t="s">
        <v>48</v>
      </c>
      <c r="E56" s="3" t="s">
        <v>330</v>
      </c>
      <c r="F56" s="3" t="s">
        <v>14</v>
      </c>
      <c r="G56" s="3">
        <f>SUM(G55)</f>
        <v>3011383.3466986245</v>
      </c>
    </row>
    <row r="57" spans="1:7" ht="30" hidden="1" outlineLevel="1">
      <c r="A57" s="3" t="s">
        <v>14</v>
      </c>
      <c r="B57" s="3" t="s">
        <v>82</v>
      </c>
      <c r="C57" s="3"/>
      <c r="D57" s="3" t="s">
        <v>48</v>
      </c>
      <c r="E57" s="3" t="s">
        <v>331</v>
      </c>
      <c r="F57" s="3" t="s">
        <v>14</v>
      </c>
      <c r="G57" s="3" t="e">
        <f>((G58*G56)/G59)/#REF!</f>
        <v>#REF!</v>
      </c>
    </row>
    <row r="58" spans="1:7" hidden="1" outlineLevel="1">
      <c r="A58" s="3" t="s">
        <v>11</v>
      </c>
      <c r="B58" s="3" t="s">
        <v>82</v>
      </c>
      <c r="C58" s="3"/>
      <c r="D58" s="3"/>
      <c r="E58" s="3" t="s">
        <v>96</v>
      </c>
      <c r="F58" s="3" t="s">
        <v>14</v>
      </c>
      <c r="G58" s="3">
        <v>28</v>
      </c>
    </row>
    <row r="59" spans="1:7" hidden="1" outlineLevel="1">
      <c r="A59" s="3" t="s">
        <v>14</v>
      </c>
      <c r="B59" s="3" t="s">
        <v>82</v>
      </c>
      <c r="C59" s="3"/>
      <c r="D59" s="3" t="s">
        <v>48</v>
      </c>
      <c r="E59" s="3" t="s">
        <v>220</v>
      </c>
      <c r="F59" s="3" t="s">
        <v>14</v>
      </c>
      <c r="G59" s="3">
        <f>10^6</f>
        <v>1000000</v>
      </c>
    </row>
    <row r="60" spans="1:7" collapsed="1">
      <c r="A60" s="3" t="s">
        <v>14</v>
      </c>
      <c r="B60" s="9" t="s">
        <v>332</v>
      </c>
      <c r="C60" s="3"/>
      <c r="D60" s="3"/>
      <c r="E60" s="3" t="s">
        <v>333</v>
      </c>
      <c r="F60" s="3" t="s">
        <v>14</v>
      </c>
      <c r="G60" s="3"/>
    </row>
    <row r="61" spans="1:7" hidden="1" outlineLevel="1">
      <c r="A61" s="3" t="s">
        <v>14</v>
      </c>
      <c r="B61" s="10" t="s">
        <v>334</v>
      </c>
      <c r="C61" s="3"/>
      <c r="D61" s="3"/>
      <c r="E61" s="3" t="s">
        <v>335</v>
      </c>
      <c r="F61" s="3" t="s">
        <v>11</v>
      </c>
      <c r="G61" s="3"/>
    </row>
    <row r="62" spans="1:7" hidden="1" outlineLevel="2">
      <c r="A62" s="4" t="s">
        <v>11</v>
      </c>
      <c r="B62" s="4" t="s">
        <v>46</v>
      </c>
      <c r="C62" s="5"/>
      <c r="D62" s="8"/>
      <c r="E62" s="4" t="s">
        <v>237</v>
      </c>
      <c r="F62" s="4" t="s">
        <v>14</v>
      </c>
      <c r="G62" s="4" t="s">
        <v>238</v>
      </c>
    </row>
    <row r="63" spans="1:7" ht="30" hidden="1" outlineLevel="2">
      <c r="A63" s="4" t="s">
        <v>11</v>
      </c>
      <c r="B63" s="4" t="s">
        <v>46</v>
      </c>
      <c r="C63" s="5" t="s">
        <v>47</v>
      </c>
      <c r="D63" s="8"/>
      <c r="E63" s="4" t="s">
        <v>336</v>
      </c>
      <c r="F63" s="4" t="s">
        <v>14</v>
      </c>
      <c r="G63" s="4">
        <v>314.03539242142602</v>
      </c>
    </row>
    <row r="64" spans="1:7" hidden="1" outlineLevel="2">
      <c r="A64" s="4" t="s">
        <v>11</v>
      </c>
      <c r="B64" s="4" t="s">
        <v>82</v>
      </c>
      <c r="C64" s="5"/>
      <c r="D64" s="8"/>
      <c r="E64" s="4" t="s">
        <v>240</v>
      </c>
      <c r="F64" s="4" t="s">
        <v>14</v>
      </c>
      <c r="G64" s="4">
        <v>0.82</v>
      </c>
    </row>
    <row r="65" spans="1:7" ht="30" hidden="1" outlineLevel="1">
      <c r="A65" s="3" t="s">
        <v>14</v>
      </c>
      <c r="B65" s="3" t="s">
        <v>82</v>
      </c>
      <c r="C65" s="3"/>
      <c r="D65" s="3" t="s">
        <v>48</v>
      </c>
      <c r="E65" s="3" t="s">
        <v>337</v>
      </c>
      <c r="F65" s="3" t="s">
        <v>14</v>
      </c>
      <c r="G65" s="3">
        <f>SUM(G63*G64)</f>
        <v>257.5090217855693</v>
      </c>
    </row>
    <row r="66" spans="1:7" hidden="1" outlineLevel="1">
      <c r="A66" s="3" t="s">
        <v>11</v>
      </c>
      <c r="B66" s="10" t="s">
        <v>338</v>
      </c>
      <c r="C66" s="3"/>
      <c r="D66" s="3"/>
      <c r="E66" s="3" t="s">
        <v>339</v>
      </c>
      <c r="F66" s="3" t="s">
        <v>11</v>
      </c>
      <c r="G66" s="3"/>
    </row>
    <row r="67" spans="1:7" hidden="1" outlineLevel="2">
      <c r="A67" s="4" t="s">
        <v>11</v>
      </c>
      <c r="B67" s="4" t="s">
        <v>46</v>
      </c>
      <c r="C67" s="5"/>
      <c r="D67" s="8"/>
      <c r="E67" s="4" t="s">
        <v>244</v>
      </c>
      <c r="F67" s="4" t="s">
        <v>14</v>
      </c>
      <c r="G67" s="4" t="s">
        <v>245</v>
      </c>
    </row>
    <row r="68" spans="1:7" ht="30" hidden="1" outlineLevel="2">
      <c r="A68" s="4" t="s">
        <v>11</v>
      </c>
      <c r="B68" s="4" t="s">
        <v>82</v>
      </c>
      <c r="C68" s="5"/>
      <c r="D68" s="8"/>
      <c r="E68" s="4" t="s">
        <v>340</v>
      </c>
      <c r="F68" s="4" t="s">
        <v>14</v>
      </c>
      <c r="G68" s="4">
        <v>483.31272857651902</v>
      </c>
    </row>
    <row r="69" spans="1:7" hidden="1" outlineLevel="2">
      <c r="A69" s="4" t="s">
        <v>11</v>
      </c>
      <c r="B69" s="4" t="s">
        <v>82</v>
      </c>
      <c r="C69" s="5"/>
      <c r="D69" s="8"/>
      <c r="E69" s="4" t="s">
        <v>247</v>
      </c>
      <c r="F69" s="4" t="s">
        <v>14</v>
      </c>
      <c r="G69" s="4">
        <v>6.6600000000000006E-2</v>
      </c>
    </row>
    <row r="70" spans="1:7" ht="30" hidden="1" outlineLevel="1">
      <c r="A70" s="3" t="s">
        <v>14</v>
      </c>
      <c r="B70" s="3" t="s">
        <v>82</v>
      </c>
      <c r="C70" s="3"/>
      <c r="D70" s="3" t="s">
        <v>48</v>
      </c>
      <c r="E70" s="3" t="s">
        <v>341</v>
      </c>
      <c r="F70" s="3" t="s">
        <v>14</v>
      </c>
      <c r="G70" s="3">
        <f>SUM(G68*G69)</f>
        <v>32.18862772319617</v>
      </c>
    </row>
    <row r="71" spans="1:7" ht="30" hidden="1" outlineLevel="1">
      <c r="A71" s="3" t="s">
        <v>11</v>
      </c>
      <c r="B71" s="3" t="s">
        <v>82</v>
      </c>
      <c r="C71" s="3"/>
      <c r="D71" s="3"/>
      <c r="E71" s="3" t="s">
        <v>249</v>
      </c>
      <c r="F71" s="3" t="s">
        <v>14</v>
      </c>
      <c r="G71" s="3">
        <v>0.01</v>
      </c>
    </row>
    <row r="72" spans="1:7" ht="30" hidden="1" outlineLevel="1">
      <c r="A72" s="3" t="s">
        <v>14</v>
      </c>
      <c r="B72" s="3" t="s">
        <v>82</v>
      </c>
      <c r="C72" s="3"/>
      <c r="D72" s="3" t="s">
        <v>48</v>
      </c>
      <c r="E72" s="3" t="s">
        <v>342</v>
      </c>
      <c r="F72" s="3" t="s">
        <v>14</v>
      </c>
      <c r="G72" s="3" t="e">
        <f>((G65+G70)*G71*44/28*G82)/#REF!</f>
        <v>#REF!</v>
      </c>
    </row>
    <row r="73" spans="1:7" ht="30" hidden="1" outlineLevel="1">
      <c r="A73" s="3" t="s">
        <v>11</v>
      </c>
      <c r="B73" s="3" t="s">
        <v>82</v>
      </c>
      <c r="C73" s="3"/>
      <c r="D73" s="3"/>
      <c r="E73" s="3" t="s">
        <v>251</v>
      </c>
      <c r="F73" s="3" t="s">
        <v>14</v>
      </c>
      <c r="G73" s="3">
        <v>0.11</v>
      </c>
    </row>
    <row r="74" spans="1:7" ht="30" hidden="1" outlineLevel="1">
      <c r="A74" s="3" t="s">
        <v>11</v>
      </c>
      <c r="B74" s="3" t="s">
        <v>82</v>
      </c>
      <c r="C74" s="3"/>
      <c r="D74" s="3"/>
      <c r="E74" s="3" t="s">
        <v>252</v>
      </c>
      <c r="F74" s="3" t="s">
        <v>14</v>
      </c>
      <c r="G74" s="3">
        <v>0.21</v>
      </c>
    </row>
    <row r="75" spans="1:7" ht="30" hidden="1" outlineLevel="1">
      <c r="A75" s="3" t="s">
        <v>11</v>
      </c>
      <c r="B75" s="3" t="s">
        <v>82</v>
      </c>
      <c r="C75" s="3"/>
      <c r="D75" s="3"/>
      <c r="E75" s="3" t="s">
        <v>253</v>
      </c>
      <c r="F75" s="3" t="s">
        <v>14</v>
      </c>
      <c r="G75" s="3">
        <v>0.01</v>
      </c>
    </row>
    <row r="76" spans="1:7" ht="45" hidden="1" outlineLevel="1">
      <c r="A76" s="3" t="s">
        <v>14</v>
      </c>
      <c r="B76" s="3" t="s">
        <v>82</v>
      </c>
      <c r="C76" s="3"/>
      <c r="D76" s="3" t="s">
        <v>48</v>
      </c>
      <c r="E76" s="3" t="s">
        <v>343</v>
      </c>
      <c r="F76" s="3" t="s">
        <v>14</v>
      </c>
      <c r="G76" s="3">
        <f>((G65*G73)+(G70*G74))*G75*(44/28)*G82</f>
        <v>146.10648042328191</v>
      </c>
    </row>
    <row r="77" spans="1:7" ht="45" hidden="1" outlineLevel="1">
      <c r="A77" s="3" t="s">
        <v>11</v>
      </c>
      <c r="B77" s="3" t="s">
        <v>82</v>
      </c>
      <c r="C77" s="3"/>
      <c r="D77" s="3"/>
      <c r="E77" s="3" t="s">
        <v>255</v>
      </c>
      <c r="F77" s="3" t="s">
        <v>14</v>
      </c>
      <c r="G77" s="3">
        <v>0.24</v>
      </c>
    </row>
    <row r="78" spans="1:7" ht="30" hidden="1" outlineLevel="1">
      <c r="A78" s="3" t="s">
        <v>11</v>
      </c>
      <c r="B78" s="3" t="s">
        <v>82</v>
      </c>
      <c r="C78" s="3"/>
      <c r="D78" s="3"/>
      <c r="E78" s="3" t="s">
        <v>256</v>
      </c>
      <c r="F78" s="3" t="s">
        <v>14</v>
      </c>
      <c r="G78" s="3">
        <v>1.0999999999999999E-2</v>
      </c>
    </row>
    <row r="79" spans="1:7" ht="45" hidden="1" outlineLevel="1">
      <c r="A79" s="3" t="s">
        <v>14</v>
      </c>
      <c r="B79" s="3" t="s">
        <v>82</v>
      </c>
      <c r="C79" s="3"/>
      <c r="D79" s="3" t="s">
        <v>48</v>
      </c>
      <c r="E79" s="3" t="s">
        <v>344</v>
      </c>
      <c r="F79" s="3" t="s">
        <v>14</v>
      </c>
      <c r="G79" s="3">
        <f>(G65+G70)*G77*G78*(44/28)*G82</f>
        <v>318.48531879423649</v>
      </c>
    </row>
    <row r="80" spans="1:7" ht="30" hidden="1" outlineLevel="1">
      <c r="A80" s="3" t="s">
        <v>14</v>
      </c>
      <c r="B80" s="3" t="s">
        <v>82</v>
      </c>
      <c r="C80" s="3"/>
      <c r="D80" s="3" t="s">
        <v>48</v>
      </c>
      <c r="E80" s="3" t="s">
        <v>345</v>
      </c>
      <c r="F80" s="3" t="s">
        <v>14</v>
      </c>
      <c r="G80" s="3" t="e">
        <f>(G76+G79)/#REF!</f>
        <v>#REF!</v>
      </c>
    </row>
    <row r="81" spans="1:7" ht="30" hidden="1" outlineLevel="1">
      <c r="A81" s="3" t="s">
        <v>14</v>
      </c>
      <c r="B81" s="3" t="s">
        <v>82</v>
      </c>
      <c r="C81" s="3"/>
      <c r="D81" s="3" t="s">
        <v>48</v>
      </c>
      <c r="E81" s="3" t="s">
        <v>346</v>
      </c>
      <c r="F81" s="3" t="s">
        <v>14</v>
      </c>
      <c r="G81" s="3" t="e">
        <f>G72+G80</f>
        <v>#REF!</v>
      </c>
    </row>
    <row r="82" spans="1:7" hidden="1" outlineLevel="1">
      <c r="A82" s="3" t="s">
        <v>11</v>
      </c>
      <c r="B82" s="3" t="s">
        <v>82</v>
      </c>
      <c r="C82" s="3"/>
      <c r="D82" s="3"/>
      <c r="E82" s="3" t="s">
        <v>114</v>
      </c>
      <c r="F82" s="3" t="s">
        <v>14</v>
      </c>
      <c r="G82" s="3">
        <v>265</v>
      </c>
    </row>
    <row r="83" spans="1:7" collapsed="1">
      <c r="A83" s="3" t="s">
        <v>14</v>
      </c>
      <c r="B83" s="9" t="s">
        <v>347</v>
      </c>
      <c r="C83" s="3"/>
      <c r="D83" s="3"/>
      <c r="E83" s="3" t="s">
        <v>348</v>
      </c>
      <c r="F83" s="3" t="s">
        <v>14</v>
      </c>
      <c r="G83" s="3"/>
    </row>
    <row r="84" spans="1:7" hidden="1" outlineLevel="1">
      <c r="A84" s="3" t="s">
        <v>11</v>
      </c>
      <c r="B84" s="10" t="s">
        <v>349</v>
      </c>
      <c r="C84" s="3"/>
      <c r="D84" s="3"/>
      <c r="E84" s="3" t="s">
        <v>350</v>
      </c>
      <c r="F84" s="3" t="s">
        <v>11</v>
      </c>
      <c r="G84" s="3"/>
    </row>
    <row r="85" spans="1:7" hidden="1" outlineLevel="2">
      <c r="A85" s="4" t="s">
        <v>11</v>
      </c>
      <c r="B85" s="4" t="s">
        <v>46</v>
      </c>
      <c r="C85" s="5"/>
      <c r="D85" s="8"/>
      <c r="E85" s="4" t="s">
        <v>264</v>
      </c>
      <c r="F85" s="4" t="s">
        <v>14</v>
      </c>
      <c r="G85" s="4" t="s">
        <v>198</v>
      </c>
    </row>
    <row r="86" spans="1:7" ht="30" hidden="1" outlineLevel="2">
      <c r="A86" s="4" t="s">
        <v>11</v>
      </c>
      <c r="B86" s="4" t="s">
        <v>82</v>
      </c>
      <c r="C86" s="5"/>
      <c r="D86" s="8"/>
      <c r="E86" s="4" t="s">
        <v>315</v>
      </c>
      <c r="F86" s="4" t="s">
        <v>14</v>
      </c>
      <c r="G86" s="4">
        <v>160</v>
      </c>
    </row>
    <row r="87" spans="1:7" hidden="1" outlineLevel="2">
      <c r="A87" s="4" t="s">
        <v>11</v>
      </c>
      <c r="B87" s="4" t="s">
        <v>46</v>
      </c>
      <c r="C87" s="5" t="s">
        <v>47</v>
      </c>
      <c r="D87" s="8"/>
      <c r="E87" s="4" t="s">
        <v>199</v>
      </c>
      <c r="F87" s="4" t="s">
        <v>14</v>
      </c>
      <c r="G87" s="4" t="s">
        <v>200</v>
      </c>
    </row>
    <row r="88" spans="1:7" hidden="1" outlineLevel="2">
      <c r="A88" s="4" t="s">
        <v>11</v>
      </c>
      <c r="B88" s="4" t="s">
        <v>46</v>
      </c>
      <c r="C88" s="5"/>
      <c r="D88" s="8"/>
      <c r="E88" s="4" t="s">
        <v>265</v>
      </c>
      <c r="F88" s="4" t="s">
        <v>14</v>
      </c>
      <c r="G88" s="4" t="s">
        <v>266</v>
      </c>
    </row>
    <row r="89" spans="1:7" ht="45" hidden="1" outlineLevel="2">
      <c r="A89" s="4" t="s">
        <v>14</v>
      </c>
      <c r="B89" s="4" t="s">
        <v>82</v>
      </c>
      <c r="C89" s="5"/>
      <c r="D89" s="8"/>
      <c r="E89" s="4" t="s">
        <v>267</v>
      </c>
      <c r="F89" s="4" t="s">
        <v>14</v>
      </c>
      <c r="G89" s="4">
        <v>1</v>
      </c>
    </row>
    <row r="90" spans="1:7" ht="30" hidden="1" outlineLevel="2">
      <c r="A90" s="4" t="s">
        <v>11</v>
      </c>
      <c r="B90" s="4"/>
      <c r="C90" s="5"/>
      <c r="D90" s="8"/>
      <c r="E90" s="4" t="s">
        <v>268</v>
      </c>
      <c r="F90" s="4" t="s">
        <v>11</v>
      </c>
      <c r="G90" s="4">
        <v>3.504</v>
      </c>
    </row>
    <row r="91" spans="1:7" ht="30" hidden="1" outlineLevel="2">
      <c r="A91" s="4" t="s">
        <v>11</v>
      </c>
      <c r="B91" s="4" t="s">
        <v>82</v>
      </c>
      <c r="C91" s="5"/>
      <c r="D91" s="8"/>
      <c r="E91" s="4" t="s">
        <v>269</v>
      </c>
      <c r="F91" s="4" t="s">
        <v>14</v>
      </c>
      <c r="G91" s="4">
        <v>3.0000000000000001E-3</v>
      </c>
    </row>
    <row r="92" spans="1:7" ht="30" hidden="1" outlineLevel="2">
      <c r="A92" s="4" t="s">
        <v>11</v>
      </c>
      <c r="B92" s="4" t="s">
        <v>82</v>
      </c>
      <c r="C92" s="5"/>
      <c r="D92" s="8"/>
      <c r="E92" s="4" t="s">
        <v>351</v>
      </c>
      <c r="F92" s="4" t="s">
        <v>14</v>
      </c>
      <c r="G92" s="4">
        <v>1</v>
      </c>
    </row>
    <row r="93" spans="1:7" ht="30" hidden="1" outlineLevel="2">
      <c r="A93" s="4" t="s">
        <v>14</v>
      </c>
      <c r="B93" s="4" t="s">
        <v>82</v>
      </c>
      <c r="C93" s="5"/>
      <c r="D93" s="8" t="s">
        <v>48</v>
      </c>
      <c r="E93" s="4" t="s">
        <v>271</v>
      </c>
      <c r="F93" s="4" t="s">
        <v>14</v>
      </c>
      <c r="G93" s="4">
        <f>(G86*G90)*G89*G92/1000</f>
        <v>0.56064000000000003</v>
      </c>
    </row>
    <row r="94" spans="1:7" ht="45" hidden="1" outlineLevel="2">
      <c r="A94" s="4"/>
      <c r="B94" s="4" t="s">
        <v>82</v>
      </c>
      <c r="C94" s="5"/>
      <c r="D94" s="8"/>
      <c r="E94" s="4" t="s">
        <v>255</v>
      </c>
      <c r="F94" s="4" t="s">
        <v>14</v>
      </c>
      <c r="G94" s="4">
        <v>0.24</v>
      </c>
    </row>
    <row r="95" spans="1:7" ht="30" hidden="1" outlineLevel="2">
      <c r="A95" s="4" t="s">
        <v>11</v>
      </c>
      <c r="B95" s="4" t="s">
        <v>82</v>
      </c>
      <c r="C95" s="5"/>
      <c r="D95" s="8"/>
      <c r="E95" s="4" t="s">
        <v>252</v>
      </c>
      <c r="F95" s="4" t="s">
        <v>14</v>
      </c>
      <c r="G95" s="4">
        <v>0.21</v>
      </c>
    </row>
    <row r="96" spans="1:7" ht="45" hidden="1" outlineLevel="1">
      <c r="A96" s="3" t="s">
        <v>14</v>
      </c>
      <c r="B96" s="3" t="s">
        <v>82</v>
      </c>
      <c r="C96" s="3"/>
      <c r="D96" s="3" t="s">
        <v>48</v>
      </c>
      <c r="E96" s="3" t="s">
        <v>352</v>
      </c>
      <c r="F96" s="3" t="s">
        <v>14</v>
      </c>
      <c r="G96" s="3" t="e">
        <f>SUM(G93*G91*(44/28)*G103)/#REF!</f>
        <v>#REF!</v>
      </c>
    </row>
    <row r="97" spans="1:7" ht="30" hidden="1" outlineLevel="1">
      <c r="A97" s="3" t="s">
        <v>11</v>
      </c>
      <c r="B97" s="3" t="s">
        <v>82</v>
      </c>
      <c r="C97" s="3"/>
      <c r="D97" s="3"/>
      <c r="E97" s="3" t="s">
        <v>253</v>
      </c>
      <c r="F97" s="3" t="s">
        <v>14</v>
      </c>
      <c r="G97" s="3">
        <v>0.01</v>
      </c>
    </row>
    <row r="98" spans="1:7" ht="30" hidden="1" outlineLevel="1">
      <c r="A98" s="3" t="s">
        <v>11</v>
      </c>
      <c r="B98" s="3" t="s">
        <v>82</v>
      </c>
      <c r="C98" s="3"/>
      <c r="D98" s="3"/>
      <c r="E98" s="3" t="s">
        <v>256</v>
      </c>
      <c r="F98" s="3" t="s">
        <v>14</v>
      </c>
      <c r="G98" s="3">
        <v>1.0999999999999999E-2</v>
      </c>
    </row>
    <row r="99" spans="1:7" ht="75" hidden="1" outlineLevel="1">
      <c r="A99" s="3" t="s">
        <v>14</v>
      </c>
      <c r="B99" s="3" t="s">
        <v>82</v>
      </c>
      <c r="C99" s="3"/>
      <c r="D99" s="3" t="s">
        <v>48</v>
      </c>
      <c r="E99" s="3" t="s">
        <v>272</v>
      </c>
      <c r="F99" s="3" t="s">
        <v>14</v>
      </c>
      <c r="G99" s="3">
        <f>G93*G94*G98*(44/28)*G103</f>
        <v>0.6163515977142856</v>
      </c>
    </row>
    <row r="100" spans="1:7" ht="45" hidden="1" outlineLevel="1">
      <c r="A100" s="3" t="s">
        <v>14</v>
      </c>
      <c r="B100" s="3" t="s">
        <v>82</v>
      </c>
      <c r="C100" s="3"/>
      <c r="D100" s="3" t="s">
        <v>48</v>
      </c>
      <c r="E100" s="3" t="s">
        <v>273</v>
      </c>
      <c r="F100" s="3" t="s">
        <v>14</v>
      </c>
      <c r="G100" s="3">
        <f>G93*G95*G97*(44/28)*G103</f>
        <v>0.49027968000000005</v>
      </c>
    </row>
    <row r="101" spans="1:7" ht="30" hidden="1" outlineLevel="1">
      <c r="A101" s="3" t="s">
        <v>14</v>
      </c>
      <c r="B101" s="3" t="s">
        <v>82</v>
      </c>
      <c r="C101" s="3"/>
      <c r="D101" s="3" t="s">
        <v>48</v>
      </c>
      <c r="E101" s="3" t="s">
        <v>353</v>
      </c>
      <c r="F101" s="3" t="s">
        <v>14</v>
      </c>
      <c r="G101" s="3" t="e">
        <f>(G99+G100)/#REF!</f>
        <v>#REF!</v>
      </c>
    </row>
    <row r="102" spans="1:7" ht="30" hidden="1" outlineLevel="1">
      <c r="A102" s="3" t="s">
        <v>14</v>
      </c>
      <c r="B102" s="3" t="s">
        <v>82</v>
      </c>
      <c r="C102" s="3"/>
      <c r="D102" s="3" t="s">
        <v>48</v>
      </c>
      <c r="E102" s="3" t="s">
        <v>354</v>
      </c>
      <c r="F102" s="3" t="s">
        <v>14</v>
      </c>
      <c r="G102" s="3" t="e">
        <f>G96+G101</f>
        <v>#REF!</v>
      </c>
    </row>
    <row r="103" spans="1:7" hidden="1" outlineLevel="1">
      <c r="A103" s="3" t="s">
        <v>11</v>
      </c>
      <c r="B103" s="3" t="s">
        <v>82</v>
      </c>
      <c r="C103" s="3"/>
      <c r="D103" s="3"/>
      <c r="E103" s="3" t="s">
        <v>114</v>
      </c>
      <c r="F103" s="3" t="s">
        <v>14</v>
      </c>
      <c r="G103" s="3">
        <v>265</v>
      </c>
    </row>
    <row r="104" spans="1:7" collapsed="1">
      <c r="A104" s="3" t="s">
        <v>14</v>
      </c>
      <c r="B104" s="9" t="s">
        <v>355</v>
      </c>
      <c r="C104" s="3"/>
      <c r="D104" s="3"/>
      <c r="E104" s="3" t="s">
        <v>356</v>
      </c>
      <c r="F104" s="3" t="s">
        <v>14</v>
      </c>
      <c r="G104" s="3"/>
    </row>
    <row r="105" spans="1:7" hidden="1" outlineLevel="1">
      <c r="A105" s="3" t="s">
        <v>11</v>
      </c>
      <c r="B105" s="10" t="s">
        <v>357</v>
      </c>
      <c r="C105" s="3"/>
      <c r="D105" s="3"/>
      <c r="E105" s="3" t="s">
        <v>280</v>
      </c>
      <c r="F105" s="3" t="s">
        <v>11</v>
      </c>
      <c r="G105" s="3"/>
    </row>
    <row r="106" spans="1:7" hidden="1" outlineLevel="2">
      <c r="A106" s="4" t="s">
        <v>11</v>
      </c>
      <c r="B106" s="4" t="s">
        <v>46</v>
      </c>
      <c r="C106" s="5"/>
      <c r="D106" s="8"/>
      <c r="E106" s="4" t="s">
        <v>281</v>
      </c>
      <c r="F106" s="4" t="s">
        <v>14</v>
      </c>
      <c r="G106" s="4" t="s">
        <v>282</v>
      </c>
    </row>
    <row r="107" spans="1:7" ht="30" hidden="1" outlineLevel="2">
      <c r="A107" s="4" t="s">
        <v>11</v>
      </c>
      <c r="B107" s="4" t="s">
        <v>82</v>
      </c>
      <c r="C107" s="5"/>
      <c r="D107" s="8"/>
      <c r="E107" s="4" t="s">
        <v>283</v>
      </c>
      <c r="F107" s="4" t="s">
        <v>14</v>
      </c>
      <c r="G107" s="4">
        <v>10000</v>
      </c>
    </row>
    <row r="108" spans="1:7" hidden="1" outlineLevel="2">
      <c r="A108" s="4" t="s">
        <v>11</v>
      </c>
      <c r="B108" s="4" t="s">
        <v>82</v>
      </c>
      <c r="C108" s="5" t="s">
        <v>47</v>
      </c>
      <c r="D108" s="8"/>
      <c r="E108" s="4" t="s">
        <v>284</v>
      </c>
      <c r="F108" s="4" t="s">
        <v>14</v>
      </c>
      <c r="G108" s="4">
        <v>8.0000000000000002E-3</v>
      </c>
    </row>
    <row r="109" spans="1:7" hidden="1" outlineLevel="1">
      <c r="A109" s="3" t="s">
        <v>11</v>
      </c>
      <c r="B109" s="3" t="s">
        <v>82</v>
      </c>
      <c r="C109" s="3"/>
      <c r="D109" s="3"/>
      <c r="E109" s="3" t="s">
        <v>240</v>
      </c>
      <c r="F109" s="3" t="s">
        <v>14</v>
      </c>
      <c r="G109" s="3">
        <v>0.01</v>
      </c>
    </row>
    <row r="110" spans="1:7" ht="30" hidden="1" outlineLevel="1">
      <c r="A110" s="3" t="s">
        <v>14</v>
      </c>
      <c r="B110" s="3" t="s">
        <v>82</v>
      </c>
      <c r="C110" s="3"/>
      <c r="D110" s="3" t="s">
        <v>48</v>
      </c>
      <c r="E110" s="3" t="s">
        <v>359</v>
      </c>
      <c r="F110" s="3" t="s">
        <v>14</v>
      </c>
      <c r="G110" s="3">
        <f>SUM(G107*G108)</f>
        <v>80</v>
      </c>
    </row>
    <row r="111" spans="1:7" ht="45" hidden="1" outlineLevel="1">
      <c r="A111" s="3" t="s">
        <v>11</v>
      </c>
      <c r="B111" s="10"/>
      <c r="C111" s="3"/>
      <c r="D111" s="3" t="s">
        <v>48</v>
      </c>
      <c r="E111" s="3" t="s">
        <v>360</v>
      </c>
      <c r="F111" s="3" t="s">
        <v>11</v>
      </c>
      <c r="G111" s="3" t="e">
        <f>(G110*G109*(44/28)*G112)/#REF!</f>
        <v>#REF!</v>
      </c>
    </row>
    <row r="112" spans="1:7" hidden="1" outlineLevel="1">
      <c r="A112" s="3" t="s">
        <v>11</v>
      </c>
      <c r="B112" s="3" t="s">
        <v>82</v>
      </c>
      <c r="C112" s="3"/>
      <c r="D112" s="3"/>
      <c r="E112" s="3" t="s">
        <v>114</v>
      </c>
      <c r="F112" s="3" t="s">
        <v>14</v>
      </c>
      <c r="G112" s="3">
        <v>265</v>
      </c>
    </row>
    <row r="113" spans="1:7" collapsed="1">
      <c r="A113" s="3" t="s">
        <v>14</v>
      </c>
      <c r="B113" s="9" t="s">
        <v>361</v>
      </c>
      <c r="C113" s="3"/>
      <c r="D113" s="3"/>
      <c r="E113" s="3" t="s">
        <v>362</v>
      </c>
      <c r="F113" s="3" t="s">
        <v>14</v>
      </c>
      <c r="G113" s="3"/>
    </row>
    <row r="114" spans="1:7" hidden="1" outlineLevel="3">
      <c r="A114" s="3" t="s">
        <v>11</v>
      </c>
      <c r="B114" s="10" t="s">
        <v>363</v>
      </c>
      <c r="C114" s="3"/>
      <c r="D114" s="3"/>
      <c r="E114" s="3" t="s">
        <v>364</v>
      </c>
      <c r="F114" s="3" t="s">
        <v>11</v>
      </c>
      <c r="G114" s="3"/>
    </row>
    <row r="115" spans="1:7" hidden="1" outlineLevel="4">
      <c r="A115" s="4" t="s">
        <v>11</v>
      </c>
      <c r="B115" s="4" t="s">
        <v>46</v>
      </c>
      <c r="C115" s="5" t="s">
        <v>47</v>
      </c>
      <c r="D115" s="8"/>
      <c r="E115" s="4" t="s">
        <v>225</v>
      </c>
      <c r="F115" s="4" t="s">
        <v>14</v>
      </c>
      <c r="G115" s="4" t="s">
        <v>226</v>
      </c>
    </row>
    <row r="116" spans="1:7" ht="30" hidden="1" outlineLevel="4">
      <c r="A116" s="4" t="s">
        <v>11</v>
      </c>
      <c r="B116" s="4" t="s">
        <v>82</v>
      </c>
      <c r="C116" s="5"/>
      <c r="D116" s="8"/>
      <c r="E116" s="4" t="s">
        <v>227</v>
      </c>
      <c r="F116" s="4" t="s">
        <v>14</v>
      </c>
      <c r="G116" s="4">
        <v>0.92</v>
      </c>
    </row>
    <row r="117" spans="1:7" ht="30" hidden="1" outlineLevel="4">
      <c r="A117" s="4" t="s">
        <v>11</v>
      </c>
      <c r="B117" s="4" t="s">
        <v>82</v>
      </c>
      <c r="C117" s="5"/>
      <c r="D117" s="8"/>
      <c r="E117" s="4" t="s">
        <v>291</v>
      </c>
      <c r="F117" s="4" t="s">
        <v>14</v>
      </c>
      <c r="G117" s="4">
        <v>0.21</v>
      </c>
    </row>
    <row r="118" spans="1:7" ht="30" hidden="1" outlineLevel="4">
      <c r="A118" s="4" t="s">
        <v>11</v>
      </c>
      <c r="B118" s="4" t="s">
        <v>82</v>
      </c>
      <c r="C118" s="5"/>
      <c r="D118" s="8"/>
      <c r="E118" s="4" t="s">
        <v>328</v>
      </c>
      <c r="F118" s="4" t="s">
        <v>14</v>
      </c>
      <c r="G118" s="4">
        <v>1281290.3410132199</v>
      </c>
    </row>
    <row r="119" spans="1:7" ht="18" hidden="1" outlineLevel="4">
      <c r="A119" s="4" t="s">
        <v>14</v>
      </c>
      <c r="B119" s="4" t="s">
        <v>82</v>
      </c>
      <c r="C119" s="5"/>
      <c r="D119" s="8" t="s">
        <v>48</v>
      </c>
      <c r="E119" s="4" t="s">
        <v>365</v>
      </c>
      <c r="F119" s="4" t="s">
        <v>14</v>
      </c>
      <c r="G119" s="4">
        <f>G118*G116*G117</f>
        <v>247545.29388375409</v>
      </c>
    </row>
    <row r="120" spans="1:7" ht="18" hidden="1" outlineLevel="3">
      <c r="A120" s="3" t="s">
        <v>11</v>
      </c>
      <c r="B120" s="3" t="s">
        <v>82</v>
      </c>
      <c r="C120" s="3"/>
      <c r="D120" s="3"/>
      <c r="E120" s="3" t="s">
        <v>366</v>
      </c>
      <c r="F120" s="3" t="s">
        <v>14</v>
      </c>
      <c r="G120" s="3">
        <f>SUM(G119)</f>
        <v>247545.29388375409</v>
      </c>
    </row>
    <row r="121" spans="1:7" ht="30" hidden="1" outlineLevel="3">
      <c r="A121" s="3" t="s">
        <v>14</v>
      </c>
      <c r="B121" s="3" t="s">
        <v>82</v>
      </c>
      <c r="C121" s="3"/>
      <c r="D121" s="3" t="s">
        <v>48</v>
      </c>
      <c r="E121" s="3" t="s">
        <v>367</v>
      </c>
      <c r="F121" s="3" t="s">
        <v>14</v>
      </c>
      <c r="G121" s="3" t="e">
        <f>((G122*G120)/G123)/#REF!</f>
        <v>#REF!</v>
      </c>
    </row>
    <row r="122" spans="1:7" hidden="1" outlineLevel="3">
      <c r="A122" s="3" t="s">
        <v>11</v>
      </c>
      <c r="B122" s="3" t="s">
        <v>82</v>
      </c>
      <c r="C122" s="3"/>
      <c r="D122" s="3"/>
      <c r="E122" s="3" t="s">
        <v>114</v>
      </c>
      <c r="F122" s="3" t="s">
        <v>14</v>
      </c>
      <c r="G122" s="3">
        <v>265</v>
      </c>
    </row>
    <row r="123" spans="1:7" hidden="1" outlineLevel="3">
      <c r="A123" s="3" t="s">
        <v>14</v>
      </c>
      <c r="B123" s="3" t="s">
        <v>82</v>
      </c>
      <c r="C123" s="3"/>
      <c r="D123" s="3" t="s">
        <v>48</v>
      </c>
      <c r="E123" s="3" t="s">
        <v>220</v>
      </c>
      <c r="F123" s="3" t="s">
        <v>14</v>
      </c>
      <c r="G123" s="3">
        <f>10^6</f>
        <v>1000000</v>
      </c>
    </row>
    <row r="124" spans="1:7">
      <c r="A124" s="3" t="s">
        <v>14</v>
      </c>
      <c r="B124" s="9" t="s">
        <v>368</v>
      </c>
      <c r="C124" s="3"/>
      <c r="D124" s="3"/>
      <c r="E124" s="3" t="s">
        <v>369</v>
      </c>
      <c r="F124" s="3" t="s">
        <v>14</v>
      </c>
      <c r="G124" s="3"/>
    </row>
    <row r="125" spans="1:7" ht="30" outlineLevel="1">
      <c r="A125" s="3" t="s">
        <v>14</v>
      </c>
      <c r="B125" s="3" t="s">
        <v>82</v>
      </c>
      <c r="C125" s="3"/>
      <c r="D125" s="3" t="s">
        <v>48</v>
      </c>
      <c r="E125" s="3" t="s">
        <v>370</v>
      </c>
      <c r="F125" s="3" t="s">
        <v>14</v>
      </c>
      <c r="G125" s="11" t="e">
        <f>G81+G102+G111</f>
        <v>#REF!</v>
      </c>
    </row>
  </sheetData>
  <mergeCells count="3">
    <mergeCell ref="A1:G1"/>
    <mergeCell ref="B2:G2"/>
    <mergeCell ref="B3:G3"/>
  </mergeCells>
  <dataValidations count="2">
    <dataValidation type="list" allowBlank="1" showInputMessage="1" showErrorMessage="1" sqref="F23:F31 A22:A31 F34:F48 A33:A48 A62:A81 F62:F65 F67:F81 F51:F59 A50:A59 A84:A89 F85:F89 A105:A110 F106:F110 F115:F124 A6:A20 F6:F12 F14:F20 A114:A124" xr:uid="{9D40AE4A-D9FF-4879-B0DC-7865811E49D5}">
      <formula1>"Yes,No"</formula1>
    </dataValidation>
    <dataValidation type="list" allowBlank="1" showInputMessage="1" showErrorMessage="1" sqref="B3:G3" xr:uid="{9EF839D7-FAC9-4FC0-B6D7-90B3C86F75ED}">
      <formula1>"Verifiable Credentials,Encrypted Verifiable Credential,Sub-Schema"</formula1>
    </dataValidation>
  </dataValidations>
  <hyperlinks>
    <hyperlink ref="B6" location="CO2_FF_Project_Data_ByType!A1" display="CO2_FF_Project_Data_ByType" xr:uid="{B80FAD62-8DC7-4ED7-8EF6-3F3ADB904054}"/>
    <hyperlink ref="B22" location="Livestock_Data_ByType_Project!A1" display="Livestock_Data_ByType_Project" xr:uid="{DA1A9613-B14E-4996-8933-1808D487C9FE}"/>
    <hyperlink ref="B33" location="CH4_Manure_Data_ByType_Project!A1" display="CH4_Manure_Data_ByType_Project" xr:uid="{CFA5B4B3-25B7-4B4F-A97E-BA3DAF9E62AF}"/>
    <hyperlink ref="B50" location="CH4_BiomassData_ByType_Project!A1" display="CH4_BiomassData_ByType_Project" xr:uid="{D41AF2F7-765F-4FBE-A8D8-715FB9F3AC3C}"/>
    <hyperlink ref="B105" location="NFixingSpecies_Data_Project!A1" display="NFixingSpecies_Data_Project" xr:uid="{20C820DC-C069-4B59-A3BB-E0DB79255FF7}"/>
    <hyperlink ref="B114" location="N2O_BiomassData_ByType_Project!A1" display="N2O_BiomassData_ByType_Project" xr:uid="{6605FF43-77C8-4488-9003-BCA6827B5F84}"/>
    <hyperlink ref="B5" location="CO2_FossilFuel_Project!A1" display="CO2_FossilFuel_Project" xr:uid="{A39630E4-C94D-490F-A650-90D8F187DD90}"/>
    <hyperlink ref="B13" location="CO2_Liming_Project!A1" display="CO2_Liming_Project" xr:uid="{65E4015B-4E45-4822-997C-A52B503C550F}"/>
    <hyperlink ref="B21" location="CH4_Enteric_Project!A1" display="CH4_Enteric_Project" xr:uid="{65169A9C-738B-4E0C-9639-EDB2ABA8510A}"/>
    <hyperlink ref="B32" location="CH4_Manure_Project!A1" display="CH4_Manure_Project" xr:uid="{9B99E85A-CB85-49C7-99B9-9A0ED1626AF9}"/>
    <hyperlink ref="B49" location="CH4_Biomass_Project!A1" display="CH4_Biomass_Project" xr:uid="{577FB9AD-52DB-4259-942E-29422282A4AF}"/>
    <hyperlink ref="B60" location="N2O_NFert_Project!A1" display="N2O_NFert_Project" xr:uid="{13B9AD1C-BFE2-4D17-B016-358C8DFDB19F}"/>
    <hyperlink ref="B83" location="N2O_Manure_Project!A1" display="N2O_Manure_Project" xr:uid="{5CC3824F-51DC-418F-9D72-5EE7854BDE37}"/>
    <hyperlink ref="B104" location="N2O_NFixing_Project!A1" display="N2O_NFixing_Project" xr:uid="{1740B9AF-77E1-4940-85DB-7E78B06B1354}"/>
    <hyperlink ref="B113" location="N2O_Biomass_Project!A1" display="N2O_Biomass_Project" xr:uid="{E6AF5EFE-3E7D-4C4B-B9AA-3D6ACDC17B35}"/>
    <hyperlink ref="B61" location="SyntheticFertilizer_Data_Projec!A1" display="SyntheticFertilizer_Data_Projec" xr:uid="{BB35F1A6-EE9C-42F8-9E49-BA2B3A6717B5}"/>
    <hyperlink ref="B66" location="OrganicFertilizer_Data_Project!A1" display="OrganicFertilizer_Data_Project" xr:uid="{EFBDE46D-4358-440B-B775-CF2A78DCFF1E}"/>
    <hyperlink ref="B84" location="N2O_ManureData_ByType_Project!A1" display="N2O_ManureData_ByType_Project" xr:uid="{8159D67E-38CA-4C18-8C2A-03FE9235C4ED}"/>
    <hyperlink ref="B124" location="NitrousOxide_SoilInputs_Project!A1" display="NitrousOxide_SoilInputs_Project" xr:uid="{5F5D852E-515A-47DE-B99F-D481597730E2}"/>
  </hyperlinks>
  <pageMargins left="0.7" right="0.7" top="0.75" bottom="0.75" header="0.3" footer="0.3"/>
  <pageSetup orientation="portrait" horizontalDpi="4294967295" verticalDpi="4294967295"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5310-EAA9-4634-8AE7-27D12EAEA168}">
  <sheetPr codeName="Sheet45">
    <tabColor rgb="FFFFC000"/>
    <outlinePr summaryBelow="0" summaryRight="0"/>
  </sheetPr>
  <dimension ref="A1:G11"/>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2" t="s">
        <v>173</v>
      </c>
      <c r="B1" s="32"/>
      <c r="C1" s="32"/>
      <c r="D1" s="32"/>
      <c r="E1" s="32"/>
      <c r="F1" s="32"/>
      <c r="G1" s="32"/>
    </row>
    <row r="2" spans="1:7" ht="18.75">
      <c r="A2" s="1" t="s">
        <v>1</v>
      </c>
      <c r="B2" s="33" t="s">
        <v>693</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175</v>
      </c>
      <c r="C5" s="3"/>
      <c r="D5" s="3"/>
      <c r="E5" s="3" t="s">
        <v>176</v>
      </c>
      <c r="F5" s="3" t="s">
        <v>11</v>
      </c>
      <c r="G5" s="3"/>
    </row>
    <row r="6" spans="1:7" outlineLevel="1">
      <c r="A6" s="4" t="s">
        <v>11</v>
      </c>
      <c r="B6" s="4" t="s">
        <v>46</v>
      </c>
      <c r="C6" s="5" t="s">
        <v>47</v>
      </c>
      <c r="D6" s="8"/>
      <c r="E6" s="4" t="s">
        <v>177</v>
      </c>
      <c r="F6" s="4" t="s">
        <v>14</v>
      </c>
      <c r="G6" s="4" t="s">
        <v>178</v>
      </c>
    </row>
    <row r="7" spans="1:7" ht="45" outlineLevel="1">
      <c r="A7" s="4" t="s">
        <v>14</v>
      </c>
      <c r="B7" s="4" t="s">
        <v>82</v>
      </c>
      <c r="C7" s="5" t="s">
        <v>47</v>
      </c>
      <c r="D7" s="8" t="s">
        <v>48</v>
      </c>
      <c r="E7" s="4" t="s">
        <v>179</v>
      </c>
      <c r="F7" s="4" t="s">
        <v>14</v>
      </c>
      <c r="G7" s="4">
        <f>G8*G9</f>
        <v>86.58</v>
      </c>
    </row>
    <row r="8" spans="1:7" outlineLevel="1">
      <c r="A8" s="4" t="s">
        <v>11</v>
      </c>
      <c r="B8" s="4" t="s">
        <v>82</v>
      </c>
      <c r="C8" s="5" t="s">
        <v>47</v>
      </c>
      <c r="D8" s="8"/>
      <c r="E8" s="4" t="s">
        <v>180</v>
      </c>
      <c r="F8" s="4" t="s">
        <v>14</v>
      </c>
      <c r="G8" s="4">
        <v>30000</v>
      </c>
    </row>
    <row r="9" spans="1:7" outlineLevel="1">
      <c r="A9" s="4" t="s">
        <v>11</v>
      </c>
      <c r="B9" s="4" t="s">
        <v>82</v>
      </c>
      <c r="C9" s="5" t="s">
        <v>47</v>
      </c>
      <c r="D9" s="8"/>
      <c r="E9" s="4" t="s">
        <v>181</v>
      </c>
      <c r="F9" s="4" t="s">
        <v>14</v>
      </c>
      <c r="G9" s="4">
        <v>2.8860000000000001E-3</v>
      </c>
    </row>
    <row r="10" spans="1:7" ht="30" collapsed="1">
      <c r="A10" s="3" t="s">
        <v>14</v>
      </c>
      <c r="B10" s="3" t="s">
        <v>82</v>
      </c>
      <c r="C10" s="3" t="s">
        <v>47</v>
      </c>
      <c r="D10" s="3" t="s">
        <v>48</v>
      </c>
      <c r="E10" s="3" t="s">
        <v>182</v>
      </c>
      <c r="F10" s="3" t="s">
        <v>14</v>
      </c>
      <c r="G10" s="3" t="e">
        <f>G11/#REF!</f>
        <v>#REF!</v>
      </c>
    </row>
    <row r="11" spans="1:7" ht="45">
      <c r="A11" s="3" t="s">
        <v>14</v>
      </c>
      <c r="B11" s="3" t="s">
        <v>82</v>
      </c>
      <c r="C11" s="3"/>
      <c r="D11" s="3" t="s">
        <v>48</v>
      </c>
      <c r="E11" s="3" t="s">
        <v>183</v>
      </c>
      <c r="F11" s="3" t="s">
        <v>14</v>
      </c>
      <c r="G11" s="3">
        <f>SUM(G7)</f>
        <v>86.58</v>
      </c>
    </row>
  </sheetData>
  <mergeCells count="3">
    <mergeCell ref="A1:G1"/>
    <mergeCell ref="B2:G2"/>
    <mergeCell ref="B3:G3"/>
  </mergeCells>
  <dataValidations count="2">
    <dataValidation type="list" allowBlank="1" showInputMessage="1" showErrorMessage="1" sqref="F5:F11 A5:A11" xr:uid="{795E4509-37A6-41D1-BCC2-77A1F12A779B}">
      <formula1>"Yes,No"</formula1>
    </dataValidation>
    <dataValidation type="list" allowBlank="1" showInputMessage="1" showErrorMessage="1" sqref="B3:G3" xr:uid="{67CAD417-BCFA-4D65-B9C2-6533E689B698}">
      <formula1>"Verifiable Credentials,Encrypted Verifiable Credential,Sub-Schema"</formula1>
    </dataValidation>
  </dataValidations>
  <hyperlinks>
    <hyperlink ref="B5" location="CO2_FF_Baseline_Data_ByType!A1" display="CO2_FF_Baseline_Data_ByType" xr:uid="{D462B377-4BB2-4099-A198-824E29889F8D}"/>
  </hyperlinks>
  <pageMargins left="0.7" right="0.7" top="0.75" bottom="0.75" header="0.3" footer="0.3"/>
  <pageSetup orientation="portrait" horizontalDpi="4294967295" verticalDpi="4294967295"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B01F-9206-4AA6-B6E3-130DEA10CCE2}">
  <sheetPr codeName="Sheet46">
    <tabColor rgb="FFFFC00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175</v>
      </c>
      <c r="B1" s="32"/>
      <c r="C1" s="32"/>
      <c r="D1" s="32"/>
      <c r="E1" s="32"/>
      <c r="F1" s="32"/>
      <c r="G1" s="32"/>
    </row>
    <row r="2" spans="1:7" ht="18.75">
      <c r="A2" s="1" t="s">
        <v>1</v>
      </c>
      <c r="B2" s="33" t="s">
        <v>694</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177</v>
      </c>
      <c r="F5" s="3" t="s">
        <v>14</v>
      </c>
      <c r="G5" s="3" t="s">
        <v>178</v>
      </c>
    </row>
    <row r="6" spans="1:7" ht="45">
      <c r="A6" s="3" t="s">
        <v>14</v>
      </c>
      <c r="B6" s="3" t="s">
        <v>82</v>
      </c>
      <c r="C6" s="3" t="s">
        <v>47</v>
      </c>
      <c r="D6" s="3" t="s">
        <v>48</v>
      </c>
      <c r="E6" s="3" t="s">
        <v>179</v>
      </c>
      <c r="F6" s="3" t="s">
        <v>14</v>
      </c>
      <c r="G6" s="3">
        <f>G7*G8</f>
        <v>86.58</v>
      </c>
    </row>
    <row r="7" spans="1:7">
      <c r="A7" s="3" t="s">
        <v>11</v>
      </c>
      <c r="B7" s="3" t="s">
        <v>82</v>
      </c>
      <c r="C7" s="3" t="s">
        <v>47</v>
      </c>
      <c r="D7" s="3"/>
      <c r="E7" s="3" t="s">
        <v>180</v>
      </c>
      <c r="F7" s="3" t="s">
        <v>14</v>
      </c>
      <c r="G7" s="3">
        <v>30000</v>
      </c>
    </row>
    <row r="8" spans="1:7">
      <c r="A8" s="3" t="s">
        <v>11</v>
      </c>
      <c r="B8" s="3" t="s">
        <v>82</v>
      </c>
      <c r="C8" s="3" t="s">
        <v>47</v>
      </c>
      <c r="D8" s="3"/>
      <c r="E8" s="3" t="s">
        <v>181</v>
      </c>
      <c r="F8" s="3" t="s">
        <v>14</v>
      </c>
      <c r="G8" s="3">
        <v>2.8860000000000001E-3</v>
      </c>
    </row>
  </sheetData>
  <mergeCells count="3">
    <mergeCell ref="A1:G1"/>
    <mergeCell ref="B2:G2"/>
    <mergeCell ref="B3:G3"/>
  </mergeCells>
  <dataValidations count="2">
    <dataValidation type="list" allowBlank="1" showInputMessage="1" showErrorMessage="1" sqref="F5:F8 A5:A8" xr:uid="{B1451B68-1B3B-442B-84EF-EB8FBBDF82C1}">
      <formula1>"Yes,No"</formula1>
    </dataValidation>
    <dataValidation type="list" allowBlank="1" showInputMessage="1" showErrorMessage="1" sqref="B3:G3" xr:uid="{727699CE-EB00-449C-91A2-E2D9B7CD433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E3C2-5FE4-45AC-AA16-177F93F7749F}">
  <sheetPr codeName="Sheet47">
    <tabColor rgb="FFFFC000"/>
    <outlinePr summaryBelow="0" summaryRight="0"/>
  </sheetPr>
  <dimension ref="A1:G11"/>
  <sheetViews>
    <sheetView workbookViewId="0">
      <selection activeCell="E4" sqref="E1:E1048576"/>
    </sheetView>
  </sheetViews>
  <sheetFormatPr defaultRowHeight="15" outlineLevelRow="1"/>
  <cols>
    <col min="1" max="1" width="20" customWidth="1"/>
    <col min="2" max="2" width="40" customWidth="1"/>
    <col min="3" max="3" width="25.140625" customWidth="1"/>
    <col min="4" max="4" width="20" customWidth="1"/>
    <col min="5" max="5" width="70" customWidth="1"/>
    <col min="6" max="6" width="30" customWidth="1"/>
    <col min="7" max="7" width="50" customWidth="1"/>
  </cols>
  <sheetData>
    <row r="1" spans="1:7" ht="18.75">
      <c r="A1" s="32" t="s">
        <v>300</v>
      </c>
      <c r="B1" s="32"/>
      <c r="C1" s="32"/>
      <c r="D1" s="32"/>
      <c r="E1" s="32"/>
      <c r="F1" s="32"/>
      <c r="G1" s="32"/>
    </row>
    <row r="2" spans="1:7" ht="18.75">
      <c r="A2" s="1" t="s">
        <v>1</v>
      </c>
      <c r="B2" s="33" t="s">
        <v>695</v>
      </c>
      <c r="C2" s="33"/>
      <c r="D2" s="33"/>
      <c r="E2" s="33"/>
      <c r="F2" s="33"/>
      <c r="G2" s="33"/>
    </row>
    <row r="3" spans="1:7" ht="18.75">
      <c r="A3" s="1" t="s">
        <v>2</v>
      </c>
      <c r="B3" s="33" t="s">
        <v>633</v>
      </c>
      <c r="C3" s="33"/>
      <c r="D3" s="33"/>
      <c r="E3" s="33"/>
      <c r="F3" s="33"/>
      <c r="G3" s="33"/>
    </row>
    <row r="4" spans="1:7" ht="18.75">
      <c r="A4" s="2" t="s">
        <v>4</v>
      </c>
      <c r="B4" s="2" t="s">
        <v>5</v>
      </c>
      <c r="C4" s="13" t="s">
        <v>6</v>
      </c>
      <c r="D4" s="2" t="s">
        <v>7</v>
      </c>
      <c r="E4" s="2" t="s">
        <v>8</v>
      </c>
      <c r="F4" s="2" t="s">
        <v>9</v>
      </c>
      <c r="G4" s="2" t="s">
        <v>10</v>
      </c>
    </row>
    <row r="5" spans="1:7">
      <c r="A5" s="3" t="s">
        <v>11</v>
      </c>
      <c r="B5" s="10" t="s">
        <v>302</v>
      </c>
      <c r="C5" s="3"/>
      <c r="D5" s="3"/>
      <c r="E5" s="3" t="s">
        <v>303</v>
      </c>
      <c r="F5" s="3" t="s">
        <v>11</v>
      </c>
      <c r="G5" s="3"/>
    </row>
    <row r="6" spans="1:7" outlineLevel="1">
      <c r="A6" s="4" t="s">
        <v>11</v>
      </c>
      <c r="B6" s="4" t="s">
        <v>46</v>
      </c>
      <c r="C6" s="5" t="s">
        <v>47</v>
      </c>
      <c r="D6" s="8"/>
      <c r="E6" s="4" t="s">
        <v>177</v>
      </c>
      <c r="F6" s="4" t="s">
        <v>14</v>
      </c>
      <c r="G6" s="4" t="s">
        <v>178</v>
      </c>
    </row>
    <row r="7" spans="1:7" ht="45" outlineLevel="1">
      <c r="A7" s="4" t="s">
        <v>14</v>
      </c>
      <c r="B7" s="4" t="s">
        <v>82</v>
      </c>
      <c r="C7" s="5" t="s">
        <v>47</v>
      </c>
      <c r="D7" s="8" t="s">
        <v>48</v>
      </c>
      <c r="E7" s="4" t="s">
        <v>304</v>
      </c>
      <c r="F7" s="4" t="s">
        <v>14</v>
      </c>
      <c r="G7" s="4">
        <f>G8*G9</f>
        <v>86.58</v>
      </c>
    </row>
    <row r="8" spans="1:7" outlineLevel="1">
      <c r="A8" s="4" t="s">
        <v>11</v>
      </c>
      <c r="B8" s="4" t="s">
        <v>82</v>
      </c>
      <c r="C8" s="5" t="s">
        <v>47</v>
      </c>
      <c r="D8" s="8"/>
      <c r="E8" s="4" t="s">
        <v>180</v>
      </c>
      <c r="F8" s="4" t="s">
        <v>14</v>
      </c>
      <c r="G8" s="4">
        <v>30000</v>
      </c>
    </row>
    <row r="9" spans="1:7" outlineLevel="1">
      <c r="A9" s="4" t="s">
        <v>11</v>
      </c>
      <c r="B9" s="4" t="s">
        <v>82</v>
      </c>
      <c r="C9" s="5" t="s">
        <v>47</v>
      </c>
      <c r="D9" s="8"/>
      <c r="E9" s="4" t="s">
        <v>181</v>
      </c>
      <c r="F9" s="4" t="s">
        <v>14</v>
      </c>
      <c r="G9" s="4">
        <v>2.8860000000000001E-3</v>
      </c>
    </row>
    <row r="10" spans="1:7" ht="30" collapsed="1">
      <c r="A10" s="3" t="s">
        <v>14</v>
      </c>
      <c r="B10" s="3" t="s">
        <v>82</v>
      </c>
      <c r="C10" s="3" t="s">
        <v>47</v>
      </c>
      <c r="D10" s="3" t="s">
        <v>48</v>
      </c>
      <c r="E10" s="3" t="s">
        <v>305</v>
      </c>
      <c r="F10" s="3" t="s">
        <v>14</v>
      </c>
      <c r="G10" s="3" t="e">
        <f>G11/#REF!</f>
        <v>#REF!</v>
      </c>
    </row>
    <row r="11" spans="1:7" ht="45">
      <c r="A11" s="3" t="s">
        <v>14</v>
      </c>
      <c r="B11" s="3" t="s">
        <v>82</v>
      </c>
      <c r="C11" s="3"/>
      <c r="D11" s="3" t="s">
        <v>48</v>
      </c>
      <c r="E11" s="3" t="s">
        <v>306</v>
      </c>
      <c r="F11" s="3" t="s">
        <v>14</v>
      </c>
      <c r="G11" s="3">
        <f>SUM(G7)</f>
        <v>86.58</v>
      </c>
    </row>
  </sheetData>
  <mergeCells count="3">
    <mergeCell ref="A1:G1"/>
    <mergeCell ref="B2:G2"/>
    <mergeCell ref="B3:G3"/>
  </mergeCells>
  <dataValidations count="2">
    <dataValidation type="list" allowBlank="1" showInputMessage="1" showErrorMessage="1" sqref="F5:F11 A5:A11" xr:uid="{BE52870D-FF4C-465B-BE73-6FBB365F07F3}">
      <formula1>"Yes,No"</formula1>
    </dataValidation>
    <dataValidation type="list" allowBlank="1" showInputMessage="1" showErrorMessage="1" sqref="B3:G3" xr:uid="{6D3A93E6-6B5B-416E-B8AA-393B44CD4616}">
      <formula1>"Verifiable Credentials,Encrypted Verifiable Credential,Sub-Schema"</formula1>
    </dataValidation>
  </dataValidations>
  <hyperlinks>
    <hyperlink ref="B5" location="CO2_FF_Project_Data_ByType!A1" display="CO2_FF_Project_Data_ByType" xr:uid="{A71B7519-F623-4BED-9894-D57D502607D5}"/>
  </hyperlinks>
  <pageMargins left="0.7" right="0.7" top="0.75" bottom="0.75" header="0.3" footer="0.3"/>
  <pageSetup orientation="portrait" horizontalDpi="4294967295" verticalDpi="4294967295"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11CA-0FEA-49B3-91C6-2A3EF412EC44}">
  <sheetPr codeName="Sheet48">
    <tabColor rgb="FFFFC00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302</v>
      </c>
      <c r="B1" s="32"/>
      <c r="C1" s="32"/>
      <c r="D1" s="32"/>
      <c r="E1" s="32"/>
      <c r="F1" s="32"/>
      <c r="G1" s="32"/>
    </row>
    <row r="2" spans="1:7" ht="18.75">
      <c r="A2" s="1" t="s">
        <v>1</v>
      </c>
      <c r="B2" s="33" t="s">
        <v>696</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177</v>
      </c>
      <c r="F5" s="3" t="s">
        <v>14</v>
      </c>
      <c r="G5" s="3" t="s">
        <v>178</v>
      </c>
    </row>
    <row r="6" spans="1:7" ht="45">
      <c r="A6" s="3" t="s">
        <v>14</v>
      </c>
      <c r="B6" s="3" t="s">
        <v>82</v>
      </c>
      <c r="C6" s="3" t="s">
        <v>47</v>
      </c>
      <c r="D6" s="3" t="s">
        <v>48</v>
      </c>
      <c r="E6" s="3" t="s">
        <v>304</v>
      </c>
      <c r="F6" s="3" t="s">
        <v>14</v>
      </c>
      <c r="G6" s="3">
        <f>G7*G8</f>
        <v>86.58</v>
      </c>
    </row>
    <row r="7" spans="1:7">
      <c r="A7" s="3" t="s">
        <v>11</v>
      </c>
      <c r="B7" s="3" t="s">
        <v>82</v>
      </c>
      <c r="C7" s="3" t="s">
        <v>47</v>
      </c>
      <c r="D7" s="3"/>
      <c r="E7" s="3" t="s">
        <v>180</v>
      </c>
      <c r="F7" s="3" t="s">
        <v>14</v>
      </c>
      <c r="G7" s="3">
        <v>30000</v>
      </c>
    </row>
    <row r="8" spans="1:7">
      <c r="A8" s="3" t="s">
        <v>11</v>
      </c>
      <c r="B8" s="3" t="s">
        <v>82</v>
      </c>
      <c r="C8" s="3" t="s">
        <v>47</v>
      </c>
      <c r="D8" s="3"/>
      <c r="E8" s="3" t="s">
        <v>181</v>
      </c>
      <c r="F8" s="3" t="s">
        <v>14</v>
      </c>
      <c r="G8" s="3">
        <v>2.8860000000000001E-3</v>
      </c>
    </row>
  </sheetData>
  <mergeCells count="3">
    <mergeCell ref="A1:G1"/>
    <mergeCell ref="B2:G2"/>
    <mergeCell ref="B3:G3"/>
  </mergeCells>
  <dataValidations count="2">
    <dataValidation type="list" allowBlank="1" showInputMessage="1" showErrorMessage="1" sqref="F5:F8 A5:A8" xr:uid="{AFCAB20E-C38A-4962-9544-30F819D02349}">
      <formula1>"Yes,No"</formula1>
    </dataValidation>
    <dataValidation type="list" allowBlank="1" showInputMessage="1" showErrorMessage="1" sqref="B3:G3" xr:uid="{CBB50CD2-8620-4611-BE7B-D4416C164F3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4B7C-D7D5-4FFE-BA26-B7DA177AFDB7}">
  <sheetPr codeName="Sheet5">
    <outlinePr summaryBelow="0" summaryRight="0"/>
  </sheetPr>
  <dimension ref="A1:G14"/>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641</v>
      </c>
      <c r="B1" s="32"/>
      <c r="C1" s="32"/>
      <c r="D1" s="32"/>
      <c r="E1" s="32"/>
      <c r="F1" s="32"/>
      <c r="G1" s="32"/>
    </row>
    <row r="2" spans="1:7" ht="18.75">
      <c r="A2" s="1" t="s">
        <v>1</v>
      </c>
      <c r="B2" s="33"/>
      <c r="C2" s="33"/>
      <c r="D2" s="33"/>
      <c r="E2" s="33"/>
      <c r="F2" s="33"/>
      <c r="G2" s="33"/>
    </row>
    <row r="3" spans="1:7" ht="18.75">
      <c r="A3" s="1" t="s">
        <v>2</v>
      </c>
      <c r="B3" s="33"/>
      <c r="C3" s="33"/>
      <c r="D3" s="33"/>
      <c r="E3" s="33"/>
      <c r="F3" s="33"/>
      <c r="G3" s="33"/>
    </row>
    <row r="4" spans="1:7" ht="18.75">
      <c r="A4" s="1" t="s">
        <v>642</v>
      </c>
      <c r="B4" s="33"/>
      <c r="C4" s="33"/>
      <c r="D4" s="33"/>
      <c r="E4" s="33"/>
      <c r="F4" s="33"/>
      <c r="G4" s="33"/>
    </row>
    <row r="5" spans="1:7" ht="18.75">
      <c r="A5" s="1" t="s">
        <v>643</v>
      </c>
      <c r="B5" s="33"/>
      <c r="C5" s="33"/>
      <c r="D5" s="33"/>
      <c r="E5" s="33"/>
      <c r="F5" s="33"/>
      <c r="G5" s="33"/>
    </row>
    <row r="6" spans="1:7" ht="18.75">
      <c r="A6" s="2" t="s">
        <v>4</v>
      </c>
      <c r="B6" s="2" t="s">
        <v>5</v>
      </c>
      <c r="C6" s="2" t="s">
        <v>6</v>
      </c>
      <c r="D6" s="2" t="s">
        <v>7</v>
      </c>
      <c r="E6" s="2" t="s">
        <v>8</v>
      </c>
      <c r="F6" s="2" t="s">
        <v>9</v>
      </c>
      <c r="G6" s="2" t="s">
        <v>10</v>
      </c>
    </row>
    <row r="7" spans="1:7" ht="29.25" customHeight="1">
      <c r="A7" s="3" t="s">
        <v>14</v>
      </c>
      <c r="B7" s="3" t="s">
        <v>82</v>
      </c>
      <c r="C7" s="3"/>
      <c r="D7" s="3" t="s">
        <v>48</v>
      </c>
      <c r="E7" s="3" t="s">
        <v>616</v>
      </c>
      <c r="F7" s="3" t="s">
        <v>14</v>
      </c>
      <c r="G7" s="3" t="e">
        <f>#REF!</f>
        <v>#REF!</v>
      </c>
    </row>
    <row r="8" spans="1:7">
      <c r="A8" s="3" t="s">
        <v>14</v>
      </c>
      <c r="B8" s="3" t="s">
        <v>82</v>
      </c>
      <c r="C8" s="3"/>
      <c r="D8" s="3" t="s">
        <v>48</v>
      </c>
      <c r="E8" s="3" t="s">
        <v>617</v>
      </c>
      <c r="F8" s="3" t="s">
        <v>14</v>
      </c>
      <c r="G8" s="3" t="e">
        <f>#REF!*(#REF!+#REF!+#REF!+#REF!+#REF!+(#REF!*(1-#REF!)+(#REF!*(1-#REF!)+#REF!+MIN(0,#REF!)-MIN(0,#REF!)+(1-#REF!)*(#REF!+#REF!+#REF!+#REF!+#REF!+(#REF!*(1-#REF!)+(#REF!*(1-#REF!)+#REF!+MIN(0,#REF!)-MIN(0,#REF!)+MAX(0,#REF!)-MAX(0,#REF!)))))))</f>
        <v>#REF!</v>
      </c>
    </row>
    <row r="9" spans="1:7">
      <c r="A9" s="3" t="s">
        <v>14</v>
      </c>
      <c r="B9" s="3" t="s">
        <v>82</v>
      </c>
      <c r="C9" s="3"/>
      <c r="D9" s="3" t="s">
        <v>48</v>
      </c>
      <c r="E9" s="3" t="s">
        <v>618</v>
      </c>
      <c r="F9" s="3" t="s">
        <v>14</v>
      </c>
      <c r="G9" s="3" t="e">
        <f>#REF!*(MAX(0,#REF!)-MAX(0,#REF!))</f>
        <v>#REF!</v>
      </c>
    </row>
    <row r="10" spans="1:7">
      <c r="A10" s="3" t="s">
        <v>14</v>
      </c>
      <c r="B10" s="3" t="s">
        <v>82</v>
      </c>
      <c r="C10" s="3"/>
      <c r="D10" s="3" t="s">
        <v>48</v>
      </c>
      <c r="E10" s="3" t="s">
        <v>619</v>
      </c>
      <c r="F10" s="3" t="s">
        <v>14</v>
      </c>
      <c r="G10" s="3" t="e">
        <f>(#REF!+#REF!)*G8/(G8+G9)</f>
        <v>#REF!</v>
      </c>
    </row>
    <row r="11" spans="1:7">
      <c r="A11" s="3" t="s">
        <v>14</v>
      </c>
      <c r="B11" s="3" t="s">
        <v>82</v>
      </c>
      <c r="C11" s="3"/>
      <c r="D11" s="3" t="s">
        <v>48</v>
      </c>
      <c r="E11" s="3" t="s">
        <v>620</v>
      </c>
      <c r="F11" s="3" t="s">
        <v>14</v>
      </c>
      <c r="G11" s="3" t="e">
        <f>G8-G10</f>
        <v>#REF!</v>
      </c>
    </row>
    <row r="12" spans="1:7">
      <c r="A12" s="3" t="s">
        <v>14</v>
      </c>
      <c r="B12" s="3" t="s">
        <v>82</v>
      </c>
      <c r="C12" s="3"/>
      <c r="D12" s="3" t="s">
        <v>48</v>
      </c>
      <c r="E12" s="3" t="s">
        <v>621</v>
      </c>
      <c r="F12" s="3" t="s">
        <v>14</v>
      </c>
      <c r="G12" s="3" t="e">
        <f>(#REF!+#REF!)*G9/(G8+G9)</f>
        <v>#REF!</v>
      </c>
    </row>
    <row r="13" spans="1:7">
      <c r="A13" s="3" t="s">
        <v>14</v>
      </c>
      <c r="B13" s="3" t="s">
        <v>82</v>
      </c>
      <c r="C13" s="3"/>
      <c r="D13" s="3" t="s">
        <v>48</v>
      </c>
      <c r="E13" s="3" t="s">
        <v>622</v>
      </c>
      <c r="F13" s="3" t="s">
        <v>14</v>
      </c>
      <c r="G13" s="3" t="e">
        <f>G9-G12</f>
        <v>#REF!</v>
      </c>
    </row>
    <row r="14" spans="1:7">
      <c r="A14" s="3" t="s">
        <v>14</v>
      </c>
      <c r="B14" s="3" t="s">
        <v>82</v>
      </c>
      <c r="C14" s="3"/>
      <c r="D14" s="3" t="s">
        <v>48</v>
      </c>
      <c r="E14" s="3" t="s">
        <v>623</v>
      </c>
      <c r="F14" s="3" t="s">
        <v>14</v>
      </c>
      <c r="G14" s="3" t="e">
        <f>G11+G13</f>
        <v>#REF!</v>
      </c>
    </row>
  </sheetData>
  <mergeCells count="5">
    <mergeCell ref="A1:G1"/>
    <mergeCell ref="B2:G2"/>
    <mergeCell ref="B3:G3"/>
    <mergeCell ref="B4:G4"/>
    <mergeCell ref="B5:G5"/>
  </mergeCells>
  <dataValidations count="1">
    <dataValidation type="list" allowBlank="1" showInputMessage="1" showErrorMessage="1" sqref="B3:G3" xr:uid="{FB44B214-6381-4335-B8BB-401B5269D306}">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3CB1-852B-4FAC-9FA6-C866712B9EFD}">
  <sheetPr codeName="Sheet49">
    <tabColor rgb="FFFFC000"/>
    <outlinePr summaryBelow="0" summaryRight="0"/>
  </sheetPr>
  <dimension ref="A1:G11"/>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184</v>
      </c>
      <c r="B1" s="32"/>
      <c r="C1" s="32"/>
      <c r="D1" s="32"/>
      <c r="E1" s="32"/>
      <c r="F1" s="32"/>
      <c r="G1" s="32"/>
    </row>
    <row r="2" spans="1:7" ht="18.75">
      <c r="A2" s="1" t="s">
        <v>1</v>
      </c>
      <c r="B2" s="33" t="s">
        <v>697</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ollapsed="1">
      <c r="A5" s="3" t="s">
        <v>11</v>
      </c>
      <c r="B5" s="3" t="s">
        <v>82</v>
      </c>
      <c r="C5" s="3" t="s">
        <v>47</v>
      </c>
      <c r="D5" s="3"/>
      <c r="E5" s="3" t="s">
        <v>186</v>
      </c>
      <c r="F5" s="3" t="s">
        <v>14</v>
      </c>
      <c r="G5" s="3">
        <v>10</v>
      </c>
    </row>
    <row r="6" spans="1:7">
      <c r="A6" s="3" t="s">
        <v>14</v>
      </c>
      <c r="B6" s="3" t="s">
        <v>82</v>
      </c>
      <c r="C6" s="3"/>
      <c r="D6" s="3" t="s">
        <v>48</v>
      </c>
      <c r="E6" s="3" t="s">
        <v>187</v>
      </c>
      <c r="F6" s="3" t="s">
        <v>14</v>
      </c>
      <c r="G6" s="3">
        <f>0.12</f>
        <v>0.12</v>
      </c>
    </row>
    <row r="7" spans="1:7" ht="30">
      <c r="A7" s="3" t="s">
        <v>11</v>
      </c>
      <c r="B7" s="3" t="s">
        <v>82</v>
      </c>
      <c r="C7" s="3"/>
      <c r="D7" s="3"/>
      <c r="E7" s="3" t="s">
        <v>188</v>
      </c>
      <c r="F7" s="3" t="s">
        <v>14</v>
      </c>
      <c r="G7" s="3">
        <v>5</v>
      </c>
    </row>
    <row r="8" spans="1:7">
      <c r="A8" s="3" t="s">
        <v>14</v>
      </c>
      <c r="B8" s="3" t="s">
        <v>82</v>
      </c>
      <c r="C8" s="3"/>
      <c r="D8" s="3" t="s">
        <v>48</v>
      </c>
      <c r="E8" s="3" t="s">
        <v>189</v>
      </c>
      <c r="F8" s="3" t="s">
        <v>14</v>
      </c>
      <c r="G8" s="3">
        <f>0.13</f>
        <v>0.13</v>
      </c>
    </row>
    <row r="9" spans="1:7" ht="30">
      <c r="A9" s="3" t="s">
        <v>14</v>
      </c>
      <c r="B9" s="3" t="s">
        <v>82</v>
      </c>
      <c r="C9" s="3"/>
      <c r="D9" s="3" t="s">
        <v>48</v>
      </c>
      <c r="E9" s="3" t="s">
        <v>190</v>
      </c>
      <c r="F9" s="3" t="s">
        <v>14</v>
      </c>
      <c r="G9" s="3">
        <f>((G5*G6)+(G7*G8))*G11</f>
        <v>6.7833333333333332</v>
      </c>
    </row>
    <row r="10" spans="1:7" ht="30">
      <c r="A10" s="3" t="s">
        <v>14</v>
      </c>
      <c r="B10" s="3" t="s">
        <v>82</v>
      </c>
      <c r="C10" s="3"/>
      <c r="D10" s="3" t="s">
        <v>48</v>
      </c>
      <c r="E10" s="3" t="s">
        <v>191</v>
      </c>
      <c r="F10" s="3" t="s">
        <v>14</v>
      </c>
      <c r="G10" s="3" t="e">
        <f>G9/#REF!</f>
        <v>#REF!</v>
      </c>
    </row>
    <row r="11" spans="1:7" ht="30">
      <c r="A11" s="3" t="s">
        <v>14</v>
      </c>
      <c r="B11" s="3" t="s">
        <v>82</v>
      </c>
      <c r="C11" s="3"/>
      <c r="D11" s="3" t="s">
        <v>48</v>
      </c>
      <c r="E11" s="3" t="s">
        <v>192</v>
      </c>
      <c r="F11" s="3" t="s">
        <v>14</v>
      </c>
      <c r="G11" s="3">
        <f>44/12</f>
        <v>3.6666666666666665</v>
      </c>
    </row>
  </sheetData>
  <mergeCells count="3">
    <mergeCell ref="A1:G1"/>
    <mergeCell ref="B2:G2"/>
    <mergeCell ref="B3:G3"/>
  </mergeCells>
  <dataValidations count="2">
    <dataValidation type="list" allowBlank="1" showInputMessage="1" showErrorMessage="1" sqref="F5:F11 A5:A11" xr:uid="{1CFDC786-F6D7-4DDA-A9B2-7CBA9CE0E666}">
      <formula1>"Yes,No"</formula1>
    </dataValidation>
    <dataValidation type="list" allowBlank="1" showInputMessage="1" showErrorMessage="1" sqref="B3:G3" xr:uid="{FD99970B-A833-4C61-817E-AF883D3D51AF}">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57F0-04C7-43C1-9A9E-A37C493DAEFC}">
  <sheetPr codeName="Sheet50">
    <tabColor rgb="FFFFC000"/>
    <outlinePr summaryBelow="0" summaryRight="0"/>
  </sheetPr>
  <dimension ref="A1:G11"/>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307</v>
      </c>
      <c r="B1" s="32"/>
      <c r="C1" s="32"/>
      <c r="D1" s="32"/>
      <c r="E1" s="32"/>
      <c r="F1" s="32"/>
      <c r="G1" s="32"/>
    </row>
    <row r="2" spans="1:7" ht="18.75">
      <c r="A2" s="1" t="s">
        <v>1</v>
      </c>
      <c r="B2" s="33" t="s">
        <v>698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ollapsed="1">
      <c r="A5" s="3" t="s">
        <v>11</v>
      </c>
      <c r="B5" s="3" t="s">
        <v>82</v>
      </c>
      <c r="C5" s="3" t="s">
        <v>47</v>
      </c>
      <c r="D5" s="3"/>
      <c r="E5" s="3" t="s">
        <v>186</v>
      </c>
      <c r="F5" s="3" t="s">
        <v>14</v>
      </c>
      <c r="G5" s="3">
        <v>10</v>
      </c>
    </row>
    <row r="6" spans="1:7">
      <c r="A6" s="3" t="s">
        <v>14</v>
      </c>
      <c r="B6" s="3" t="s">
        <v>82</v>
      </c>
      <c r="C6" s="3"/>
      <c r="D6" s="3" t="s">
        <v>48</v>
      </c>
      <c r="E6" s="3" t="s">
        <v>187</v>
      </c>
      <c r="F6" s="3" t="s">
        <v>14</v>
      </c>
      <c r="G6" s="3">
        <f>0.12</f>
        <v>0.12</v>
      </c>
    </row>
    <row r="7" spans="1:7" ht="30">
      <c r="A7" s="3" t="s">
        <v>11</v>
      </c>
      <c r="B7" s="3" t="s">
        <v>82</v>
      </c>
      <c r="C7" s="3"/>
      <c r="D7" s="3"/>
      <c r="E7" s="3" t="s">
        <v>188</v>
      </c>
      <c r="F7" s="3" t="s">
        <v>14</v>
      </c>
      <c r="G7" s="3">
        <v>5</v>
      </c>
    </row>
    <row r="8" spans="1:7">
      <c r="A8" s="3" t="s">
        <v>14</v>
      </c>
      <c r="B8" s="3" t="s">
        <v>82</v>
      </c>
      <c r="C8" s="3"/>
      <c r="D8" s="3" t="s">
        <v>48</v>
      </c>
      <c r="E8" s="3" t="s">
        <v>189</v>
      </c>
      <c r="F8" s="3" t="s">
        <v>14</v>
      </c>
      <c r="G8" s="3">
        <f>0.13</f>
        <v>0.13</v>
      </c>
    </row>
    <row r="9" spans="1:7" ht="30">
      <c r="A9" s="3" t="s">
        <v>14</v>
      </c>
      <c r="B9" s="3" t="s">
        <v>82</v>
      </c>
      <c r="C9" s="3"/>
      <c r="D9" s="3" t="s">
        <v>48</v>
      </c>
      <c r="E9" s="3" t="s">
        <v>309</v>
      </c>
      <c r="F9" s="3" t="s">
        <v>14</v>
      </c>
      <c r="G9" s="3">
        <f>((G5*G6)+(G7*G8))*G11</f>
        <v>6.7833333333333332</v>
      </c>
    </row>
    <row r="10" spans="1:7" ht="30">
      <c r="A10" s="3" t="s">
        <v>14</v>
      </c>
      <c r="B10" s="3" t="s">
        <v>82</v>
      </c>
      <c r="C10" s="3"/>
      <c r="D10" s="3" t="s">
        <v>48</v>
      </c>
      <c r="E10" s="3" t="s">
        <v>310</v>
      </c>
      <c r="F10" s="3" t="s">
        <v>14</v>
      </c>
      <c r="G10" s="3" t="e">
        <f>G9/#REF!</f>
        <v>#REF!</v>
      </c>
    </row>
    <row r="11" spans="1:7" ht="30">
      <c r="A11" s="3" t="s">
        <v>14</v>
      </c>
      <c r="B11" s="3" t="s">
        <v>82</v>
      </c>
      <c r="C11" s="3"/>
      <c r="D11" s="3" t="s">
        <v>48</v>
      </c>
      <c r="E11" s="3" t="s">
        <v>192</v>
      </c>
      <c r="F11" s="3" t="s">
        <v>14</v>
      </c>
      <c r="G11" s="3">
        <f>44/12</f>
        <v>3.6666666666666665</v>
      </c>
    </row>
  </sheetData>
  <mergeCells count="3">
    <mergeCell ref="A1:G1"/>
    <mergeCell ref="B2:G2"/>
    <mergeCell ref="B3:G3"/>
  </mergeCells>
  <dataValidations count="2">
    <dataValidation type="list" allowBlank="1" showInputMessage="1" showErrorMessage="1" sqref="A5:A11 F5:F11" xr:uid="{0C062C4B-6309-4098-931B-E18D7C7245F6}">
      <formula1>"Yes,No"</formula1>
    </dataValidation>
    <dataValidation type="list" allowBlank="1" showInputMessage="1" showErrorMessage="1" sqref="B3:G3" xr:uid="{1717CE91-5A22-4054-9DCA-04C5C3867E58}">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C43BA-CF35-45CE-907F-031855FA0B69}">
  <sheetPr codeName="Sheet51">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699</v>
      </c>
      <c r="B1" s="32"/>
      <c r="C1" s="32"/>
      <c r="D1" s="32"/>
      <c r="E1" s="32"/>
      <c r="F1" s="32"/>
      <c r="G1" s="32"/>
    </row>
    <row r="2" spans="1:7" ht="18.75">
      <c r="A2" s="1" t="s">
        <v>1</v>
      </c>
      <c r="B2" s="33" t="s">
        <v>700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195</v>
      </c>
      <c r="C5" s="3"/>
      <c r="D5" s="3"/>
      <c r="E5" s="3" t="s">
        <v>196</v>
      </c>
      <c r="F5" s="3" t="s">
        <v>11</v>
      </c>
      <c r="G5" s="3"/>
    </row>
    <row r="6" spans="1:7" outlineLevel="1">
      <c r="A6" s="4" t="s">
        <v>11</v>
      </c>
      <c r="B6" s="4" t="s">
        <v>46</v>
      </c>
      <c r="C6" s="5" t="s">
        <v>47</v>
      </c>
      <c r="D6" s="8"/>
      <c r="E6" s="4" t="s">
        <v>197</v>
      </c>
      <c r="F6" s="4" t="s">
        <v>14</v>
      </c>
      <c r="G6" s="4" t="s">
        <v>198</v>
      </c>
    </row>
    <row r="7" spans="1:7" outlineLevel="1">
      <c r="A7" s="4" t="s">
        <v>11</v>
      </c>
      <c r="B7" s="4" t="s">
        <v>46</v>
      </c>
      <c r="C7" s="5"/>
      <c r="D7" s="8"/>
      <c r="E7" s="4" t="s">
        <v>199</v>
      </c>
      <c r="F7" s="4" t="s">
        <v>14</v>
      </c>
      <c r="G7" s="4" t="s">
        <v>200</v>
      </c>
    </row>
    <row r="8" spans="1:7" ht="30" outlineLevel="1">
      <c r="A8" s="4" t="s">
        <v>11</v>
      </c>
      <c r="B8" s="4" t="s">
        <v>82</v>
      </c>
      <c r="C8" s="5"/>
      <c r="D8" s="8"/>
      <c r="E8" s="4" t="s">
        <v>201</v>
      </c>
      <c r="F8" s="4" t="s">
        <v>14</v>
      </c>
      <c r="G8" s="4">
        <v>160</v>
      </c>
    </row>
    <row r="9" spans="1:7" ht="30" outlineLevel="1">
      <c r="A9" s="4" t="s">
        <v>11</v>
      </c>
      <c r="B9" s="4" t="s">
        <v>82</v>
      </c>
      <c r="C9" s="5"/>
      <c r="D9" s="8"/>
      <c r="E9" s="4" t="s">
        <v>202</v>
      </c>
      <c r="F9" s="4" t="s">
        <v>14</v>
      </c>
      <c r="G9" s="4">
        <v>13.289693946836101</v>
      </c>
    </row>
    <row r="10" spans="1:7" ht="30" outlineLevel="1">
      <c r="A10" s="4" t="s">
        <v>14</v>
      </c>
      <c r="B10" s="4" t="s">
        <v>82</v>
      </c>
      <c r="C10" s="5"/>
      <c r="D10" s="8" t="s">
        <v>48</v>
      </c>
      <c r="E10" s="4" t="s">
        <v>190</v>
      </c>
      <c r="F10" s="4" t="s">
        <v>14</v>
      </c>
      <c r="G10" s="4">
        <f>G8*G9</f>
        <v>2126.3510314937762</v>
      </c>
    </row>
    <row r="11" spans="1:7" ht="30">
      <c r="A11" s="3" t="s">
        <v>14</v>
      </c>
      <c r="B11" s="3" t="s">
        <v>82</v>
      </c>
      <c r="C11" s="3"/>
      <c r="D11" s="3" t="s">
        <v>48</v>
      </c>
      <c r="E11" s="3" t="s">
        <v>191</v>
      </c>
      <c r="F11" s="3" t="s">
        <v>14</v>
      </c>
      <c r="G11" s="3">
        <f>SUM(G10)</f>
        <v>2126.3510314937762</v>
      </c>
    </row>
    <row r="12" spans="1:7" ht="30">
      <c r="A12" s="3" t="s">
        <v>14</v>
      </c>
      <c r="B12" s="3" t="s">
        <v>82</v>
      </c>
      <c r="C12" s="3"/>
      <c r="D12" s="3" t="s">
        <v>48</v>
      </c>
      <c r="E12" s="3" t="s">
        <v>203</v>
      </c>
      <c r="F12" s="3" t="s">
        <v>14</v>
      </c>
      <c r="G12" s="3" t="e">
        <f>((G14*G11)/G13)/#REF!</f>
        <v>#REF!</v>
      </c>
    </row>
    <row r="13" spans="1:7">
      <c r="A13" s="3" t="s">
        <v>14</v>
      </c>
      <c r="B13" s="3" t="s">
        <v>82</v>
      </c>
      <c r="C13" s="3"/>
      <c r="D13" s="3" t="s">
        <v>48</v>
      </c>
      <c r="E13" s="3" t="s">
        <v>204</v>
      </c>
      <c r="F13" s="3" t="s">
        <v>14</v>
      </c>
      <c r="G13" s="3">
        <f>1000</f>
        <v>1000</v>
      </c>
    </row>
    <row r="14" spans="1:7">
      <c r="A14" s="3" t="s">
        <v>11</v>
      </c>
      <c r="B14" s="3" t="s">
        <v>82</v>
      </c>
      <c r="C14" s="3"/>
      <c r="D14" s="3"/>
      <c r="E14" s="3" t="s">
        <v>96</v>
      </c>
      <c r="F14" s="3" t="s">
        <v>14</v>
      </c>
      <c r="G14" s="3">
        <v>28</v>
      </c>
    </row>
  </sheetData>
  <mergeCells count="3">
    <mergeCell ref="A1:G1"/>
    <mergeCell ref="B2:G2"/>
    <mergeCell ref="B3:G3"/>
  </mergeCells>
  <dataValidations count="2">
    <dataValidation type="list" allowBlank="1" showInputMessage="1" showErrorMessage="1" sqref="F6:F14 A6:A14" xr:uid="{0924A93B-0639-47E3-962D-F23AFF67BEE0}">
      <formula1>"Yes,No"</formula1>
    </dataValidation>
    <dataValidation type="list" allowBlank="1" showInputMessage="1" showErrorMessage="1" sqref="B3:G3" xr:uid="{A06297AB-0A71-472E-B07C-5760B5D09C21}">
      <formula1>"Verifiable Credentials,Encrypted Verifiable Credential,Sub-Schema"</formula1>
    </dataValidation>
  </dataValidations>
  <hyperlinks>
    <hyperlink ref="B5" location="Livestock_Data_ByType_Base!A1" display="Livestock_Data_ByType_Base" xr:uid="{FE902A99-9E2E-4236-A5FB-EBCB7B727B9C}"/>
  </hyperlinks>
  <pageMargins left="0.7" right="0.7" top="0.75" bottom="0.75" header="0.3" footer="0.3"/>
  <pageSetup orientation="portrait" horizontalDpi="4294967295" verticalDpi="4294967295" r:id="rId1"/>
  <legacy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C538-ABB0-4A0F-AC00-83D83FA882B8}">
  <sheetPr codeName="Sheet52">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701</v>
      </c>
      <c r="B1" s="32"/>
      <c r="C1" s="32"/>
      <c r="D1" s="32"/>
      <c r="E1" s="32"/>
      <c r="F1" s="32"/>
      <c r="G1" s="32"/>
    </row>
    <row r="2" spans="1:7" ht="18.75">
      <c r="A2" s="1" t="s">
        <v>1</v>
      </c>
      <c r="B2" s="33" t="s">
        <v>702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ollapsed="1">
      <c r="A5" s="3" t="s">
        <v>11</v>
      </c>
      <c r="B5" s="3" t="s">
        <v>46</v>
      </c>
      <c r="C5" s="3" t="s">
        <v>47</v>
      </c>
      <c r="D5" s="3"/>
      <c r="E5" s="3" t="s">
        <v>197</v>
      </c>
      <c r="F5" s="3" t="s">
        <v>14</v>
      </c>
      <c r="G5" s="3" t="s">
        <v>198</v>
      </c>
    </row>
    <row r="6" spans="1:7">
      <c r="A6" s="3" t="s">
        <v>11</v>
      </c>
      <c r="B6" s="3" t="s">
        <v>46</v>
      </c>
      <c r="C6" s="3"/>
      <c r="D6" s="3"/>
      <c r="E6" s="3" t="s">
        <v>199</v>
      </c>
      <c r="F6" s="3" t="s">
        <v>14</v>
      </c>
      <c r="G6" s="3" t="s">
        <v>200</v>
      </c>
    </row>
    <row r="7" spans="1:7" ht="30">
      <c r="A7" s="3" t="s">
        <v>11</v>
      </c>
      <c r="B7" s="3" t="s">
        <v>82</v>
      </c>
      <c r="C7" s="3"/>
      <c r="D7" s="3"/>
      <c r="E7" s="3" t="s">
        <v>201</v>
      </c>
      <c r="F7" s="3" t="s">
        <v>14</v>
      </c>
      <c r="G7" s="3">
        <v>160</v>
      </c>
    </row>
    <row r="8" spans="1:7" ht="30">
      <c r="A8" s="3" t="s">
        <v>11</v>
      </c>
      <c r="B8" s="3" t="s">
        <v>82</v>
      </c>
      <c r="C8" s="3"/>
      <c r="D8" s="3"/>
      <c r="E8" s="3" t="s">
        <v>202</v>
      </c>
      <c r="F8" s="3" t="s">
        <v>14</v>
      </c>
      <c r="G8" s="3">
        <v>13.289693946836101</v>
      </c>
    </row>
    <row r="9" spans="1:7" ht="18">
      <c r="A9" s="3" t="s">
        <v>14</v>
      </c>
      <c r="B9" s="3" t="s">
        <v>82</v>
      </c>
      <c r="C9" s="3"/>
      <c r="D9" s="3" t="s">
        <v>48</v>
      </c>
      <c r="E9" s="3" t="s">
        <v>703</v>
      </c>
      <c r="F9" s="3" t="s">
        <v>14</v>
      </c>
      <c r="G9" s="3">
        <f>G7*G8</f>
        <v>2126.3510314937762</v>
      </c>
    </row>
  </sheetData>
  <mergeCells count="3">
    <mergeCell ref="A1:G1"/>
    <mergeCell ref="B2:G2"/>
    <mergeCell ref="B3:G3"/>
  </mergeCells>
  <dataValidations count="2">
    <dataValidation type="list" allowBlank="1" showInputMessage="1" showErrorMessage="1" sqref="F5:F9 A5:A9" xr:uid="{B79E4B23-6987-4EB3-8427-F59A7842CD1D}">
      <formula1>"Yes,No"</formula1>
    </dataValidation>
    <dataValidation type="list" allowBlank="1" showInputMessage="1" showErrorMessage="1" sqref="B3:G3" xr:uid="{C05873E1-5266-48C3-8AE3-4DED31FC0F1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7E80-3E64-4549-84BA-957ABFF63D54}">
  <sheetPr codeName="Sheet53">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704</v>
      </c>
      <c r="B1" s="32"/>
      <c r="C1" s="32"/>
      <c r="D1" s="32"/>
      <c r="E1" s="32"/>
      <c r="F1" s="32"/>
      <c r="G1" s="32"/>
    </row>
    <row r="2" spans="1:7" ht="18.75">
      <c r="A2" s="1" t="s">
        <v>1</v>
      </c>
      <c r="B2" s="33" t="s">
        <v>705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313</v>
      </c>
      <c r="C5" s="3"/>
      <c r="D5" s="3"/>
      <c r="E5" s="3" t="s">
        <v>314</v>
      </c>
      <c r="F5" s="3" t="s">
        <v>11</v>
      </c>
      <c r="G5" s="3"/>
    </row>
    <row r="6" spans="1:7" outlineLevel="1">
      <c r="A6" s="4" t="s">
        <v>11</v>
      </c>
      <c r="B6" s="4" t="s">
        <v>46</v>
      </c>
      <c r="C6" s="5" t="s">
        <v>47</v>
      </c>
      <c r="D6" s="8"/>
      <c r="E6" s="4" t="s">
        <v>197</v>
      </c>
      <c r="F6" s="4" t="s">
        <v>14</v>
      </c>
      <c r="G6" s="4" t="s">
        <v>198</v>
      </c>
    </row>
    <row r="7" spans="1:7" outlineLevel="1">
      <c r="A7" s="4" t="s">
        <v>11</v>
      </c>
      <c r="B7" s="4" t="s">
        <v>46</v>
      </c>
      <c r="C7" s="5"/>
      <c r="D7" s="8"/>
      <c r="E7" s="4" t="s">
        <v>199</v>
      </c>
      <c r="F7" s="4" t="s">
        <v>14</v>
      </c>
      <c r="G7" s="4" t="s">
        <v>200</v>
      </c>
    </row>
    <row r="8" spans="1:7" ht="30" outlineLevel="1">
      <c r="A8" s="4" t="s">
        <v>11</v>
      </c>
      <c r="B8" s="4" t="s">
        <v>82</v>
      </c>
      <c r="C8" s="5"/>
      <c r="D8" s="8"/>
      <c r="E8" s="4" t="s">
        <v>315</v>
      </c>
      <c r="F8" s="4" t="s">
        <v>14</v>
      </c>
      <c r="G8" s="4">
        <v>160</v>
      </c>
    </row>
    <row r="9" spans="1:7" ht="30" outlineLevel="1">
      <c r="A9" s="4" t="s">
        <v>11</v>
      </c>
      <c r="B9" s="4" t="s">
        <v>82</v>
      </c>
      <c r="C9" s="5"/>
      <c r="D9" s="8"/>
      <c r="E9" s="4" t="s">
        <v>202</v>
      </c>
      <c r="F9" s="4" t="s">
        <v>14</v>
      </c>
      <c r="G9" s="4">
        <v>5.9951801952627202</v>
      </c>
    </row>
    <row r="10" spans="1:7" ht="30" outlineLevel="1">
      <c r="A10" s="4" t="s">
        <v>14</v>
      </c>
      <c r="B10" s="4" t="s">
        <v>82</v>
      </c>
      <c r="C10" s="5"/>
      <c r="D10" s="8" t="s">
        <v>48</v>
      </c>
      <c r="E10" s="4" t="s">
        <v>309</v>
      </c>
      <c r="F10" s="4" t="s">
        <v>14</v>
      </c>
      <c r="G10" s="4">
        <f>G8*G9</f>
        <v>959.2288312420352</v>
      </c>
    </row>
    <row r="11" spans="1:7" ht="30">
      <c r="A11" s="3" t="s">
        <v>14</v>
      </c>
      <c r="B11" s="3" t="s">
        <v>82</v>
      </c>
      <c r="C11" s="3"/>
      <c r="D11" s="3" t="s">
        <v>48</v>
      </c>
      <c r="E11" s="3" t="s">
        <v>310</v>
      </c>
      <c r="F11" s="3" t="s">
        <v>14</v>
      </c>
      <c r="G11" s="3">
        <f>SUM(G10)</f>
        <v>959.2288312420352</v>
      </c>
    </row>
    <row r="12" spans="1:7" ht="30">
      <c r="A12" s="3" t="s">
        <v>14</v>
      </c>
      <c r="B12" s="3" t="s">
        <v>82</v>
      </c>
      <c r="C12" s="3"/>
      <c r="D12" s="3" t="s">
        <v>48</v>
      </c>
      <c r="E12" s="3" t="s">
        <v>316</v>
      </c>
      <c r="F12" s="3" t="s">
        <v>14</v>
      </c>
      <c r="G12" s="3" t="e">
        <f>((G14*G11)/G13)/#REF!</f>
        <v>#REF!</v>
      </c>
    </row>
    <row r="13" spans="1:7">
      <c r="A13" s="3" t="s">
        <v>14</v>
      </c>
      <c r="B13" s="3" t="s">
        <v>82</v>
      </c>
      <c r="C13" s="3"/>
      <c r="D13" s="3" t="s">
        <v>48</v>
      </c>
      <c r="E13" s="3" t="s">
        <v>204</v>
      </c>
      <c r="F13" s="3" t="s">
        <v>14</v>
      </c>
      <c r="G13" s="3">
        <f>1000</f>
        <v>1000</v>
      </c>
    </row>
    <row r="14" spans="1:7">
      <c r="A14" s="3" t="s">
        <v>11</v>
      </c>
      <c r="B14" s="3" t="s">
        <v>82</v>
      </c>
      <c r="C14" s="3"/>
      <c r="D14" s="3"/>
      <c r="E14" s="3" t="s">
        <v>96</v>
      </c>
      <c r="F14" s="3" t="s">
        <v>14</v>
      </c>
      <c r="G14" s="3">
        <v>28</v>
      </c>
    </row>
  </sheetData>
  <mergeCells count="3">
    <mergeCell ref="A1:G1"/>
    <mergeCell ref="B2:G2"/>
    <mergeCell ref="B3:G3"/>
  </mergeCells>
  <dataValidations count="2">
    <dataValidation type="list" allowBlank="1" showInputMessage="1" showErrorMessage="1" sqref="F6:F14 A6:A14" xr:uid="{E582C2B6-B703-4B8F-8C7E-ED324811680F}">
      <formula1>"Yes,No"</formula1>
    </dataValidation>
    <dataValidation type="list" allowBlank="1" showInputMessage="1" showErrorMessage="1" sqref="B3:G3" xr:uid="{F939D575-1077-4E24-9465-EEB33AA91493}">
      <formula1>"Verifiable Credentials,Encrypted Verifiable Credential,Sub-Schema"</formula1>
    </dataValidation>
  </dataValidations>
  <hyperlinks>
    <hyperlink ref="B5" location="Livestock_Data_ByType_Project!A1" display="Livestock_Data_ByType_Project" xr:uid="{6CDEABF1-6E65-4403-9E22-904B60FA6F64}"/>
  </hyperlinks>
  <pageMargins left="0.7" right="0.7" top="0.75" bottom="0.75" header="0.3" footer="0.3"/>
  <pageSetup orientation="portrait" horizontalDpi="4294967295" verticalDpi="4294967295" r:id="rId1"/>
  <legacy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555A-860D-43C9-B173-D19B6DC0D8CA}">
  <sheetPr codeName="Sheet54">
    <tabColor rgb="FFFFC000"/>
    <outlinePr summaryBelow="0" summaryRight="0"/>
  </sheetPr>
  <dimension ref="A1:G9"/>
  <sheetViews>
    <sheetView workbookViewId="0">
      <selection activeCell="E28" sqref="E2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313</v>
      </c>
      <c r="B1" s="32"/>
      <c r="C1" s="32"/>
      <c r="D1" s="32"/>
      <c r="E1" s="32"/>
      <c r="F1" s="32"/>
      <c r="G1" s="32"/>
    </row>
    <row r="2" spans="1:7" ht="18.75">
      <c r="A2" s="1" t="s">
        <v>1</v>
      </c>
      <c r="B2" s="33" t="s">
        <v>706</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ollapsed="1">
      <c r="A5" s="3" t="s">
        <v>11</v>
      </c>
      <c r="B5" s="3" t="s">
        <v>46</v>
      </c>
      <c r="C5" s="3" t="s">
        <v>47</v>
      </c>
      <c r="D5" s="3"/>
      <c r="E5" s="3" t="s">
        <v>197</v>
      </c>
      <c r="F5" s="3" t="s">
        <v>14</v>
      </c>
      <c r="G5" s="3" t="s">
        <v>198</v>
      </c>
    </row>
    <row r="6" spans="1:7">
      <c r="A6" s="3" t="s">
        <v>11</v>
      </c>
      <c r="B6" s="3" t="s">
        <v>46</v>
      </c>
      <c r="C6" s="3"/>
      <c r="D6" s="3"/>
      <c r="E6" s="3" t="s">
        <v>199</v>
      </c>
      <c r="F6" s="3" t="s">
        <v>14</v>
      </c>
      <c r="G6" s="3" t="s">
        <v>200</v>
      </c>
    </row>
    <row r="7" spans="1:7" ht="30">
      <c r="A7" s="3" t="s">
        <v>11</v>
      </c>
      <c r="B7" s="3" t="s">
        <v>82</v>
      </c>
      <c r="C7" s="3"/>
      <c r="D7" s="3"/>
      <c r="E7" s="3" t="s">
        <v>201</v>
      </c>
      <c r="F7" s="3" t="s">
        <v>14</v>
      </c>
      <c r="G7" s="3">
        <v>160</v>
      </c>
    </row>
    <row r="8" spans="1:7" ht="30">
      <c r="A8" s="3" t="s">
        <v>11</v>
      </c>
      <c r="B8" s="3" t="s">
        <v>82</v>
      </c>
      <c r="C8" s="3"/>
      <c r="D8" s="3"/>
      <c r="E8" s="3" t="s">
        <v>202</v>
      </c>
      <c r="F8" s="3" t="s">
        <v>14</v>
      </c>
      <c r="G8" s="3">
        <v>5.9951801952627202</v>
      </c>
    </row>
    <row r="9" spans="1:7" ht="18">
      <c r="A9" s="3" t="s">
        <v>14</v>
      </c>
      <c r="B9" s="3" t="s">
        <v>82</v>
      </c>
      <c r="C9" s="3"/>
      <c r="D9" s="3" t="s">
        <v>48</v>
      </c>
      <c r="E9" s="3" t="s">
        <v>703</v>
      </c>
      <c r="F9" s="3" t="s">
        <v>14</v>
      </c>
      <c r="G9" s="3">
        <f>G7*G8</f>
        <v>959.2288312420352</v>
      </c>
    </row>
  </sheetData>
  <mergeCells count="3">
    <mergeCell ref="A1:G1"/>
    <mergeCell ref="B2:G2"/>
    <mergeCell ref="B3:G3"/>
  </mergeCells>
  <dataValidations count="2">
    <dataValidation type="list" allowBlank="1" showInputMessage="1" showErrorMessage="1" sqref="F5:F9 A5:A9" xr:uid="{E85C3AC0-C5FA-4FBA-BD44-BFD5128DABEE}">
      <formula1>"Yes,No"</formula1>
    </dataValidation>
    <dataValidation type="list" allowBlank="1" showInputMessage="1" showErrorMessage="1" sqref="B3:G3" xr:uid="{3CB92AEC-48B0-4ACE-AE9B-C756C7894B4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CB0B-9865-41C0-95A6-6AF9AEB6FC73}">
  <sheetPr codeName="Sheet55">
    <tabColor rgb="FFFFC000"/>
    <outlinePr summaryBelow="0" summaryRight="0"/>
  </sheetPr>
  <dimension ref="A1:G20"/>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707</v>
      </c>
      <c r="B1" s="32"/>
      <c r="C1" s="32"/>
      <c r="D1" s="32"/>
      <c r="E1" s="32"/>
      <c r="F1" s="32"/>
      <c r="G1" s="32"/>
    </row>
    <row r="2" spans="1:7" ht="18.75">
      <c r="A2" s="1" t="s">
        <v>1</v>
      </c>
      <c r="B2" s="33" t="s">
        <v>708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207</v>
      </c>
      <c r="C5" s="3"/>
      <c r="D5" s="3"/>
      <c r="E5" s="3" t="s">
        <v>208</v>
      </c>
      <c r="F5" s="3" t="s">
        <v>11</v>
      </c>
      <c r="G5" s="3"/>
    </row>
    <row r="6" spans="1:7" outlineLevel="1">
      <c r="A6" s="4" t="s">
        <v>11</v>
      </c>
      <c r="B6" s="4" t="s">
        <v>46</v>
      </c>
      <c r="C6" s="5" t="s">
        <v>47</v>
      </c>
      <c r="D6" s="8"/>
      <c r="E6" s="4" t="s">
        <v>197</v>
      </c>
      <c r="F6" s="4" t="s">
        <v>14</v>
      </c>
      <c r="G6" s="4" t="s">
        <v>198</v>
      </c>
    </row>
    <row r="7" spans="1:7" outlineLevel="1">
      <c r="A7" s="4" t="s">
        <v>11</v>
      </c>
      <c r="B7" s="4" t="s">
        <v>46</v>
      </c>
      <c r="C7" s="5"/>
      <c r="D7" s="8"/>
      <c r="E7" s="4" t="s">
        <v>199</v>
      </c>
      <c r="F7" s="4" t="s">
        <v>14</v>
      </c>
      <c r="G7" s="4" t="s">
        <v>200</v>
      </c>
    </row>
    <row r="8" spans="1:7" ht="30" outlineLevel="1">
      <c r="A8" s="4" t="s">
        <v>11</v>
      </c>
      <c r="B8" s="4" t="s">
        <v>82</v>
      </c>
      <c r="C8" s="5"/>
      <c r="D8" s="8"/>
      <c r="E8" s="4" t="s">
        <v>201</v>
      </c>
      <c r="F8" s="4" t="s">
        <v>14</v>
      </c>
      <c r="G8" s="4">
        <v>160</v>
      </c>
    </row>
    <row r="9" spans="1:7" outlineLevel="1">
      <c r="A9" s="4" t="s">
        <v>11</v>
      </c>
      <c r="B9" s="4" t="s">
        <v>46</v>
      </c>
      <c r="C9" s="5"/>
      <c r="D9" s="8"/>
      <c r="E9" s="4" t="s">
        <v>209</v>
      </c>
      <c r="F9" s="4" t="s">
        <v>14</v>
      </c>
      <c r="G9" s="4" t="s">
        <v>210</v>
      </c>
    </row>
    <row r="10" spans="1:7" ht="45" outlineLevel="1">
      <c r="A10" s="4" t="s">
        <v>14</v>
      </c>
      <c r="B10" s="4" t="s">
        <v>82</v>
      </c>
      <c r="C10" s="5"/>
      <c r="D10" s="8"/>
      <c r="E10" s="4" t="s">
        <v>211</v>
      </c>
      <c r="F10" s="4" t="s">
        <v>14</v>
      </c>
      <c r="G10" s="4">
        <v>1</v>
      </c>
    </row>
    <row r="11" spans="1:7" ht="30" outlineLevel="1">
      <c r="A11" s="4" t="s">
        <v>11</v>
      </c>
      <c r="B11" s="4" t="s">
        <v>82</v>
      </c>
      <c r="C11" s="5"/>
      <c r="D11" s="8"/>
      <c r="E11" s="4" t="s">
        <v>212</v>
      </c>
      <c r="F11" s="4" t="s">
        <v>14</v>
      </c>
      <c r="G11" s="4">
        <v>30</v>
      </c>
    </row>
    <row r="12" spans="1:7" ht="30" outlineLevel="1">
      <c r="A12" s="4" t="s">
        <v>11</v>
      </c>
      <c r="B12" s="4" t="s">
        <v>82</v>
      </c>
      <c r="C12" s="5"/>
      <c r="D12" s="8"/>
      <c r="E12" s="4" t="s">
        <v>213</v>
      </c>
      <c r="F12" s="4" t="s">
        <v>14</v>
      </c>
      <c r="G12" s="4">
        <v>8.3000000000000007</v>
      </c>
    </row>
    <row r="13" spans="1:7" ht="45" outlineLevel="1">
      <c r="A13" s="4" t="s">
        <v>14</v>
      </c>
      <c r="B13" s="4" t="s">
        <v>82</v>
      </c>
      <c r="C13" s="5"/>
      <c r="D13" s="8"/>
      <c r="E13" s="4" t="s">
        <v>214</v>
      </c>
      <c r="F13" s="4" t="s">
        <v>14</v>
      </c>
      <c r="G13" s="4">
        <v>0.6</v>
      </c>
    </row>
    <row r="14" spans="1:7" ht="45" outlineLevel="1">
      <c r="A14" s="4" t="s">
        <v>14</v>
      </c>
      <c r="B14" s="4" t="s">
        <v>82</v>
      </c>
      <c r="C14" s="5"/>
      <c r="D14" s="8" t="s">
        <v>48</v>
      </c>
      <c r="E14" s="4" t="s">
        <v>215</v>
      </c>
      <c r="F14" s="4" t="s">
        <v>14</v>
      </c>
      <c r="G14" s="4">
        <f>(G12*(G11/G15))*G16</f>
        <v>90.885000000000005</v>
      </c>
    </row>
    <row r="15" spans="1:7" outlineLevel="1">
      <c r="A15" s="4" t="s">
        <v>14</v>
      </c>
      <c r="B15" s="4" t="s">
        <v>82</v>
      </c>
      <c r="C15" s="5"/>
      <c r="D15" s="8" t="s">
        <v>48</v>
      </c>
      <c r="E15" s="4" t="s">
        <v>216</v>
      </c>
      <c r="F15" s="4" t="s">
        <v>14</v>
      </c>
      <c r="G15" s="4">
        <v>1000</v>
      </c>
    </row>
    <row r="16" spans="1:7" outlineLevel="1">
      <c r="A16" s="4" t="s">
        <v>14</v>
      </c>
      <c r="B16" s="4" t="s">
        <v>82</v>
      </c>
      <c r="C16" s="5"/>
      <c r="D16" s="8" t="s">
        <v>48</v>
      </c>
      <c r="E16" s="4" t="s">
        <v>217</v>
      </c>
      <c r="F16" s="4" t="s">
        <v>14</v>
      </c>
      <c r="G16" s="4">
        <f>365</f>
        <v>365</v>
      </c>
    </row>
    <row r="17" spans="1:7" ht="18">
      <c r="A17" s="3" t="s">
        <v>14</v>
      </c>
      <c r="B17" s="3" t="s">
        <v>82</v>
      </c>
      <c r="C17" s="3"/>
      <c r="D17" s="3" t="s">
        <v>48</v>
      </c>
      <c r="E17" s="3" t="s">
        <v>218</v>
      </c>
      <c r="F17" s="3" t="s">
        <v>14</v>
      </c>
      <c r="G17" s="3">
        <f>SUM(G8*G14*G10*G13)</f>
        <v>8724.9599999999991</v>
      </c>
    </row>
    <row r="18" spans="1:7" ht="30">
      <c r="A18" s="3" t="s">
        <v>14</v>
      </c>
      <c r="B18" s="3" t="s">
        <v>82</v>
      </c>
      <c r="C18" s="3"/>
      <c r="D18" s="3" t="s">
        <v>48</v>
      </c>
      <c r="E18" s="3" t="s">
        <v>709</v>
      </c>
      <c r="F18" s="3" t="s">
        <v>14</v>
      </c>
      <c r="G18" s="3" t="e">
        <f>G19*G17/(G20*#REF!)</f>
        <v>#REF!</v>
      </c>
    </row>
    <row r="19" spans="1:7">
      <c r="A19" s="3" t="s">
        <v>11</v>
      </c>
      <c r="B19" s="3" t="s">
        <v>82</v>
      </c>
      <c r="C19" s="3"/>
      <c r="D19" s="3"/>
      <c r="E19" s="3" t="s">
        <v>96</v>
      </c>
      <c r="F19" s="3" t="s">
        <v>14</v>
      </c>
      <c r="G19" s="3">
        <v>28</v>
      </c>
    </row>
    <row r="20" spans="1:7">
      <c r="A20" s="3" t="s">
        <v>14</v>
      </c>
      <c r="B20" s="3" t="s">
        <v>82</v>
      </c>
      <c r="C20" s="3"/>
      <c r="D20" s="3" t="s">
        <v>48</v>
      </c>
      <c r="E20" s="3" t="s">
        <v>220</v>
      </c>
      <c r="F20" s="3" t="s">
        <v>14</v>
      </c>
      <c r="G20" s="3">
        <f>10^6</f>
        <v>1000000</v>
      </c>
    </row>
  </sheetData>
  <mergeCells count="3">
    <mergeCell ref="A1:G1"/>
    <mergeCell ref="B2:G2"/>
    <mergeCell ref="B3:G3"/>
  </mergeCells>
  <phoneticPr fontId="7" type="noConversion"/>
  <dataValidations count="2">
    <dataValidation type="list" allowBlank="1" showInputMessage="1" showErrorMessage="1" sqref="F6:F20 A6:A20" xr:uid="{4466D30C-64A5-4E5D-8BF8-6C913CA75130}">
      <formula1>"Yes,No"</formula1>
    </dataValidation>
    <dataValidation type="list" allowBlank="1" showInputMessage="1" showErrorMessage="1" sqref="B3:G3" xr:uid="{24A2C5B8-95B3-46CF-8F19-87869A3D68D6}">
      <formula1>"Verifiable Credentials,Encrypted Verifiable Credential,Sub-Schema"</formula1>
    </dataValidation>
  </dataValidations>
  <hyperlinks>
    <hyperlink ref="B5" location="CH4_Manure_Data_ByType_Baseline!A1" display="CH4_Manure_Data_ByType_Baseline" xr:uid="{27BF8887-2224-450C-9321-83B0684F1563}"/>
  </hyperlinks>
  <pageMargins left="0.7" right="0.7" top="0.75" bottom="0.75" header="0.3" footer="0.3"/>
  <pageSetup orientation="portrait" horizontalDpi="4294967295" verticalDpi="4294967295"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7816C-C807-4603-9CB2-6CF95B0F332E}">
  <sheetPr codeName="Sheet56">
    <tabColor rgb="FFFFC000"/>
    <outlinePr summaryBelow="0" summaryRight="0"/>
  </sheetPr>
  <dimension ref="A1:G15"/>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710</v>
      </c>
      <c r="B1" s="32"/>
      <c r="C1" s="32"/>
      <c r="D1" s="32"/>
      <c r="E1" s="32"/>
      <c r="F1" s="32"/>
      <c r="G1" s="32"/>
    </row>
    <row r="2" spans="1:7" ht="18.75">
      <c r="A2" s="1" t="s">
        <v>1</v>
      </c>
      <c r="B2" s="33" t="s">
        <v>711</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197</v>
      </c>
      <c r="F5" s="3" t="s">
        <v>14</v>
      </c>
      <c r="G5" s="3" t="s">
        <v>198</v>
      </c>
    </row>
    <row r="6" spans="1:7">
      <c r="A6" s="3" t="s">
        <v>11</v>
      </c>
      <c r="B6" s="3" t="s">
        <v>46</v>
      </c>
      <c r="C6" s="3"/>
      <c r="D6" s="3"/>
      <c r="E6" s="3" t="s">
        <v>199</v>
      </c>
      <c r="F6" s="3" t="s">
        <v>14</v>
      </c>
      <c r="G6" s="3" t="s">
        <v>200</v>
      </c>
    </row>
    <row r="7" spans="1:7" ht="30">
      <c r="A7" s="3" t="s">
        <v>11</v>
      </c>
      <c r="B7" s="3" t="s">
        <v>82</v>
      </c>
      <c r="C7" s="3"/>
      <c r="D7" s="3"/>
      <c r="E7" s="3" t="s">
        <v>201</v>
      </c>
      <c r="F7" s="3" t="s">
        <v>14</v>
      </c>
      <c r="G7" s="3">
        <v>160</v>
      </c>
    </row>
    <row r="8" spans="1:7">
      <c r="A8" s="3" t="s">
        <v>11</v>
      </c>
      <c r="B8" s="3" t="s">
        <v>46</v>
      </c>
      <c r="C8" s="3"/>
      <c r="D8" s="3"/>
      <c r="E8" s="3" t="s">
        <v>209</v>
      </c>
      <c r="F8" s="3" t="s">
        <v>14</v>
      </c>
      <c r="G8" s="3" t="s">
        <v>210</v>
      </c>
    </row>
    <row r="9" spans="1:7" ht="45">
      <c r="A9" s="3" t="s">
        <v>14</v>
      </c>
      <c r="B9" s="3" t="s">
        <v>82</v>
      </c>
      <c r="C9" s="3"/>
      <c r="D9" s="3"/>
      <c r="E9" s="3" t="s">
        <v>211</v>
      </c>
      <c r="F9" s="3" t="s">
        <v>14</v>
      </c>
      <c r="G9" s="3">
        <v>1</v>
      </c>
    </row>
    <row r="10" spans="1:7" ht="30">
      <c r="A10" s="3" t="s">
        <v>11</v>
      </c>
      <c r="B10" s="3" t="s">
        <v>82</v>
      </c>
      <c r="C10" s="3"/>
      <c r="D10" s="3"/>
      <c r="E10" s="3" t="s">
        <v>212</v>
      </c>
      <c r="F10" s="3" t="s">
        <v>14</v>
      </c>
      <c r="G10" s="3">
        <v>30</v>
      </c>
    </row>
    <row r="11" spans="1:7" ht="30">
      <c r="A11" s="3" t="s">
        <v>11</v>
      </c>
      <c r="B11" s="3" t="s">
        <v>82</v>
      </c>
      <c r="C11" s="3"/>
      <c r="D11" s="3"/>
      <c r="E11" s="3" t="s">
        <v>213</v>
      </c>
      <c r="F11" s="3" t="s">
        <v>14</v>
      </c>
      <c r="G11" s="3">
        <v>8.3000000000000007</v>
      </c>
    </row>
    <row r="12" spans="1:7" ht="45">
      <c r="A12" s="3" t="s">
        <v>14</v>
      </c>
      <c r="B12" s="3" t="s">
        <v>82</v>
      </c>
      <c r="C12" s="3"/>
      <c r="D12" s="3"/>
      <c r="E12" s="3" t="s">
        <v>214</v>
      </c>
      <c r="F12" s="3" t="s">
        <v>14</v>
      </c>
      <c r="G12" s="3">
        <v>0.6</v>
      </c>
    </row>
    <row r="13" spans="1:7" ht="45">
      <c r="A13" s="3" t="s">
        <v>14</v>
      </c>
      <c r="B13" s="3" t="s">
        <v>82</v>
      </c>
      <c r="C13" s="3"/>
      <c r="D13" s="3" t="s">
        <v>48</v>
      </c>
      <c r="E13" s="3" t="s">
        <v>215</v>
      </c>
      <c r="F13" s="3" t="s">
        <v>14</v>
      </c>
      <c r="G13" s="3">
        <f>(G11*(G10/G14))*G15</f>
        <v>90.885000000000005</v>
      </c>
    </row>
    <row r="14" spans="1:7">
      <c r="A14" s="3" t="s">
        <v>14</v>
      </c>
      <c r="B14" s="3" t="s">
        <v>82</v>
      </c>
      <c r="C14" s="3"/>
      <c r="D14" s="3" t="s">
        <v>48</v>
      </c>
      <c r="E14" s="3" t="s">
        <v>216</v>
      </c>
      <c r="F14" s="3" t="s">
        <v>14</v>
      </c>
      <c r="G14" s="3">
        <v>1000</v>
      </c>
    </row>
    <row r="15" spans="1:7">
      <c r="A15" s="3" t="s">
        <v>14</v>
      </c>
      <c r="B15" s="3" t="s">
        <v>82</v>
      </c>
      <c r="C15" s="3"/>
      <c r="D15" s="3" t="s">
        <v>48</v>
      </c>
      <c r="E15" s="3" t="s">
        <v>217</v>
      </c>
      <c r="F15" s="3" t="s">
        <v>14</v>
      </c>
      <c r="G15" s="3">
        <f>365</f>
        <v>365</v>
      </c>
    </row>
  </sheetData>
  <mergeCells count="3">
    <mergeCell ref="A1:G1"/>
    <mergeCell ref="B2:G2"/>
    <mergeCell ref="B3:G3"/>
  </mergeCells>
  <dataValidations count="2">
    <dataValidation type="list" allowBlank="1" showInputMessage="1" showErrorMessage="1" sqref="A5:A15 F5:F15" xr:uid="{C4DFABD2-BF75-4257-947A-2F06B6866400}">
      <formula1>"Yes,No"</formula1>
    </dataValidation>
    <dataValidation type="list" allowBlank="1" showInputMessage="1" showErrorMessage="1" sqref="B3:G3" xr:uid="{E01ADA3E-933E-4558-AE80-7B59356291DF}">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84DC-3AC8-4424-B919-21B5052A210B}">
  <sheetPr codeName="Sheet57">
    <tabColor rgb="FFFFC000"/>
    <outlinePr summaryBelow="0" summaryRight="0"/>
  </sheetPr>
  <dimension ref="A1:G20"/>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712</v>
      </c>
      <c r="B1" s="32"/>
      <c r="C1" s="32"/>
      <c r="D1" s="32"/>
      <c r="E1" s="32"/>
      <c r="F1" s="32"/>
      <c r="G1" s="32"/>
    </row>
    <row r="2" spans="1:7" ht="18.75">
      <c r="A2" s="1" t="s">
        <v>1</v>
      </c>
      <c r="B2" s="33" t="s">
        <v>713</v>
      </c>
      <c r="C2" s="33"/>
      <c r="D2" s="33"/>
      <c r="E2" s="33"/>
      <c r="F2" s="33"/>
      <c r="G2" s="33"/>
    </row>
    <row r="3" spans="1:7" ht="18.75">
      <c r="A3" s="1" t="s">
        <v>2</v>
      </c>
      <c r="B3" s="33" t="s">
        <v>633</v>
      </c>
      <c r="C3" s="33"/>
      <c r="D3" s="33"/>
      <c r="E3" s="33"/>
      <c r="F3" s="33"/>
      <c r="G3" s="33"/>
    </row>
    <row r="4" spans="1:7" ht="19.5" customHeight="1">
      <c r="A4" s="2" t="s">
        <v>4</v>
      </c>
      <c r="B4" s="2" t="s">
        <v>5</v>
      </c>
      <c r="C4" s="2" t="s">
        <v>6</v>
      </c>
      <c r="D4" s="2" t="s">
        <v>7</v>
      </c>
      <c r="E4" s="2" t="s">
        <v>8</v>
      </c>
      <c r="F4" s="2" t="s">
        <v>9</v>
      </c>
      <c r="G4" s="2" t="s">
        <v>10</v>
      </c>
    </row>
    <row r="5" spans="1:7">
      <c r="A5" s="3" t="s">
        <v>11</v>
      </c>
      <c r="B5" s="10" t="s">
        <v>319</v>
      </c>
      <c r="C5" s="3"/>
      <c r="D5" s="3"/>
      <c r="E5" s="3" t="s">
        <v>320</v>
      </c>
      <c r="F5" s="3" t="s">
        <v>11</v>
      </c>
      <c r="G5" s="3"/>
    </row>
    <row r="6" spans="1:7" outlineLevel="1">
      <c r="A6" s="4" t="s">
        <v>11</v>
      </c>
      <c r="B6" s="4" t="s">
        <v>46</v>
      </c>
      <c r="C6" s="5" t="s">
        <v>47</v>
      </c>
      <c r="D6" s="8"/>
      <c r="E6" s="4" t="s">
        <v>197</v>
      </c>
      <c r="F6" s="4" t="s">
        <v>14</v>
      </c>
      <c r="G6" s="4" t="s">
        <v>198</v>
      </c>
    </row>
    <row r="7" spans="1:7" outlineLevel="1">
      <c r="A7" s="4" t="s">
        <v>11</v>
      </c>
      <c r="B7" s="4" t="s">
        <v>46</v>
      </c>
      <c r="C7" s="5"/>
      <c r="D7" s="8"/>
      <c r="E7" s="4" t="s">
        <v>199</v>
      </c>
      <c r="F7" s="4" t="s">
        <v>14</v>
      </c>
      <c r="G7" s="4" t="s">
        <v>200</v>
      </c>
    </row>
    <row r="8" spans="1:7" ht="30" outlineLevel="1">
      <c r="A8" s="4" t="s">
        <v>11</v>
      </c>
      <c r="B8" s="4" t="s">
        <v>82</v>
      </c>
      <c r="C8" s="5"/>
      <c r="D8" s="8"/>
      <c r="E8" s="4" t="s">
        <v>315</v>
      </c>
      <c r="F8" s="4" t="s">
        <v>14</v>
      </c>
      <c r="G8" s="4">
        <v>160</v>
      </c>
    </row>
    <row r="9" spans="1:7" outlineLevel="1">
      <c r="A9" s="4" t="s">
        <v>11</v>
      </c>
      <c r="B9" s="4" t="s">
        <v>46</v>
      </c>
      <c r="C9" s="5"/>
      <c r="D9" s="8"/>
      <c r="E9" s="4" t="s">
        <v>209</v>
      </c>
      <c r="F9" s="4" t="s">
        <v>14</v>
      </c>
      <c r="G9" s="4" t="s">
        <v>210</v>
      </c>
    </row>
    <row r="10" spans="1:7" ht="45" outlineLevel="1">
      <c r="A10" s="4" t="s">
        <v>14</v>
      </c>
      <c r="B10" s="4" t="s">
        <v>82</v>
      </c>
      <c r="C10" s="5"/>
      <c r="D10" s="8"/>
      <c r="E10" s="4" t="s">
        <v>211</v>
      </c>
      <c r="F10" s="4" t="s">
        <v>14</v>
      </c>
      <c r="G10" s="4">
        <v>1</v>
      </c>
    </row>
    <row r="11" spans="1:7" ht="30" outlineLevel="1">
      <c r="A11" s="4" t="s">
        <v>11</v>
      </c>
      <c r="B11" s="4" t="s">
        <v>82</v>
      </c>
      <c r="C11" s="5"/>
      <c r="D11" s="8"/>
      <c r="E11" s="4" t="s">
        <v>321</v>
      </c>
      <c r="F11" s="4" t="s">
        <v>14</v>
      </c>
      <c r="G11" s="4">
        <v>30</v>
      </c>
    </row>
    <row r="12" spans="1:7" ht="30" outlineLevel="1">
      <c r="A12" s="4" t="s">
        <v>11</v>
      </c>
      <c r="B12" s="4" t="s">
        <v>82</v>
      </c>
      <c r="C12" s="5"/>
      <c r="D12" s="8"/>
      <c r="E12" s="4" t="s">
        <v>213</v>
      </c>
      <c r="F12" s="4" t="s">
        <v>14</v>
      </c>
      <c r="G12" s="4">
        <v>8.3000000000000007</v>
      </c>
    </row>
    <row r="13" spans="1:7" ht="45" outlineLevel="1">
      <c r="A13" s="4" t="s">
        <v>14</v>
      </c>
      <c r="B13" s="4" t="s">
        <v>82</v>
      </c>
      <c r="C13" s="5"/>
      <c r="D13" s="8"/>
      <c r="E13" s="4" t="s">
        <v>214</v>
      </c>
      <c r="F13" s="4" t="s">
        <v>14</v>
      </c>
      <c r="G13" s="4">
        <v>0.6</v>
      </c>
    </row>
    <row r="14" spans="1:7" ht="45" outlineLevel="1">
      <c r="A14" s="4" t="s">
        <v>14</v>
      </c>
      <c r="B14" s="4" t="s">
        <v>82</v>
      </c>
      <c r="C14" s="5"/>
      <c r="D14" s="8" t="s">
        <v>48</v>
      </c>
      <c r="E14" s="4" t="s">
        <v>215</v>
      </c>
      <c r="F14" s="4" t="s">
        <v>14</v>
      </c>
      <c r="G14" s="4">
        <f>(G12*(G11/G15))*G16</f>
        <v>90.885000000000005</v>
      </c>
    </row>
    <row r="15" spans="1:7" outlineLevel="1">
      <c r="A15" s="4" t="s">
        <v>14</v>
      </c>
      <c r="B15" s="4" t="s">
        <v>82</v>
      </c>
      <c r="C15" s="5"/>
      <c r="D15" s="8" t="s">
        <v>48</v>
      </c>
      <c r="E15" s="4" t="s">
        <v>216</v>
      </c>
      <c r="F15" s="4" t="s">
        <v>14</v>
      </c>
      <c r="G15" s="4">
        <v>1000</v>
      </c>
    </row>
    <row r="16" spans="1:7" outlineLevel="1">
      <c r="A16" s="4" t="s">
        <v>14</v>
      </c>
      <c r="B16" s="4" t="s">
        <v>82</v>
      </c>
      <c r="C16" s="5"/>
      <c r="D16" s="8" t="s">
        <v>48</v>
      </c>
      <c r="E16" s="4" t="s">
        <v>217</v>
      </c>
      <c r="F16" s="4" t="s">
        <v>14</v>
      </c>
      <c r="G16" s="4">
        <f>365</f>
        <v>365</v>
      </c>
    </row>
    <row r="17" spans="1:7" ht="18">
      <c r="A17" s="3" t="s">
        <v>14</v>
      </c>
      <c r="B17" s="3" t="s">
        <v>82</v>
      </c>
      <c r="C17" s="3"/>
      <c r="D17" s="3" t="s">
        <v>48</v>
      </c>
      <c r="E17" s="3" t="s">
        <v>322</v>
      </c>
      <c r="F17" s="3" t="s">
        <v>14</v>
      </c>
      <c r="G17" s="3">
        <f>SUM(G8*G14*G10*G13)</f>
        <v>8724.9599999999991</v>
      </c>
    </row>
    <row r="18" spans="1:7" ht="30">
      <c r="A18" s="3" t="s">
        <v>14</v>
      </c>
      <c r="B18" s="3" t="s">
        <v>82</v>
      </c>
      <c r="C18" s="3"/>
      <c r="D18" s="3" t="s">
        <v>48</v>
      </c>
      <c r="E18" s="3" t="s">
        <v>323</v>
      </c>
      <c r="F18" s="3" t="s">
        <v>14</v>
      </c>
      <c r="G18" s="3" t="e">
        <f>G19*G17/(G20*#REF!)</f>
        <v>#REF!</v>
      </c>
    </row>
    <row r="19" spans="1:7">
      <c r="A19" s="3" t="s">
        <v>11</v>
      </c>
      <c r="B19" s="3" t="s">
        <v>82</v>
      </c>
      <c r="C19" s="3"/>
      <c r="D19" s="3"/>
      <c r="E19" s="3" t="s">
        <v>96</v>
      </c>
      <c r="F19" s="3" t="s">
        <v>14</v>
      </c>
      <c r="G19" s="3">
        <v>28</v>
      </c>
    </row>
    <row r="20" spans="1:7">
      <c r="A20" s="3" t="s">
        <v>14</v>
      </c>
      <c r="B20" s="3" t="s">
        <v>82</v>
      </c>
      <c r="C20" s="3"/>
      <c r="D20" s="3" t="s">
        <v>48</v>
      </c>
      <c r="E20" s="3" t="s">
        <v>220</v>
      </c>
      <c r="F20" s="3" t="s">
        <v>14</v>
      </c>
      <c r="G20" s="3">
        <f>10^6</f>
        <v>1000000</v>
      </c>
    </row>
  </sheetData>
  <mergeCells count="3">
    <mergeCell ref="A1:G1"/>
    <mergeCell ref="B2:G2"/>
    <mergeCell ref="B3:G3"/>
  </mergeCells>
  <dataValidations count="2">
    <dataValidation type="list" allowBlank="1" showInputMessage="1" showErrorMessage="1" sqref="F6:F20 A6:A20" xr:uid="{0232F912-A590-430D-BD41-89B10DB0646C}">
      <formula1>"Yes,No"</formula1>
    </dataValidation>
    <dataValidation type="list" allowBlank="1" showInputMessage="1" showErrorMessage="1" sqref="B3:G3" xr:uid="{E2A3555C-703C-4A96-8EB3-858D99161BF6}">
      <formula1>"Verifiable Credentials,Encrypted Verifiable Credential,Sub-Schema"</formula1>
    </dataValidation>
  </dataValidations>
  <hyperlinks>
    <hyperlink ref="B5" location="CH4_Manure_Data_ByType_Project!A1" display="CH4_Manure_Data_ByType_Project" xr:uid="{E046EA03-D119-4B19-AB31-00919AC1313E}"/>
  </hyperlinks>
  <pageMargins left="0.7" right="0.7" top="0.75" bottom="0.75" header="0.3" footer="0.3"/>
  <pageSetup orientation="portrait" horizontalDpi="4294967295" verticalDpi="4294967295"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D208-EBDF-414C-B8E8-E11943B95F55}">
  <sheetPr codeName="Sheet58">
    <tabColor rgb="FFFFC000"/>
    <outlinePr summaryBelow="0" summaryRight="0"/>
  </sheetPr>
  <dimension ref="A1:G15"/>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714</v>
      </c>
      <c r="B1" s="32"/>
      <c r="C1" s="32"/>
      <c r="D1" s="32"/>
      <c r="E1" s="32"/>
      <c r="F1" s="32"/>
      <c r="G1" s="32"/>
    </row>
    <row r="2" spans="1:7" ht="18.75">
      <c r="A2" s="1" t="s">
        <v>1</v>
      </c>
      <c r="B2" s="33" t="s">
        <v>715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197</v>
      </c>
      <c r="F5" s="3" t="s">
        <v>14</v>
      </c>
      <c r="G5" s="3" t="s">
        <v>198</v>
      </c>
    </row>
    <row r="6" spans="1:7">
      <c r="A6" s="3" t="s">
        <v>11</v>
      </c>
      <c r="B6" s="3" t="s">
        <v>46</v>
      </c>
      <c r="C6" s="3"/>
      <c r="D6" s="3"/>
      <c r="E6" s="3" t="s">
        <v>199</v>
      </c>
      <c r="F6" s="3" t="s">
        <v>14</v>
      </c>
      <c r="G6" s="3" t="s">
        <v>200</v>
      </c>
    </row>
    <row r="7" spans="1:7" ht="30">
      <c r="A7" s="3" t="s">
        <v>11</v>
      </c>
      <c r="B7" s="3" t="s">
        <v>82</v>
      </c>
      <c r="C7" s="3"/>
      <c r="D7" s="3"/>
      <c r="E7" s="3" t="s">
        <v>315</v>
      </c>
      <c r="F7" s="3" t="s">
        <v>14</v>
      </c>
      <c r="G7" s="3">
        <v>160</v>
      </c>
    </row>
    <row r="8" spans="1:7">
      <c r="A8" s="3" t="s">
        <v>11</v>
      </c>
      <c r="B8" s="3" t="s">
        <v>46</v>
      </c>
      <c r="C8" s="3"/>
      <c r="D8" s="3"/>
      <c r="E8" s="3" t="s">
        <v>209</v>
      </c>
      <c r="F8" s="3" t="s">
        <v>14</v>
      </c>
      <c r="G8" s="3" t="s">
        <v>210</v>
      </c>
    </row>
    <row r="9" spans="1:7" ht="45">
      <c r="A9" s="3" t="s">
        <v>14</v>
      </c>
      <c r="B9" s="3" t="s">
        <v>82</v>
      </c>
      <c r="C9" s="3"/>
      <c r="D9" s="3"/>
      <c r="E9" s="3" t="s">
        <v>211</v>
      </c>
      <c r="F9" s="3" t="s">
        <v>14</v>
      </c>
      <c r="G9" s="3">
        <v>1</v>
      </c>
    </row>
    <row r="10" spans="1:7" ht="30">
      <c r="A10" s="3" t="s">
        <v>11</v>
      </c>
      <c r="B10" s="3" t="s">
        <v>82</v>
      </c>
      <c r="C10" s="3"/>
      <c r="D10" s="3"/>
      <c r="E10" s="3" t="s">
        <v>212</v>
      </c>
      <c r="F10" s="3" t="s">
        <v>14</v>
      </c>
      <c r="G10" s="3">
        <v>30</v>
      </c>
    </row>
    <row r="11" spans="1:7" ht="30">
      <c r="A11" s="3" t="s">
        <v>11</v>
      </c>
      <c r="B11" s="3" t="s">
        <v>82</v>
      </c>
      <c r="C11" s="3"/>
      <c r="D11" s="3"/>
      <c r="E11" s="3" t="s">
        <v>213</v>
      </c>
      <c r="F11" s="3" t="s">
        <v>14</v>
      </c>
      <c r="G11" s="3">
        <v>8.3000000000000007</v>
      </c>
    </row>
    <row r="12" spans="1:7" ht="45">
      <c r="A12" s="3" t="s">
        <v>14</v>
      </c>
      <c r="B12" s="3" t="s">
        <v>82</v>
      </c>
      <c r="C12" s="3"/>
      <c r="D12" s="3"/>
      <c r="E12" s="3" t="s">
        <v>214</v>
      </c>
      <c r="F12" s="3" t="s">
        <v>14</v>
      </c>
      <c r="G12" s="3">
        <v>0.6</v>
      </c>
    </row>
    <row r="13" spans="1:7" ht="45">
      <c r="A13" s="3" t="s">
        <v>14</v>
      </c>
      <c r="B13" s="3" t="s">
        <v>82</v>
      </c>
      <c r="C13" s="3"/>
      <c r="D13" s="3" t="s">
        <v>48</v>
      </c>
      <c r="E13" s="3" t="s">
        <v>215</v>
      </c>
      <c r="F13" s="3" t="s">
        <v>14</v>
      </c>
      <c r="G13" s="3">
        <f>(G11*(G10/G14))*G15</f>
        <v>90.885000000000005</v>
      </c>
    </row>
    <row r="14" spans="1:7">
      <c r="A14" s="3" t="s">
        <v>14</v>
      </c>
      <c r="B14" s="3" t="s">
        <v>82</v>
      </c>
      <c r="C14" s="3"/>
      <c r="D14" s="3" t="s">
        <v>48</v>
      </c>
      <c r="E14" s="3" t="s">
        <v>216</v>
      </c>
      <c r="F14" s="3" t="s">
        <v>14</v>
      </c>
      <c r="G14" s="3">
        <v>1000</v>
      </c>
    </row>
    <row r="15" spans="1:7">
      <c r="A15" s="3" t="s">
        <v>14</v>
      </c>
      <c r="B15" s="3" t="s">
        <v>82</v>
      </c>
      <c r="C15" s="3"/>
      <c r="D15" s="3" t="s">
        <v>48</v>
      </c>
      <c r="E15" s="3" t="s">
        <v>217</v>
      </c>
      <c r="F15" s="3" t="s">
        <v>14</v>
      </c>
      <c r="G15" s="3">
        <f>365</f>
        <v>365</v>
      </c>
    </row>
  </sheetData>
  <mergeCells count="3">
    <mergeCell ref="A1:G1"/>
    <mergeCell ref="B2:G2"/>
    <mergeCell ref="B3:G3"/>
  </mergeCells>
  <dataValidations count="2">
    <dataValidation type="list" allowBlank="1" showInputMessage="1" showErrorMessage="1" sqref="A5:A15 F5:F15" xr:uid="{ABE712AC-8683-41C5-9CFE-D757F0958FAB}">
      <formula1>"Yes,No"</formula1>
    </dataValidation>
    <dataValidation type="list" allowBlank="1" showInputMessage="1" showErrorMessage="1" sqref="B3:G3" xr:uid="{5DC5F63A-6120-4129-B5EC-2FAE480B3D00}">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1391-ACA8-4C33-951A-C89936333D82}">
  <sheetPr codeName="Sheet6">
    <outlinePr summaryBelow="0" summaryRight="0"/>
  </sheetPr>
  <dimension ref="A1:G10"/>
  <sheetViews>
    <sheetView workbookViewId="0">
      <selection activeCell="E6"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626</v>
      </c>
      <c r="B1" s="32"/>
      <c r="C1" s="32"/>
      <c r="D1" s="32"/>
      <c r="E1" s="32"/>
      <c r="F1" s="32"/>
      <c r="G1" s="32"/>
    </row>
    <row r="2" spans="1:7" ht="18.75">
      <c r="A2" s="1" t="s">
        <v>1</v>
      </c>
      <c r="B2" s="33"/>
      <c r="C2" s="33"/>
      <c r="D2" s="33"/>
      <c r="E2" s="33"/>
      <c r="F2" s="33"/>
      <c r="G2" s="33"/>
    </row>
    <row r="3" spans="1:7" ht="18.75">
      <c r="A3" s="1" t="s">
        <v>2</v>
      </c>
      <c r="B3" s="33"/>
      <c r="C3" s="33"/>
      <c r="D3" s="33"/>
      <c r="E3" s="33"/>
      <c r="F3" s="33"/>
      <c r="G3" s="33"/>
    </row>
    <row r="4" spans="1:7" ht="18.75">
      <c r="A4" s="1" t="s">
        <v>642</v>
      </c>
      <c r="B4" s="33"/>
      <c r="C4" s="33"/>
      <c r="D4" s="33"/>
      <c r="E4" s="33"/>
      <c r="F4" s="33"/>
      <c r="G4" s="33"/>
    </row>
    <row r="5" spans="1:7" ht="18.75">
      <c r="A5" s="1" t="s">
        <v>643</v>
      </c>
      <c r="B5" s="33"/>
      <c r="C5" s="33"/>
      <c r="D5" s="33"/>
      <c r="E5" s="33"/>
      <c r="F5" s="33"/>
      <c r="G5" s="33"/>
    </row>
    <row r="6" spans="1:7" ht="18.75">
      <c r="A6" s="2" t="s">
        <v>4</v>
      </c>
      <c r="B6" s="2" t="s">
        <v>5</v>
      </c>
      <c r="C6" s="2" t="s">
        <v>6</v>
      </c>
      <c r="D6" s="2" t="s">
        <v>7</v>
      </c>
      <c r="E6" s="2" t="s">
        <v>8</v>
      </c>
      <c r="F6" s="2" t="s">
        <v>9</v>
      </c>
      <c r="G6" s="2" t="s">
        <v>10</v>
      </c>
    </row>
    <row r="7" spans="1:7">
      <c r="A7" s="3" t="s">
        <v>14</v>
      </c>
      <c r="B7" s="3" t="s">
        <v>82</v>
      </c>
      <c r="C7" s="3"/>
      <c r="D7" s="3" t="s">
        <v>48</v>
      </c>
      <c r="E7" s="3" t="s">
        <v>628</v>
      </c>
      <c r="F7" s="3" t="s">
        <v>14</v>
      </c>
      <c r="G7" s="3" t="e">
        <f>#REF!*(MAX(0,#REF!)-MAX(0,#REF!))*#REF!</f>
        <v>#REF!</v>
      </c>
    </row>
    <row r="8" spans="1:7" ht="30">
      <c r="A8" s="3" t="s">
        <v>14</v>
      </c>
      <c r="B8" s="3" t="s">
        <v>82</v>
      </c>
      <c r="C8" s="3"/>
      <c r="D8" s="3" t="s">
        <v>48</v>
      </c>
      <c r="E8" s="3" t="s">
        <v>629</v>
      </c>
      <c r="F8" s="3" t="s">
        <v>14</v>
      </c>
      <c r="G8" s="3" t="e">
        <f>#REF!-#REF!</f>
        <v>#REF!</v>
      </c>
    </row>
    <row r="9" spans="1:7" ht="30">
      <c r="A9" s="3" t="s">
        <v>14</v>
      </c>
      <c r="B9" s="3" t="s">
        <v>82</v>
      </c>
      <c r="C9" s="3"/>
      <c r="D9" s="3" t="s">
        <v>48</v>
      </c>
      <c r="E9" s="3" t="s">
        <v>630</v>
      </c>
      <c r="F9" s="3" t="s">
        <v>14</v>
      </c>
      <c r="G9" s="3" t="e">
        <f>#REF!-G7</f>
        <v>#REF!</v>
      </c>
    </row>
    <row r="10" spans="1:7">
      <c r="A10" s="3" t="s">
        <v>14</v>
      </c>
      <c r="B10" s="3" t="s">
        <v>82</v>
      </c>
      <c r="C10" s="3"/>
      <c r="D10" s="3" t="s">
        <v>48</v>
      </c>
      <c r="E10" s="3" t="s">
        <v>631</v>
      </c>
      <c r="F10" s="3" t="s">
        <v>14</v>
      </c>
      <c r="G10" s="3" t="e">
        <f>G8+G9</f>
        <v>#REF!</v>
      </c>
    </row>
  </sheetData>
  <mergeCells count="5">
    <mergeCell ref="A1:G1"/>
    <mergeCell ref="B2:G2"/>
    <mergeCell ref="B3:G3"/>
    <mergeCell ref="B4:G4"/>
    <mergeCell ref="B5:G5"/>
  </mergeCells>
  <dataValidations count="1">
    <dataValidation type="list" allowBlank="1" showInputMessage="1" showErrorMessage="1" sqref="B3:G3" xr:uid="{9953C142-CA29-4931-AC6B-0FFFEBDEF7D1}">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8BBA-D65E-48F7-8529-D48CBECCF366}">
  <sheetPr codeName="Sheet59">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716</v>
      </c>
      <c r="B1" s="32"/>
      <c r="C1" s="32"/>
      <c r="D1" s="32"/>
      <c r="E1" s="32"/>
      <c r="F1" s="32"/>
      <c r="G1" s="32"/>
    </row>
    <row r="2" spans="1:7" ht="18.75">
      <c r="A2" s="1" t="s">
        <v>1</v>
      </c>
      <c r="B2" s="33" t="s">
        <v>717</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223</v>
      </c>
      <c r="C5" s="3"/>
      <c r="D5" s="3"/>
      <c r="E5" s="3" t="s">
        <v>224</v>
      </c>
      <c r="F5" s="3" t="s">
        <v>11</v>
      </c>
      <c r="G5" s="3"/>
    </row>
    <row r="6" spans="1:7" outlineLevel="1">
      <c r="A6" s="4" t="s">
        <v>11</v>
      </c>
      <c r="B6" s="4" t="s">
        <v>46</v>
      </c>
      <c r="C6" s="5" t="s">
        <v>47</v>
      </c>
      <c r="D6" s="8"/>
      <c r="E6" s="4" t="s">
        <v>225</v>
      </c>
      <c r="F6" s="4" t="s">
        <v>14</v>
      </c>
      <c r="G6" s="4" t="s">
        <v>226</v>
      </c>
    </row>
    <row r="7" spans="1:7" ht="30" outlineLevel="1">
      <c r="A7" s="4" t="s">
        <v>11</v>
      </c>
      <c r="B7" s="4" t="s">
        <v>82</v>
      </c>
      <c r="C7" s="5"/>
      <c r="D7" s="8"/>
      <c r="E7" s="4" t="s">
        <v>227</v>
      </c>
      <c r="F7" s="4" t="s">
        <v>14</v>
      </c>
      <c r="G7" s="4">
        <v>0.92</v>
      </c>
    </row>
    <row r="8" spans="1:7" ht="30" outlineLevel="1">
      <c r="A8" s="4" t="s">
        <v>11</v>
      </c>
      <c r="B8" s="4" t="s">
        <v>82</v>
      </c>
      <c r="C8" s="5"/>
      <c r="D8" s="8"/>
      <c r="E8" s="4" t="s">
        <v>228</v>
      </c>
      <c r="F8" s="4" t="s">
        <v>14</v>
      </c>
      <c r="G8" s="4">
        <v>2.2999999999999998</v>
      </c>
    </row>
    <row r="9" spans="1:7" ht="30" outlineLevel="1">
      <c r="A9" s="4" t="s">
        <v>11</v>
      </c>
      <c r="B9" s="4" t="s">
        <v>82</v>
      </c>
      <c r="C9" s="5"/>
      <c r="D9" s="8"/>
      <c r="E9" s="4" t="s">
        <v>229</v>
      </c>
      <c r="F9" s="4" t="s">
        <v>14</v>
      </c>
      <c r="G9" s="4">
        <v>1423149.0296307299</v>
      </c>
    </row>
    <row r="10" spans="1:7" ht="18" outlineLevel="1">
      <c r="A10" s="4" t="s">
        <v>14</v>
      </c>
      <c r="B10" s="4" t="s">
        <v>82</v>
      </c>
      <c r="C10" s="5"/>
      <c r="D10" s="8" t="s">
        <v>48</v>
      </c>
      <c r="E10" s="4" t="s">
        <v>230</v>
      </c>
      <c r="F10" s="4" t="s">
        <v>14</v>
      </c>
      <c r="G10" s="4">
        <f>G9*G7*G8</f>
        <v>3011383.3466986245</v>
      </c>
    </row>
    <row r="11" spans="1:7" ht="18">
      <c r="A11" s="3" t="s">
        <v>11</v>
      </c>
      <c r="B11" s="3" t="s">
        <v>82</v>
      </c>
      <c r="C11" s="3"/>
      <c r="D11" s="3"/>
      <c r="E11" s="3" t="s">
        <v>231</v>
      </c>
      <c r="F11" s="3" t="s">
        <v>14</v>
      </c>
      <c r="G11" s="3">
        <f>SUM(G10)</f>
        <v>3011383.3466986245</v>
      </c>
    </row>
    <row r="12" spans="1:7" ht="30">
      <c r="A12" s="3" t="s">
        <v>14</v>
      </c>
      <c r="B12" s="3" t="s">
        <v>82</v>
      </c>
      <c r="C12" s="3"/>
      <c r="D12" s="3" t="s">
        <v>48</v>
      </c>
      <c r="E12" s="3" t="s">
        <v>232</v>
      </c>
      <c r="F12" s="3" t="s">
        <v>14</v>
      </c>
      <c r="G12" s="3" t="e">
        <f>((G13*G11)/G14)/#REF!</f>
        <v>#REF!</v>
      </c>
    </row>
    <row r="13" spans="1:7">
      <c r="A13" s="3" t="s">
        <v>11</v>
      </c>
      <c r="B13" s="3" t="s">
        <v>82</v>
      </c>
      <c r="C13" s="3"/>
      <c r="D13" s="3"/>
      <c r="E13" s="3" t="s">
        <v>96</v>
      </c>
      <c r="F13" s="3" t="s">
        <v>14</v>
      </c>
      <c r="G13" s="3">
        <v>28</v>
      </c>
    </row>
    <row r="14" spans="1:7">
      <c r="A14" s="3" t="s">
        <v>14</v>
      </c>
      <c r="B14" s="3" t="s">
        <v>82</v>
      </c>
      <c r="C14" s="3"/>
      <c r="D14" s="3" t="s">
        <v>48</v>
      </c>
      <c r="E14" s="3" t="s">
        <v>220</v>
      </c>
      <c r="F14" s="3" t="s">
        <v>14</v>
      </c>
      <c r="G14" s="3">
        <f>10^6</f>
        <v>1000000</v>
      </c>
    </row>
  </sheetData>
  <mergeCells count="3">
    <mergeCell ref="A1:G1"/>
    <mergeCell ref="B2:G2"/>
    <mergeCell ref="B3:G3"/>
  </mergeCells>
  <dataValidations count="2">
    <dataValidation type="list" allowBlank="1" showInputMessage="1" showErrorMessage="1" sqref="F6:F14 A6:A14" xr:uid="{C5195E6B-94E6-4285-A9A6-34ECE6F009AC}">
      <formula1>"Yes,No"</formula1>
    </dataValidation>
    <dataValidation type="list" allowBlank="1" showInputMessage="1" showErrorMessage="1" sqref="B3:G3" xr:uid="{798280E1-2138-493A-A30F-5407FE4617D4}">
      <formula1>"Verifiable Credentials,Encrypted Verifiable Credential,Sub-Schema"</formula1>
    </dataValidation>
  </dataValidations>
  <hyperlinks>
    <hyperlink ref="B5" location="CH4_BiomassData_ByType_Baseline!A1" display="CH4_BiomassData_ByType_Baseline" xr:uid="{3D357945-0220-40A3-87F3-6EEAD5B9A4B4}"/>
  </hyperlinks>
  <pageMargins left="0.7" right="0.7" top="0.75" bottom="0.75" header="0.3" footer="0.3"/>
  <pageSetup orientation="portrait" horizontalDpi="4294967295" verticalDpi="4294967295"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0391-7F06-44AA-9BDA-6B25BCE420FF}">
  <sheetPr codeName="Sheet60">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223</v>
      </c>
      <c r="B1" s="32"/>
      <c r="C1" s="32"/>
      <c r="D1" s="32"/>
      <c r="E1" s="32"/>
      <c r="F1" s="32"/>
      <c r="G1" s="32"/>
    </row>
    <row r="2" spans="1:7" ht="18.75">
      <c r="A2" s="1" t="s">
        <v>1</v>
      </c>
      <c r="B2" s="33" t="s">
        <v>718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225</v>
      </c>
      <c r="F5" s="3" t="s">
        <v>14</v>
      </c>
      <c r="G5" s="3" t="s">
        <v>226</v>
      </c>
    </row>
    <row r="6" spans="1:7" ht="30">
      <c r="A6" s="3" t="s">
        <v>11</v>
      </c>
      <c r="B6" s="3" t="s">
        <v>82</v>
      </c>
      <c r="C6" s="3"/>
      <c r="D6" s="3"/>
      <c r="E6" s="3" t="s">
        <v>227</v>
      </c>
      <c r="F6" s="3" t="s">
        <v>14</v>
      </c>
      <c r="G6" s="3">
        <v>0.92</v>
      </c>
    </row>
    <row r="7" spans="1:7" ht="30">
      <c r="A7" s="3" t="s">
        <v>11</v>
      </c>
      <c r="B7" s="3" t="s">
        <v>82</v>
      </c>
      <c r="C7" s="3"/>
      <c r="D7" s="3"/>
      <c r="E7" s="3" t="s">
        <v>228</v>
      </c>
      <c r="F7" s="3" t="s">
        <v>14</v>
      </c>
      <c r="G7" s="3">
        <v>2.2999999999999998</v>
      </c>
    </row>
    <row r="8" spans="1:7" ht="30">
      <c r="A8" s="3" t="s">
        <v>11</v>
      </c>
      <c r="B8" s="3" t="s">
        <v>82</v>
      </c>
      <c r="C8" s="3"/>
      <c r="D8" s="3"/>
      <c r="E8" s="3" t="s">
        <v>229</v>
      </c>
      <c r="F8" s="3" t="s">
        <v>14</v>
      </c>
      <c r="G8" s="3">
        <v>1423149.0296307299</v>
      </c>
    </row>
    <row r="9" spans="1:7" ht="18">
      <c r="A9" s="3" t="s">
        <v>14</v>
      </c>
      <c r="B9" s="3" t="s">
        <v>82</v>
      </c>
      <c r="C9" s="3"/>
      <c r="D9" s="3" t="s">
        <v>48</v>
      </c>
      <c r="E9" s="3" t="s">
        <v>230</v>
      </c>
      <c r="F9" s="3" t="s">
        <v>14</v>
      </c>
      <c r="G9" s="3">
        <f>G8*G6*G7</f>
        <v>3011383.3466986245</v>
      </c>
    </row>
  </sheetData>
  <mergeCells count="3">
    <mergeCell ref="A1:G1"/>
    <mergeCell ref="B2:G2"/>
    <mergeCell ref="B3:G3"/>
  </mergeCells>
  <dataValidations count="2">
    <dataValidation type="list" allowBlank="1" showInputMessage="1" showErrorMessage="1" sqref="F5:F9 A5:A9" xr:uid="{A5ACD226-5F7F-4ACA-94DC-305CEC422FE5}">
      <formula1>"Yes,No"</formula1>
    </dataValidation>
    <dataValidation type="list" allowBlank="1" showInputMessage="1" showErrorMessage="1" sqref="B3:G3" xr:uid="{3193A0A9-8C9D-4A2E-ACB7-2BC44E2FD38E}">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3E12-2C66-4BA4-8D4D-0661F609F0F4}">
  <sheetPr codeName="Sheet61">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719</v>
      </c>
      <c r="B1" s="32"/>
      <c r="C1" s="32"/>
      <c r="D1" s="32"/>
      <c r="E1" s="32"/>
      <c r="F1" s="32"/>
      <c r="G1" s="32"/>
    </row>
    <row r="2" spans="1:7" ht="18.75">
      <c r="A2" s="1" t="s">
        <v>1</v>
      </c>
      <c r="B2" s="33" t="s">
        <v>720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326</v>
      </c>
      <c r="C5" s="3"/>
      <c r="D5" s="3"/>
      <c r="E5" s="3" t="s">
        <v>327</v>
      </c>
      <c r="F5" s="3" t="s">
        <v>11</v>
      </c>
      <c r="G5" s="3"/>
    </row>
    <row r="6" spans="1:7" outlineLevel="1">
      <c r="A6" s="4" t="s">
        <v>11</v>
      </c>
      <c r="B6" s="4" t="s">
        <v>46</v>
      </c>
      <c r="C6" s="5" t="s">
        <v>47</v>
      </c>
      <c r="D6" s="8"/>
      <c r="E6" s="4" t="s">
        <v>225</v>
      </c>
      <c r="F6" s="4" t="s">
        <v>14</v>
      </c>
      <c r="G6" s="4" t="s">
        <v>226</v>
      </c>
    </row>
    <row r="7" spans="1:7" ht="30" outlineLevel="1">
      <c r="A7" s="4" t="s">
        <v>11</v>
      </c>
      <c r="B7" s="4" t="s">
        <v>82</v>
      </c>
      <c r="C7" s="5"/>
      <c r="D7" s="8"/>
      <c r="E7" s="4" t="s">
        <v>227</v>
      </c>
      <c r="F7" s="4" t="s">
        <v>14</v>
      </c>
      <c r="G7" s="4">
        <v>0.92</v>
      </c>
    </row>
    <row r="8" spans="1:7" ht="30" outlineLevel="1">
      <c r="A8" s="4" t="s">
        <v>11</v>
      </c>
      <c r="B8" s="4" t="s">
        <v>82</v>
      </c>
      <c r="C8" s="5"/>
      <c r="D8" s="8"/>
      <c r="E8" s="4" t="s">
        <v>228</v>
      </c>
      <c r="F8" s="4" t="s">
        <v>14</v>
      </c>
      <c r="G8" s="4">
        <v>2.2999999999999998</v>
      </c>
    </row>
    <row r="9" spans="1:7" ht="30" outlineLevel="1">
      <c r="A9" s="4" t="s">
        <v>11</v>
      </c>
      <c r="B9" s="4" t="s">
        <v>82</v>
      </c>
      <c r="C9" s="5"/>
      <c r="D9" s="8"/>
      <c r="E9" s="4" t="s">
        <v>328</v>
      </c>
      <c r="F9" s="4" t="s">
        <v>14</v>
      </c>
      <c r="G9" s="4">
        <v>1423149.0296307299</v>
      </c>
    </row>
    <row r="10" spans="1:7" ht="18" outlineLevel="1">
      <c r="A10" s="4" t="s">
        <v>14</v>
      </c>
      <c r="B10" s="4" t="s">
        <v>82</v>
      </c>
      <c r="C10" s="5"/>
      <c r="D10" s="8" t="s">
        <v>48</v>
      </c>
      <c r="E10" s="4" t="s">
        <v>329</v>
      </c>
      <c r="F10" s="4" t="s">
        <v>14</v>
      </c>
      <c r="G10" s="4">
        <f>G9*G7*G8</f>
        <v>3011383.3466986245</v>
      </c>
    </row>
    <row r="11" spans="1:7" ht="18">
      <c r="A11" s="3" t="s">
        <v>14</v>
      </c>
      <c r="B11" s="3" t="s">
        <v>82</v>
      </c>
      <c r="C11" s="3"/>
      <c r="D11" s="3" t="s">
        <v>48</v>
      </c>
      <c r="E11" s="3" t="s">
        <v>330</v>
      </c>
      <c r="F11" s="3" t="s">
        <v>14</v>
      </c>
      <c r="G11" s="3">
        <f>SUM(G10)</f>
        <v>3011383.3466986245</v>
      </c>
    </row>
    <row r="12" spans="1:7" ht="30">
      <c r="A12" s="3" t="s">
        <v>14</v>
      </c>
      <c r="B12" s="3" t="s">
        <v>82</v>
      </c>
      <c r="C12" s="3"/>
      <c r="D12" s="3" t="s">
        <v>48</v>
      </c>
      <c r="E12" s="3" t="s">
        <v>331</v>
      </c>
      <c r="F12" s="3" t="s">
        <v>14</v>
      </c>
      <c r="G12" s="3" t="e">
        <f>((G13*G11)/G14)/#REF!</f>
        <v>#REF!</v>
      </c>
    </row>
    <row r="13" spans="1:7">
      <c r="A13" s="3" t="s">
        <v>11</v>
      </c>
      <c r="B13" s="3" t="s">
        <v>82</v>
      </c>
      <c r="C13" s="3"/>
      <c r="D13" s="3"/>
      <c r="E13" s="3" t="s">
        <v>96</v>
      </c>
      <c r="F13" s="3" t="s">
        <v>14</v>
      </c>
      <c r="G13" s="3">
        <v>28</v>
      </c>
    </row>
    <row r="14" spans="1:7">
      <c r="A14" s="3" t="s">
        <v>14</v>
      </c>
      <c r="B14" s="3" t="s">
        <v>82</v>
      </c>
      <c r="C14" s="3"/>
      <c r="D14" s="3" t="s">
        <v>48</v>
      </c>
      <c r="E14" s="3" t="s">
        <v>220</v>
      </c>
      <c r="F14" s="3" t="s">
        <v>14</v>
      </c>
      <c r="G14" s="3">
        <f>10^6</f>
        <v>1000000</v>
      </c>
    </row>
  </sheetData>
  <mergeCells count="3">
    <mergeCell ref="A1:G1"/>
    <mergeCell ref="B2:G2"/>
    <mergeCell ref="B3:G3"/>
  </mergeCells>
  <dataValidations count="2">
    <dataValidation type="list" allowBlank="1" showInputMessage="1" showErrorMessage="1" sqref="F6:F14 A6:A14" xr:uid="{23E10230-4419-4595-BBB8-DDF786A1EC4F}">
      <formula1>"Yes,No"</formula1>
    </dataValidation>
    <dataValidation type="list" allowBlank="1" showInputMessage="1" showErrorMessage="1" sqref="B3:G3" xr:uid="{31F35DD8-8136-4BFF-8F2B-CFD14EF1876D}">
      <formula1>"Verifiable Credentials,Encrypted Verifiable Credential,Sub-Schema"</formula1>
    </dataValidation>
  </dataValidations>
  <hyperlinks>
    <hyperlink ref="B5" location="CH4_BiomassData_ByType_Project!A1" display="CH4_BiomassData_ByType_Project" xr:uid="{11842CC7-22CD-47D5-8831-2C2CD363AB77}"/>
  </hyperlinks>
  <pageMargins left="0.7" right="0.7" top="0.75" bottom="0.75" header="0.3" footer="0.3"/>
  <pageSetup orientation="portrait" horizontalDpi="4294967295" verticalDpi="4294967295" r:id="rId1"/>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8AFA-2F68-439D-AB1F-F392E937684B}">
  <sheetPr codeName="Sheet62">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326</v>
      </c>
      <c r="B1" s="32"/>
      <c r="C1" s="32"/>
      <c r="D1" s="32"/>
      <c r="E1" s="32"/>
      <c r="F1" s="32"/>
      <c r="G1" s="32"/>
    </row>
    <row r="2" spans="1:7" ht="18.75">
      <c r="A2" s="1" t="s">
        <v>1</v>
      </c>
      <c r="B2" s="33" t="s">
        <v>721</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225</v>
      </c>
      <c r="F5" s="3" t="s">
        <v>14</v>
      </c>
      <c r="G5" s="3" t="s">
        <v>226</v>
      </c>
    </row>
    <row r="6" spans="1:7" ht="30">
      <c r="A6" s="3" t="s">
        <v>11</v>
      </c>
      <c r="B6" s="3" t="s">
        <v>82</v>
      </c>
      <c r="C6" s="3"/>
      <c r="D6" s="3"/>
      <c r="E6" s="3" t="s">
        <v>227</v>
      </c>
      <c r="F6" s="3" t="s">
        <v>14</v>
      </c>
      <c r="G6" s="3">
        <v>0.92</v>
      </c>
    </row>
    <row r="7" spans="1:7" ht="30">
      <c r="A7" s="3" t="s">
        <v>11</v>
      </c>
      <c r="B7" s="3" t="s">
        <v>82</v>
      </c>
      <c r="C7" s="3"/>
      <c r="D7" s="3"/>
      <c r="E7" s="3" t="s">
        <v>228</v>
      </c>
      <c r="F7" s="3" t="s">
        <v>14</v>
      </c>
      <c r="G7" s="3">
        <v>2.2999999999999998</v>
      </c>
    </row>
    <row r="8" spans="1:7" ht="30">
      <c r="A8" s="3" t="s">
        <v>11</v>
      </c>
      <c r="B8" s="3" t="s">
        <v>82</v>
      </c>
      <c r="C8" s="3"/>
      <c r="D8" s="3"/>
      <c r="E8" s="3" t="s">
        <v>328</v>
      </c>
      <c r="F8" s="3" t="s">
        <v>14</v>
      </c>
      <c r="G8" s="3">
        <v>1423149.0296307299</v>
      </c>
    </row>
    <row r="9" spans="1:7" ht="18">
      <c r="A9" s="3" t="s">
        <v>14</v>
      </c>
      <c r="B9" s="3" t="s">
        <v>82</v>
      </c>
      <c r="C9" s="3"/>
      <c r="D9" s="3" t="s">
        <v>48</v>
      </c>
      <c r="E9" s="3" t="s">
        <v>329</v>
      </c>
      <c r="F9" s="3" t="s">
        <v>14</v>
      </c>
      <c r="G9" s="3">
        <f>G8*G6*G7</f>
        <v>3011383.3466986245</v>
      </c>
    </row>
  </sheetData>
  <mergeCells count="3">
    <mergeCell ref="A1:G1"/>
    <mergeCell ref="B2:G2"/>
    <mergeCell ref="B3:G3"/>
  </mergeCells>
  <dataValidations count="2">
    <dataValidation type="list" allowBlank="1" showInputMessage="1" showErrorMessage="1" sqref="F5:F9 A5:A9" xr:uid="{B64BA980-10C5-4036-B43B-0551E9F36DE1}">
      <formula1>"Yes,No"</formula1>
    </dataValidation>
    <dataValidation type="list" allowBlank="1" showInputMessage="1" showErrorMessage="1" sqref="B3:G3" xr:uid="{7C3F141B-17FC-49A3-9334-79BCE661334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9127-153E-487E-9647-9E94AB92F9E2}">
  <sheetPr codeName="Sheet63">
    <tabColor rgb="FFFFC000"/>
    <outlinePr summaryBelow="0" summaryRight="0"/>
  </sheetPr>
  <dimension ref="A1:G26"/>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233</v>
      </c>
      <c r="B1" s="32"/>
      <c r="C1" s="32"/>
      <c r="D1" s="32"/>
      <c r="E1" s="32"/>
      <c r="F1" s="32"/>
      <c r="G1" s="32"/>
    </row>
    <row r="2" spans="1:7" ht="18.75">
      <c r="A2" s="1" t="s">
        <v>1</v>
      </c>
      <c r="B2" s="33" t="s">
        <v>722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235</v>
      </c>
      <c r="C5" s="3"/>
      <c r="D5" s="3"/>
      <c r="E5" s="3" t="s">
        <v>236</v>
      </c>
      <c r="F5" s="3" t="s">
        <v>11</v>
      </c>
      <c r="G5" s="3"/>
    </row>
    <row r="6" spans="1:7" outlineLevel="1">
      <c r="A6" s="4" t="s">
        <v>11</v>
      </c>
      <c r="B6" s="4" t="s">
        <v>46</v>
      </c>
      <c r="C6" s="5"/>
      <c r="D6" s="8"/>
      <c r="E6" s="4" t="s">
        <v>237</v>
      </c>
      <c r="F6" s="4" t="s">
        <v>14</v>
      </c>
      <c r="G6" s="4" t="s">
        <v>238</v>
      </c>
    </row>
    <row r="7" spans="1:7" ht="30" outlineLevel="1">
      <c r="A7" s="4" t="s">
        <v>11</v>
      </c>
      <c r="B7" s="4" t="s">
        <v>46</v>
      </c>
      <c r="C7" s="5" t="s">
        <v>47</v>
      </c>
      <c r="D7" s="8"/>
      <c r="E7" s="4" t="s">
        <v>239</v>
      </c>
      <c r="F7" s="4" t="s">
        <v>14</v>
      </c>
      <c r="G7" s="4">
        <v>314.03539242142602</v>
      </c>
    </row>
    <row r="8" spans="1:7" outlineLevel="1">
      <c r="A8" s="4" t="s">
        <v>11</v>
      </c>
      <c r="B8" s="4" t="s">
        <v>82</v>
      </c>
      <c r="C8" s="5"/>
      <c r="D8" s="8"/>
      <c r="E8" s="4" t="s">
        <v>240</v>
      </c>
      <c r="F8" s="4" t="s">
        <v>14</v>
      </c>
      <c r="G8" s="4">
        <v>0.82</v>
      </c>
    </row>
    <row r="9" spans="1:7" ht="30">
      <c r="A9" s="3" t="s">
        <v>14</v>
      </c>
      <c r="B9" s="3" t="s">
        <v>82</v>
      </c>
      <c r="C9" s="3"/>
      <c r="D9" s="3" t="s">
        <v>48</v>
      </c>
      <c r="E9" s="3" t="s">
        <v>241</v>
      </c>
      <c r="F9" s="3" t="s">
        <v>14</v>
      </c>
      <c r="G9" s="3">
        <f>SUM(G7*G8)</f>
        <v>257.5090217855693</v>
      </c>
    </row>
    <row r="10" spans="1:7">
      <c r="A10" s="3" t="s">
        <v>11</v>
      </c>
      <c r="B10" s="10" t="s">
        <v>242</v>
      </c>
      <c r="C10" s="3"/>
      <c r="D10" s="3"/>
      <c r="E10" s="3" t="s">
        <v>243</v>
      </c>
      <c r="F10" s="3" t="s">
        <v>11</v>
      </c>
      <c r="G10" s="3"/>
    </row>
    <row r="11" spans="1:7" outlineLevel="1">
      <c r="A11" s="4" t="s">
        <v>11</v>
      </c>
      <c r="B11" s="4" t="s">
        <v>46</v>
      </c>
      <c r="C11" s="5"/>
      <c r="D11" s="8"/>
      <c r="E11" s="4" t="s">
        <v>244</v>
      </c>
      <c r="F11" s="4" t="s">
        <v>14</v>
      </c>
      <c r="G11" s="4" t="s">
        <v>245</v>
      </c>
    </row>
    <row r="12" spans="1:7" ht="30" outlineLevel="1">
      <c r="A12" s="4" t="s">
        <v>11</v>
      </c>
      <c r="B12" s="4" t="s">
        <v>82</v>
      </c>
      <c r="C12" s="5"/>
      <c r="D12" s="8"/>
      <c r="E12" s="4" t="s">
        <v>246</v>
      </c>
      <c r="F12" s="4" t="s">
        <v>14</v>
      </c>
      <c r="G12" s="4">
        <v>483.31272857651902</v>
      </c>
    </row>
    <row r="13" spans="1:7" outlineLevel="1">
      <c r="A13" s="4" t="s">
        <v>11</v>
      </c>
      <c r="B13" s="4" t="s">
        <v>82</v>
      </c>
      <c r="C13" s="5"/>
      <c r="D13" s="8"/>
      <c r="E13" s="4" t="s">
        <v>247</v>
      </c>
      <c r="F13" s="4" t="s">
        <v>14</v>
      </c>
      <c r="G13" s="4">
        <v>6.6600000000000006E-2</v>
      </c>
    </row>
    <row r="14" spans="1:7" ht="30">
      <c r="A14" s="3" t="s">
        <v>14</v>
      </c>
      <c r="B14" s="3" t="s">
        <v>82</v>
      </c>
      <c r="C14" s="3"/>
      <c r="D14" s="3" t="s">
        <v>48</v>
      </c>
      <c r="E14" s="3" t="s">
        <v>248</v>
      </c>
      <c r="F14" s="3" t="s">
        <v>14</v>
      </c>
      <c r="G14" s="3">
        <f>SUM(G12*G13)</f>
        <v>32.18862772319617</v>
      </c>
    </row>
    <row r="15" spans="1:7" ht="30">
      <c r="A15" s="3" t="s">
        <v>11</v>
      </c>
      <c r="B15" s="3" t="s">
        <v>82</v>
      </c>
      <c r="C15" s="3"/>
      <c r="D15" s="3"/>
      <c r="E15" s="3" t="s">
        <v>249</v>
      </c>
      <c r="F15" s="3" t="s">
        <v>14</v>
      </c>
      <c r="G15" s="3">
        <v>0.01</v>
      </c>
    </row>
    <row r="16" spans="1:7" ht="30">
      <c r="A16" s="3" t="s">
        <v>14</v>
      </c>
      <c r="B16" s="3" t="s">
        <v>82</v>
      </c>
      <c r="C16" s="3"/>
      <c r="D16" s="3" t="s">
        <v>48</v>
      </c>
      <c r="E16" s="3" t="s">
        <v>250</v>
      </c>
      <c r="F16" s="3" t="s">
        <v>14</v>
      </c>
      <c r="G16" s="3" t="e">
        <f>((G9+G14)*G15*44/28*G26)/#REF!</f>
        <v>#REF!</v>
      </c>
    </row>
    <row r="17" spans="1:7" ht="30">
      <c r="A17" s="3" t="s">
        <v>11</v>
      </c>
      <c r="B17" s="3" t="s">
        <v>82</v>
      </c>
      <c r="C17" s="3"/>
      <c r="D17" s="3"/>
      <c r="E17" s="3" t="s">
        <v>251</v>
      </c>
      <c r="F17" s="3" t="s">
        <v>14</v>
      </c>
      <c r="G17" s="3">
        <v>0.11</v>
      </c>
    </row>
    <row r="18" spans="1:7" ht="30">
      <c r="A18" s="3" t="s">
        <v>11</v>
      </c>
      <c r="B18" s="3" t="s">
        <v>82</v>
      </c>
      <c r="C18" s="3"/>
      <c r="D18" s="3"/>
      <c r="E18" s="3" t="s">
        <v>252</v>
      </c>
      <c r="F18" s="3" t="s">
        <v>14</v>
      </c>
      <c r="G18" s="3">
        <v>0.21</v>
      </c>
    </row>
    <row r="19" spans="1:7" ht="30">
      <c r="A19" s="3" t="s">
        <v>11</v>
      </c>
      <c r="B19" s="3" t="s">
        <v>82</v>
      </c>
      <c r="C19" s="3"/>
      <c r="D19" s="3"/>
      <c r="E19" s="3" t="s">
        <v>253</v>
      </c>
      <c r="F19" s="3" t="s">
        <v>14</v>
      </c>
      <c r="G19" s="3">
        <v>0.01</v>
      </c>
    </row>
    <row r="20" spans="1:7" ht="45">
      <c r="A20" s="3" t="s">
        <v>14</v>
      </c>
      <c r="B20" s="3" t="s">
        <v>82</v>
      </c>
      <c r="C20" s="3"/>
      <c r="D20" s="3" t="s">
        <v>48</v>
      </c>
      <c r="E20" s="3" t="s">
        <v>254</v>
      </c>
      <c r="F20" s="3" t="s">
        <v>14</v>
      </c>
      <c r="G20" s="3">
        <f>((G9*G17)+(G14*G18))*G19*(44/28)*G26</f>
        <v>146.10648042328191</v>
      </c>
    </row>
    <row r="21" spans="1:7" ht="45">
      <c r="A21" s="3" t="s">
        <v>11</v>
      </c>
      <c r="B21" s="3" t="s">
        <v>82</v>
      </c>
      <c r="C21" s="3"/>
      <c r="D21" s="3"/>
      <c r="E21" s="3" t="s">
        <v>255</v>
      </c>
      <c r="F21" s="3" t="s">
        <v>14</v>
      </c>
      <c r="G21" s="3">
        <v>0.24</v>
      </c>
    </row>
    <row r="22" spans="1:7" ht="30">
      <c r="A22" s="3" t="s">
        <v>11</v>
      </c>
      <c r="B22" s="3" t="s">
        <v>82</v>
      </c>
      <c r="C22" s="3"/>
      <c r="D22" s="3"/>
      <c r="E22" s="3" t="s">
        <v>256</v>
      </c>
      <c r="F22" s="3" t="s">
        <v>14</v>
      </c>
      <c r="G22" s="3">
        <v>1.0999999999999999E-2</v>
      </c>
    </row>
    <row r="23" spans="1:7" ht="45">
      <c r="A23" s="3" t="s">
        <v>14</v>
      </c>
      <c r="B23" s="3" t="s">
        <v>82</v>
      </c>
      <c r="C23" s="3"/>
      <c r="D23" s="3" t="s">
        <v>48</v>
      </c>
      <c r="E23" s="3" t="s">
        <v>257</v>
      </c>
      <c r="F23" s="3" t="s">
        <v>14</v>
      </c>
      <c r="G23" s="3">
        <f>(G9+G14)*G21*G22*(44/28)*G26</f>
        <v>318.48531879423649</v>
      </c>
    </row>
    <row r="24" spans="1:7" ht="30">
      <c r="A24" s="3" t="s">
        <v>14</v>
      </c>
      <c r="B24" s="3" t="s">
        <v>82</v>
      </c>
      <c r="C24" s="3"/>
      <c r="D24" s="3" t="s">
        <v>48</v>
      </c>
      <c r="E24" s="3" t="s">
        <v>258</v>
      </c>
      <c r="F24" s="3" t="s">
        <v>14</v>
      </c>
      <c r="G24" s="3" t="e">
        <f>(G20+G23)/#REF!</f>
        <v>#REF!</v>
      </c>
    </row>
    <row r="25" spans="1:7" ht="30">
      <c r="A25" s="3" t="s">
        <v>14</v>
      </c>
      <c r="B25" s="3" t="s">
        <v>82</v>
      </c>
      <c r="C25" s="3"/>
      <c r="D25" s="3" t="s">
        <v>48</v>
      </c>
      <c r="E25" s="3" t="s">
        <v>259</v>
      </c>
      <c r="F25" s="3" t="s">
        <v>14</v>
      </c>
      <c r="G25" s="3" t="e">
        <f>G16+G24</f>
        <v>#REF!</v>
      </c>
    </row>
    <row r="26" spans="1:7">
      <c r="A26" s="3" t="s">
        <v>11</v>
      </c>
      <c r="B26" s="3" t="s">
        <v>82</v>
      </c>
      <c r="C26" s="3"/>
      <c r="D26" s="3"/>
      <c r="E26" s="3" t="s">
        <v>114</v>
      </c>
      <c r="F26" s="3" t="s">
        <v>14</v>
      </c>
      <c r="G26" s="3">
        <v>265</v>
      </c>
    </row>
  </sheetData>
  <mergeCells count="3">
    <mergeCell ref="A1:G1"/>
    <mergeCell ref="B2:G2"/>
    <mergeCell ref="B3:G3"/>
  </mergeCells>
  <dataValidations count="2">
    <dataValidation type="list" allowBlank="1" showInputMessage="1" showErrorMessage="1" sqref="A11:A25 A6:A9 F6:F9 F11:F25" xr:uid="{A5E8B06F-83BB-4606-80EE-BC22389A7CE1}">
      <formula1>"Yes,No"</formula1>
    </dataValidation>
    <dataValidation type="list" allowBlank="1" showInputMessage="1" showErrorMessage="1" sqref="B3:G3" xr:uid="{39DD7AE1-D8D1-40D3-AB36-F0524A746B9B}">
      <formula1>"Verifiable Credentials,Encrypted Verifiable Credential,Sub-Schema"</formula1>
    </dataValidation>
  </dataValidations>
  <hyperlinks>
    <hyperlink ref="B5" location="SyntheticFertilizer_Data_Baseli!A1" display="SyntheticFertilizer_Data_Baseli" xr:uid="{2CA0ABC1-54CA-40C2-A740-E4125A9E8055}"/>
    <hyperlink ref="B10" location="OrganicFertilizer_Data_Baseline!A1" display="OrganicFertilizer_Data_Baseline" xr:uid="{451A3D18-073A-4CA8-91B7-191BF5AC4D8B}"/>
  </hyperlinks>
  <pageMargins left="0.7" right="0.7" top="0.75" bottom="0.75" header="0.3" footer="0.3"/>
  <pageSetup orientation="portrait" horizontalDpi="4294967295" verticalDpi="4294967295"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D7E9-6E31-4F0E-B24D-3CBFCDC6E6EF}">
  <sheetPr codeName="Sheet64">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723</v>
      </c>
      <c r="B1" s="32"/>
      <c r="C1" s="32"/>
      <c r="D1" s="32"/>
      <c r="E1" s="32"/>
      <c r="F1" s="32"/>
      <c r="G1" s="32"/>
    </row>
    <row r="2" spans="1:7" ht="18.75">
      <c r="A2" s="1" t="s">
        <v>1</v>
      </c>
      <c r="B2" s="33" t="s">
        <v>724</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237</v>
      </c>
      <c r="F5" s="3" t="s">
        <v>14</v>
      </c>
      <c r="G5" s="3" t="s">
        <v>238</v>
      </c>
    </row>
    <row r="6" spans="1:7" ht="30">
      <c r="A6" s="3" t="s">
        <v>11</v>
      </c>
      <c r="B6" s="3" t="s">
        <v>46</v>
      </c>
      <c r="C6" s="3" t="s">
        <v>47</v>
      </c>
      <c r="D6" s="3"/>
      <c r="E6" s="3" t="s">
        <v>239</v>
      </c>
      <c r="F6" s="3" t="s">
        <v>14</v>
      </c>
      <c r="G6" s="3">
        <v>314.03539242142602</v>
      </c>
    </row>
    <row r="7" spans="1:7">
      <c r="A7" s="3" t="s">
        <v>11</v>
      </c>
      <c r="B7" s="3" t="s">
        <v>82</v>
      </c>
      <c r="C7" s="3"/>
      <c r="D7" s="3"/>
      <c r="E7" s="3" t="s">
        <v>240</v>
      </c>
      <c r="F7" s="3" t="s">
        <v>14</v>
      </c>
      <c r="G7" s="3">
        <v>0.82</v>
      </c>
    </row>
  </sheetData>
  <mergeCells count="3">
    <mergeCell ref="A1:G1"/>
    <mergeCell ref="B2:G2"/>
    <mergeCell ref="B3:G3"/>
  </mergeCells>
  <dataValidations count="2">
    <dataValidation type="list" allowBlank="1" showInputMessage="1" showErrorMessage="1" sqref="A5:A7 F5:F7" xr:uid="{1D2FF2CB-E1F0-4344-A6ED-0E0B7B0152C6}">
      <formula1>"Yes,No"</formula1>
    </dataValidation>
    <dataValidation type="list" allowBlank="1" showInputMessage="1" showErrorMessage="1" sqref="B3:G3" xr:uid="{DE05B240-2D03-4DF2-9E9C-E76CBD3A983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DE83-DCAF-47FF-AA1D-6B29C71D85F6}">
  <sheetPr codeName="Sheet65">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242</v>
      </c>
      <c r="B1" s="32"/>
      <c r="C1" s="32"/>
      <c r="D1" s="32"/>
      <c r="E1" s="32"/>
      <c r="F1" s="32"/>
      <c r="G1" s="32"/>
    </row>
    <row r="2" spans="1:7" ht="18.75">
      <c r="A2" s="1" t="s">
        <v>1</v>
      </c>
      <c r="B2" s="33" t="s">
        <v>725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244</v>
      </c>
      <c r="F5" s="3" t="s">
        <v>14</v>
      </c>
      <c r="G5" s="3" t="s">
        <v>245</v>
      </c>
    </row>
    <row r="6" spans="1:7" ht="30">
      <c r="A6" s="3" t="s">
        <v>11</v>
      </c>
      <c r="B6" s="3" t="s">
        <v>82</v>
      </c>
      <c r="C6" s="3"/>
      <c r="D6" s="3"/>
      <c r="E6" s="3" t="s">
        <v>246</v>
      </c>
      <c r="F6" s="3" t="s">
        <v>14</v>
      </c>
      <c r="G6" s="3">
        <v>483.31272857651902</v>
      </c>
    </row>
    <row r="7" spans="1:7">
      <c r="A7" s="3" t="s">
        <v>11</v>
      </c>
      <c r="B7" s="3" t="s">
        <v>82</v>
      </c>
      <c r="C7" s="3"/>
      <c r="D7" s="3"/>
      <c r="E7" s="3" t="s">
        <v>247</v>
      </c>
      <c r="F7" s="3" t="s">
        <v>14</v>
      </c>
      <c r="G7" s="3">
        <v>6.6600000000000006E-2</v>
      </c>
    </row>
  </sheetData>
  <mergeCells count="3">
    <mergeCell ref="A1:G1"/>
    <mergeCell ref="B2:G2"/>
    <mergeCell ref="B3:G3"/>
  </mergeCells>
  <dataValidations count="2">
    <dataValidation type="list" allowBlank="1" showInputMessage="1" showErrorMessage="1" sqref="A5:A7 F5:F7" xr:uid="{1A1BEE91-611C-474C-87FC-DB804C94A663}">
      <formula1>"Yes,No"</formula1>
    </dataValidation>
    <dataValidation type="list" allowBlank="1" showInputMessage="1" showErrorMessage="1" sqref="B3:G3" xr:uid="{D331F23C-D318-4FF0-8CFA-9931EE0CFB45}">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E985-BB00-4626-8E02-1B41AF4AB3ED}">
  <sheetPr codeName="Sheet66">
    <tabColor rgb="FFFFC000"/>
    <outlinePr summaryBelow="0" summaryRight="0"/>
  </sheetPr>
  <dimension ref="A1:G26"/>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332</v>
      </c>
      <c r="B1" s="32"/>
      <c r="C1" s="32"/>
      <c r="D1" s="32"/>
      <c r="E1" s="32"/>
      <c r="F1" s="32"/>
      <c r="G1" s="32"/>
    </row>
    <row r="2" spans="1:7" ht="18.75">
      <c r="A2" s="1" t="s">
        <v>1</v>
      </c>
      <c r="B2" s="33" t="s">
        <v>726</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334</v>
      </c>
      <c r="C5" s="3"/>
      <c r="D5" s="3"/>
      <c r="E5" s="3" t="s">
        <v>335</v>
      </c>
      <c r="F5" s="3" t="s">
        <v>11</v>
      </c>
      <c r="G5" s="3"/>
    </row>
    <row r="6" spans="1:7" outlineLevel="1">
      <c r="A6" s="4" t="s">
        <v>11</v>
      </c>
      <c r="B6" s="4" t="s">
        <v>46</v>
      </c>
      <c r="C6" s="5"/>
      <c r="D6" s="8"/>
      <c r="E6" s="4" t="s">
        <v>237</v>
      </c>
      <c r="F6" s="4" t="s">
        <v>14</v>
      </c>
      <c r="G6" s="4" t="s">
        <v>238</v>
      </c>
    </row>
    <row r="7" spans="1:7" ht="30" outlineLevel="1">
      <c r="A7" s="4" t="s">
        <v>11</v>
      </c>
      <c r="B7" s="4" t="s">
        <v>46</v>
      </c>
      <c r="C7" s="5" t="s">
        <v>47</v>
      </c>
      <c r="D7" s="8"/>
      <c r="E7" s="4" t="s">
        <v>336</v>
      </c>
      <c r="F7" s="4" t="s">
        <v>14</v>
      </c>
      <c r="G7" s="4">
        <v>314.03539242142602</v>
      </c>
    </row>
    <row r="8" spans="1:7" outlineLevel="1">
      <c r="A8" s="4" t="s">
        <v>11</v>
      </c>
      <c r="B8" s="4" t="s">
        <v>82</v>
      </c>
      <c r="C8" s="5"/>
      <c r="D8" s="8"/>
      <c r="E8" s="4" t="s">
        <v>240</v>
      </c>
      <c r="F8" s="4" t="s">
        <v>14</v>
      </c>
      <c r="G8" s="4">
        <v>0.82</v>
      </c>
    </row>
    <row r="9" spans="1:7" ht="30">
      <c r="A9" s="3" t="s">
        <v>14</v>
      </c>
      <c r="B9" s="3" t="s">
        <v>82</v>
      </c>
      <c r="C9" s="3"/>
      <c r="D9" s="3" t="s">
        <v>48</v>
      </c>
      <c r="E9" s="3" t="s">
        <v>337</v>
      </c>
      <c r="F9" s="3" t="s">
        <v>14</v>
      </c>
      <c r="G9" s="3">
        <f>SUM(G7*G8)</f>
        <v>257.5090217855693</v>
      </c>
    </row>
    <row r="10" spans="1:7">
      <c r="A10" s="3" t="s">
        <v>11</v>
      </c>
      <c r="B10" s="10" t="s">
        <v>338</v>
      </c>
      <c r="C10" s="3"/>
      <c r="D10" s="3"/>
      <c r="E10" s="3" t="s">
        <v>339</v>
      </c>
      <c r="F10" s="3" t="s">
        <v>11</v>
      </c>
      <c r="G10" s="3"/>
    </row>
    <row r="11" spans="1:7" outlineLevel="1">
      <c r="A11" s="4" t="s">
        <v>11</v>
      </c>
      <c r="B11" s="4" t="s">
        <v>46</v>
      </c>
      <c r="C11" s="5"/>
      <c r="D11" s="8"/>
      <c r="E11" s="4" t="s">
        <v>244</v>
      </c>
      <c r="F11" s="4" t="s">
        <v>14</v>
      </c>
      <c r="G11" s="4" t="s">
        <v>245</v>
      </c>
    </row>
    <row r="12" spans="1:7" ht="30" outlineLevel="1">
      <c r="A12" s="4" t="s">
        <v>11</v>
      </c>
      <c r="B12" s="4" t="s">
        <v>82</v>
      </c>
      <c r="C12" s="5"/>
      <c r="D12" s="8"/>
      <c r="E12" s="4" t="s">
        <v>340</v>
      </c>
      <c r="F12" s="4" t="s">
        <v>14</v>
      </c>
      <c r="G12" s="4">
        <v>483.31272857651902</v>
      </c>
    </row>
    <row r="13" spans="1:7" outlineLevel="1">
      <c r="A13" s="4" t="s">
        <v>11</v>
      </c>
      <c r="B13" s="4" t="s">
        <v>82</v>
      </c>
      <c r="C13" s="5"/>
      <c r="D13" s="8"/>
      <c r="E13" s="4" t="s">
        <v>247</v>
      </c>
      <c r="F13" s="4" t="s">
        <v>14</v>
      </c>
      <c r="G13" s="4">
        <v>6.6600000000000006E-2</v>
      </c>
    </row>
    <row r="14" spans="1:7" ht="30">
      <c r="A14" s="3" t="s">
        <v>14</v>
      </c>
      <c r="B14" s="3" t="s">
        <v>82</v>
      </c>
      <c r="C14" s="3"/>
      <c r="D14" s="3" t="s">
        <v>48</v>
      </c>
      <c r="E14" s="3" t="s">
        <v>341</v>
      </c>
      <c r="F14" s="3" t="s">
        <v>14</v>
      </c>
      <c r="G14" s="3">
        <f>SUM(G12*G13)</f>
        <v>32.18862772319617</v>
      </c>
    </row>
    <row r="15" spans="1:7" ht="30">
      <c r="A15" s="3" t="s">
        <v>11</v>
      </c>
      <c r="B15" s="3" t="s">
        <v>82</v>
      </c>
      <c r="C15" s="3"/>
      <c r="D15" s="3"/>
      <c r="E15" s="3" t="s">
        <v>249</v>
      </c>
      <c r="F15" s="3" t="s">
        <v>14</v>
      </c>
      <c r="G15" s="3">
        <v>0.01</v>
      </c>
    </row>
    <row r="16" spans="1:7" ht="30">
      <c r="A16" s="3" t="s">
        <v>14</v>
      </c>
      <c r="B16" s="3" t="s">
        <v>82</v>
      </c>
      <c r="C16" s="3"/>
      <c r="D16" s="3" t="s">
        <v>48</v>
      </c>
      <c r="E16" s="3" t="s">
        <v>342</v>
      </c>
      <c r="F16" s="3" t="s">
        <v>14</v>
      </c>
      <c r="G16" s="3" t="e">
        <f>((G9+G14)*G15*44/28*G26)/#REF!</f>
        <v>#REF!</v>
      </c>
    </row>
    <row r="17" spans="1:7" ht="30">
      <c r="A17" s="3" t="s">
        <v>11</v>
      </c>
      <c r="B17" s="3" t="s">
        <v>82</v>
      </c>
      <c r="C17" s="3"/>
      <c r="D17" s="3"/>
      <c r="E17" s="3" t="s">
        <v>251</v>
      </c>
      <c r="F17" s="3" t="s">
        <v>14</v>
      </c>
      <c r="G17" s="3">
        <v>0.11</v>
      </c>
    </row>
    <row r="18" spans="1:7" ht="30">
      <c r="A18" s="3" t="s">
        <v>11</v>
      </c>
      <c r="B18" s="3" t="s">
        <v>82</v>
      </c>
      <c r="C18" s="3"/>
      <c r="D18" s="3"/>
      <c r="E18" s="3" t="s">
        <v>252</v>
      </c>
      <c r="F18" s="3" t="s">
        <v>14</v>
      </c>
      <c r="G18" s="3">
        <v>0.21</v>
      </c>
    </row>
    <row r="19" spans="1:7" ht="30">
      <c r="A19" s="3" t="s">
        <v>11</v>
      </c>
      <c r="B19" s="3" t="s">
        <v>82</v>
      </c>
      <c r="C19" s="3"/>
      <c r="D19" s="3"/>
      <c r="E19" s="3" t="s">
        <v>253</v>
      </c>
      <c r="F19" s="3" t="s">
        <v>14</v>
      </c>
      <c r="G19" s="3">
        <v>0.01</v>
      </c>
    </row>
    <row r="20" spans="1:7" ht="45">
      <c r="A20" s="3" t="s">
        <v>14</v>
      </c>
      <c r="B20" s="3" t="s">
        <v>82</v>
      </c>
      <c r="C20" s="3"/>
      <c r="D20" s="3" t="s">
        <v>48</v>
      </c>
      <c r="E20" s="3" t="s">
        <v>343</v>
      </c>
      <c r="F20" s="3" t="s">
        <v>14</v>
      </c>
      <c r="G20" s="3">
        <f>((G9*G17)+(G14*G18))*G19*(44/28)*G26</f>
        <v>146.10648042328191</v>
      </c>
    </row>
    <row r="21" spans="1:7" ht="45">
      <c r="A21" s="3" t="s">
        <v>11</v>
      </c>
      <c r="B21" s="3" t="s">
        <v>82</v>
      </c>
      <c r="C21" s="3"/>
      <c r="D21" s="3"/>
      <c r="E21" s="3" t="s">
        <v>255</v>
      </c>
      <c r="F21" s="3" t="s">
        <v>14</v>
      </c>
      <c r="G21" s="3">
        <v>0.24</v>
      </c>
    </row>
    <row r="22" spans="1:7" ht="30">
      <c r="A22" s="3" t="s">
        <v>11</v>
      </c>
      <c r="B22" s="3" t="s">
        <v>82</v>
      </c>
      <c r="C22" s="3"/>
      <c r="D22" s="3"/>
      <c r="E22" s="3" t="s">
        <v>256</v>
      </c>
      <c r="F22" s="3" t="s">
        <v>14</v>
      </c>
      <c r="G22" s="3">
        <v>1.0999999999999999E-2</v>
      </c>
    </row>
    <row r="23" spans="1:7" ht="45">
      <c r="A23" s="3" t="s">
        <v>14</v>
      </c>
      <c r="B23" s="3" t="s">
        <v>82</v>
      </c>
      <c r="C23" s="3"/>
      <c r="D23" s="3" t="s">
        <v>48</v>
      </c>
      <c r="E23" s="3" t="s">
        <v>344</v>
      </c>
      <c r="F23" s="3" t="s">
        <v>14</v>
      </c>
      <c r="G23" s="3">
        <f>(G9+G14)*G21*G22*(44/28)*G26</f>
        <v>318.48531879423649</v>
      </c>
    </row>
    <row r="24" spans="1:7" ht="30">
      <c r="A24" s="3" t="s">
        <v>14</v>
      </c>
      <c r="B24" s="3" t="s">
        <v>82</v>
      </c>
      <c r="C24" s="3"/>
      <c r="D24" s="3" t="s">
        <v>48</v>
      </c>
      <c r="E24" s="3" t="s">
        <v>345</v>
      </c>
      <c r="F24" s="3" t="s">
        <v>14</v>
      </c>
      <c r="G24" s="3" t="e">
        <f>(G20+G23)/#REF!</f>
        <v>#REF!</v>
      </c>
    </row>
    <row r="25" spans="1:7" ht="30">
      <c r="A25" s="3" t="s">
        <v>14</v>
      </c>
      <c r="B25" s="3" t="s">
        <v>82</v>
      </c>
      <c r="C25" s="3"/>
      <c r="D25" s="3" t="s">
        <v>48</v>
      </c>
      <c r="E25" s="3" t="s">
        <v>346</v>
      </c>
      <c r="F25" s="3" t="s">
        <v>14</v>
      </c>
      <c r="G25" s="3" t="e">
        <f>G16+G24</f>
        <v>#REF!</v>
      </c>
    </row>
    <row r="26" spans="1:7">
      <c r="A26" s="3" t="s">
        <v>11</v>
      </c>
      <c r="B26" s="3" t="s">
        <v>82</v>
      </c>
      <c r="C26" s="3"/>
      <c r="D26" s="3"/>
      <c r="E26" s="3" t="s">
        <v>114</v>
      </c>
      <c r="F26" s="3" t="s">
        <v>14</v>
      </c>
      <c r="G26" s="3">
        <v>265</v>
      </c>
    </row>
  </sheetData>
  <mergeCells count="3">
    <mergeCell ref="A1:G1"/>
    <mergeCell ref="B2:G2"/>
    <mergeCell ref="B3:G3"/>
  </mergeCells>
  <dataValidations count="2">
    <dataValidation type="list" allowBlank="1" showInputMessage="1" showErrorMessage="1" sqref="A11:A25 A6:A9 F6:F9 F11:F25" xr:uid="{6245BFEA-A715-469B-A49E-0B7E1B8647E0}">
      <formula1>"Yes,No"</formula1>
    </dataValidation>
    <dataValidation type="list" allowBlank="1" showInputMessage="1" showErrorMessage="1" sqref="B3:G3" xr:uid="{2B138B98-591D-49AD-98E3-AA061BAABD64}">
      <formula1>"Verifiable Credentials,Encrypted Verifiable Credential,Sub-Schema"</formula1>
    </dataValidation>
  </dataValidations>
  <hyperlinks>
    <hyperlink ref="B5" location="SyntheticFertilizer_Data_Projec!A1" display="SyntheticFertilizer_Data_Projec" xr:uid="{10750506-1031-44F3-99EE-5060F0704CBB}"/>
    <hyperlink ref="B10" location="OrganicFertilizer_Data_Project!A1" display="OrganicFertilizer_Data_Project" xr:uid="{344973FC-B523-41F7-A728-2A235726BBDB}"/>
  </hyperlinks>
  <pageMargins left="0.7" right="0.7" top="0.75" bottom="0.75" header="0.3" footer="0.3"/>
  <pageSetup orientation="portrait" horizontalDpi="4294967295" verticalDpi="4294967295" r:id="rId1"/>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7CE8-592C-40AE-8BE9-C54C194B89A3}">
  <sheetPr codeName="Sheet67">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727</v>
      </c>
      <c r="B1" s="32"/>
      <c r="C1" s="32"/>
      <c r="D1" s="32"/>
      <c r="E1" s="32"/>
      <c r="F1" s="32"/>
      <c r="G1" s="32"/>
    </row>
    <row r="2" spans="1:7" ht="18.75">
      <c r="A2" s="1" t="s">
        <v>1</v>
      </c>
      <c r="B2" s="33" t="s">
        <v>728</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237</v>
      </c>
      <c r="F5" s="3" t="s">
        <v>14</v>
      </c>
      <c r="G5" s="3" t="s">
        <v>238</v>
      </c>
    </row>
    <row r="6" spans="1:7" ht="30">
      <c r="A6" s="3" t="s">
        <v>11</v>
      </c>
      <c r="B6" s="3" t="s">
        <v>46</v>
      </c>
      <c r="C6" s="3" t="s">
        <v>47</v>
      </c>
      <c r="D6" s="3"/>
      <c r="E6" s="3" t="s">
        <v>336</v>
      </c>
      <c r="F6" s="3" t="s">
        <v>14</v>
      </c>
      <c r="G6" s="3">
        <v>314.03539242142602</v>
      </c>
    </row>
    <row r="7" spans="1:7">
      <c r="A7" s="3" t="s">
        <v>11</v>
      </c>
      <c r="B7" s="3" t="s">
        <v>82</v>
      </c>
      <c r="C7" s="3"/>
      <c r="D7" s="3"/>
      <c r="E7" s="3" t="s">
        <v>240</v>
      </c>
      <c r="F7" s="3" t="s">
        <v>14</v>
      </c>
      <c r="G7" s="3">
        <v>0.82</v>
      </c>
    </row>
  </sheetData>
  <mergeCells count="3">
    <mergeCell ref="A1:G1"/>
    <mergeCell ref="B2:G2"/>
    <mergeCell ref="B3:G3"/>
  </mergeCells>
  <dataValidations count="2">
    <dataValidation type="list" allowBlank="1" showInputMessage="1" showErrorMessage="1" sqref="A5:A7 F5:F7" xr:uid="{E51DCDE0-065B-4094-8F7F-0D3B52B05725}">
      <formula1>"Yes,No"</formula1>
    </dataValidation>
    <dataValidation type="list" allowBlank="1" showInputMessage="1" showErrorMessage="1" sqref="B3:G3" xr:uid="{C4087BFD-B197-4B5A-AFF1-0BE030090074}">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0E6A-2D1F-44E2-A94E-72593ED39F20}">
  <sheetPr codeName="Sheet68">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338</v>
      </c>
      <c r="B1" s="32"/>
      <c r="C1" s="32"/>
      <c r="D1" s="32"/>
      <c r="E1" s="32"/>
      <c r="F1" s="32"/>
      <c r="G1" s="32"/>
    </row>
    <row r="2" spans="1:7" ht="18.75">
      <c r="A2" s="1" t="s">
        <v>1</v>
      </c>
      <c r="B2" s="33" t="s">
        <v>729</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244</v>
      </c>
      <c r="F5" s="3" t="s">
        <v>14</v>
      </c>
      <c r="G5" s="3" t="s">
        <v>245</v>
      </c>
    </row>
    <row r="6" spans="1:7" ht="30">
      <c r="A6" s="3" t="s">
        <v>11</v>
      </c>
      <c r="B6" s="3" t="s">
        <v>82</v>
      </c>
      <c r="C6" s="3"/>
      <c r="D6" s="3"/>
      <c r="E6" s="3" t="s">
        <v>340</v>
      </c>
      <c r="F6" s="3" t="s">
        <v>14</v>
      </c>
      <c r="G6" s="3">
        <v>483.31272857651902</v>
      </c>
    </row>
    <row r="7" spans="1:7">
      <c r="A7" s="3" t="s">
        <v>11</v>
      </c>
      <c r="B7" s="3" t="s">
        <v>82</v>
      </c>
      <c r="C7" s="3"/>
      <c r="D7" s="3"/>
      <c r="E7" s="3" t="s">
        <v>247</v>
      </c>
      <c r="F7" s="3" t="s">
        <v>14</v>
      </c>
      <c r="G7" s="3">
        <v>6.6600000000000006E-2</v>
      </c>
    </row>
  </sheetData>
  <mergeCells count="3">
    <mergeCell ref="A1:G1"/>
    <mergeCell ref="B2:G2"/>
    <mergeCell ref="B3:G3"/>
  </mergeCells>
  <dataValidations count="2">
    <dataValidation type="list" allowBlank="1" showInputMessage="1" showErrorMessage="1" sqref="A5:A7 F5:F7" xr:uid="{E9D62251-4327-404E-A383-46BA67DCFA7A}">
      <formula1>"Yes,No"</formula1>
    </dataValidation>
    <dataValidation type="list" allowBlank="1" showInputMessage="1" showErrorMessage="1" sqref="B3:G3" xr:uid="{64369C9F-7CC8-40E5-A6B4-FF657078255A}">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21EA-49E5-4EEA-856F-5D5599DCD2F5}">
  <sheetPr codeName="Sheet7">
    <tabColor rgb="FFFFFF00"/>
    <outlinePr summaryBelow="0" summaryRight="0"/>
  </sheetPr>
  <dimension ref="A1:G15"/>
  <sheetViews>
    <sheetView workbookViewId="0">
      <selection activeCell="E20" sqref="E20"/>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2" t="s">
        <v>588</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95">
      <c r="A5" s="3" t="s">
        <v>11</v>
      </c>
      <c r="B5" s="3" t="s">
        <v>17</v>
      </c>
      <c r="C5" s="10" t="s">
        <v>589</v>
      </c>
      <c r="D5" s="3"/>
      <c r="E5" s="3" t="s">
        <v>590</v>
      </c>
      <c r="F5" s="3" t="s">
        <v>14</v>
      </c>
      <c r="G5" s="3" t="s">
        <v>591</v>
      </c>
    </row>
    <row r="6" spans="1:7">
      <c r="A6" s="3" t="s">
        <v>14</v>
      </c>
      <c r="B6" s="9" t="s">
        <v>592</v>
      </c>
      <c r="C6" s="3"/>
      <c r="D6" s="3" t="b">
        <f>EXACT(G5,"d")</f>
        <v>1</v>
      </c>
      <c r="E6" s="3" t="s">
        <v>593</v>
      </c>
      <c r="F6" s="3" t="s">
        <v>14</v>
      </c>
      <c r="G6" s="3"/>
    </row>
    <row r="7" spans="1:7" ht="29.25" customHeight="1" outlineLevel="1">
      <c r="A7" s="3" t="s">
        <v>11</v>
      </c>
      <c r="B7" s="3" t="s">
        <v>82</v>
      </c>
      <c r="C7" s="3"/>
      <c r="D7" s="3"/>
      <c r="E7" s="3" t="s">
        <v>594</v>
      </c>
      <c r="F7" s="3" t="s">
        <v>14</v>
      </c>
      <c r="G7" s="3">
        <v>0</v>
      </c>
    </row>
    <row r="8" spans="1:7" outlineLevel="1">
      <c r="A8" s="3" t="s">
        <v>11</v>
      </c>
      <c r="B8" s="9" t="s">
        <v>595</v>
      </c>
      <c r="C8" s="3"/>
      <c r="D8" s="3"/>
      <c r="E8" s="3" t="s">
        <v>596</v>
      </c>
      <c r="F8" s="3" t="s">
        <v>11</v>
      </c>
      <c r="G8" s="3"/>
    </row>
    <row r="9" spans="1:7" outlineLevel="6">
      <c r="A9" s="4" t="s">
        <v>11</v>
      </c>
      <c r="B9" s="4" t="s">
        <v>82</v>
      </c>
      <c r="C9" s="5"/>
      <c r="D9" s="8"/>
      <c r="E9" s="4" t="s">
        <v>597</v>
      </c>
      <c r="F9" s="4" t="s">
        <v>14</v>
      </c>
      <c r="G9" s="4" t="s">
        <v>598</v>
      </c>
    </row>
    <row r="10" spans="1:7" ht="30" outlineLevel="6">
      <c r="A10" s="4" t="s">
        <v>11</v>
      </c>
      <c r="B10" s="4" t="s">
        <v>82</v>
      </c>
      <c r="C10" s="5"/>
      <c r="D10" s="8"/>
      <c r="E10" s="4" t="s">
        <v>599</v>
      </c>
      <c r="F10" s="4" t="s">
        <v>14</v>
      </c>
      <c r="G10" s="4">
        <v>10</v>
      </c>
    </row>
    <row r="11" spans="1:7" ht="45" outlineLevel="6">
      <c r="A11" s="4" t="s">
        <v>14</v>
      </c>
      <c r="B11" s="4" t="s">
        <v>82</v>
      </c>
      <c r="C11" s="5"/>
      <c r="D11" s="8"/>
      <c r="E11" s="4" t="s">
        <v>600</v>
      </c>
      <c r="F11" s="4" t="s">
        <v>14</v>
      </c>
      <c r="G11" s="4">
        <v>0.5</v>
      </c>
    </row>
    <row r="12" spans="1:7" outlineLevel="1">
      <c r="A12" s="3" t="s">
        <v>14</v>
      </c>
      <c r="B12" s="3" t="s">
        <v>82</v>
      </c>
      <c r="C12" s="3"/>
      <c r="D12" s="3" t="s">
        <v>48</v>
      </c>
      <c r="E12" s="3" t="s">
        <v>601</v>
      </c>
      <c r="F12" s="3" t="s">
        <v>14</v>
      </c>
      <c r="G12" s="3">
        <f>IF(G5="d",SUM((G10*G11*0.12*44/12)),0)</f>
        <v>2.1999999999999997</v>
      </c>
    </row>
    <row r="13" spans="1:7" ht="90">
      <c r="A13" s="3" t="s">
        <v>11</v>
      </c>
      <c r="B13" s="3" t="s">
        <v>17</v>
      </c>
      <c r="C13" s="3"/>
      <c r="D13" s="3"/>
      <c r="E13" s="3" t="s">
        <v>602</v>
      </c>
      <c r="F13" s="3" t="s">
        <v>14</v>
      </c>
      <c r="G13" s="3" t="s">
        <v>11</v>
      </c>
    </row>
    <row r="14" spans="1:7">
      <c r="A14" s="3" t="s">
        <v>14</v>
      </c>
      <c r="B14" s="9" t="s">
        <v>603</v>
      </c>
      <c r="C14" s="3"/>
      <c r="D14" s="3" t="b">
        <f>EXACT(G13,"Yes")</f>
        <v>1</v>
      </c>
      <c r="E14" s="3" t="s">
        <v>604</v>
      </c>
      <c r="F14" s="3" t="s">
        <v>14</v>
      </c>
      <c r="G14" s="3"/>
    </row>
    <row r="15" spans="1:7" ht="30" outlineLevel="1">
      <c r="A15" s="3" t="s">
        <v>11</v>
      </c>
      <c r="B15" s="3" t="s">
        <v>82</v>
      </c>
      <c r="C15" s="3"/>
      <c r="D15" s="3"/>
      <c r="E15" s="3" t="s">
        <v>605</v>
      </c>
      <c r="F15" s="3" t="s">
        <v>14</v>
      </c>
      <c r="G15" s="3">
        <v>0.15</v>
      </c>
    </row>
  </sheetData>
  <mergeCells count="3">
    <mergeCell ref="A1:G1"/>
    <mergeCell ref="B2:G2"/>
    <mergeCell ref="B3:G3"/>
  </mergeCells>
  <dataValidations count="1">
    <dataValidation type="list" allowBlank="1" showInputMessage="1" showErrorMessage="1" sqref="B3:G3" xr:uid="{517A25FF-3691-489E-997B-288E24A0962E}">
      <formula1>"Verifiable Credentials,Encrypted Verifiable Credential,Sub-Schema"</formula1>
    </dataValidation>
  </dataValidations>
  <hyperlinks>
    <hyperlink ref="B8" location="Leakage_Organic_Amendment_by_Tp!A1" display="Leakage_Organic_Amendment_by_Tp" xr:uid="{C6FC151B-D7FF-4FDC-A40B-7FBBCB082EA8}"/>
    <hyperlink ref="B6" location="Leakage_Organic_Amendments!A1" display="Leakage_Organic_Amendments" xr:uid="{024E5471-ACC7-42F8-AAE4-43C7A4F802C5}"/>
    <hyperlink ref="C5" location="'Leakage Org Amend (enum)'!A1" display="'Leakage Org Amend (enum)" xr:uid="{8E350B8B-A8F3-4B0F-BC9B-8247DD95DE6F}"/>
    <hyperlink ref="B14" location="Leakage_for_Diversion_of_Manure!A1" display="Leakage_for_Diversion_of_Manure" xr:uid="{9944F9B9-4189-4C08-A6A2-EDD85CB141BE}"/>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06EB712-A719-459B-A171-34DE98C59036}">
          <x14:formula1>
            <xm:f>'Leakage Manure Diversion (enum)'!$A$3:$A$4</xm:f>
          </x14:formula1>
          <xm:sqref>G13</xm:sqref>
        </x14:dataValidation>
        <x14:dataValidation type="list" allowBlank="1" showInputMessage="1" showErrorMessage="1" xr:uid="{31C368EF-2A26-4E90-9D14-4E2D2AF34D26}">
          <x14:formula1>
            <xm:f>'Leakage Org Amend (enum)'!$A$3:$A$6</xm:f>
          </x14:formula1>
          <xm:sqref>G5</xm:sqref>
        </x14:dataValidation>
      </x14:dataValidations>
    </ext>
  </extLst>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A542F-76F4-47FF-B84C-A07BAB9FEABF}">
  <sheetPr codeName="Sheet69">
    <tabColor rgb="FFFFC000"/>
    <outlinePr summaryBelow="0" summaryRight="0"/>
  </sheetPr>
  <dimension ref="A1:G24"/>
  <sheetViews>
    <sheetView topLeftCell="A14" workbookViewId="0">
      <selection activeCell="E1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260</v>
      </c>
      <c r="B1" s="32"/>
      <c r="C1" s="32"/>
      <c r="D1" s="32"/>
      <c r="E1" s="32"/>
      <c r="F1" s="32"/>
      <c r="G1" s="32"/>
    </row>
    <row r="2" spans="1:7" ht="18.75">
      <c r="A2" s="1" t="s">
        <v>1</v>
      </c>
      <c r="B2" s="33" t="s">
        <v>730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262</v>
      </c>
      <c r="C5" s="3"/>
      <c r="D5" s="3"/>
      <c r="E5" s="3" t="s">
        <v>263</v>
      </c>
      <c r="F5" s="3" t="s">
        <v>11</v>
      </c>
      <c r="G5" s="3"/>
    </row>
    <row r="6" spans="1:7" outlineLevel="1">
      <c r="A6" s="4" t="s">
        <v>11</v>
      </c>
      <c r="B6" s="4" t="s">
        <v>46</v>
      </c>
      <c r="C6" s="5"/>
      <c r="D6" s="8"/>
      <c r="E6" s="4" t="s">
        <v>264</v>
      </c>
      <c r="F6" s="4" t="s">
        <v>14</v>
      </c>
      <c r="G6" s="4" t="s">
        <v>198</v>
      </c>
    </row>
    <row r="7" spans="1:7" ht="30" outlineLevel="1">
      <c r="A7" s="4" t="s">
        <v>11</v>
      </c>
      <c r="B7" s="4" t="s">
        <v>82</v>
      </c>
      <c r="C7" s="5"/>
      <c r="D7" s="8"/>
      <c r="E7" s="4" t="s">
        <v>201</v>
      </c>
      <c r="F7" s="4" t="s">
        <v>14</v>
      </c>
      <c r="G7" s="4">
        <v>160</v>
      </c>
    </row>
    <row r="8" spans="1:7" outlineLevel="1">
      <c r="A8" s="4" t="s">
        <v>11</v>
      </c>
      <c r="B8" s="4" t="s">
        <v>46</v>
      </c>
      <c r="C8" s="5" t="s">
        <v>47</v>
      </c>
      <c r="D8" s="8"/>
      <c r="E8" s="4" t="s">
        <v>199</v>
      </c>
      <c r="F8" s="4" t="s">
        <v>14</v>
      </c>
      <c r="G8" s="4" t="s">
        <v>200</v>
      </c>
    </row>
    <row r="9" spans="1:7" outlineLevel="1">
      <c r="A9" s="4" t="s">
        <v>11</v>
      </c>
      <c r="B9" s="4" t="s">
        <v>46</v>
      </c>
      <c r="C9" s="5"/>
      <c r="D9" s="8"/>
      <c r="E9" s="4" t="s">
        <v>265</v>
      </c>
      <c r="F9" s="4" t="s">
        <v>14</v>
      </c>
      <c r="G9" s="4" t="s">
        <v>266</v>
      </c>
    </row>
    <row r="10" spans="1:7" ht="45" outlineLevel="1">
      <c r="A10" s="4" t="s">
        <v>14</v>
      </c>
      <c r="B10" s="4" t="s">
        <v>82</v>
      </c>
      <c r="C10" s="5"/>
      <c r="D10" s="8"/>
      <c r="E10" s="4" t="s">
        <v>267</v>
      </c>
      <c r="F10" s="4" t="s">
        <v>14</v>
      </c>
      <c r="G10" s="4">
        <v>1</v>
      </c>
    </row>
    <row r="11" spans="1:7" ht="30" outlineLevel="1">
      <c r="A11" s="4" t="s">
        <v>11</v>
      </c>
      <c r="B11" s="4"/>
      <c r="C11" s="5"/>
      <c r="D11" s="8"/>
      <c r="E11" s="4" t="s">
        <v>268</v>
      </c>
      <c r="F11" s="4" t="s">
        <v>11</v>
      </c>
      <c r="G11" s="4">
        <v>3.504</v>
      </c>
    </row>
    <row r="12" spans="1:7" ht="30" outlineLevel="1">
      <c r="A12" s="4" t="s">
        <v>11</v>
      </c>
      <c r="B12" s="4" t="s">
        <v>82</v>
      </c>
      <c r="C12" s="5"/>
      <c r="D12" s="8"/>
      <c r="E12" s="4" t="s">
        <v>269</v>
      </c>
      <c r="F12" s="4" t="s">
        <v>14</v>
      </c>
      <c r="G12" s="4">
        <v>3.0000000000000001E-3</v>
      </c>
    </row>
    <row r="13" spans="1:7" ht="30" outlineLevel="1">
      <c r="A13" s="4" t="s">
        <v>11</v>
      </c>
      <c r="B13" s="4" t="s">
        <v>82</v>
      </c>
      <c r="C13" s="5"/>
      <c r="D13" s="8"/>
      <c r="E13" s="4" t="s">
        <v>270</v>
      </c>
      <c r="F13" s="4" t="s">
        <v>14</v>
      </c>
      <c r="G13" s="4">
        <v>1</v>
      </c>
    </row>
    <row r="14" spans="1:7" ht="30" outlineLevel="1">
      <c r="A14" s="4" t="s">
        <v>14</v>
      </c>
      <c r="B14" s="4" t="s">
        <v>82</v>
      </c>
      <c r="C14" s="5"/>
      <c r="D14" s="8" t="s">
        <v>48</v>
      </c>
      <c r="E14" s="4" t="s">
        <v>271</v>
      </c>
      <c r="F14" s="4" t="s">
        <v>14</v>
      </c>
      <c r="G14" s="4">
        <f>(G7*G11)*G10*G13/1000</f>
        <v>0.56064000000000003</v>
      </c>
    </row>
    <row r="15" spans="1:7" ht="45" outlineLevel="1">
      <c r="A15" s="4"/>
      <c r="B15" s="4" t="s">
        <v>82</v>
      </c>
      <c r="C15" s="5"/>
      <c r="D15" s="8"/>
      <c r="E15" s="4" t="s">
        <v>255</v>
      </c>
      <c r="F15" s="4" t="s">
        <v>14</v>
      </c>
      <c r="G15" s="4">
        <v>0.24</v>
      </c>
    </row>
    <row r="16" spans="1:7" ht="30" outlineLevel="1">
      <c r="A16" s="4" t="s">
        <v>11</v>
      </c>
      <c r="B16" s="4" t="s">
        <v>82</v>
      </c>
      <c r="C16" s="5"/>
      <c r="D16" s="8"/>
      <c r="E16" s="4" t="s">
        <v>252</v>
      </c>
      <c r="F16" s="4" t="s">
        <v>14</v>
      </c>
      <c r="G16" s="4">
        <v>0.21</v>
      </c>
    </row>
    <row r="17" spans="1:7" ht="30" outlineLevel="1">
      <c r="A17" s="4" t="s">
        <v>11</v>
      </c>
      <c r="B17" s="4" t="s">
        <v>82</v>
      </c>
      <c r="C17" s="5"/>
      <c r="D17" s="8"/>
      <c r="E17" s="4" t="s">
        <v>256</v>
      </c>
      <c r="F17" s="4" t="s">
        <v>14</v>
      </c>
      <c r="G17" s="4">
        <v>1.0999999999999999E-2</v>
      </c>
    </row>
    <row r="18" spans="1:7" ht="30" outlineLevel="1">
      <c r="A18" s="4" t="s">
        <v>11</v>
      </c>
      <c r="B18" s="4" t="s">
        <v>82</v>
      </c>
      <c r="C18" s="5"/>
      <c r="D18" s="8"/>
      <c r="E18" s="4" t="s">
        <v>253</v>
      </c>
      <c r="F18" s="4" t="s">
        <v>14</v>
      </c>
      <c r="G18" s="4">
        <v>0.01</v>
      </c>
    </row>
    <row r="19" spans="1:7" ht="75" outlineLevel="1">
      <c r="A19" s="4" t="s">
        <v>14</v>
      </c>
      <c r="B19" s="4" t="s">
        <v>82</v>
      </c>
      <c r="C19" s="5"/>
      <c r="D19" s="8" t="s">
        <v>48</v>
      </c>
      <c r="E19" s="4" t="s">
        <v>272</v>
      </c>
      <c r="F19" s="4" t="s">
        <v>14</v>
      </c>
      <c r="G19" s="4">
        <f>G14*G15*G17*(44/28)*G24</f>
        <v>0.6163515977142856</v>
      </c>
    </row>
    <row r="20" spans="1:7" ht="45" outlineLevel="1">
      <c r="A20" s="4" t="s">
        <v>14</v>
      </c>
      <c r="B20" s="4" t="s">
        <v>82</v>
      </c>
      <c r="C20" s="5"/>
      <c r="D20" s="8" t="s">
        <v>48</v>
      </c>
      <c r="E20" s="4" t="s">
        <v>273</v>
      </c>
      <c r="F20" s="4" t="s">
        <v>14</v>
      </c>
      <c r="G20" s="4">
        <f>G14*G16*G18*(44/28)*G24</f>
        <v>0.49027968000000005</v>
      </c>
    </row>
    <row r="21" spans="1:7" ht="45">
      <c r="A21" s="3" t="s">
        <v>14</v>
      </c>
      <c r="B21" s="3" t="s">
        <v>82</v>
      </c>
      <c r="C21" s="3"/>
      <c r="D21" s="3" t="s">
        <v>48</v>
      </c>
      <c r="E21" s="3" t="s">
        <v>274</v>
      </c>
      <c r="F21" s="3" t="s">
        <v>14</v>
      </c>
      <c r="G21" s="3" t="e">
        <f>SUM(G14*G12*(44/28)*G24)/#REF!</f>
        <v>#REF!</v>
      </c>
    </row>
    <row r="22" spans="1:7" ht="30">
      <c r="A22" s="3" t="s">
        <v>14</v>
      </c>
      <c r="B22" s="3" t="s">
        <v>82</v>
      </c>
      <c r="C22" s="3"/>
      <c r="D22" s="3" t="s">
        <v>48</v>
      </c>
      <c r="E22" s="3" t="s">
        <v>275</v>
      </c>
      <c r="F22" s="3" t="s">
        <v>14</v>
      </c>
      <c r="G22" s="3" t="e">
        <f>(G20+G19)/#REF!</f>
        <v>#REF!</v>
      </c>
    </row>
    <row r="23" spans="1:7" ht="30">
      <c r="A23" s="3" t="s">
        <v>14</v>
      </c>
      <c r="B23" s="3" t="s">
        <v>82</v>
      </c>
      <c r="C23" s="3"/>
      <c r="D23" s="3" t="s">
        <v>48</v>
      </c>
      <c r="E23" s="3" t="s">
        <v>276</v>
      </c>
      <c r="F23" s="3" t="s">
        <v>14</v>
      </c>
      <c r="G23" s="3" t="e">
        <f>G21+G22</f>
        <v>#REF!</v>
      </c>
    </row>
    <row r="24" spans="1:7">
      <c r="A24" s="3" t="s">
        <v>11</v>
      </c>
      <c r="B24" s="3" t="s">
        <v>82</v>
      </c>
      <c r="C24" s="3"/>
      <c r="D24" s="3"/>
      <c r="E24" s="3" t="s">
        <v>114</v>
      </c>
      <c r="F24" s="3" t="s">
        <v>14</v>
      </c>
      <c r="G24" s="3">
        <v>265</v>
      </c>
    </row>
  </sheetData>
  <mergeCells count="3">
    <mergeCell ref="A1:G1"/>
    <mergeCell ref="B2:G2"/>
    <mergeCell ref="B3:G3"/>
  </mergeCells>
  <dataValidations count="2">
    <dataValidation type="list" allowBlank="1" showInputMessage="1" showErrorMessage="1" sqref="A6:A10 F6:F10" xr:uid="{276F2D08-5AB4-4C71-9E4D-92E2151E092C}">
      <formula1>"Yes,No"</formula1>
    </dataValidation>
    <dataValidation type="list" allowBlank="1" showInputMessage="1" showErrorMessage="1" sqref="B3:G3" xr:uid="{34F3196B-2A02-4C1C-B40B-DD508C210EDF}">
      <formula1>"Verifiable Credentials,Encrypted Verifiable Credential,Sub-Schema"</formula1>
    </dataValidation>
  </dataValidations>
  <hyperlinks>
    <hyperlink ref="B5" location="N2O_ManureData_ByType_Baseline!A1" display="N2O_ManureData_ByType_Baseline" xr:uid="{00A9BBDA-1353-46A8-8C93-340565C5D0B1}"/>
  </hyperlinks>
  <pageMargins left="0.7" right="0.7" top="0.75" bottom="0.75" header="0.3" footer="0.3"/>
  <pageSetup orientation="portrait" horizontalDpi="4294967295" verticalDpi="4294967295" r:id="rId1"/>
  <legacyDrawing r:id="rId2"/>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C1A1-E268-41C4-BA10-B4F316B1D6A6}">
  <sheetPr codeName="Sheet70">
    <tabColor rgb="FFFFC000"/>
    <outlinePr summaryBelow="0" summaryRight="0"/>
  </sheetPr>
  <dimension ref="A1:G19"/>
  <sheetViews>
    <sheetView workbookViewId="0">
      <selection activeCell="E11" sqref="E1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262</v>
      </c>
      <c r="B1" s="32"/>
      <c r="C1" s="32"/>
      <c r="D1" s="32"/>
      <c r="E1" s="32"/>
      <c r="F1" s="32"/>
      <c r="G1" s="32"/>
    </row>
    <row r="2" spans="1:7" ht="18.75">
      <c r="A2" s="1" t="s">
        <v>1</v>
      </c>
      <c r="B2" s="33" t="s">
        <v>731</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264</v>
      </c>
      <c r="F5" s="3" t="s">
        <v>14</v>
      </c>
      <c r="G5" s="3" t="s">
        <v>198</v>
      </c>
    </row>
    <row r="6" spans="1:7" ht="30">
      <c r="A6" s="3" t="s">
        <v>11</v>
      </c>
      <c r="B6" s="3" t="s">
        <v>82</v>
      </c>
      <c r="C6" s="3"/>
      <c r="D6" s="3"/>
      <c r="E6" s="3" t="s">
        <v>201</v>
      </c>
      <c r="F6" s="3" t="s">
        <v>14</v>
      </c>
      <c r="G6" s="3">
        <v>160</v>
      </c>
    </row>
    <row r="7" spans="1:7">
      <c r="A7" s="3" t="s">
        <v>11</v>
      </c>
      <c r="B7" s="3" t="s">
        <v>46</v>
      </c>
      <c r="C7" s="3" t="s">
        <v>47</v>
      </c>
      <c r="D7" s="3"/>
      <c r="E7" s="3" t="s">
        <v>199</v>
      </c>
      <c r="F7" s="3" t="s">
        <v>14</v>
      </c>
      <c r="G7" s="3" t="s">
        <v>200</v>
      </c>
    </row>
    <row r="8" spans="1:7">
      <c r="A8" s="3" t="s">
        <v>11</v>
      </c>
      <c r="B8" s="3" t="s">
        <v>46</v>
      </c>
      <c r="C8" s="3"/>
      <c r="D8" s="3"/>
      <c r="E8" s="3" t="s">
        <v>265</v>
      </c>
      <c r="F8" s="3" t="s">
        <v>14</v>
      </c>
      <c r="G8" s="3" t="s">
        <v>266</v>
      </c>
    </row>
    <row r="9" spans="1:7" ht="45">
      <c r="A9" s="3" t="s">
        <v>14</v>
      </c>
      <c r="B9" s="3" t="s">
        <v>82</v>
      </c>
      <c r="C9" s="3"/>
      <c r="D9" s="3"/>
      <c r="E9" s="3" t="s">
        <v>267</v>
      </c>
      <c r="F9" s="3" t="s">
        <v>14</v>
      </c>
      <c r="G9" s="3">
        <v>1</v>
      </c>
    </row>
    <row r="10" spans="1:7" ht="30">
      <c r="A10" s="3" t="s">
        <v>14</v>
      </c>
      <c r="B10" s="3" t="s">
        <v>82</v>
      </c>
      <c r="C10" s="3"/>
      <c r="D10" s="3"/>
      <c r="E10" s="3" t="s">
        <v>268</v>
      </c>
      <c r="F10" s="3" t="s">
        <v>11</v>
      </c>
      <c r="G10" s="3">
        <v>3.504</v>
      </c>
    </row>
    <row r="11" spans="1:7" ht="30">
      <c r="A11" s="3" t="s">
        <v>14</v>
      </c>
      <c r="B11" s="3" t="s">
        <v>82</v>
      </c>
      <c r="C11" s="3"/>
      <c r="D11" s="3"/>
      <c r="E11" s="3" t="s">
        <v>269</v>
      </c>
      <c r="F11" s="3" t="s">
        <v>14</v>
      </c>
      <c r="G11" s="3">
        <v>3.0000000000000001E-3</v>
      </c>
    </row>
    <row r="12" spans="1:7" ht="30">
      <c r="A12" s="3" t="s">
        <v>11</v>
      </c>
      <c r="B12" s="3" t="s">
        <v>82</v>
      </c>
      <c r="C12" s="3"/>
      <c r="D12" s="3"/>
      <c r="E12" s="3" t="s">
        <v>270</v>
      </c>
      <c r="F12" s="3" t="s">
        <v>14</v>
      </c>
      <c r="G12" s="3">
        <v>1</v>
      </c>
    </row>
    <row r="13" spans="1:7" ht="30">
      <c r="A13" s="3" t="s">
        <v>14</v>
      </c>
      <c r="B13" s="3" t="s">
        <v>82</v>
      </c>
      <c r="C13" s="3"/>
      <c r="D13" s="3" t="s">
        <v>48</v>
      </c>
      <c r="E13" s="3" t="s">
        <v>271</v>
      </c>
      <c r="F13" s="3" t="s">
        <v>14</v>
      </c>
      <c r="G13" s="3">
        <f>(G6*G10)*G9*G12/1000</f>
        <v>0.56064000000000003</v>
      </c>
    </row>
    <row r="14" spans="1:7" ht="45">
      <c r="A14" s="3" t="s">
        <v>11</v>
      </c>
      <c r="B14" s="3" t="s">
        <v>82</v>
      </c>
      <c r="C14" s="3"/>
      <c r="D14" s="3"/>
      <c r="E14" s="3" t="s">
        <v>255</v>
      </c>
      <c r="F14" s="3" t="s">
        <v>14</v>
      </c>
      <c r="G14" s="3">
        <v>0.24</v>
      </c>
    </row>
    <row r="15" spans="1:7" ht="30">
      <c r="A15" s="3" t="s">
        <v>11</v>
      </c>
      <c r="B15" s="3" t="s">
        <v>82</v>
      </c>
      <c r="C15" s="3"/>
      <c r="D15" s="3"/>
      <c r="E15" s="3" t="s">
        <v>252</v>
      </c>
      <c r="F15" s="3" t="s">
        <v>14</v>
      </c>
      <c r="G15" s="3">
        <v>0.21</v>
      </c>
    </row>
    <row r="16" spans="1:7" ht="30">
      <c r="A16" s="3" t="s">
        <v>11</v>
      </c>
      <c r="B16" s="3" t="s">
        <v>82</v>
      </c>
      <c r="C16" s="3"/>
      <c r="D16" s="3"/>
      <c r="E16" s="3" t="s">
        <v>256</v>
      </c>
      <c r="F16" s="3" t="s">
        <v>14</v>
      </c>
      <c r="G16" s="3">
        <v>1.0999999999999999E-2</v>
      </c>
    </row>
    <row r="17" spans="1:7" ht="30">
      <c r="A17" s="3" t="s">
        <v>11</v>
      </c>
      <c r="B17" s="3" t="s">
        <v>82</v>
      </c>
      <c r="C17" s="3"/>
      <c r="D17" s="3"/>
      <c r="E17" s="3" t="s">
        <v>253</v>
      </c>
      <c r="F17" s="3" t="s">
        <v>14</v>
      </c>
      <c r="G17" s="3">
        <v>0.01</v>
      </c>
    </row>
    <row r="18" spans="1:7" ht="75">
      <c r="A18" s="3" t="s">
        <v>14</v>
      </c>
      <c r="B18" s="3" t="s">
        <v>82</v>
      </c>
      <c r="C18" s="3"/>
      <c r="D18" s="3" t="s">
        <v>48</v>
      </c>
      <c r="E18" s="3" t="s">
        <v>272</v>
      </c>
      <c r="F18" s="3" t="s">
        <v>14</v>
      </c>
      <c r="G18" s="3">
        <f>G13*G14*G16*(44/28)*G23</f>
        <v>0</v>
      </c>
    </row>
    <row r="19" spans="1:7" ht="45">
      <c r="A19" s="3" t="s">
        <v>14</v>
      </c>
      <c r="B19" s="3" t="s">
        <v>82</v>
      </c>
      <c r="C19" s="3"/>
      <c r="D19" s="3" t="s">
        <v>48</v>
      </c>
      <c r="E19" s="3" t="s">
        <v>273</v>
      </c>
      <c r="F19" s="3" t="s">
        <v>14</v>
      </c>
      <c r="G19" s="3">
        <f>G13*G15*G17*(44/28)*G23</f>
        <v>0</v>
      </c>
    </row>
  </sheetData>
  <mergeCells count="3">
    <mergeCell ref="A1:G1"/>
    <mergeCell ref="B2:G2"/>
    <mergeCell ref="B3:G3"/>
  </mergeCells>
  <dataValidations disablePrompts="1" count="2">
    <dataValidation type="list" allowBlank="1" showInputMessage="1" showErrorMessage="1" sqref="A5:A9 F5:F9" xr:uid="{22D7AB3E-1741-4206-8FA1-4A34B0EAC91D}">
      <formula1>"Yes,No"</formula1>
    </dataValidation>
    <dataValidation type="list" allowBlank="1" showInputMessage="1" showErrorMessage="1" sqref="B3:G3" xr:uid="{076BC96E-45D2-4E56-89DB-9ABA7D48ACF1}">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0C13-59B6-4452-8223-7B880CA5B4EB}">
  <sheetPr codeName="Sheet71">
    <tabColor rgb="FFFFC000"/>
    <outlinePr summaryBelow="0" summaryRight="0"/>
  </sheetPr>
  <dimension ref="A1:G2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347</v>
      </c>
      <c r="B1" s="32"/>
      <c r="C1" s="32"/>
      <c r="D1" s="32"/>
      <c r="E1" s="32"/>
      <c r="F1" s="32"/>
      <c r="G1" s="32"/>
    </row>
    <row r="2" spans="1:7" ht="18.75">
      <c r="A2" s="1" t="s">
        <v>1</v>
      </c>
      <c r="B2" s="33" t="s">
        <v>732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349</v>
      </c>
      <c r="C5" s="3"/>
      <c r="D5" s="3"/>
      <c r="E5" s="3" t="s">
        <v>350</v>
      </c>
      <c r="F5" s="3" t="s">
        <v>11</v>
      </c>
      <c r="G5" s="3"/>
    </row>
    <row r="6" spans="1:7" outlineLevel="1">
      <c r="A6" s="4" t="s">
        <v>11</v>
      </c>
      <c r="B6" s="4" t="s">
        <v>46</v>
      </c>
      <c r="C6" s="5"/>
      <c r="D6" s="8"/>
      <c r="E6" s="4" t="s">
        <v>264</v>
      </c>
      <c r="F6" s="4" t="s">
        <v>14</v>
      </c>
      <c r="G6" s="4" t="s">
        <v>198</v>
      </c>
    </row>
    <row r="7" spans="1:7" ht="30" outlineLevel="1">
      <c r="A7" s="4" t="s">
        <v>11</v>
      </c>
      <c r="B7" s="4" t="s">
        <v>82</v>
      </c>
      <c r="C7" s="5"/>
      <c r="D7" s="8"/>
      <c r="E7" s="4" t="s">
        <v>315</v>
      </c>
      <c r="F7" s="4" t="s">
        <v>14</v>
      </c>
      <c r="G7" s="4">
        <v>160</v>
      </c>
    </row>
    <row r="8" spans="1:7" outlineLevel="1">
      <c r="A8" s="4" t="s">
        <v>11</v>
      </c>
      <c r="B8" s="4" t="s">
        <v>46</v>
      </c>
      <c r="C8" s="5" t="s">
        <v>47</v>
      </c>
      <c r="D8" s="8"/>
      <c r="E8" s="4" t="s">
        <v>199</v>
      </c>
      <c r="F8" s="4" t="s">
        <v>14</v>
      </c>
      <c r="G8" s="4" t="s">
        <v>200</v>
      </c>
    </row>
    <row r="9" spans="1:7" outlineLevel="1">
      <c r="A9" s="4" t="s">
        <v>11</v>
      </c>
      <c r="B9" s="4" t="s">
        <v>46</v>
      </c>
      <c r="C9" s="5"/>
      <c r="D9" s="8"/>
      <c r="E9" s="4" t="s">
        <v>265</v>
      </c>
      <c r="F9" s="4" t="s">
        <v>14</v>
      </c>
      <c r="G9" s="4" t="s">
        <v>266</v>
      </c>
    </row>
    <row r="10" spans="1:7" ht="45" outlineLevel="1">
      <c r="A10" s="4" t="s">
        <v>14</v>
      </c>
      <c r="B10" s="4" t="s">
        <v>82</v>
      </c>
      <c r="C10" s="5"/>
      <c r="D10" s="8"/>
      <c r="E10" s="4" t="s">
        <v>267</v>
      </c>
      <c r="F10" s="4" t="s">
        <v>14</v>
      </c>
      <c r="G10" s="4">
        <v>1</v>
      </c>
    </row>
    <row r="11" spans="1:7" ht="30" outlineLevel="1">
      <c r="A11" s="4" t="s">
        <v>11</v>
      </c>
      <c r="B11" s="4"/>
      <c r="C11" s="5"/>
      <c r="D11" s="8"/>
      <c r="E11" s="4" t="s">
        <v>268</v>
      </c>
      <c r="F11" s="4" t="s">
        <v>11</v>
      </c>
      <c r="G11" s="4">
        <v>3.504</v>
      </c>
    </row>
    <row r="12" spans="1:7" ht="30" outlineLevel="1">
      <c r="A12" s="4" t="s">
        <v>11</v>
      </c>
      <c r="B12" s="4" t="s">
        <v>82</v>
      </c>
      <c r="C12" s="5"/>
      <c r="D12" s="8"/>
      <c r="E12" s="4" t="s">
        <v>269</v>
      </c>
      <c r="F12" s="4" t="s">
        <v>14</v>
      </c>
      <c r="G12" s="4">
        <v>3.0000000000000001E-3</v>
      </c>
    </row>
    <row r="13" spans="1:7" ht="30" outlineLevel="1">
      <c r="A13" s="4" t="s">
        <v>11</v>
      </c>
      <c r="B13" s="4" t="s">
        <v>82</v>
      </c>
      <c r="C13" s="5"/>
      <c r="D13" s="8"/>
      <c r="E13" s="4" t="s">
        <v>351</v>
      </c>
      <c r="F13" s="4" t="s">
        <v>14</v>
      </c>
      <c r="G13" s="4">
        <v>1</v>
      </c>
    </row>
    <row r="14" spans="1:7" ht="30" outlineLevel="1">
      <c r="A14" s="4" t="s">
        <v>14</v>
      </c>
      <c r="B14" s="4" t="s">
        <v>82</v>
      </c>
      <c r="C14" s="5"/>
      <c r="D14" s="8" t="s">
        <v>48</v>
      </c>
      <c r="E14" s="4" t="s">
        <v>271</v>
      </c>
      <c r="F14" s="4" t="s">
        <v>14</v>
      </c>
      <c r="G14" s="4">
        <f>(G7*G11)*G10*G13/1000</f>
        <v>0.56064000000000003</v>
      </c>
    </row>
    <row r="15" spans="1:7" ht="45" outlineLevel="1">
      <c r="A15" s="4"/>
      <c r="B15" s="4" t="s">
        <v>82</v>
      </c>
      <c r="C15" s="5"/>
      <c r="D15" s="8"/>
      <c r="E15" s="4" t="s">
        <v>255</v>
      </c>
      <c r="F15" s="4" t="s">
        <v>14</v>
      </c>
      <c r="G15" s="4">
        <v>0.24</v>
      </c>
    </row>
    <row r="16" spans="1:7" ht="30" outlineLevel="1">
      <c r="A16" s="4" t="s">
        <v>11</v>
      </c>
      <c r="B16" s="4" t="s">
        <v>82</v>
      </c>
      <c r="C16" s="5"/>
      <c r="D16" s="8"/>
      <c r="E16" s="4" t="s">
        <v>252</v>
      </c>
      <c r="F16" s="4" t="s">
        <v>14</v>
      </c>
      <c r="G16" s="4">
        <v>0.21</v>
      </c>
    </row>
    <row r="17" spans="1:7" ht="30" outlineLevel="1">
      <c r="A17" s="4" t="s">
        <v>11</v>
      </c>
      <c r="B17" s="4" t="s">
        <v>82</v>
      </c>
      <c r="C17" s="5"/>
      <c r="D17" s="8"/>
      <c r="E17" s="4" t="s">
        <v>256</v>
      </c>
      <c r="F17" s="4" t="s">
        <v>14</v>
      </c>
      <c r="G17" s="4">
        <v>1.0999999999999999E-2</v>
      </c>
    </row>
    <row r="18" spans="1:7" ht="30" outlineLevel="1">
      <c r="A18" s="4" t="s">
        <v>11</v>
      </c>
      <c r="B18" s="4" t="s">
        <v>82</v>
      </c>
      <c r="C18" s="5"/>
      <c r="D18" s="8"/>
      <c r="E18" s="4" t="s">
        <v>253</v>
      </c>
      <c r="F18" s="4" t="s">
        <v>14</v>
      </c>
      <c r="G18" s="4">
        <v>0.01</v>
      </c>
    </row>
    <row r="19" spans="1:7" ht="75" outlineLevel="1">
      <c r="A19" s="4" t="s">
        <v>14</v>
      </c>
      <c r="B19" s="4" t="s">
        <v>82</v>
      </c>
      <c r="C19" s="5"/>
      <c r="D19" s="8" t="s">
        <v>48</v>
      </c>
      <c r="E19" s="4" t="s">
        <v>272</v>
      </c>
      <c r="F19" s="4" t="s">
        <v>14</v>
      </c>
      <c r="G19" s="4">
        <f>G14*G15*G17*(44/28)*G24</f>
        <v>0.6163515977142856</v>
      </c>
    </row>
    <row r="20" spans="1:7" ht="45" outlineLevel="1">
      <c r="A20" s="4" t="s">
        <v>14</v>
      </c>
      <c r="B20" s="4" t="s">
        <v>82</v>
      </c>
      <c r="C20" s="5"/>
      <c r="D20" s="8" t="s">
        <v>48</v>
      </c>
      <c r="E20" s="4" t="s">
        <v>273</v>
      </c>
      <c r="F20" s="4" t="s">
        <v>14</v>
      </c>
      <c r="G20" s="4">
        <f>G14*G16*G18*(44/28)*G24</f>
        <v>0.49027968000000005</v>
      </c>
    </row>
    <row r="21" spans="1:7" ht="45">
      <c r="A21" s="3" t="s">
        <v>14</v>
      </c>
      <c r="B21" s="3" t="s">
        <v>82</v>
      </c>
      <c r="C21" s="3"/>
      <c r="D21" s="3" t="s">
        <v>48</v>
      </c>
      <c r="E21" s="3" t="s">
        <v>352</v>
      </c>
      <c r="F21" s="3" t="s">
        <v>14</v>
      </c>
      <c r="G21" s="3" t="e">
        <f>SUM(G14*G12*(44/28)*G24)/#REF!</f>
        <v>#REF!</v>
      </c>
    </row>
    <row r="22" spans="1:7" ht="30">
      <c r="A22" s="3" t="s">
        <v>14</v>
      </c>
      <c r="B22" s="3" t="s">
        <v>82</v>
      </c>
      <c r="C22" s="3"/>
      <c r="D22" s="3" t="s">
        <v>48</v>
      </c>
      <c r="E22" s="3" t="s">
        <v>353</v>
      </c>
      <c r="F22" s="3" t="s">
        <v>14</v>
      </c>
      <c r="G22" s="3" t="e">
        <f>(G20+G19)/#REF!</f>
        <v>#REF!</v>
      </c>
    </row>
    <row r="23" spans="1:7" ht="30">
      <c r="A23" s="3" t="s">
        <v>14</v>
      </c>
      <c r="B23" s="3" t="s">
        <v>82</v>
      </c>
      <c r="C23" s="3"/>
      <c r="D23" s="3" t="s">
        <v>48</v>
      </c>
      <c r="E23" s="3" t="s">
        <v>354</v>
      </c>
      <c r="F23" s="3" t="s">
        <v>14</v>
      </c>
      <c r="G23" s="3" t="e">
        <f>G21+G22</f>
        <v>#REF!</v>
      </c>
    </row>
    <row r="24" spans="1:7">
      <c r="A24" s="3" t="s">
        <v>11</v>
      </c>
      <c r="B24" s="3" t="s">
        <v>82</v>
      </c>
      <c r="C24" s="3"/>
      <c r="D24" s="3"/>
      <c r="E24" s="3" t="s">
        <v>114</v>
      </c>
      <c r="F24" s="3" t="s">
        <v>14</v>
      </c>
      <c r="G24" s="3">
        <v>265</v>
      </c>
    </row>
  </sheetData>
  <mergeCells count="3">
    <mergeCell ref="A1:G1"/>
    <mergeCell ref="B2:G2"/>
    <mergeCell ref="B3:G3"/>
  </mergeCells>
  <dataValidations count="2">
    <dataValidation type="list" allowBlank="1" showInputMessage="1" showErrorMessage="1" sqref="A6:A10 F6:F10" xr:uid="{B612293E-0800-4855-B058-9393B7053B2D}">
      <formula1>"Yes,No"</formula1>
    </dataValidation>
    <dataValidation type="list" allowBlank="1" showInputMessage="1" showErrorMessage="1" sqref="B3:G3" xr:uid="{0EAB1195-57F1-4F71-A73B-5B61AE769DAD}">
      <formula1>"Verifiable Credentials,Encrypted Verifiable Credential,Sub-Schema"</formula1>
    </dataValidation>
  </dataValidations>
  <hyperlinks>
    <hyperlink ref="B5" location="N2O_ManureData_ByType_Project!A1" display="N2O_ManureData_ByType_Project" xr:uid="{1A45D234-57A3-4534-B624-36A9D7796770}"/>
  </hyperlinks>
  <pageMargins left="0.7" right="0.7" top="0.75" bottom="0.75" header="0.3" footer="0.3"/>
  <pageSetup orientation="portrait" horizontalDpi="4294967295" verticalDpi="4294967295"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BA0A-35DC-4685-968E-1C3E83E2E88D}">
  <sheetPr codeName="Sheet72">
    <tabColor rgb="FFFFC000"/>
    <outlinePr summaryBelow="0" summaryRight="0"/>
  </sheetPr>
  <dimension ref="A1:G19"/>
  <sheetViews>
    <sheetView workbookViewId="0">
      <selection activeCell="D14" sqref="D1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349</v>
      </c>
      <c r="B1" s="32"/>
      <c r="C1" s="32"/>
      <c r="D1" s="32"/>
      <c r="E1" s="32"/>
      <c r="F1" s="32"/>
      <c r="G1" s="32"/>
    </row>
    <row r="2" spans="1:7" ht="18.75">
      <c r="A2" s="1" t="s">
        <v>1</v>
      </c>
      <c r="B2" s="33" t="s">
        <v>733</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264</v>
      </c>
      <c r="F5" s="3" t="s">
        <v>14</v>
      </c>
      <c r="G5" s="3" t="s">
        <v>198</v>
      </c>
    </row>
    <row r="6" spans="1:7" ht="30">
      <c r="A6" s="3" t="s">
        <v>11</v>
      </c>
      <c r="B6" s="3" t="s">
        <v>82</v>
      </c>
      <c r="C6" s="3"/>
      <c r="D6" s="3"/>
      <c r="E6" s="3" t="s">
        <v>315</v>
      </c>
      <c r="F6" s="3" t="s">
        <v>14</v>
      </c>
      <c r="G6" s="3">
        <v>160</v>
      </c>
    </row>
    <row r="7" spans="1:7">
      <c r="A7" s="3" t="s">
        <v>11</v>
      </c>
      <c r="B7" s="3" t="s">
        <v>46</v>
      </c>
      <c r="C7" s="3" t="s">
        <v>47</v>
      </c>
      <c r="D7" s="3"/>
      <c r="E7" s="3" t="s">
        <v>199</v>
      </c>
      <c r="F7" s="3" t="s">
        <v>14</v>
      </c>
      <c r="G7" s="3" t="s">
        <v>200</v>
      </c>
    </row>
    <row r="8" spans="1:7">
      <c r="A8" s="3" t="s">
        <v>11</v>
      </c>
      <c r="B8" s="3" t="s">
        <v>46</v>
      </c>
      <c r="C8" s="3"/>
      <c r="D8" s="3"/>
      <c r="E8" s="3" t="s">
        <v>265</v>
      </c>
      <c r="F8" s="3" t="s">
        <v>14</v>
      </c>
      <c r="G8" s="3" t="s">
        <v>266</v>
      </c>
    </row>
    <row r="9" spans="1:7" ht="45">
      <c r="A9" s="3" t="s">
        <v>11</v>
      </c>
      <c r="B9" s="3" t="s">
        <v>82</v>
      </c>
      <c r="C9" s="3"/>
      <c r="D9" s="3"/>
      <c r="E9" s="3" t="s">
        <v>267</v>
      </c>
      <c r="F9" s="3" t="s">
        <v>14</v>
      </c>
      <c r="G9" s="3">
        <v>1</v>
      </c>
    </row>
    <row r="10" spans="1:7" ht="30">
      <c r="A10" s="3" t="s">
        <v>11</v>
      </c>
      <c r="B10" s="3" t="s">
        <v>82</v>
      </c>
      <c r="C10" s="3"/>
      <c r="D10" s="3"/>
      <c r="E10" s="3" t="s">
        <v>268</v>
      </c>
      <c r="F10" s="3" t="s">
        <v>14</v>
      </c>
      <c r="G10" s="3">
        <v>3.504</v>
      </c>
    </row>
    <row r="11" spans="1:7" ht="30">
      <c r="A11" s="3" t="s">
        <v>11</v>
      </c>
      <c r="B11" s="3" t="s">
        <v>82</v>
      </c>
      <c r="C11" s="3"/>
      <c r="D11" s="3"/>
      <c r="E11" s="3" t="s">
        <v>269</v>
      </c>
      <c r="F11" s="3" t="s">
        <v>14</v>
      </c>
      <c r="G11" s="3">
        <v>3.0000000000000001E-3</v>
      </c>
    </row>
    <row r="12" spans="1:7" ht="30">
      <c r="A12" s="3" t="s">
        <v>11</v>
      </c>
      <c r="B12" s="3" t="s">
        <v>82</v>
      </c>
      <c r="C12" s="3"/>
      <c r="D12" s="3"/>
      <c r="E12" s="3" t="s">
        <v>351</v>
      </c>
      <c r="F12" s="3" t="s">
        <v>14</v>
      </c>
      <c r="G12" s="3">
        <v>1</v>
      </c>
    </row>
    <row r="13" spans="1:7" ht="30">
      <c r="A13" s="3" t="s">
        <v>14</v>
      </c>
      <c r="B13" s="3" t="s">
        <v>82</v>
      </c>
      <c r="C13" s="3"/>
      <c r="D13" s="3" t="s">
        <v>48</v>
      </c>
      <c r="E13" s="3" t="s">
        <v>271</v>
      </c>
      <c r="F13" s="3" t="s">
        <v>14</v>
      </c>
      <c r="G13" s="3">
        <f>(G6*G10)*G9*G12/1000</f>
        <v>0.56064000000000003</v>
      </c>
    </row>
    <row r="14" spans="1:7" ht="45">
      <c r="A14" s="3" t="s">
        <v>11</v>
      </c>
      <c r="B14" s="3" t="s">
        <v>82</v>
      </c>
      <c r="C14" s="3"/>
      <c r="D14" s="3"/>
      <c r="E14" s="3" t="s">
        <v>255</v>
      </c>
      <c r="F14" s="3" t="s">
        <v>14</v>
      </c>
      <c r="G14" s="3">
        <v>0.24</v>
      </c>
    </row>
    <row r="15" spans="1:7" ht="30">
      <c r="A15" s="3" t="s">
        <v>11</v>
      </c>
      <c r="B15" s="3" t="s">
        <v>82</v>
      </c>
      <c r="C15" s="3"/>
      <c r="D15" s="3"/>
      <c r="E15" s="3" t="s">
        <v>252</v>
      </c>
      <c r="F15" s="3" t="s">
        <v>14</v>
      </c>
      <c r="G15" s="3">
        <v>0.21</v>
      </c>
    </row>
    <row r="16" spans="1:7" ht="30">
      <c r="A16" s="3" t="s">
        <v>11</v>
      </c>
      <c r="B16" s="3" t="s">
        <v>82</v>
      </c>
      <c r="C16" s="3"/>
      <c r="D16" s="3"/>
      <c r="E16" s="3" t="s">
        <v>256</v>
      </c>
      <c r="F16" s="3" t="s">
        <v>14</v>
      </c>
      <c r="G16" s="3">
        <v>1.0999999999999999E-2</v>
      </c>
    </row>
    <row r="17" spans="1:7" ht="30">
      <c r="A17" s="3" t="s">
        <v>11</v>
      </c>
      <c r="B17" s="3" t="s">
        <v>82</v>
      </c>
      <c r="C17" s="3"/>
      <c r="D17" s="3"/>
      <c r="E17" s="3" t="s">
        <v>253</v>
      </c>
      <c r="F17" s="3" t="s">
        <v>14</v>
      </c>
      <c r="G17" s="3">
        <v>0.01</v>
      </c>
    </row>
    <row r="18" spans="1:7" ht="75">
      <c r="A18" s="3" t="s">
        <v>14</v>
      </c>
      <c r="B18" s="3" t="s">
        <v>82</v>
      </c>
      <c r="C18" s="3"/>
      <c r="D18" s="3" t="s">
        <v>48</v>
      </c>
      <c r="E18" s="3" t="s">
        <v>272</v>
      </c>
      <c r="F18" s="3" t="s">
        <v>14</v>
      </c>
      <c r="G18" s="3">
        <f>G13*G14*G16*(44/28)*G23</f>
        <v>0</v>
      </c>
    </row>
    <row r="19" spans="1:7" ht="45">
      <c r="A19" s="3" t="s">
        <v>14</v>
      </c>
      <c r="B19" s="3" t="s">
        <v>82</v>
      </c>
      <c r="C19" s="3"/>
      <c r="D19" s="3" t="s">
        <v>48</v>
      </c>
      <c r="E19" s="3" t="s">
        <v>273</v>
      </c>
      <c r="F19" s="3" t="s">
        <v>14</v>
      </c>
      <c r="G19" s="3">
        <f>G13*G15*G17*(44/28)*G23</f>
        <v>0</v>
      </c>
    </row>
  </sheetData>
  <mergeCells count="3">
    <mergeCell ref="A1:G1"/>
    <mergeCell ref="B2:G2"/>
    <mergeCell ref="B3:G3"/>
  </mergeCells>
  <dataValidations count="2">
    <dataValidation type="list" allowBlank="1" showInputMessage="1" showErrorMessage="1" sqref="A5:A9 F5:F9" xr:uid="{A4C77BF3-2CDC-4F0E-AA3F-721197B82CC8}">
      <formula1>"Yes,No"</formula1>
    </dataValidation>
    <dataValidation type="list" allowBlank="1" showInputMessage="1" showErrorMessage="1" sqref="B3:G3" xr:uid="{09449031-E81E-4AEE-ABF0-3D20BF42088C}">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7EC7E-7196-4142-9534-36C09AA01DB2}">
  <sheetPr codeName="Sheet73">
    <tabColor rgb="FFFFC000"/>
    <outlinePr summaryBelow="0" summaryRight="0"/>
  </sheetPr>
  <dimension ref="A1:G12"/>
  <sheetViews>
    <sheetView workbookViewId="0">
      <selection activeCell="E23" sqref="E23"/>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277</v>
      </c>
      <c r="B1" s="32"/>
      <c r="C1" s="32"/>
      <c r="D1" s="32"/>
      <c r="E1" s="32"/>
      <c r="F1" s="32"/>
      <c r="G1" s="32"/>
    </row>
    <row r="2" spans="1:7" ht="18.75">
      <c r="A2" s="1" t="s">
        <v>1</v>
      </c>
      <c r="B2" s="33" t="s">
        <v>734</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279</v>
      </c>
      <c r="C5" s="3"/>
      <c r="D5" s="3"/>
      <c r="E5" s="3" t="s">
        <v>280</v>
      </c>
      <c r="F5" s="3" t="s">
        <v>11</v>
      </c>
      <c r="G5" s="3"/>
    </row>
    <row r="6" spans="1:7" outlineLevel="1">
      <c r="A6" s="4" t="s">
        <v>11</v>
      </c>
      <c r="B6" s="4" t="s">
        <v>46</v>
      </c>
      <c r="C6" s="5"/>
      <c r="D6" s="8"/>
      <c r="E6" s="4" t="s">
        <v>281</v>
      </c>
      <c r="F6" s="4" t="s">
        <v>14</v>
      </c>
      <c r="G6" s="4" t="s">
        <v>282</v>
      </c>
    </row>
    <row r="7" spans="1:7" ht="30" outlineLevel="1">
      <c r="A7" s="4" t="s">
        <v>11</v>
      </c>
      <c r="B7" s="4" t="s">
        <v>82</v>
      </c>
      <c r="C7" s="5"/>
      <c r="D7" s="8"/>
      <c r="E7" s="4" t="s">
        <v>283</v>
      </c>
      <c r="F7" s="4" t="s">
        <v>14</v>
      </c>
      <c r="G7" s="4">
        <v>10000</v>
      </c>
    </row>
    <row r="8" spans="1:7" outlineLevel="1">
      <c r="A8" s="4" t="s">
        <v>11</v>
      </c>
      <c r="B8" s="4" t="s">
        <v>82</v>
      </c>
      <c r="C8" s="5" t="s">
        <v>47</v>
      </c>
      <c r="D8" s="8"/>
      <c r="E8" s="4" t="s">
        <v>284</v>
      </c>
      <c r="F8" s="4" t="s">
        <v>14</v>
      </c>
      <c r="G8" s="4">
        <v>8.0000000000000002E-3</v>
      </c>
    </row>
    <row r="9" spans="1:7">
      <c r="A9" s="3" t="s">
        <v>11</v>
      </c>
      <c r="B9" s="3" t="s">
        <v>82</v>
      </c>
      <c r="C9" s="3"/>
      <c r="D9" s="3"/>
      <c r="E9" s="3" t="s">
        <v>240</v>
      </c>
      <c r="F9" s="3" t="s">
        <v>14</v>
      </c>
      <c r="G9" s="3">
        <v>0.01</v>
      </c>
    </row>
    <row r="10" spans="1:7" ht="30">
      <c r="A10" s="3" t="s">
        <v>14</v>
      </c>
      <c r="B10" s="3" t="s">
        <v>82</v>
      </c>
      <c r="C10" s="3"/>
      <c r="D10" s="3" t="s">
        <v>48</v>
      </c>
      <c r="E10" s="3" t="s">
        <v>285</v>
      </c>
      <c r="F10" s="3" t="s">
        <v>14</v>
      </c>
      <c r="G10" s="3">
        <f>SUM(G7*G8)</f>
        <v>80</v>
      </c>
    </row>
    <row r="11" spans="1:7" ht="45">
      <c r="A11" s="3" t="s">
        <v>11</v>
      </c>
      <c r="B11" s="3" t="s">
        <v>82</v>
      </c>
      <c r="C11" s="3"/>
      <c r="D11" s="3" t="s">
        <v>48</v>
      </c>
      <c r="E11" s="3" t="s">
        <v>286</v>
      </c>
      <c r="F11" s="3" t="s">
        <v>14</v>
      </c>
      <c r="G11" s="3" t="e">
        <f>(G10*G9*(44/28)*G12)/#REF!</f>
        <v>#REF!</v>
      </c>
    </row>
    <row r="12" spans="1:7">
      <c r="A12" s="3" t="s">
        <v>11</v>
      </c>
      <c r="B12" s="3" t="s">
        <v>82</v>
      </c>
      <c r="C12" s="3"/>
      <c r="D12" s="3"/>
      <c r="E12" s="3" t="s">
        <v>114</v>
      </c>
      <c r="F12" s="3" t="s">
        <v>14</v>
      </c>
      <c r="G12" s="3">
        <v>265</v>
      </c>
    </row>
  </sheetData>
  <mergeCells count="3">
    <mergeCell ref="A1:G1"/>
    <mergeCell ref="B2:G2"/>
    <mergeCell ref="B3:G3"/>
  </mergeCells>
  <dataValidations count="2">
    <dataValidation type="list" allowBlank="1" showInputMessage="1" showErrorMessage="1" sqref="A6:A10 F6:F10" xr:uid="{86CF9B7C-881E-4C83-BE75-01930EDC6ACE}">
      <formula1>"Yes,No"</formula1>
    </dataValidation>
    <dataValidation type="list" allowBlank="1" showInputMessage="1" showErrorMessage="1" sqref="B3:G3" xr:uid="{B787DC52-8BFA-4C16-906A-08439DC4C40D}">
      <formula1>"Verifiable Credentials,Encrypted Verifiable Credential,Sub-Schema"</formula1>
    </dataValidation>
  </dataValidations>
  <hyperlinks>
    <hyperlink ref="B5" location="NFixingSpecies_Data_Baseline!A1" display="NFixingSpecies_Data_Baseline" xr:uid="{FE2CF3B0-917E-4172-B85B-82F56FD42D5D}"/>
  </hyperlinks>
  <pageMargins left="0.7" right="0.7" top="0.75" bottom="0.75" header="0.3" footer="0.3"/>
  <pageSetup orientation="portrait" horizontalDpi="4294967295" verticalDpi="4294967295" r:id="rId1"/>
  <legacy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53AC-0B45-44D4-89C2-155F53BDE84D}">
  <sheetPr codeName="Sheet74">
    <tabColor rgb="FFFFC000"/>
    <outlinePr summaryBelow="0" summaryRight="0"/>
  </sheetPr>
  <dimension ref="A1:G7"/>
  <sheetViews>
    <sheetView workbookViewId="0">
      <selection activeCell="D30" sqref="D30"/>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279</v>
      </c>
      <c r="B1" s="32"/>
      <c r="C1" s="32"/>
      <c r="D1" s="32"/>
      <c r="E1" s="32"/>
      <c r="F1" s="32"/>
      <c r="G1" s="32"/>
    </row>
    <row r="2" spans="1:7" ht="18.75">
      <c r="A2" s="1" t="s">
        <v>1</v>
      </c>
      <c r="B2" s="33" t="s">
        <v>735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281</v>
      </c>
      <c r="F5" s="3" t="s">
        <v>14</v>
      </c>
      <c r="G5" s="3" t="s">
        <v>282</v>
      </c>
    </row>
    <row r="6" spans="1:7" ht="30">
      <c r="A6" s="3" t="s">
        <v>11</v>
      </c>
      <c r="B6" s="3" t="s">
        <v>82</v>
      </c>
      <c r="C6" s="3"/>
      <c r="D6" s="3"/>
      <c r="E6" s="3" t="s">
        <v>283</v>
      </c>
      <c r="F6" s="3" t="s">
        <v>14</v>
      </c>
      <c r="G6" s="3">
        <v>10000</v>
      </c>
    </row>
    <row r="7" spans="1:7">
      <c r="A7" s="3" t="s">
        <v>11</v>
      </c>
      <c r="B7" s="3" t="s">
        <v>82</v>
      </c>
      <c r="C7" s="3" t="s">
        <v>47</v>
      </c>
      <c r="D7" s="3"/>
      <c r="E7" s="3" t="s">
        <v>284</v>
      </c>
      <c r="F7" s="3" t="s">
        <v>14</v>
      </c>
      <c r="G7" s="3">
        <v>8.0000000000000002E-3</v>
      </c>
    </row>
  </sheetData>
  <mergeCells count="3">
    <mergeCell ref="A1:G1"/>
    <mergeCell ref="B2:G2"/>
    <mergeCell ref="B3:G3"/>
  </mergeCells>
  <dataValidations count="2">
    <dataValidation type="list" allowBlank="1" showInputMessage="1" showErrorMessage="1" sqref="A5:A7 F5:F7" xr:uid="{9B7C912E-76E4-4BF0-BD5A-E128F5BF1DA0}">
      <formula1>"Yes,No"</formula1>
    </dataValidation>
    <dataValidation type="list" allowBlank="1" showInputMessage="1" showErrorMessage="1" sqref="B3:G3" xr:uid="{6CBBD874-60C7-4BC6-ACEF-825A8B351B78}">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03CA-C844-4BCA-A619-E8BF56E77C19}">
  <sheetPr codeName="Sheet75">
    <tabColor rgb="FFFFC000"/>
    <outlinePr summaryBelow="0" summaryRight="0"/>
  </sheetPr>
  <dimension ref="A1:G12"/>
  <sheetViews>
    <sheetView workbookViewId="0">
      <selection activeCell="E29" sqref="E29"/>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355</v>
      </c>
      <c r="B1" s="32"/>
      <c r="C1" s="32"/>
      <c r="D1" s="32"/>
      <c r="E1" s="32"/>
      <c r="F1" s="32"/>
      <c r="G1" s="32"/>
    </row>
    <row r="2" spans="1:7" ht="18.75">
      <c r="A2" s="1" t="s">
        <v>1</v>
      </c>
      <c r="B2" s="33" t="s">
        <v>736</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357</v>
      </c>
      <c r="C5" s="3"/>
      <c r="D5" s="3"/>
      <c r="E5" s="3" t="s">
        <v>358</v>
      </c>
      <c r="F5" s="3" t="s">
        <v>11</v>
      </c>
      <c r="G5" s="3"/>
    </row>
    <row r="6" spans="1:7" outlineLevel="1">
      <c r="A6" s="4" t="s">
        <v>11</v>
      </c>
      <c r="B6" s="4" t="s">
        <v>46</v>
      </c>
      <c r="C6" s="5"/>
      <c r="D6" s="8"/>
      <c r="E6" s="4" t="s">
        <v>281</v>
      </c>
      <c r="F6" s="4" t="s">
        <v>14</v>
      </c>
      <c r="G6" s="4" t="s">
        <v>282</v>
      </c>
    </row>
    <row r="7" spans="1:7" ht="30" outlineLevel="1">
      <c r="A7" s="4" t="s">
        <v>11</v>
      </c>
      <c r="B7" s="4" t="s">
        <v>82</v>
      </c>
      <c r="C7" s="5"/>
      <c r="D7" s="8"/>
      <c r="E7" s="4" t="s">
        <v>283</v>
      </c>
      <c r="F7" s="4" t="s">
        <v>14</v>
      </c>
      <c r="G7" s="4">
        <v>10000</v>
      </c>
    </row>
    <row r="8" spans="1:7" outlineLevel="1">
      <c r="A8" s="4" t="s">
        <v>11</v>
      </c>
      <c r="B8" s="4" t="s">
        <v>82</v>
      </c>
      <c r="C8" s="5" t="s">
        <v>47</v>
      </c>
      <c r="D8" s="8"/>
      <c r="E8" s="4" t="s">
        <v>284</v>
      </c>
      <c r="F8" s="4" t="s">
        <v>14</v>
      </c>
      <c r="G8" s="4">
        <v>8.0000000000000002E-3</v>
      </c>
    </row>
    <row r="9" spans="1:7">
      <c r="A9" s="3" t="s">
        <v>11</v>
      </c>
      <c r="B9" s="3" t="s">
        <v>82</v>
      </c>
      <c r="C9" s="3"/>
      <c r="D9" s="3"/>
      <c r="E9" s="3" t="s">
        <v>240</v>
      </c>
      <c r="F9" s="3" t="s">
        <v>14</v>
      </c>
      <c r="G9" s="3">
        <v>0.01</v>
      </c>
    </row>
    <row r="10" spans="1:7" ht="30">
      <c r="A10" s="3" t="s">
        <v>14</v>
      </c>
      <c r="B10" s="3" t="s">
        <v>82</v>
      </c>
      <c r="C10" s="3"/>
      <c r="D10" s="3" t="s">
        <v>48</v>
      </c>
      <c r="E10" s="3" t="s">
        <v>359</v>
      </c>
      <c r="F10" s="3" t="s">
        <v>14</v>
      </c>
      <c r="G10" s="3">
        <f>SUM(G7*G8)</f>
        <v>80</v>
      </c>
    </row>
    <row r="11" spans="1:7" ht="45">
      <c r="A11" s="3" t="s">
        <v>11</v>
      </c>
      <c r="B11" s="3" t="s">
        <v>82</v>
      </c>
      <c r="C11" s="3"/>
      <c r="D11" s="3" t="s">
        <v>48</v>
      </c>
      <c r="E11" s="3" t="s">
        <v>360</v>
      </c>
      <c r="F11" s="3" t="s">
        <v>14</v>
      </c>
      <c r="G11" s="3" t="e">
        <f>(G10*G9*(44/28)*G12)/#REF!</f>
        <v>#REF!</v>
      </c>
    </row>
    <row r="12" spans="1:7">
      <c r="A12" s="3" t="s">
        <v>11</v>
      </c>
      <c r="B12" s="3" t="s">
        <v>82</v>
      </c>
      <c r="C12" s="3"/>
      <c r="D12" s="3"/>
      <c r="E12" s="3" t="s">
        <v>114</v>
      </c>
      <c r="F12" s="3" t="s">
        <v>14</v>
      </c>
      <c r="G12" s="3">
        <v>265</v>
      </c>
    </row>
  </sheetData>
  <mergeCells count="3">
    <mergeCell ref="A1:G1"/>
    <mergeCell ref="B2:G2"/>
    <mergeCell ref="B3:G3"/>
  </mergeCells>
  <dataValidations count="2">
    <dataValidation type="list" allowBlank="1" showInputMessage="1" showErrorMessage="1" sqref="A6:A10 F6:F10" xr:uid="{E712DA9C-6344-4145-88FF-AE01FCF97AB4}">
      <formula1>"Yes,No"</formula1>
    </dataValidation>
    <dataValidation type="list" allowBlank="1" showInputMessage="1" showErrorMessage="1" sqref="B3:G3" xr:uid="{A919A317-0BE8-4200-ABD3-F7987730364C}">
      <formula1>"Verifiable Credentials,Encrypted Verifiable Credential,Sub-Schema"</formula1>
    </dataValidation>
  </dataValidations>
  <hyperlinks>
    <hyperlink ref="B5" location="NFixingSpecies_Data_Project!A1" display="NFixingSpecies_Data_Project" xr:uid="{4BD74AFD-8BB2-4C5A-8A0F-16D9D0EA17D1}"/>
  </hyperlinks>
  <pageMargins left="0.7" right="0.7" top="0.75" bottom="0.75" header="0.3" footer="0.3"/>
  <pageSetup orientation="portrait" horizontalDpi="4294967295" verticalDpi="4294967295" r:id="rId1"/>
  <legacy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A06D-A5DB-476B-84A3-472F06421CDA}">
  <sheetPr codeName="Sheet76">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357</v>
      </c>
      <c r="B1" s="32"/>
      <c r="C1" s="32"/>
      <c r="D1" s="32"/>
      <c r="E1" s="32"/>
      <c r="F1" s="32"/>
      <c r="G1" s="32"/>
    </row>
    <row r="2" spans="1:7" ht="18.75">
      <c r="A2" s="1" t="s">
        <v>1</v>
      </c>
      <c r="B2" s="33" t="s">
        <v>737</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c r="D5" s="3"/>
      <c r="E5" s="3" t="s">
        <v>281</v>
      </c>
      <c r="F5" s="3" t="s">
        <v>14</v>
      </c>
      <c r="G5" s="3" t="s">
        <v>282</v>
      </c>
    </row>
    <row r="6" spans="1:7" ht="30">
      <c r="A6" s="3" t="s">
        <v>11</v>
      </c>
      <c r="B6" s="3" t="s">
        <v>82</v>
      </c>
      <c r="C6" s="3"/>
      <c r="D6" s="3"/>
      <c r="E6" s="3" t="s">
        <v>283</v>
      </c>
      <c r="F6" s="3" t="s">
        <v>14</v>
      </c>
      <c r="G6" s="3">
        <v>10000</v>
      </c>
    </row>
    <row r="7" spans="1:7">
      <c r="A7" s="3" t="s">
        <v>11</v>
      </c>
      <c r="B7" s="3" t="s">
        <v>82</v>
      </c>
      <c r="C7" s="3" t="s">
        <v>47</v>
      </c>
      <c r="D7" s="3"/>
      <c r="E7" s="3" t="s">
        <v>284</v>
      </c>
      <c r="F7" s="3" t="s">
        <v>14</v>
      </c>
      <c r="G7" s="3">
        <v>8.0000000000000002E-3</v>
      </c>
    </row>
  </sheetData>
  <mergeCells count="3">
    <mergeCell ref="A1:G1"/>
    <mergeCell ref="B2:G2"/>
    <mergeCell ref="B3:G3"/>
  </mergeCells>
  <dataValidations count="2">
    <dataValidation type="list" allowBlank="1" showInputMessage="1" showErrorMessage="1" sqref="A5:A7 F5:F7" xr:uid="{988ABC55-E864-47AF-8538-3FFC7F226F28}">
      <formula1>"Yes,No"</formula1>
    </dataValidation>
    <dataValidation type="list" allowBlank="1" showInputMessage="1" showErrorMessage="1" sqref="B3:G3" xr:uid="{C2250636-0AB9-4DF8-920E-2E92CC31131C}">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EEE7-3665-4687-8EC8-EF1393E2D480}">
  <sheetPr codeName="Sheet77">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738</v>
      </c>
      <c r="B1" s="32"/>
      <c r="C1" s="32"/>
      <c r="D1" s="32"/>
      <c r="E1" s="32"/>
      <c r="F1" s="32"/>
      <c r="G1" s="32"/>
    </row>
    <row r="2" spans="1:7" ht="18.75">
      <c r="A2" s="1" t="s">
        <v>1</v>
      </c>
      <c r="B2" s="33" t="s">
        <v>739</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14.25" customHeight="1">
      <c r="A5" s="3" t="s">
        <v>11</v>
      </c>
      <c r="B5" s="10" t="s">
        <v>289</v>
      </c>
      <c r="C5" s="3"/>
      <c r="D5" s="3"/>
      <c r="E5" s="3" t="s">
        <v>290</v>
      </c>
      <c r="F5" s="3" t="s">
        <v>11</v>
      </c>
      <c r="G5" s="3"/>
    </row>
    <row r="6" spans="1:7" outlineLevel="1">
      <c r="A6" s="4" t="s">
        <v>11</v>
      </c>
      <c r="B6" s="4" t="s">
        <v>46</v>
      </c>
      <c r="C6" s="5" t="s">
        <v>47</v>
      </c>
      <c r="D6" s="8"/>
      <c r="E6" s="4" t="s">
        <v>225</v>
      </c>
      <c r="F6" s="4" t="s">
        <v>14</v>
      </c>
      <c r="G6" s="4" t="s">
        <v>226</v>
      </c>
    </row>
    <row r="7" spans="1:7" ht="30" outlineLevel="1">
      <c r="A7" s="4" t="s">
        <v>11</v>
      </c>
      <c r="B7" s="4" t="s">
        <v>82</v>
      </c>
      <c r="C7" s="5"/>
      <c r="D7" s="8"/>
      <c r="E7" s="4" t="s">
        <v>227</v>
      </c>
      <c r="F7" s="4" t="s">
        <v>14</v>
      </c>
      <c r="G7" s="4">
        <v>0.92</v>
      </c>
    </row>
    <row r="8" spans="1:7" ht="30" outlineLevel="1">
      <c r="A8" s="4" t="s">
        <v>11</v>
      </c>
      <c r="B8" s="4" t="s">
        <v>82</v>
      </c>
      <c r="C8" s="5"/>
      <c r="D8" s="8"/>
      <c r="E8" s="4" t="s">
        <v>291</v>
      </c>
      <c r="F8" s="4" t="s">
        <v>14</v>
      </c>
      <c r="G8" s="4">
        <v>0.21</v>
      </c>
    </row>
    <row r="9" spans="1:7" ht="30" outlineLevel="1">
      <c r="A9" s="4" t="s">
        <v>11</v>
      </c>
      <c r="B9" s="4" t="s">
        <v>82</v>
      </c>
      <c r="C9" s="5"/>
      <c r="D9" s="8"/>
      <c r="E9" s="4" t="s">
        <v>229</v>
      </c>
      <c r="F9" s="4" t="s">
        <v>14</v>
      </c>
      <c r="G9" s="4">
        <v>1423149.0296307299</v>
      </c>
    </row>
    <row r="10" spans="1:7" ht="18" outlineLevel="1">
      <c r="A10" s="4" t="s">
        <v>14</v>
      </c>
      <c r="B10" s="4" t="s">
        <v>82</v>
      </c>
      <c r="C10" s="5"/>
      <c r="D10" s="8" t="s">
        <v>48</v>
      </c>
      <c r="E10" s="4" t="s">
        <v>292</v>
      </c>
      <c r="F10" s="4" t="s">
        <v>14</v>
      </c>
      <c r="G10" s="4">
        <f>G9*G7*G8</f>
        <v>274952.39252465701</v>
      </c>
    </row>
    <row r="11" spans="1:7" ht="18">
      <c r="A11" s="3" t="s">
        <v>11</v>
      </c>
      <c r="B11" s="3" t="s">
        <v>82</v>
      </c>
      <c r="C11" s="3"/>
      <c r="D11" s="3"/>
      <c r="E11" s="3" t="s">
        <v>293</v>
      </c>
      <c r="F11" s="3" t="s">
        <v>14</v>
      </c>
      <c r="G11" s="3">
        <f>SUM(G10)</f>
        <v>274952.39252465701</v>
      </c>
    </row>
    <row r="12" spans="1:7" ht="30">
      <c r="A12" s="3" t="s">
        <v>14</v>
      </c>
      <c r="B12" s="3" t="s">
        <v>82</v>
      </c>
      <c r="C12" s="3"/>
      <c r="D12" s="3" t="s">
        <v>48</v>
      </c>
      <c r="E12" s="3" t="s">
        <v>294</v>
      </c>
      <c r="F12" s="3" t="s">
        <v>14</v>
      </c>
      <c r="G12" s="3" t="e">
        <f>((G13*G11)/G14)/#REF!</f>
        <v>#REF!</v>
      </c>
    </row>
    <row r="13" spans="1:7">
      <c r="A13" s="3" t="s">
        <v>11</v>
      </c>
      <c r="B13" s="3" t="s">
        <v>82</v>
      </c>
      <c r="C13" s="3"/>
      <c r="D13" s="3"/>
      <c r="E13" s="3" t="s">
        <v>114</v>
      </c>
      <c r="F13" s="3" t="s">
        <v>14</v>
      </c>
      <c r="G13" s="3">
        <v>265</v>
      </c>
    </row>
    <row r="14" spans="1:7">
      <c r="A14" s="3" t="s">
        <v>14</v>
      </c>
      <c r="B14" s="3" t="s">
        <v>82</v>
      </c>
      <c r="C14" s="3"/>
      <c r="D14" s="3" t="s">
        <v>48</v>
      </c>
      <c r="E14" s="3" t="s">
        <v>220</v>
      </c>
      <c r="F14" s="3" t="s">
        <v>14</v>
      </c>
      <c r="G14" s="3">
        <f>10^6</f>
        <v>1000000</v>
      </c>
    </row>
  </sheetData>
  <mergeCells count="3">
    <mergeCell ref="A1:G1"/>
    <mergeCell ref="B2:G2"/>
    <mergeCell ref="B3:G3"/>
  </mergeCells>
  <dataValidations count="2">
    <dataValidation type="list" allowBlank="1" showInputMessage="1" showErrorMessage="1" sqref="A6:A14 F6:F14" xr:uid="{71918EF1-775E-44D3-9F44-1F215C16A0BA}">
      <formula1>"Yes,No"</formula1>
    </dataValidation>
    <dataValidation type="list" allowBlank="1" showInputMessage="1" showErrorMessage="1" sqref="B3:G3" xr:uid="{3E3CBB40-BD64-4564-8019-42184297C66B}">
      <formula1>"Verifiable Credentials,Encrypted Verifiable Credential,Sub-Schema"</formula1>
    </dataValidation>
  </dataValidations>
  <hyperlinks>
    <hyperlink ref="B5" location="N2O_BiomassData_ByType_Baseline!A1" display="N2O_BiomassData_ByType_Baseline" xr:uid="{104F6E43-2E0D-46C8-A283-902733809410}"/>
  </hyperlinks>
  <pageMargins left="0.7" right="0.7" top="0.75" bottom="0.75" header="0.3" footer="0.3"/>
  <pageSetup orientation="portrait" horizontalDpi="4294967295" verticalDpi="4294967295" r:id="rId1"/>
  <legacy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C0E2-A05F-4B32-B7D7-FE0BD976FC2B}">
  <sheetPr codeName="Sheet78">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289</v>
      </c>
      <c r="B1" s="32"/>
      <c r="C1" s="32"/>
      <c r="D1" s="32"/>
      <c r="E1" s="32"/>
      <c r="F1" s="32"/>
      <c r="G1" s="32"/>
    </row>
    <row r="2" spans="1:7" ht="18.75">
      <c r="A2" s="1" t="s">
        <v>1</v>
      </c>
      <c r="B2" s="33" t="s">
        <v>740</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225</v>
      </c>
      <c r="F5" s="3" t="s">
        <v>14</v>
      </c>
      <c r="G5" s="3" t="s">
        <v>226</v>
      </c>
    </row>
    <row r="6" spans="1:7" ht="30">
      <c r="A6" s="3" t="s">
        <v>11</v>
      </c>
      <c r="B6" s="3" t="s">
        <v>82</v>
      </c>
      <c r="C6" s="3"/>
      <c r="D6" s="3"/>
      <c r="E6" s="3" t="s">
        <v>227</v>
      </c>
      <c r="F6" s="3" t="s">
        <v>14</v>
      </c>
      <c r="G6" s="3">
        <v>0.92</v>
      </c>
    </row>
    <row r="7" spans="1:7" ht="30">
      <c r="A7" s="3" t="s">
        <v>11</v>
      </c>
      <c r="B7" s="3" t="s">
        <v>82</v>
      </c>
      <c r="C7" s="3"/>
      <c r="D7" s="3"/>
      <c r="E7" s="3" t="s">
        <v>291</v>
      </c>
      <c r="F7" s="3" t="s">
        <v>14</v>
      </c>
      <c r="G7" s="3">
        <v>0.21</v>
      </c>
    </row>
    <row r="8" spans="1:7" ht="30">
      <c r="A8" s="3" t="s">
        <v>11</v>
      </c>
      <c r="B8" s="3" t="s">
        <v>82</v>
      </c>
      <c r="C8" s="3"/>
      <c r="D8" s="3"/>
      <c r="E8" s="3" t="s">
        <v>229</v>
      </c>
      <c r="F8" s="3" t="s">
        <v>14</v>
      </c>
      <c r="G8" s="3">
        <v>1423149.0296307299</v>
      </c>
    </row>
    <row r="9" spans="1:7" ht="18">
      <c r="A9" s="3" t="s">
        <v>14</v>
      </c>
      <c r="B9" s="3" t="s">
        <v>82</v>
      </c>
      <c r="C9" s="3"/>
      <c r="D9" s="3" t="s">
        <v>48</v>
      </c>
      <c r="E9" s="3" t="s">
        <v>292</v>
      </c>
      <c r="F9" s="3" t="s">
        <v>14</v>
      </c>
      <c r="G9" s="3">
        <f>G8*G6*G7</f>
        <v>274952.39252465701</v>
      </c>
    </row>
  </sheetData>
  <mergeCells count="3">
    <mergeCell ref="A1:G1"/>
    <mergeCell ref="B2:G2"/>
    <mergeCell ref="B3:G3"/>
  </mergeCells>
  <dataValidations count="2">
    <dataValidation type="list" allowBlank="1" showInputMessage="1" showErrorMessage="1" sqref="A5:A9 F5:F9" xr:uid="{ADE05918-6FCC-4DD8-9527-A7AAEFCE4A9E}">
      <formula1>"Yes,No"</formula1>
    </dataValidation>
    <dataValidation type="list" allowBlank="1" showInputMessage="1" showErrorMessage="1" sqref="B3:G3" xr:uid="{A7974B0A-C364-4691-8E6A-F90B2DCEE1B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4A48-A887-4ED8-B449-E1FB7C0562C2}">
  <sheetPr codeName="Sheet8">
    <tabColor rgb="FFFFFF00"/>
    <outlinePr summaryBelow="0" summaryRight="0"/>
  </sheetPr>
  <dimension ref="A1:G13"/>
  <sheetViews>
    <sheetView workbookViewId="0">
      <selection activeCell="C27" sqref="C27"/>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2" t="s">
        <v>644</v>
      </c>
      <c r="B1" s="32"/>
      <c r="C1" s="32"/>
      <c r="D1" s="32"/>
      <c r="E1" s="32"/>
      <c r="F1" s="32"/>
      <c r="G1" s="32"/>
    </row>
    <row r="2" spans="1:7" ht="18.75">
      <c r="A2" s="1" t="s">
        <v>1</v>
      </c>
      <c r="B2" s="33" t="s">
        <v>632</v>
      </c>
      <c r="C2" s="33"/>
      <c r="D2" s="33"/>
      <c r="E2" s="33"/>
      <c r="F2" s="33"/>
      <c r="G2" s="33"/>
    </row>
    <row r="3" spans="1:7" ht="18.75">
      <c r="A3" s="1" t="s">
        <v>2</v>
      </c>
      <c r="B3" s="33" t="s">
        <v>633</v>
      </c>
      <c r="C3" s="33"/>
      <c r="D3" s="33"/>
      <c r="E3" s="33"/>
      <c r="F3" s="33"/>
      <c r="G3" s="33"/>
    </row>
    <row r="4" spans="1:7" ht="18.75">
      <c r="A4" s="1" t="s">
        <v>642</v>
      </c>
      <c r="B4" s="33" t="s">
        <v>645</v>
      </c>
      <c r="C4" s="33"/>
      <c r="D4" s="33"/>
      <c r="E4" s="33"/>
      <c r="F4" s="33"/>
      <c r="G4" s="33"/>
    </row>
    <row r="5" spans="1:7" ht="18.75">
      <c r="A5" s="1" t="s">
        <v>643</v>
      </c>
      <c r="B5" s="33" t="s">
        <v>646</v>
      </c>
      <c r="C5" s="33"/>
      <c r="D5" s="33"/>
      <c r="E5" s="33"/>
      <c r="F5" s="33"/>
      <c r="G5" s="33"/>
    </row>
    <row r="6" spans="1:7" ht="18.75">
      <c r="A6" s="2" t="s">
        <v>4</v>
      </c>
      <c r="B6" s="2" t="s">
        <v>5</v>
      </c>
      <c r="C6" s="2" t="s">
        <v>6</v>
      </c>
      <c r="D6" s="2" t="s">
        <v>7</v>
      </c>
      <c r="E6" s="2" t="s">
        <v>8</v>
      </c>
      <c r="F6" s="2" t="s">
        <v>9</v>
      </c>
      <c r="G6" s="2" t="s">
        <v>10</v>
      </c>
    </row>
    <row r="7" spans="1:7" ht="29.25" customHeight="1">
      <c r="A7" s="3" t="s">
        <v>11</v>
      </c>
      <c r="B7" s="3" t="s">
        <v>82</v>
      </c>
      <c r="C7" s="3"/>
      <c r="D7" s="3"/>
      <c r="E7" s="3" t="s">
        <v>594</v>
      </c>
      <c r="F7" s="3" t="s">
        <v>14</v>
      </c>
      <c r="G7" s="3">
        <v>0</v>
      </c>
    </row>
    <row r="8" spans="1:7">
      <c r="A8" s="3" t="s">
        <v>11</v>
      </c>
      <c r="B8" s="9" t="s">
        <v>595</v>
      </c>
      <c r="C8" s="3"/>
      <c r="D8" s="3"/>
      <c r="E8" s="3" t="s">
        <v>647</v>
      </c>
      <c r="F8" s="3" t="s">
        <v>11</v>
      </c>
      <c r="G8" s="3"/>
    </row>
    <row r="9" spans="1:7" outlineLevel="7">
      <c r="A9" s="4" t="s">
        <v>11</v>
      </c>
      <c r="B9" s="4" t="s">
        <v>82</v>
      </c>
      <c r="C9" s="5"/>
      <c r="D9" s="8"/>
      <c r="E9" s="4" t="s">
        <v>597</v>
      </c>
      <c r="F9" s="4" t="s">
        <v>14</v>
      </c>
      <c r="G9" s="4" t="s">
        <v>598</v>
      </c>
    </row>
    <row r="10" spans="1:7" ht="30" outlineLevel="7">
      <c r="A10" s="4" t="s">
        <v>11</v>
      </c>
      <c r="B10" s="4" t="s">
        <v>82</v>
      </c>
      <c r="C10" s="5"/>
      <c r="D10" s="8"/>
      <c r="E10" s="4" t="s">
        <v>599</v>
      </c>
      <c r="F10" s="4" t="s">
        <v>14</v>
      </c>
      <c r="G10" s="4">
        <v>10</v>
      </c>
    </row>
    <row r="11" spans="1:7" ht="45" outlineLevel="7">
      <c r="A11" s="4" t="s">
        <v>14</v>
      </c>
      <c r="B11" s="4" t="s">
        <v>82</v>
      </c>
      <c r="C11" s="5"/>
      <c r="D11" s="8"/>
      <c r="E11" s="4" t="s">
        <v>600</v>
      </c>
      <c r="F11" s="4" t="s">
        <v>14</v>
      </c>
      <c r="G11" s="4">
        <v>0.5</v>
      </c>
    </row>
    <row r="12" spans="1:7">
      <c r="A12" s="3" t="s">
        <v>14</v>
      </c>
      <c r="B12" s="3" t="s">
        <v>82</v>
      </c>
      <c r="C12" s="3"/>
      <c r="D12" s="3" t="s">
        <v>48</v>
      </c>
      <c r="E12" s="3" t="s">
        <v>601</v>
      </c>
      <c r="F12" s="3" t="s">
        <v>14</v>
      </c>
      <c r="G12" s="3">
        <f>SUM((G10*G11*0.12*44/12))</f>
        <v>2.1999999999999997</v>
      </c>
    </row>
    <row r="13" spans="1:7" ht="30">
      <c r="A13" s="3" t="s">
        <v>11</v>
      </c>
      <c r="B13" s="3" t="s">
        <v>82</v>
      </c>
      <c r="C13" s="3"/>
      <c r="D13" s="3"/>
      <c r="E13" s="3" t="s">
        <v>605</v>
      </c>
      <c r="F13" s="3" t="s">
        <v>14</v>
      </c>
      <c r="G13" s="3">
        <v>0.15</v>
      </c>
    </row>
  </sheetData>
  <mergeCells count="5">
    <mergeCell ref="A1:G1"/>
    <mergeCell ref="B2:G2"/>
    <mergeCell ref="B3:G3"/>
    <mergeCell ref="B4:G4"/>
    <mergeCell ref="B5:G5"/>
  </mergeCells>
  <dataValidations count="1">
    <dataValidation type="list" allowBlank="1" showInputMessage="1" showErrorMessage="1" sqref="B3:G3" xr:uid="{8E83003E-5286-4064-A1AB-7E358967AF1A}">
      <formula1>"Verifiable Credentials,Encrypted Verifiable Credential,Sub-Schema"</formula1>
    </dataValidation>
  </dataValidations>
  <hyperlinks>
    <hyperlink ref="B8" location="Leakage_Organic_Amendment_by_Tp!A1" display="Leakage_Organic_Amendment_by_Tp" xr:uid="{440E878B-7290-4863-8CB5-5CE5619D03DE}"/>
  </hyperlinks>
  <pageMargins left="0.7" right="0.7" top="0.75" bottom="0.75" header="0.3" footer="0.3"/>
  <pageSetup orientation="portrait" horizontalDpi="4294967295" verticalDpi="4294967295"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56FE-5A34-406F-B8F7-5B8D11A6EBC5}">
  <sheetPr codeName="Sheet79">
    <tabColor rgb="FFFFC000"/>
    <outlinePr summaryBelow="0" summaryRight="0"/>
  </sheetPr>
  <dimension ref="A1:G14"/>
  <sheetViews>
    <sheetView workbookViewId="0">
      <selection activeCell="B31" sqref="B3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4" t="s">
        <v>741</v>
      </c>
      <c r="B1" s="32"/>
      <c r="C1" s="32"/>
      <c r="D1" s="32"/>
      <c r="E1" s="32"/>
      <c r="F1" s="32"/>
      <c r="G1" s="32"/>
    </row>
    <row r="2" spans="1:7" ht="18.75">
      <c r="A2" s="1" t="s">
        <v>1</v>
      </c>
      <c r="B2" s="33" t="s">
        <v>742</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10" t="s">
        <v>363</v>
      </c>
      <c r="C5" s="3"/>
      <c r="D5" s="3"/>
      <c r="E5" s="3" t="s">
        <v>364</v>
      </c>
      <c r="F5" s="3" t="s">
        <v>11</v>
      </c>
      <c r="G5" s="3"/>
    </row>
    <row r="6" spans="1:7" outlineLevel="1">
      <c r="A6" s="4" t="s">
        <v>11</v>
      </c>
      <c r="B6" s="4" t="s">
        <v>46</v>
      </c>
      <c r="C6" s="5" t="s">
        <v>47</v>
      </c>
      <c r="D6" s="8"/>
      <c r="E6" s="4" t="s">
        <v>225</v>
      </c>
      <c r="F6" s="4" t="s">
        <v>14</v>
      </c>
      <c r="G6" s="4" t="s">
        <v>226</v>
      </c>
    </row>
    <row r="7" spans="1:7" ht="30" outlineLevel="1">
      <c r="A7" s="4" t="s">
        <v>11</v>
      </c>
      <c r="B7" s="4" t="s">
        <v>82</v>
      </c>
      <c r="C7" s="5"/>
      <c r="D7" s="8"/>
      <c r="E7" s="4" t="s">
        <v>227</v>
      </c>
      <c r="F7" s="4" t="s">
        <v>14</v>
      </c>
      <c r="G7" s="4">
        <v>0.92</v>
      </c>
    </row>
    <row r="8" spans="1:7" ht="30" outlineLevel="1">
      <c r="A8" s="4" t="s">
        <v>11</v>
      </c>
      <c r="B8" s="4" t="s">
        <v>82</v>
      </c>
      <c r="C8" s="5"/>
      <c r="D8" s="8"/>
      <c r="E8" s="4" t="s">
        <v>291</v>
      </c>
      <c r="F8" s="4" t="s">
        <v>14</v>
      </c>
      <c r="G8" s="4">
        <v>0.21</v>
      </c>
    </row>
    <row r="9" spans="1:7" ht="30" outlineLevel="1">
      <c r="A9" s="4" t="s">
        <v>11</v>
      </c>
      <c r="B9" s="4" t="s">
        <v>82</v>
      </c>
      <c r="C9" s="5"/>
      <c r="D9" s="8"/>
      <c r="E9" s="4" t="s">
        <v>328</v>
      </c>
      <c r="F9" s="4" t="s">
        <v>14</v>
      </c>
      <c r="G9" s="4">
        <v>1281290.3410132199</v>
      </c>
    </row>
    <row r="10" spans="1:7" ht="18" outlineLevel="1">
      <c r="A10" s="4" t="s">
        <v>14</v>
      </c>
      <c r="B10" s="4" t="s">
        <v>82</v>
      </c>
      <c r="C10" s="5"/>
      <c r="D10" s="8" t="s">
        <v>48</v>
      </c>
      <c r="E10" s="4" t="s">
        <v>365</v>
      </c>
      <c r="F10" s="4" t="s">
        <v>14</v>
      </c>
      <c r="G10" s="4">
        <f>G9*G7*G8</f>
        <v>247545.29388375409</v>
      </c>
    </row>
    <row r="11" spans="1:7" ht="18">
      <c r="A11" s="3" t="s">
        <v>11</v>
      </c>
      <c r="B11" s="3" t="s">
        <v>82</v>
      </c>
      <c r="C11" s="3"/>
      <c r="D11" s="3"/>
      <c r="E11" s="3" t="s">
        <v>366</v>
      </c>
      <c r="F11" s="3" t="s">
        <v>14</v>
      </c>
      <c r="G11" s="3">
        <f>SUM(G10)</f>
        <v>247545.29388375409</v>
      </c>
    </row>
    <row r="12" spans="1:7" ht="30">
      <c r="A12" s="3" t="s">
        <v>14</v>
      </c>
      <c r="B12" s="3" t="s">
        <v>82</v>
      </c>
      <c r="C12" s="3"/>
      <c r="D12" s="3" t="s">
        <v>48</v>
      </c>
      <c r="E12" s="3" t="s">
        <v>367</v>
      </c>
      <c r="F12" s="3" t="s">
        <v>14</v>
      </c>
      <c r="G12" s="3" t="e">
        <f>((G13*G11)/G14)/#REF!</f>
        <v>#REF!</v>
      </c>
    </row>
    <row r="13" spans="1:7">
      <c r="A13" s="3" t="s">
        <v>11</v>
      </c>
      <c r="B13" s="3" t="s">
        <v>82</v>
      </c>
      <c r="C13" s="3"/>
      <c r="D13" s="3"/>
      <c r="E13" s="3" t="s">
        <v>114</v>
      </c>
      <c r="F13" s="3" t="s">
        <v>14</v>
      </c>
      <c r="G13" s="3">
        <v>265</v>
      </c>
    </row>
    <row r="14" spans="1:7">
      <c r="A14" s="3" t="s">
        <v>14</v>
      </c>
      <c r="B14" s="3" t="s">
        <v>82</v>
      </c>
      <c r="C14" s="3"/>
      <c r="D14" s="3" t="s">
        <v>48</v>
      </c>
      <c r="E14" s="3" t="s">
        <v>220</v>
      </c>
      <c r="F14" s="3" t="s">
        <v>14</v>
      </c>
      <c r="G14" s="3">
        <f>10^6</f>
        <v>1000000</v>
      </c>
    </row>
  </sheetData>
  <mergeCells count="3">
    <mergeCell ref="A1:G1"/>
    <mergeCell ref="B2:G2"/>
    <mergeCell ref="B3:G3"/>
  </mergeCells>
  <dataValidations count="2">
    <dataValidation type="list" allowBlank="1" showInputMessage="1" showErrorMessage="1" sqref="A6:A14 F6:F14" xr:uid="{A6A44B90-9AD8-4B01-9A05-CA97A7DAD678}">
      <formula1>"Yes,No"</formula1>
    </dataValidation>
    <dataValidation type="list" allowBlank="1" showInputMessage="1" showErrorMessage="1" sqref="B3:G3" xr:uid="{11EA08C3-1647-454E-B1F7-DF4D8CDC3451}">
      <formula1>"Verifiable Credentials,Encrypted Verifiable Credential,Sub-Schema"</formula1>
    </dataValidation>
  </dataValidations>
  <hyperlinks>
    <hyperlink ref="B5" location="N2O_BiomassData_ByType_Project!A1" display="N2O_BiomassData_ByType_Project" xr:uid="{75CCE8E9-A5DF-4EAD-8213-EF5463E32930}"/>
  </hyperlinks>
  <pageMargins left="0.7" right="0.7" top="0.75" bottom="0.75" header="0.3" footer="0.3"/>
  <pageSetup orientation="portrait" horizontalDpi="4294967295" verticalDpi="4294967295" r:id="rId1"/>
  <legacy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645D-DF7F-4A70-BBDF-B9AB5052AE6B}">
  <sheetPr codeName="Sheet80">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363</v>
      </c>
      <c r="B1" s="32"/>
      <c r="C1" s="32"/>
      <c r="D1" s="32"/>
      <c r="E1" s="32"/>
      <c r="F1" s="32"/>
      <c r="G1" s="32"/>
    </row>
    <row r="2" spans="1:7" ht="18.75">
      <c r="A2" s="1" t="s">
        <v>1</v>
      </c>
      <c r="B2" s="33" t="s">
        <v>743</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c r="A5" s="3" t="s">
        <v>11</v>
      </c>
      <c r="B5" s="3" t="s">
        <v>46</v>
      </c>
      <c r="C5" s="3" t="s">
        <v>47</v>
      </c>
      <c r="D5" s="3"/>
      <c r="E5" s="3" t="s">
        <v>225</v>
      </c>
      <c r="F5" s="3" t="s">
        <v>14</v>
      </c>
      <c r="G5" s="3" t="s">
        <v>226</v>
      </c>
    </row>
    <row r="6" spans="1:7" ht="30">
      <c r="A6" s="3" t="s">
        <v>11</v>
      </c>
      <c r="B6" s="3" t="s">
        <v>82</v>
      </c>
      <c r="C6" s="3"/>
      <c r="D6" s="3"/>
      <c r="E6" s="3" t="s">
        <v>227</v>
      </c>
      <c r="F6" s="3" t="s">
        <v>14</v>
      </c>
      <c r="G6" s="3">
        <v>0.92</v>
      </c>
    </row>
    <row r="7" spans="1:7" ht="30">
      <c r="A7" s="3" t="s">
        <v>11</v>
      </c>
      <c r="B7" s="3" t="s">
        <v>82</v>
      </c>
      <c r="C7" s="3"/>
      <c r="D7" s="3"/>
      <c r="E7" s="3" t="s">
        <v>291</v>
      </c>
      <c r="F7" s="3" t="s">
        <v>14</v>
      </c>
      <c r="G7" s="3">
        <v>0.21</v>
      </c>
    </row>
    <row r="8" spans="1:7" ht="30">
      <c r="A8" s="3" t="s">
        <v>11</v>
      </c>
      <c r="B8" s="3" t="s">
        <v>82</v>
      </c>
      <c r="C8" s="3"/>
      <c r="D8" s="3"/>
      <c r="E8" s="3" t="s">
        <v>328</v>
      </c>
      <c r="F8" s="3" t="s">
        <v>14</v>
      </c>
      <c r="G8" s="3">
        <v>1281290.3410132199</v>
      </c>
    </row>
    <row r="9" spans="1:7" ht="18">
      <c r="A9" s="3" t="s">
        <v>14</v>
      </c>
      <c r="B9" s="3" t="s">
        <v>82</v>
      </c>
      <c r="C9" s="3"/>
      <c r="D9" s="3" t="s">
        <v>48</v>
      </c>
      <c r="E9" s="3" t="s">
        <v>365</v>
      </c>
      <c r="F9" s="3" t="s">
        <v>14</v>
      </c>
      <c r="G9" s="3">
        <f>G8*G6*G7</f>
        <v>247545.29388375409</v>
      </c>
    </row>
  </sheetData>
  <mergeCells count="3">
    <mergeCell ref="A1:G1"/>
    <mergeCell ref="B2:G2"/>
    <mergeCell ref="B3:G3"/>
  </mergeCells>
  <dataValidations count="2">
    <dataValidation type="list" allowBlank="1" showInputMessage="1" showErrorMessage="1" sqref="A5:A9 F5:F9" xr:uid="{F0697E20-6ADA-4F5A-A5C3-2542F4FAF7E0}">
      <formula1>"Yes,No"</formula1>
    </dataValidation>
    <dataValidation type="list" allowBlank="1" showInputMessage="1" showErrorMessage="1" sqref="B3:G3" xr:uid="{F4A4B47F-213C-42E2-8925-BBB90F6047DE}">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DCBF-C86C-4757-8AE5-231C02179F86}">
  <sheetPr codeName="Sheet81">
    <tabColor rgb="FFFFC000"/>
    <outlinePr summaryBelow="0" summaryRight="0"/>
  </sheetPr>
  <dimension ref="A1:G5"/>
  <sheetViews>
    <sheetView workbookViewId="0">
      <selection activeCell="B10" sqref="B10"/>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744</v>
      </c>
      <c r="B1" s="32"/>
      <c r="C1" s="32"/>
      <c r="D1" s="32"/>
      <c r="E1" s="32"/>
      <c r="F1" s="32"/>
      <c r="G1" s="32"/>
    </row>
    <row r="2" spans="1:7" ht="18.75">
      <c r="A2" s="1" t="s">
        <v>1</v>
      </c>
      <c r="B2" s="33" t="s">
        <v>745</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 r="A5" s="3" t="s">
        <v>14</v>
      </c>
      <c r="B5" s="3" t="s">
        <v>82</v>
      </c>
      <c r="C5" s="3"/>
      <c r="D5" s="3" t="s">
        <v>48</v>
      </c>
      <c r="E5" s="3" t="s">
        <v>297</v>
      </c>
      <c r="F5" s="3" t="s">
        <v>14</v>
      </c>
      <c r="G5" s="3" t="e">
        <f>N2O_NFert_Baseline!G25+N2O_Manure_Baseline!G23+N2O_NFixing_Baseline!G11</f>
        <v>#REF!</v>
      </c>
    </row>
  </sheetData>
  <mergeCells count="3">
    <mergeCell ref="A1:G1"/>
    <mergeCell ref="B2:G2"/>
    <mergeCell ref="B3:G3"/>
  </mergeCells>
  <dataValidations count="1">
    <dataValidation type="list" allowBlank="1" showInputMessage="1" showErrorMessage="1" sqref="B3:G3" xr:uid="{7ADF8159-34EF-4B87-82B9-FD74E74911CD}">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C12A-24CC-4793-82ED-635EF5545028}">
  <sheetPr codeName="Sheet82">
    <tabColor rgb="FFFFC000"/>
    <outlinePr summaryBelow="0" summaryRight="0"/>
  </sheetPr>
  <dimension ref="A1:G5"/>
  <sheetViews>
    <sheetView workbookViewId="0">
      <selection activeCell="B5" sqref="B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4" t="s">
        <v>368</v>
      </c>
      <c r="B1" s="32"/>
      <c r="C1" s="32"/>
      <c r="D1" s="32"/>
      <c r="E1" s="32"/>
      <c r="F1" s="32"/>
      <c r="G1" s="32"/>
    </row>
    <row r="2" spans="1:7" ht="18.75">
      <c r="A2" s="1" t="s">
        <v>1</v>
      </c>
      <c r="B2" s="33" t="s">
        <v>746</v>
      </c>
      <c r="C2" s="33"/>
      <c r="D2" s="33"/>
      <c r="E2" s="33"/>
      <c r="F2" s="33"/>
      <c r="G2" s="33"/>
    </row>
    <row r="3" spans="1:7" ht="18.75">
      <c r="A3" s="1" t="s">
        <v>2</v>
      </c>
      <c r="B3" s="33" t="s">
        <v>633</v>
      </c>
      <c r="C3" s="33"/>
      <c r="D3" s="33"/>
      <c r="E3" s="33"/>
      <c r="F3" s="33"/>
      <c r="G3" s="33"/>
    </row>
    <row r="4" spans="1:7" ht="18.75">
      <c r="A4" s="2" t="s">
        <v>4</v>
      </c>
      <c r="B4" s="2" t="s">
        <v>5</v>
      </c>
      <c r="C4" s="2" t="s">
        <v>6</v>
      </c>
      <c r="D4" s="2" t="s">
        <v>7</v>
      </c>
      <c r="E4" s="2" t="s">
        <v>8</v>
      </c>
      <c r="F4" s="2" t="s">
        <v>9</v>
      </c>
      <c r="G4" s="2" t="s">
        <v>10</v>
      </c>
    </row>
    <row r="5" spans="1:7" ht="30">
      <c r="A5" s="3" t="s">
        <v>14</v>
      </c>
      <c r="B5" s="3" t="s">
        <v>82</v>
      </c>
      <c r="C5" s="3"/>
      <c r="D5" s="3" t="s">
        <v>48</v>
      </c>
      <c r="E5" s="3" t="s">
        <v>370</v>
      </c>
      <c r="F5" s="3" t="s">
        <v>14</v>
      </c>
      <c r="G5" s="3" t="e">
        <f>N2O_NFert_Project!G25+N2O_Manure_Project!G23+N2O_NFixing_Project!G11</f>
        <v>#REF!</v>
      </c>
    </row>
  </sheetData>
  <mergeCells count="3">
    <mergeCell ref="A1:G1"/>
    <mergeCell ref="B2:G2"/>
    <mergeCell ref="B3:G3"/>
  </mergeCells>
  <dataValidations count="1">
    <dataValidation type="list" allowBlank="1" showInputMessage="1" showErrorMessage="1" sqref="B3:G3" xr:uid="{A0C22AF0-1B91-435B-BE96-3CA432124AD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83">
    <outlinePr summaryBelow="0" summaryRight="0"/>
  </sheetPr>
  <dimension ref="A1:B4"/>
  <sheetViews>
    <sheetView workbookViewId="0">
      <selection activeCell="A14" sqref="A14"/>
    </sheetView>
  </sheetViews>
  <sheetFormatPr defaultRowHeight="15"/>
  <cols>
    <col min="1" max="1" width="30" customWidth="1"/>
    <col min="2" max="2" width="50" customWidth="1"/>
  </cols>
  <sheetData>
    <row r="1" spans="1:2" ht="18.75">
      <c r="A1" s="6"/>
      <c r="B1" s="7" t="s">
        <v>62</v>
      </c>
    </row>
    <row r="2" spans="1:2" ht="45.75">
      <c r="A2" s="6" t="s">
        <v>747</v>
      </c>
      <c r="B2" s="7" t="s">
        <v>64</v>
      </c>
    </row>
    <row r="3" spans="1:2" ht="15" customHeight="1">
      <c r="A3" t="s">
        <v>65</v>
      </c>
    </row>
    <row r="4" spans="1:2">
      <c r="A4" t="s">
        <v>748</v>
      </c>
    </row>
  </sheetData>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3D3A-E0F2-4F96-8508-B717F41B31AF}">
  <sheetPr codeName="Sheet84">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6" t="s">
        <v>749</v>
      </c>
      <c r="B1" s="7" t="s">
        <v>62</v>
      </c>
    </row>
    <row r="2" spans="1:2" ht="18.75">
      <c r="A2" s="6" t="s">
        <v>747</v>
      </c>
      <c r="B2" s="7" t="s">
        <v>750</v>
      </c>
    </row>
    <row r="3" spans="1:2" ht="15" customHeight="1">
      <c r="A3" t="s">
        <v>65</v>
      </c>
    </row>
    <row r="4" spans="1:2">
      <c r="A4" t="s">
        <v>68</v>
      </c>
    </row>
  </sheetData>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618EC-7166-42C8-9B02-3EB6FEB0F2D9}">
  <sheetPr codeName="Sheet85">
    <outlinePr summaryBelow="0" summaryRight="0"/>
  </sheetPr>
  <dimension ref="A1:B4"/>
  <sheetViews>
    <sheetView workbookViewId="0">
      <selection activeCell="A13" sqref="A13"/>
    </sheetView>
  </sheetViews>
  <sheetFormatPr defaultRowHeight="15"/>
  <cols>
    <col min="1" max="1" width="30" customWidth="1"/>
    <col min="2" max="2" width="50" customWidth="1"/>
  </cols>
  <sheetData>
    <row r="1" spans="1:2" ht="18.75">
      <c r="A1" s="6" t="s">
        <v>749</v>
      </c>
      <c r="B1" s="7" t="s">
        <v>13</v>
      </c>
    </row>
    <row r="2" spans="1:2" ht="18.75">
      <c r="A2" s="6" t="s">
        <v>747</v>
      </c>
      <c r="B2" s="7" t="s">
        <v>19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482D-BA40-409E-B270-25210A146A0D}">
  <sheetPr codeName="Sheet86">
    <outlinePr summaryBelow="0" summaryRight="0"/>
  </sheetPr>
  <dimension ref="A1:B4"/>
  <sheetViews>
    <sheetView workbookViewId="0">
      <selection activeCell="B16" sqref="B16"/>
    </sheetView>
  </sheetViews>
  <sheetFormatPr defaultRowHeight="15"/>
  <cols>
    <col min="1" max="1" width="30" customWidth="1"/>
    <col min="2" max="2" width="50" customWidth="1"/>
  </cols>
  <sheetData>
    <row r="1" spans="1:2" ht="18.75">
      <c r="A1" s="6" t="s">
        <v>749</v>
      </c>
      <c r="B1" s="7" t="s">
        <v>13</v>
      </c>
    </row>
    <row r="2" spans="1:2" ht="18.75">
      <c r="A2" s="6" t="s">
        <v>747</v>
      </c>
      <c r="B2" s="7" t="s">
        <v>22</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AF93-C378-4C35-9763-17BAE445A064}">
  <sheetPr codeName="Sheet87">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749</v>
      </c>
      <c r="B1" s="7" t="s">
        <v>13</v>
      </c>
    </row>
    <row r="2" spans="1:2" ht="18.75">
      <c r="A2" s="6" t="s">
        <v>747</v>
      </c>
      <c r="B2" s="7" t="s">
        <v>25</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A12B-5F02-4C81-BB35-B6D3BF9E8EA4}">
  <sheetPr codeName="Sheet88">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749</v>
      </c>
      <c r="B1" s="7" t="s">
        <v>13</v>
      </c>
    </row>
    <row r="2" spans="1:2" ht="18.75">
      <c r="A2" s="6" t="s">
        <v>747</v>
      </c>
      <c r="B2" s="7" t="s">
        <v>27</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2F99-18FA-47D3-9362-68E4E93F1391}">
  <sheetPr codeName="Sheet9">
    <tabColor rgb="FFFFFF00"/>
    <outlinePr summaryBelow="0" summaryRight="0"/>
  </sheetPr>
  <dimension ref="A1:G9"/>
  <sheetViews>
    <sheetView workbookViewId="0">
      <selection activeCell="C19" sqref="C1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2" t="s">
        <v>648</v>
      </c>
      <c r="B1" s="32"/>
      <c r="C1" s="32"/>
      <c r="D1" s="32"/>
      <c r="E1" s="32"/>
      <c r="F1" s="32"/>
      <c r="G1" s="32"/>
    </row>
    <row r="2" spans="1:7" ht="18.75">
      <c r="A2" s="1" t="s">
        <v>1</v>
      </c>
      <c r="B2" s="33"/>
      <c r="C2" s="33"/>
      <c r="D2" s="33"/>
      <c r="E2" s="33"/>
      <c r="F2" s="33"/>
      <c r="G2" s="33"/>
    </row>
    <row r="3" spans="1:7" ht="18.75">
      <c r="A3" s="1" t="s">
        <v>2</v>
      </c>
      <c r="B3" s="33" t="s">
        <v>633</v>
      </c>
      <c r="C3" s="33"/>
      <c r="D3" s="33"/>
      <c r="E3" s="33"/>
      <c r="F3" s="33"/>
      <c r="G3" s="33"/>
    </row>
    <row r="4" spans="1:7" ht="18.75">
      <c r="A4" s="1" t="s">
        <v>642</v>
      </c>
      <c r="B4" s="33" t="s">
        <v>645</v>
      </c>
      <c r="C4" s="33"/>
      <c r="D4" s="33"/>
      <c r="E4" s="33"/>
      <c r="F4" s="33"/>
      <c r="G4" s="33"/>
    </row>
    <row r="5" spans="1:7" ht="18.75">
      <c r="A5" s="1" t="s">
        <v>643</v>
      </c>
      <c r="B5" s="33" t="s">
        <v>646</v>
      </c>
      <c r="C5" s="33"/>
      <c r="D5" s="33"/>
      <c r="E5" s="33"/>
      <c r="F5" s="33"/>
      <c r="G5" s="33"/>
    </row>
    <row r="6" spans="1:7" ht="18.75">
      <c r="A6" s="2" t="s">
        <v>4</v>
      </c>
      <c r="B6" s="2" t="s">
        <v>5</v>
      </c>
      <c r="C6" s="2" t="s">
        <v>6</v>
      </c>
      <c r="D6" s="2" t="s">
        <v>7</v>
      </c>
      <c r="E6" s="2" t="s">
        <v>8</v>
      </c>
      <c r="F6" s="2" t="s">
        <v>9</v>
      </c>
      <c r="G6" s="2" t="s">
        <v>10</v>
      </c>
    </row>
    <row r="7" spans="1:7">
      <c r="A7" s="3" t="s">
        <v>11</v>
      </c>
      <c r="B7" s="3" t="s">
        <v>82</v>
      </c>
      <c r="C7" s="3"/>
      <c r="D7" s="3"/>
      <c r="E7" s="3" t="s">
        <v>597</v>
      </c>
      <c r="F7" s="3" t="s">
        <v>14</v>
      </c>
      <c r="G7" s="3" t="s">
        <v>598</v>
      </c>
    </row>
    <row r="8" spans="1:7" ht="30">
      <c r="A8" s="3" t="s">
        <v>11</v>
      </c>
      <c r="B8" s="3" t="s">
        <v>82</v>
      </c>
      <c r="C8" s="3"/>
      <c r="D8" s="3"/>
      <c r="E8" s="3" t="s">
        <v>599</v>
      </c>
      <c r="F8" s="3" t="s">
        <v>14</v>
      </c>
      <c r="G8" s="3">
        <v>10</v>
      </c>
    </row>
    <row r="9" spans="1:7" ht="45">
      <c r="A9" s="3" t="s">
        <v>14</v>
      </c>
      <c r="B9" s="3" t="s">
        <v>82</v>
      </c>
      <c r="C9" s="3"/>
      <c r="D9" s="3"/>
      <c r="E9" s="3" t="s">
        <v>600</v>
      </c>
      <c r="F9" s="3" t="s">
        <v>14</v>
      </c>
      <c r="G9" s="3">
        <v>0.5</v>
      </c>
    </row>
  </sheetData>
  <mergeCells count="5">
    <mergeCell ref="A1:G1"/>
    <mergeCell ref="B2:G2"/>
    <mergeCell ref="B3:G3"/>
    <mergeCell ref="B4:G4"/>
    <mergeCell ref="B5:G5"/>
  </mergeCells>
  <dataValidations count="1">
    <dataValidation type="list" allowBlank="1" showInputMessage="1" showErrorMessage="1" sqref="B3:G3" xr:uid="{02F274D1-C15F-48DC-9132-02A374AC215A}">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F2E1-14AD-4AE2-A542-980AC29CC856}">
  <sheetPr codeName="Sheet89">
    <outlinePr summaryBelow="0" summaryRight="0"/>
  </sheetPr>
  <dimension ref="A1:B4"/>
  <sheetViews>
    <sheetView workbookViewId="0">
      <selection activeCell="B6" sqref="B6"/>
    </sheetView>
  </sheetViews>
  <sheetFormatPr defaultRowHeight="15"/>
  <cols>
    <col min="1" max="1" width="30" customWidth="1"/>
    <col min="2" max="2" width="50" customWidth="1"/>
  </cols>
  <sheetData>
    <row r="1" spans="1:2" ht="18.75">
      <c r="A1" s="6" t="s">
        <v>749</v>
      </c>
      <c r="B1" s="7" t="s">
        <v>13</v>
      </c>
    </row>
    <row r="2" spans="1:2" ht="18.75">
      <c r="A2" s="6" t="s">
        <v>747</v>
      </c>
      <c r="B2" s="7" t="s">
        <v>29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94AF-CD24-4EA9-B104-B57CEAFA8F8B}">
  <sheetPr codeName="Sheet90">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6" t="s">
        <v>749</v>
      </c>
      <c r="B1" s="7" t="s">
        <v>13</v>
      </c>
    </row>
    <row r="2" spans="1:2" ht="18.75">
      <c r="A2" s="6" t="s">
        <v>747</v>
      </c>
      <c r="B2" s="7" t="s">
        <v>31</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5C86-96AA-4FE6-A90E-BBF3D1A95F82}">
  <sheetPr codeName="Sheet91">
    <outlinePr summaryBelow="0" summaryRight="0"/>
  </sheetPr>
  <dimension ref="A1:B3"/>
  <sheetViews>
    <sheetView workbookViewId="0">
      <selection activeCell="A7" sqref="A7"/>
    </sheetView>
  </sheetViews>
  <sheetFormatPr defaultRowHeight="15"/>
  <cols>
    <col min="1" max="1" width="30" customWidth="1"/>
    <col min="2" max="2" width="50" customWidth="1"/>
  </cols>
  <sheetData>
    <row r="1" spans="1:2" ht="18.75">
      <c r="A1" s="6" t="s">
        <v>749</v>
      </c>
      <c r="B1" s="7" t="s">
        <v>13</v>
      </c>
    </row>
    <row r="2" spans="1:2" ht="18.75">
      <c r="A2" s="6" t="s">
        <v>747</v>
      </c>
      <c r="B2" s="7" t="s">
        <v>33</v>
      </c>
    </row>
    <row r="3" spans="1:2" ht="15" customHeight="1">
      <c r="A3" t="s">
        <v>20</v>
      </c>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70ED-484A-47F2-8FDB-AC5641D43E98}">
  <sheetPr codeName="Sheet92">
    <outlinePr summaryBelow="0" summaryRight="0"/>
  </sheetPr>
  <dimension ref="A1:B4"/>
  <sheetViews>
    <sheetView workbookViewId="0">
      <selection activeCell="B7" sqref="B7"/>
    </sheetView>
  </sheetViews>
  <sheetFormatPr defaultRowHeight="15"/>
  <cols>
    <col min="1" max="1" width="30" customWidth="1"/>
    <col min="2" max="2" width="50" customWidth="1"/>
  </cols>
  <sheetData>
    <row r="1" spans="1:2" ht="18.75">
      <c r="A1" s="6" t="s">
        <v>749</v>
      </c>
      <c r="B1" s="7" t="s">
        <v>13</v>
      </c>
    </row>
    <row r="2" spans="1:2" ht="18.75">
      <c r="A2" s="6" t="s">
        <v>747</v>
      </c>
      <c r="B2" s="7" t="s">
        <v>35</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68552-403B-4150-9283-A6563346AA6F}">
  <sheetPr codeName="Sheet93">
    <outlinePr summaryBelow="0" summaryRight="0"/>
  </sheetPr>
  <dimension ref="A1:B4"/>
  <sheetViews>
    <sheetView workbookViewId="0">
      <selection activeCell="B6" sqref="B6"/>
    </sheetView>
  </sheetViews>
  <sheetFormatPr defaultRowHeight="15"/>
  <cols>
    <col min="1" max="1" width="30" customWidth="1"/>
    <col min="2" max="2" width="50" customWidth="1"/>
  </cols>
  <sheetData>
    <row r="1" spans="1:2" ht="18.75">
      <c r="A1" s="6" t="s">
        <v>749</v>
      </c>
      <c r="B1" s="7" t="s">
        <v>13</v>
      </c>
    </row>
    <row r="2" spans="1:2" ht="18.75">
      <c r="A2" s="6" t="s">
        <v>747</v>
      </c>
      <c r="B2" s="7" t="s">
        <v>37</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D78-00F4-406D-A291-B3924F30EF55}">
  <sheetPr codeName="Sheet94">
    <outlinePr summaryBelow="0" summaryRight="0"/>
  </sheetPr>
  <dimension ref="A1:B4"/>
  <sheetViews>
    <sheetView workbookViewId="0">
      <selection activeCell="B2" sqref="B2"/>
    </sheetView>
  </sheetViews>
  <sheetFormatPr defaultRowHeight="15"/>
  <cols>
    <col min="1" max="1" width="30" customWidth="1"/>
    <col min="2" max="2" width="50" customWidth="1"/>
  </cols>
  <sheetData>
    <row r="1" spans="1:2" ht="18.75">
      <c r="A1" s="6" t="s">
        <v>749</v>
      </c>
      <c r="B1" s="7" t="s">
        <v>13</v>
      </c>
    </row>
    <row r="2" spans="1:2" ht="18.75">
      <c r="A2" s="6" t="s">
        <v>747</v>
      </c>
      <c r="B2" s="7" t="s">
        <v>39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0140-E4EF-41BF-A9CF-172121C5FC3B}">
  <sheetPr codeName="Sheet95">
    <outlinePr summaryBelow="0" summaryRight="0"/>
  </sheetPr>
  <dimension ref="A1:B4"/>
  <sheetViews>
    <sheetView workbookViewId="0">
      <selection activeCell="D17" sqref="D17"/>
    </sheetView>
  </sheetViews>
  <sheetFormatPr defaultRowHeight="15"/>
  <cols>
    <col min="1" max="1" width="30" customWidth="1"/>
    <col min="2" max="2" width="50" customWidth="1"/>
  </cols>
  <sheetData>
    <row r="1" spans="1:2" ht="18.75">
      <c r="A1" s="6" t="s">
        <v>749</v>
      </c>
      <c r="B1" s="7" t="s">
        <v>13</v>
      </c>
    </row>
    <row r="2" spans="1:2" ht="18.75">
      <c r="A2" s="6" t="s">
        <v>747</v>
      </c>
      <c r="B2" s="7" t="s">
        <v>41</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A69E-3440-4E14-BEDE-BC49EB211D0D}">
  <sheetPr codeName="Sheet96">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749</v>
      </c>
      <c r="B1" s="7" t="s">
        <v>13</v>
      </c>
    </row>
    <row r="2" spans="1:2" ht="18.75">
      <c r="A2" s="6" t="s">
        <v>747</v>
      </c>
      <c r="B2" s="7" t="s">
        <v>43</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32D-8DFD-4779-922A-75DDE273282C}">
  <sheetPr codeName="Sheet97">
    <outlinePr summaryBelow="0" summaryRight="0"/>
  </sheetPr>
  <dimension ref="A1:B6"/>
  <sheetViews>
    <sheetView workbookViewId="0">
      <selection activeCell="B1" sqref="B1"/>
    </sheetView>
  </sheetViews>
  <sheetFormatPr defaultRowHeight="15"/>
  <cols>
    <col min="1" max="1" width="30" customWidth="1"/>
    <col min="2" max="2" width="50" customWidth="1"/>
  </cols>
  <sheetData>
    <row r="1" spans="1:2" ht="18.75">
      <c r="A1" s="6" t="s">
        <v>749</v>
      </c>
      <c r="B1" s="7" t="s">
        <v>0</v>
      </c>
    </row>
    <row r="2" spans="1:2" ht="255.75">
      <c r="A2" s="6" t="s">
        <v>747</v>
      </c>
      <c r="B2" s="7" t="s">
        <v>590</v>
      </c>
    </row>
    <row r="3" spans="1:2" ht="15" customHeight="1">
      <c r="A3" t="s">
        <v>751</v>
      </c>
    </row>
    <row r="4" spans="1:2">
      <c r="A4" t="s">
        <v>752</v>
      </c>
    </row>
    <row r="5" spans="1:2">
      <c r="A5" t="s">
        <v>658</v>
      </c>
    </row>
    <row r="6" spans="1:2">
      <c r="A6" t="s">
        <v>591</v>
      </c>
    </row>
  </sheetData>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D4D2B-4FF4-41CF-8BD4-0D8E053A90AC}">
  <sheetPr codeName="Sheet98">
    <outlinePr summaryBelow="0" summaryRight="0"/>
  </sheetPr>
  <dimension ref="A1:B4"/>
  <sheetViews>
    <sheetView workbookViewId="0">
      <selection activeCell="B15" sqref="B15"/>
    </sheetView>
  </sheetViews>
  <sheetFormatPr defaultRowHeight="15"/>
  <cols>
    <col min="1" max="1" width="30" customWidth="1"/>
    <col min="2" max="2" width="50" customWidth="1"/>
  </cols>
  <sheetData>
    <row r="1" spans="1:2" ht="18.75">
      <c r="A1" s="6" t="s">
        <v>749</v>
      </c>
      <c r="B1" s="7" t="s">
        <v>0</v>
      </c>
    </row>
    <row r="2" spans="1:2" ht="120.75">
      <c r="A2" s="6" t="s">
        <v>747</v>
      </c>
      <c r="B2" s="7" t="s">
        <v>602</v>
      </c>
    </row>
    <row r="3" spans="1:2" ht="15" customHeight="1">
      <c r="A3" t="s">
        <v>11</v>
      </c>
    </row>
    <row r="4" spans="1:2">
      <c r="A4" t="s">
        <v>14</v>
      </c>
    </row>
  </sheetData>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71A45FC6-A056-43F1-8FAB-537470D18F75}"/>
</file>

<file path=customXml/itemProps2.xml><?xml version="1.0" encoding="utf-8"?>
<ds:datastoreItem xmlns:ds="http://schemas.openxmlformats.org/officeDocument/2006/customXml" ds:itemID="{CC401385-D40A-4878-B03A-EDBD14EE283A}"/>
</file>

<file path=customXml/itemProps3.xml><?xml version="1.0" encoding="utf-8"?>
<ds:datastoreItem xmlns:ds="http://schemas.openxmlformats.org/officeDocument/2006/customXml" ds:itemID="{24099A05-4490-4C94-895C-E6355C7329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2025-02-15T18:01:45Z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