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f3e4387646bbb898/Desktop/Guardian/VM0044/"/>
    </mc:Choice>
  </mc:AlternateContent>
  <xr:revisionPtr revIDLastSave="0" documentId="8_{3BD182C5-BEEE-49B3-BAA0-FC085FD0BE5C}" xr6:coauthVersionLast="47" xr6:coauthVersionMax="47" xr10:uidLastSave="{00000000-0000-0000-0000-000000000000}"/>
  <bookViews>
    <workbookView xWindow="28680" yWindow="-120" windowWidth="29040" windowHeight="15840" xr2:uid="{33FC3412-22C2-43DB-AB9D-6BFDA7E4A3D3}"/>
  </bookViews>
  <sheets>
    <sheet name="VM0044 Mainframe" sheetId="1" r:id="rId1"/>
    <sheet name="Tool 03" sheetId="9" r:id="rId2"/>
    <sheet name="Tool 04-SWDS-Yearly" sheetId="10" r:id="rId3"/>
    <sheet name="SWDS Emissions Summary Tab " sheetId="11" r:id="rId4"/>
    <sheet name="Dropdown Items (Tool 04)" sheetId="12" r:id="rId5"/>
    <sheet name="Tool 05.1" sheetId="13" r:id="rId6"/>
    <sheet name="Tool 05.2 Power Plants" sheetId="14" r:id="rId7"/>
    <sheet name="Tool 05.3 Default Values" sheetId="15" r:id="rId8"/>
    <sheet name="Tool 06" sheetId="19" r:id="rId9"/>
    <sheet name="Tool 12 - Freight Trains" sheetId="2" r:id="rId10"/>
    <sheet name="Emissions Summary Tab" sheetId="3" r:id="rId11"/>
    <sheet name="Dropdown Items (Tool 12)" sheetId="4" r:id="rId12"/>
    <sheet name="Tool 13" sheetId="16" r:id="rId13"/>
    <sheet name="MCF Defaults (Tool 13)" sheetId="17" r:id="rId14"/>
    <sheet name="Tool 14" sheetId="18" r:id="rId15"/>
    <sheet name="Tool 16" sheetId="5" r:id="rId16"/>
    <sheet name="Biomass Emissions Summary Tab " sheetId="6" r:id="rId17"/>
    <sheet name="Dropdown Items (Tool 16)" sheetId="7" r:id="rId18"/>
    <sheet name="Default Values" sheetId="8" r:id="rId19"/>
    <sheet name="IWA Properties" sheetId="20"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0" i="1" l="1"/>
  <c r="H43" i="1" l="1"/>
  <c r="H181" i="1"/>
  <c r="H183" i="1"/>
  <c r="H125" i="1"/>
  <c r="H169" i="1"/>
  <c r="H158" i="1"/>
  <c r="H136" i="1"/>
  <c r="H175" i="1"/>
  <c r="H174" i="1"/>
  <c r="H164" i="1"/>
  <c r="H163" i="1"/>
  <c r="H152" i="1"/>
  <c r="H150" i="1"/>
  <c r="H151" i="1"/>
  <c r="H149" i="1"/>
  <c r="H142" i="1"/>
  <c r="H141" i="1"/>
  <c r="H98" i="1"/>
  <c r="H109" i="1"/>
  <c r="H108" i="1"/>
  <c r="H87" i="1"/>
  <c r="H82" i="1"/>
  <c r="H77" i="1"/>
  <c r="H76" i="1"/>
  <c r="H99" i="1"/>
  <c r="H88" i="1"/>
  <c r="H83" i="1"/>
  <c r="H171" i="1"/>
  <c r="H170" i="1"/>
  <c r="H138" i="1"/>
  <c r="H137" i="1"/>
  <c r="H105" i="1"/>
  <c r="H101" i="1" s="1"/>
  <c r="H73" i="1"/>
  <c r="H69" i="1" s="1"/>
  <c r="H160" i="1"/>
  <c r="H159" i="1"/>
  <c r="H95" i="1"/>
  <c r="H91" i="1" s="1"/>
  <c r="H84" i="1"/>
  <c r="H131" i="1"/>
  <c r="H119" i="1"/>
  <c r="H118" i="1"/>
  <c r="H117" i="1"/>
  <c r="H116" i="1"/>
  <c r="H67" i="1"/>
  <c r="H66" i="1"/>
  <c r="H56" i="1"/>
  <c r="H55" i="1"/>
  <c r="H51" i="1"/>
  <c r="H50" i="1"/>
  <c r="C135" i="5"/>
  <c r="C106" i="5"/>
  <c r="C134" i="5"/>
  <c r="C105" i="5"/>
  <c r="C133" i="5"/>
  <c r="C104" i="5"/>
  <c r="C94" i="5"/>
  <c r="C132" i="5"/>
  <c r="C123" i="5"/>
  <c r="C103" i="5"/>
  <c r="C131" i="5"/>
  <c r="C122" i="5"/>
  <c r="C102" i="5"/>
  <c r="C93" i="5"/>
  <c r="C121" i="5"/>
  <c r="C119" i="5"/>
  <c r="C92" i="5"/>
  <c r="C76" i="5"/>
  <c r="C90" i="5"/>
  <c r="F89" i="18"/>
  <c r="F67" i="18"/>
  <c r="F63" i="18"/>
  <c r="F17" i="18" s="1"/>
  <c r="F55" i="18"/>
  <c r="F15" i="18" s="1"/>
  <c r="F47" i="18"/>
  <c r="F64" i="19"/>
  <c r="F50" i="19"/>
  <c r="F48" i="19"/>
  <c r="F67" i="19" s="1"/>
  <c r="F47" i="19"/>
  <c r="F45" i="19" s="1"/>
  <c r="F44" i="19" s="1"/>
  <c r="F87" i="18"/>
  <c r="F85" i="18"/>
  <c r="F83" i="18"/>
  <c r="F79" i="18"/>
  <c r="F77" i="18" s="1"/>
  <c r="F75" i="18"/>
  <c r="F74" i="18"/>
  <c r="F72" i="18"/>
  <c r="F69" i="18"/>
  <c r="F66" i="18"/>
  <c r="F60" i="18"/>
  <c r="F57" i="18"/>
  <c r="F52" i="18"/>
  <c r="F49" i="18"/>
  <c r="F42" i="18"/>
  <c r="F35" i="18"/>
  <c r="F37" i="18" s="1"/>
  <c r="F29" i="18" s="1"/>
  <c r="F34" i="18"/>
  <c r="F33" i="18"/>
  <c r="F32" i="18"/>
  <c r="F26" i="18"/>
  <c r="F24" i="18"/>
  <c r="F23" i="18"/>
  <c r="F19" i="18"/>
  <c r="F16" i="18"/>
  <c r="F14" i="18"/>
  <c r="F13" i="18"/>
  <c r="H148" i="1" l="1"/>
  <c r="H54" i="1"/>
  <c r="H115" i="1"/>
  <c r="H172" i="1"/>
  <c r="H155" i="1"/>
  <c r="H139" i="1"/>
  <c r="H161" i="1"/>
  <c r="H106" i="1"/>
  <c r="H146" i="1"/>
  <c r="H177" i="1"/>
  <c r="H128" i="1"/>
  <c r="H133" i="1"/>
  <c r="H64" i="1"/>
  <c r="H49" i="1"/>
  <c r="H113" i="1"/>
  <c r="H86" i="1"/>
  <c r="H96" i="1"/>
  <c r="H81" i="1"/>
  <c r="H74" i="1"/>
  <c r="F65" i="18"/>
  <c r="F60" i="19"/>
  <c r="F65" i="19"/>
  <c r="F62" i="19" s="1"/>
  <c r="F66" i="19"/>
  <c r="F31" i="18"/>
  <c r="F28" i="18" s="1"/>
  <c r="H42" i="1" l="1"/>
  <c r="H38" i="1" s="1"/>
  <c r="H80" i="1"/>
  <c r="F59" i="19"/>
  <c r="F57" i="19" s="1"/>
  <c r="F56" i="19" s="1"/>
  <c r="F54" i="19" s="1"/>
  <c r="F52" i="19" s="1"/>
  <c r="F69" i="19" s="1"/>
  <c r="F61" i="19"/>
  <c r="F58" i="19" s="1"/>
  <c r="C89" i="5" l="1"/>
  <c r="C88" i="5"/>
  <c r="C42" i="5"/>
  <c r="C78" i="5"/>
  <c r="C87" i="5"/>
  <c r="C86" i="5"/>
  <c r="C77" i="5"/>
  <c r="C74" i="5"/>
  <c r="C73" i="5"/>
  <c r="C17" i="2"/>
  <c r="C41" i="5"/>
  <c r="G65" i="16"/>
  <c r="G20" i="16"/>
  <c r="G16" i="16"/>
  <c r="G3" i="16" s="1"/>
  <c r="G62" i="16"/>
  <c r="G55" i="16"/>
  <c r="G54" i="16"/>
  <c r="G53" i="16"/>
  <c r="G51" i="16"/>
  <c r="G50" i="16"/>
  <c r="G49" i="16"/>
  <c r="G44" i="16"/>
  <c r="G43" i="16"/>
  <c r="G28" i="16"/>
  <c r="G27" i="16"/>
  <c r="G24" i="16"/>
  <c r="G22" i="16"/>
  <c r="G9" i="16"/>
  <c r="G35" i="14" l="1"/>
  <c r="G34" i="14"/>
  <c r="G32" i="14" s="1"/>
  <c r="G23" i="14"/>
  <c r="G20" i="14" s="1"/>
  <c r="G22" i="14"/>
  <c r="G11" i="14"/>
  <c r="G10" i="14"/>
  <c r="G7" i="14" s="1"/>
  <c r="G8" i="14"/>
  <c r="G4" i="14" s="1"/>
  <c r="G38" i="13" s="1"/>
  <c r="G23" i="13"/>
  <c r="G22" i="13"/>
  <c r="G17" i="13"/>
  <c r="G16" i="13"/>
  <c r="G12" i="13"/>
  <c r="G11" i="13"/>
  <c r="G7" i="13"/>
  <c r="G6" i="13" s="1"/>
  <c r="G3" i="14" l="1"/>
  <c r="G37" i="13" s="1"/>
  <c r="G31" i="14"/>
  <c r="G19" i="14"/>
  <c r="D2" i="11"/>
  <c r="D8" i="11" s="1"/>
  <c r="C2" i="11"/>
  <c r="C8" i="11" s="1"/>
  <c r="C85" i="10"/>
  <c r="C84" i="10"/>
  <c r="C77" i="10"/>
  <c r="D71" i="10"/>
  <c r="D69" i="10"/>
  <c r="C69" i="10"/>
  <c r="C83" i="10" s="1"/>
  <c r="D66" i="10"/>
  <c r="C66" i="10"/>
  <c r="D65" i="10"/>
  <c r="D64" i="10"/>
  <c r="D62" i="10"/>
  <c r="C62" i="10"/>
  <c r="C82" i="10" s="1"/>
  <c r="D59" i="10"/>
  <c r="C59" i="10"/>
  <c r="C75" i="10" s="1"/>
  <c r="D58" i="10"/>
  <c r="D57" i="10"/>
  <c r="D56" i="10"/>
  <c r="D54" i="10"/>
  <c r="C54" i="10"/>
  <c r="D53" i="10"/>
  <c r="D52" i="10"/>
  <c r="D51" i="10"/>
  <c r="D50" i="10"/>
  <c r="D48" i="10"/>
  <c r="C48" i="10"/>
  <c r="D45" i="10"/>
  <c r="D44" i="10"/>
  <c r="C44" i="10"/>
  <c r="C45" i="10" s="1"/>
  <c r="C76" i="10" s="1"/>
  <c r="D43" i="10"/>
  <c r="D42" i="10"/>
  <c r="D40" i="10"/>
  <c r="D38" i="10"/>
  <c r="D35" i="10"/>
  <c r="C35" i="10"/>
  <c r="D34" i="10"/>
  <c r="C34" i="10"/>
  <c r="D33" i="10"/>
  <c r="C33" i="10"/>
  <c r="D32" i="10"/>
  <c r="C32" i="10"/>
  <c r="D31" i="10"/>
  <c r="C31" i="10"/>
  <c r="D30" i="10"/>
  <c r="C30" i="10"/>
  <c r="D29" i="10"/>
  <c r="C29" i="10"/>
  <c r="D28" i="10"/>
  <c r="C28" i="10"/>
  <c r="D26" i="10"/>
  <c r="C26" i="10"/>
  <c r="D22" i="10"/>
  <c r="D21" i="10"/>
  <c r="D19" i="10"/>
  <c r="D18" i="10"/>
  <c r="D17" i="10"/>
  <c r="D16" i="10"/>
  <c r="D15" i="10"/>
  <c r="D14" i="10"/>
  <c r="D13" i="10"/>
  <c r="D12" i="10"/>
  <c r="D11" i="10"/>
  <c r="C86" i="10" l="1"/>
  <c r="B2" i="11" s="1"/>
  <c r="B8" i="11" s="1"/>
  <c r="G37" i="9" l="1"/>
  <c r="G33" i="9"/>
  <c r="G30" i="9" s="1"/>
  <c r="G28" i="9" s="1"/>
  <c r="G32" i="9"/>
  <c r="G19" i="9"/>
  <c r="G15" i="9"/>
  <c r="G14" i="9"/>
  <c r="G12" i="9" s="1"/>
  <c r="B11" i="6"/>
  <c r="B4" i="6"/>
  <c r="B3" i="6"/>
  <c r="D136" i="5"/>
  <c r="D135" i="5"/>
  <c r="D134" i="5"/>
  <c r="D133" i="5"/>
  <c r="D132" i="5"/>
  <c r="D131" i="5"/>
  <c r="D130" i="5"/>
  <c r="C130" i="5"/>
  <c r="D129" i="5"/>
  <c r="D128" i="5"/>
  <c r="D127" i="5"/>
  <c r="D126" i="5"/>
  <c r="D125" i="5"/>
  <c r="D124" i="5"/>
  <c r="C124" i="5"/>
  <c r="D123" i="5"/>
  <c r="D122" i="5"/>
  <c r="D121" i="5"/>
  <c r="D120" i="5"/>
  <c r="D119" i="5"/>
  <c r="D118" i="5"/>
  <c r="D117" i="5"/>
  <c r="D116" i="5"/>
  <c r="C116" i="5"/>
  <c r="B10" i="6" s="1"/>
  <c r="D115" i="5"/>
  <c r="D114" i="5"/>
  <c r="D113" i="5"/>
  <c r="D112" i="5"/>
  <c r="D111" i="5"/>
  <c r="C111" i="5"/>
  <c r="B9" i="6" s="1"/>
  <c r="D110" i="5"/>
  <c r="D109" i="5"/>
  <c r="D108" i="5"/>
  <c r="D107" i="5"/>
  <c r="D106" i="5"/>
  <c r="D105" i="5"/>
  <c r="D104" i="5"/>
  <c r="D103" i="5"/>
  <c r="D102" i="5"/>
  <c r="D101" i="5"/>
  <c r="C101" i="5"/>
  <c r="D100" i="5"/>
  <c r="D99" i="5"/>
  <c r="D98" i="5"/>
  <c r="D97" i="5"/>
  <c r="D96" i="5"/>
  <c r="D95" i="5"/>
  <c r="C95" i="5"/>
  <c r="D94" i="5"/>
  <c r="D93" i="5"/>
  <c r="D92" i="5"/>
  <c r="D91" i="5"/>
  <c r="D90" i="5"/>
  <c r="D89" i="5"/>
  <c r="D88" i="5"/>
  <c r="D87" i="5"/>
  <c r="D86" i="5"/>
  <c r="D85" i="5"/>
  <c r="C85" i="5"/>
  <c r="D84" i="5"/>
  <c r="D83" i="5"/>
  <c r="D82" i="5"/>
  <c r="D81" i="5"/>
  <c r="D80" i="5"/>
  <c r="D79" i="5"/>
  <c r="C79" i="5"/>
  <c r="D78" i="5"/>
  <c r="D77" i="5"/>
  <c r="D76" i="5"/>
  <c r="D75" i="5"/>
  <c r="D74" i="5"/>
  <c r="D73" i="5"/>
  <c r="D72" i="5"/>
  <c r="D71" i="5"/>
  <c r="D70" i="5"/>
  <c r="C70" i="5"/>
  <c r="D69" i="5"/>
  <c r="D68" i="5"/>
  <c r="D66" i="5"/>
  <c r="C66" i="5"/>
  <c r="D65" i="5"/>
  <c r="D64" i="5"/>
  <c r="D63" i="5"/>
  <c r="D62" i="5"/>
  <c r="D61" i="5"/>
  <c r="D60" i="5"/>
  <c r="D59" i="5"/>
  <c r="D58" i="5"/>
  <c r="D57" i="5"/>
  <c r="D56" i="5"/>
  <c r="D55" i="5"/>
  <c r="D54" i="5"/>
  <c r="C54" i="5"/>
  <c r="C56" i="5" s="1"/>
  <c r="D53" i="5"/>
  <c r="D52" i="5"/>
  <c r="D51" i="5"/>
  <c r="D50" i="5"/>
  <c r="D48" i="5"/>
  <c r="D47" i="5"/>
  <c r="C47" i="5"/>
  <c r="C48" i="5" s="1"/>
  <c r="D46" i="5"/>
  <c r="D45" i="5"/>
  <c r="D44" i="5"/>
  <c r="D43" i="5"/>
  <c r="C43" i="5"/>
  <c r="D42" i="5"/>
  <c r="D41" i="5"/>
  <c r="D40" i="5"/>
  <c r="D38" i="5"/>
  <c r="C38" i="5"/>
  <c r="D37" i="5"/>
  <c r="D36" i="5"/>
  <c r="D35" i="5"/>
  <c r="D34" i="5"/>
  <c r="D33" i="5"/>
  <c r="D32" i="5"/>
  <c r="D31" i="5"/>
  <c r="D30" i="5"/>
  <c r="D29" i="5"/>
  <c r="D28" i="5"/>
  <c r="D27" i="5"/>
  <c r="D26" i="5"/>
  <c r="D25" i="5"/>
  <c r="D24" i="5"/>
  <c r="D23" i="5"/>
  <c r="D22" i="5"/>
  <c r="D21" i="5"/>
  <c r="D20" i="5"/>
  <c r="D19" i="5"/>
  <c r="C17" i="5"/>
  <c r="D16" i="5"/>
  <c r="D15" i="5"/>
  <c r="D14" i="5"/>
  <c r="D13" i="5"/>
  <c r="D12" i="5"/>
  <c r="D11" i="5"/>
  <c r="D10" i="5"/>
  <c r="D9" i="5"/>
  <c r="D8" i="5"/>
  <c r="D7" i="5"/>
  <c r="D6" i="5"/>
  <c r="C107" i="5" l="1"/>
  <c r="B6" i="6" s="1"/>
  <c r="C136" i="5"/>
  <c r="B12" i="6" s="1"/>
  <c r="B13" i="6" s="1"/>
  <c r="C91" i="5"/>
  <c r="B5" i="6" s="1"/>
  <c r="G10" i="9"/>
  <c r="G3" i="9"/>
  <c r="C71" i="5"/>
  <c r="B2" i="6" s="1"/>
  <c r="B7" i="6" s="1"/>
  <c r="I13" i="3" l="1"/>
  <c r="I17" i="3" s="1"/>
  <c r="H13" i="3"/>
  <c r="G13" i="3"/>
  <c r="F13" i="3"/>
  <c r="E13" i="3"/>
  <c r="D13" i="3"/>
  <c r="C13" i="3"/>
  <c r="B13" i="3"/>
  <c r="I3" i="3"/>
  <c r="I7" i="3" s="1"/>
  <c r="H3" i="3"/>
  <c r="G3" i="3"/>
  <c r="F3" i="3"/>
  <c r="E3" i="3"/>
  <c r="D3" i="3"/>
  <c r="C3" i="3"/>
  <c r="B3" i="3"/>
  <c r="A3" i="3"/>
  <c r="D21" i="2"/>
  <c r="D20" i="2"/>
  <c r="C20" i="2"/>
  <c r="C21" i="2" s="1"/>
  <c r="D19" i="2"/>
  <c r="D18" i="2"/>
  <c r="D17" i="2"/>
  <c r="D16" i="2"/>
  <c r="D15" i="2"/>
  <c r="D14" i="2"/>
  <c r="H63" i="1" l="1"/>
  <c r="H59" i="1" s="1"/>
  <c r="H127" i="1"/>
  <c r="H44" i="1"/>
  <c r="H147" i="1" s="1"/>
  <c r="H145" i="1" s="1"/>
  <c r="H126" i="1"/>
  <c r="H122" i="1" s="1"/>
  <c r="H52" i="1"/>
  <c r="H48" i="1" s="1"/>
  <c r="H40" i="1"/>
  <c r="H33" i="1"/>
  <c r="H36" i="1"/>
  <c r="H35" i="1"/>
  <c r="H34" i="1"/>
  <c r="H186" i="1" l="1"/>
  <c r="H185" i="1"/>
  <c r="H114" i="1"/>
  <c r="H112" i="1" s="1"/>
  <c r="H166" i="1"/>
  <c r="H18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tc={FF5017F3-4D7E-455B-9DBB-7C36D2E42047}</author>
    <author>tc={EA639AFE-1292-4A8F-8ED7-F435B69F3401}</author>
    <author>tc={26B6F422-266F-40D0-B87C-8EB29BBFE5A6}</author>
    <author>tc={95EA8A8F-F8B4-46BD-80AE-88E5A15F6515}</author>
    <author>tc={7446DA27-D1AF-4FF5-A4C9-B25FBD6743CA}</author>
    <author>tc={5BA96CB4-68EC-4F91-B935-E24A4C91034A}</author>
    <author>tc={774C7151-16C8-46CA-89DA-7FC6F6169D81}</author>
    <author>tc={5AC48C8D-079A-473D-8358-918C0A7AA086}</author>
    <author>tc={F8008040-F585-4987-82DD-CC6277B72FC3}</author>
    <author>tc={27056C07-84BE-4842-98EF-67CD86C05428}</author>
    <author>tc={1FD8FBC4-EEA0-4BFB-AA7D-D362D8AEC3EB}</author>
    <author>tc={935A8397-A5C1-4B78-B5C6-7A139D588890}</author>
    <author>tc={2F938C61-3B46-45E7-B1BE-5F8C5E3EA068}</author>
    <author>tc={46ABA90F-EB92-404D-9B0A-C6C2D617F16D}</author>
    <author>tc={4E34A830-176A-4148-927B-22B19AEB72D0}</author>
    <author>tc={C23AED93-4193-4841-B290-51A8F0CC02EE}</author>
    <author>tc={D880C6A9-D6B9-4BC6-9EAC-715DE075693D}</author>
    <author>tc={90705C3C-B46B-430E-865C-C972C16D15BC}</author>
    <author>tc={A521DDDA-9514-42AB-8F6D-605BC3B09737}</author>
    <author>tc={5DF4C6AA-3620-4BB4-B020-F206936BC912}</author>
    <author>tc={9A822EE0-D118-444C-9451-30EBD6FDD642}</author>
    <author>tc={85E25727-34B3-44F4-85A1-56AEFA5C9556}</author>
    <author>tc={EFF6FF5D-A595-48FF-BCC5-D4BEB344D5BC}</author>
    <author>tc={272519C8-9998-4767-A642-7C28225E0764}</author>
    <author>tc={416F8DFB-1F40-48A8-8B2F-70A767B5A44B}</author>
    <author>tc={7A338B64-4E77-4063-8DBB-D115638659AE}</author>
    <author>tc={4D4B3B12-2314-422E-8121-AEA780B5B01B}</author>
    <author>tc={1AD10155-19E2-4337-8AA2-8B3D58A9EAB3}</author>
    <author>tc={94943F39-5381-4F4D-AD85-C4217690DCAE}</author>
    <author>tc={650A0BC6-4F68-48AE-A274-EEA3443A8898}</author>
    <author>tc={081844DF-40A6-4852-8D93-7FF2A238434F}</author>
    <author>tc={220F584A-7F3E-40E0-9CB9-0367913B44D2}</author>
    <author>tc={3968AD38-E870-4264-B3FA-0E49203E275F}</author>
    <author>tc={D8D704B4-5B77-4DEF-91AB-7A4DC9F1B197}</author>
    <author>tc={5FAA9792-C167-4E55-B156-A06EA010D653}</author>
    <author>tc={61F840FD-73C6-4B06-9BAD-26ADBE53758D}</author>
    <author>tc={37F12128-0D98-49EE-A468-EDD4F91AD025}</author>
    <author>tc={37715A17-404F-48DB-BFD1-A835ED6239CD}</author>
    <author>tc={3D736C0F-7AC6-429E-B108-91E623BC80E8}</author>
    <author>tc={C197EE08-1506-47A6-9FB5-2F7F5A708BF5}</author>
    <author>tc={16DCA4E6-EE1F-4313-844C-31D6FF73F693}</author>
    <author>tc={F2706665-37FB-4C1D-B2A4-0A833D90D851}</author>
    <author>tc={7E4B7711-8D0F-4E58-9F41-B823D1CB54E4}</author>
    <author>tc={E8A0128F-DF14-494A-8902-3BE1450519C6}</author>
    <author>tc={511DB80B-76B8-4DC5-9E11-0CB9DCFC9E66}</author>
    <author>tc={EDB4E79A-AE70-436E-975B-0D4BF79298CF}</author>
    <author>tc={34903AEF-84D0-44BA-9BC0-5619B873482F}</author>
    <author>tc={076AEB9C-8AB1-45CB-A596-542C88B6332D}</author>
    <author>tc={26C014FF-DCD1-4C4F-809B-9F5B5CA62486}</author>
    <author>tc={F2144742-5325-4F61-B66E-77E065F3652C}</author>
    <author>tc={D3051BEF-D46A-42BF-9C04-8066FEAEB70F}</author>
    <author>tc={5B363A98-2C88-4288-ADBF-E63B0CC90931}</author>
    <author>tc={03430B5D-2810-4CC5-9B0A-5DBB663AB285}</author>
    <author>tc={C5E7C768-F1CF-4165-B017-3334012394A4}</author>
    <author>tc={58CDF39C-4F3B-4C3F-A584-A5E117E62E47}</author>
    <author>tc={D4C526D9-6A43-4DFC-9577-1C93709D6510}</author>
    <author>tc={CDE181FD-2045-41F3-81E7-CA3F999F4800}</author>
    <author>tc={D1039FAE-BDDF-48A6-B35A-BFE74889F3B5}</author>
    <author>tc={BA4A5740-1C52-433D-B040-A4EBEB4A1D17}</author>
    <author>tc={7CC37CE0-8AA5-483E-AA93-AF09157F5610}</author>
    <author>tc={0B9866DF-8D28-4D92-8C28-9EC3AD3F767F}</author>
    <author>tc={5A8F4FF1-F612-4940-9016-D07E23FD7A96}</author>
    <author>tc={A4D3F0BF-264A-4CC4-805B-EF0C059B7F64}</author>
    <author>tc={805C863B-ED4C-4D9D-A2FB-93BA9C7586B9}</author>
    <author>tc={8CE4D4DA-DEAD-49C4-99E8-A0DC7D926250}</author>
    <author>tc={8F50251E-3E89-4830-99FE-555EF6B89F43}</author>
    <author>tc={F9C10709-604D-4048-9B3C-4B8FCB42C67F}</author>
    <author>tc={9489E721-4D4B-44A0-809A-FCFCAFBE61E9}</author>
    <author>tc={A6D3520F-64E2-4E28-9C21-839F78FCDBC3}</author>
    <author>tc={46B63904-DA8E-4D73-8B80-F65B1C62204E}</author>
    <author>tc={A870B07E-1877-4A4F-BDBF-CDE24FD53606}</author>
    <author>tc={B1779023-12F4-4C74-9FC8-325FDEDC88AA}</author>
    <author>tc={205756FA-E2F1-4FD0-9889-70493291DA2D}</author>
    <author>tc={27EFDE52-A78D-4F02-8A3B-9E1C4AA0E311}</author>
    <author>tc={B7B90F45-52C9-4577-AD2B-2D3FB16606E6}</author>
    <author>tc={42EE503D-9E04-4FF9-9E42-416D2AE8C0E7}</author>
    <author>tc={549C0BB5-8B9B-4B07-B1DD-E0A33E65C422}</author>
    <author>tc={CFF28699-345E-45CC-9BD5-BADF058AA047}</author>
    <author>tc={720DB247-8332-44E3-8DF8-B40315C67762}</author>
    <author>tc={E8416F62-692A-43AB-97F9-3F0E69ED863B}</author>
    <author>tc={07AFCD53-F8D7-45B3-A3EF-C35CDAB0A7C4}</author>
    <author>tc={8204BEDC-02ED-44AE-AECF-EAB52349930C}</author>
    <author>tc={0BBC4C9B-79BE-44CC-BF41-9FB8170E5DAE}</author>
    <author>tc={AA75DAEA-597E-4138-992A-CB0F592C21DA}</author>
    <author>tc={2C974445-6D1F-4097-9C5B-AA90D7C10B08}</author>
  </authors>
  <commentList>
    <comment ref="G33" authorId="0" shapeId="0" xr:uid="{FF5017F3-4D7E-455B-9DBB-7C36D2E42047}">
      <text>
        <t>[Threaded comment]
Your version of Excel allows you to read this threaded comment; however, any edits to it will get removed if the file is opened in a newer version of Excel. Learn more: https://go.microsoft.com/fwlink/?linkid=870924
Comment:
    Section 8.1</t>
      </text>
    </comment>
    <comment ref="G34" authorId="1" shapeId="0" xr:uid="{EA639AFE-1292-4A8F-8ED7-F435B69F3401}">
      <text>
        <t>[Threaded comment]
Your version of Excel allows you to read this threaded comment; however, any edits to it will get removed if the file is opened in a newer version of Excel. Learn more: https://go.microsoft.com/fwlink/?linkid=870924
Comment:
    Section 8.1.1</t>
      </text>
    </comment>
    <comment ref="G35" authorId="2" shapeId="0" xr:uid="{26B6F422-266F-40D0-B87C-8EB29BBFE5A6}">
      <text>
        <t>[Threaded comment]
Your version of Excel allows you to read this threaded comment; however, any edits to it will get removed if the file is opened in a newer version of Excel. Learn more: https://go.microsoft.com/fwlink/?linkid=870924
Comment:
    Section 8.1.2</t>
      </text>
    </comment>
    <comment ref="G36" authorId="3" shapeId="0" xr:uid="{95EA8A8F-F8B4-46BD-80AE-88E5A15F6515}">
      <text>
        <t>[Threaded comment]
Your version of Excel allows you to read this threaded comment; however, any edits to it will get removed if the file is opened in a newer version of Excel. Learn more: https://go.microsoft.com/fwlink/?linkid=870924
Comment:
    Section 8.1.3</t>
      </text>
    </comment>
    <comment ref="G38" authorId="4" shapeId="0" xr:uid="{7446DA27-D1AF-4FF5-A4C9-B25FBD6743CA}">
      <text>
        <t>[Threaded comment]
Your version of Excel allows you to read this threaded comment; however, any edits to it will get removed if the file is opened in a newer version of Excel. Learn more: https://go.microsoft.com/fwlink/?linkid=870924
Comment:
    Summed for property</t>
      </text>
    </comment>
    <comment ref="G40" authorId="5" shapeId="0" xr:uid="{5BA96CB4-68EC-4F91-B935-E24A4C91034A}">
      <text>
        <t>[Threaded comment]
Your version of Excel allows you to read this threaded comment; however, any edits to it will get removed if the file is opened in a newer version of Excel. Learn more: https://go.microsoft.com/fwlink/?linkid=870924
Comment:
    Section 8.2.1</t>
      </text>
    </comment>
    <comment ref="G42" authorId="6" shapeId="0" xr:uid="{774C7151-16C8-46CA-89DA-7FC6F6169D81}">
      <text>
        <t>[Threaded comment]
Your version of Excel allows you to read this threaded comment; however, any edits to it will get removed if the file is opened in a newer version of Excel. Learn more: https://go.microsoft.com/fwlink/?linkid=870924
Comment:
    Eq 11</t>
      </text>
    </comment>
    <comment ref="G48" authorId="7" shapeId="0" xr:uid="{5AC48C8D-079A-473D-8358-918C0A7AA086}">
      <text>
        <t>[Threaded comment]
Your version of Excel allows you to read this threaded comment; however, any edits to it will get removed if the file is opened in a newer version of Excel. Learn more: https://go.microsoft.com/fwlink/?linkid=870924
Comment:
    Eq 3</t>
      </text>
    </comment>
    <comment ref="G49" authorId="8" shapeId="0" xr:uid="{F8008040-F585-4987-82DD-CC6277B72FC3}">
      <text>
        <t>[Threaded comment]
Your version of Excel allows you to read this threaded comment; however, any edits to it will get removed if the file is opened in a newer version of Excel. Learn more: https://go.microsoft.com/fwlink/?linkid=870924
Comment:
    Eq 4</t>
      </text>
    </comment>
    <comment ref="G50" authorId="9" shapeId="0" xr:uid="{27056C07-84BE-4842-98EF-67CD86C05428}">
      <text>
        <t>[Threaded comment]
Your version of Excel allows you to read this threaded comment; however, any edits to it will get removed if the file is opened in a newer version of Excel. Learn more: https://go.microsoft.com/fwlink/?linkid=870924
Comment:
    CDM Tool 05</t>
      </text>
    </comment>
    <comment ref="G51" authorId="10" shapeId="0" xr:uid="{1FD8FBC4-EEA0-4BFB-AA7D-D362D8AEC3EB}">
      <text>
        <t>[Threaded comment]
Your version of Excel allows you to read this threaded comment; however, any edits to it will get removed if the file is opened in a newer version of Excel. Learn more: https://go.microsoft.com/fwlink/?linkid=870924
Comment:
    CDM Tool 03</t>
      </text>
    </comment>
    <comment ref="G52" authorId="11" shapeId="0" xr:uid="{935A8397-A5C1-4B78-B5C6-7A139D588890}">
      <text>
        <t>[Threaded comment]
Your version of Excel allows you to read this threaded comment; however, any edits to it will get removed if the file is opened in a newer version of Excel. Learn more: https://go.microsoft.com/fwlink/?linkid=870924
Comment:
    Zero for high technology facilities</t>
      </text>
    </comment>
    <comment ref="G54" authorId="12" shapeId="0" xr:uid="{2F938C61-3B46-45E7-B1BE-5F8C5E3EA068}">
      <text>
        <t>[Threaded comment]
Your version of Excel allows you to read this threaded comment; however, any edits to it will get removed if the file is opened in a newer version of Excel. Learn more: https://go.microsoft.com/fwlink/?linkid=870924
Comment:
    Eq 5</t>
      </text>
    </comment>
    <comment ref="G55" authorId="13" shapeId="0" xr:uid="{46ABA90F-EB92-404D-9B0A-C6C2D617F16D}">
      <text>
        <t>[Threaded comment]
Your version of Excel allows you to read this threaded comment; however, any edits to it will get removed if the file is opened in a newer version of Excel. Learn more: https://go.microsoft.com/fwlink/?linkid=870924
Comment:
    CDM Tool 05</t>
      </text>
    </comment>
    <comment ref="G56" authorId="14" shapeId="0" xr:uid="{4E34A830-176A-4148-927B-22B19AEB72D0}">
      <text>
        <t>[Threaded comment]
Your version of Excel allows you to read this threaded comment; however, any edits to it will get removed if the file is opened in a newer version of Excel. Learn more: https://go.microsoft.com/fwlink/?linkid=870924
Comment:
    CDM Tool 03</t>
      </text>
    </comment>
    <comment ref="G59" authorId="15" shapeId="0" xr:uid="{C23AED93-4193-4841-B290-51A8F0CC02EE}">
      <text>
        <t>[Threaded comment]
Your version of Excel allows you to read this threaded comment; however, any edits to it will get removed if the file is opened in a newer version of Excel. Learn more: https://go.microsoft.com/fwlink/?linkid=870924
Comment:
    Eq 2</t>
      </text>
    </comment>
    <comment ref="G63" authorId="16" shapeId="0" xr:uid="{D880C6A9-D6B9-4BC6-9EAC-715DE075693D}">
      <text>
        <t>[Threaded comment]
Your version of Excel allows you to read this threaded comment; however, any edits to it will get removed if the file is opened in a newer version of Excel. Learn more: https://go.microsoft.com/fwlink/?linkid=870924
Comment:
    Table 3</t>
      </text>
    </comment>
    <comment ref="G64" authorId="17" shapeId="0" xr:uid="{90705C3C-B46B-430E-865C-C972C16D15BC}">
      <text>
        <t>[Threaded comment]
Your version of Excel allows you to read this threaded comment; however, any edits to it will get removed if the file is opened in a newer version of Excel. Learn more: https://go.microsoft.com/fwlink/?linkid=870924
Comment:
    Eq 12</t>
      </text>
    </comment>
    <comment ref="G66" authorId="18" shapeId="0" xr:uid="{A521DDDA-9514-42AB-8F6D-605BC3B09737}">
      <text>
        <t>[Threaded comment]
Your version of Excel allows you to read this threaded comment; however, any edits to it will get removed if the file is opened in a newer version of Excel. Learn more: https://go.microsoft.com/fwlink/?linkid=870924
Comment:
    CDM Tool 05</t>
      </text>
    </comment>
    <comment ref="G67" authorId="19" shapeId="0" xr:uid="{5DF4C6AA-3620-4BB4-B020-F206936BC912}">
      <text>
        <t>[Threaded comment]
Your version of Excel allows you to read this threaded comment; however, any edits to it will get removed if the file is opened in a newer version of Excel. Learn more: https://go.microsoft.com/fwlink/?linkid=870924
Comment:
    CDM Tool 03</t>
      </text>
    </comment>
    <comment ref="G69" authorId="20" shapeId="0" xr:uid="{9A822EE0-D118-444C-9451-30EBD6FDD642}">
      <text>
        <t>[Threaded comment]
Your version of Excel allows you to read this threaded comment; however, any edits to it will get removed if the file is opened in a newer version of Excel. Learn more: https://go.microsoft.com/fwlink/?linkid=870924
Comment:
    Eq 2</t>
      </text>
    </comment>
    <comment ref="G73" authorId="21" shapeId="0" xr:uid="{85E25727-34B3-44F4-85A1-56AEFA5C9556}">
      <text>
        <t>[Threaded comment]
Your version of Excel allows you to read this threaded comment; however, any edits to it will get removed if the file is opened in a newer version of Excel. Learn more: https://go.microsoft.com/fwlink/?linkid=870924
Comment:
    Table 3</t>
      </text>
    </comment>
    <comment ref="G74" authorId="22" shapeId="0" xr:uid="{EFF6FF5D-A595-48FF-BCC5-D4BEB344D5BC}">
      <text>
        <t>[Threaded comment]
Your version of Excel allows you to read this threaded comment; however, any edits to it will get removed if the file is opened in a newer version of Excel. Learn more: https://go.microsoft.com/fwlink/?linkid=870924
Comment:
    Eq 12</t>
      </text>
    </comment>
    <comment ref="G76" authorId="23" shapeId="0" xr:uid="{272519C8-9998-4767-A642-7C28225E0764}">
      <text>
        <t>[Threaded comment]
Your version of Excel allows you to read this threaded comment; however, any edits to it will get removed if the file is opened in a newer version of Excel. Learn more: https://go.microsoft.com/fwlink/?linkid=870924
Comment:
    CDM Tool 05</t>
      </text>
    </comment>
    <comment ref="G77" authorId="24" shapeId="0" xr:uid="{416F8DFB-1F40-48A8-8B2F-70A767B5A44B}">
      <text>
        <t>[Threaded comment]
Your version of Excel allows you to read this threaded comment; however, any edits to it will get removed if the file is opened in a newer version of Excel. Learn more: https://go.microsoft.com/fwlink/?linkid=870924
Comment:
    CDM Tool 03</t>
      </text>
    </comment>
    <comment ref="G80" authorId="25" shapeId="0" xr:uid="{7A338B64-4E77-4063-8DBB-D115638659AE}">
      <text>
        <t>[Threaded comment]
Your version of Excel allows you to read this threaded comment; however, any edits to it will get removed if the file is opened in a newer version of Excel. Learn more: https://go.microsoft.com/fwlink/?linkid=870924
Comment:
    Eq 3</t>
      </text>
    </comment>
    <comment ref="G81" authorId="26" shapeId="0" xr:uid="{4D4B3B12-2314-422E-8121-AEA780B5B01B}">
      <text>
        <t>[Threaded comment]
Your version of Excel allows you to read this threaded comment; however, any edits to it will get removed if the file is opened in a newer version of Excel. Learn more: https://go.microsoft.com/fwlink/?linkid=870924
Comment:
    Eq 4</t>
      </text>
    </comment>
    <comment ref="G82" authorId="27" shapeId="0" xr:uid="{1AD10155-19E2-4337-8AA2-8B3D58A9EAB3}">
      <text>
        <t>[Threaded comment]
Your version of Excel allows you to read this threaded comment; however, any edits to it will get removed if the file is opened in a newer version of Excel. Learn more: https://go.microsoft.com/fwlink/?linkid=870924
Comment:
    CDM Tool 05</t>
      </text>
    </comment>
    <comment ref="G83" authorId="28" shapeId="0" xr:uid="{94943F39-5381-4F4D-AD85-C4217690DCAE}">
      <text>
        <t>[Threaded comment]
Your version of Excel allows you to read this threaded comment; however, any edits to it will get removed if the file is opened in a newer version of Excel. Learn more: https://go.microsoft.com/fwlink/?linkid=870924
Comment:
    CDM Tool 03</t>
      </text>
    </comment>
    <comment ref="G84" authorId="29" shapeId="0" xr:uid="{650A0BC6-4F68-48AE-A274-EEA3443A8898}">
      <text>
        <t>[Threaded comment]
Your version of Excel allows you to read this threaded comment; however, any edits to it will get removed if the file is opened in a newer version of Excel. Learn more: https://go.microsoft.com/fwlink/?linkid=870924
Comment:
    Zero for high technology facilities</t>
      </text>
    </comment>
    <comment ref="G86" authorId="30" shapeId="0" xr:uid="{081844DF-40A6-4852-8D93-7FF2A238434F}">
      <text>
        <t>[Threaded comment]
Your version of Excel allows you to read this threaded comment; however, any edits to it will get removed if the file is opened in a newer version of Excel. Learn more: https://go.microsoft.com/fwlink/?linkid=870924
Comment:
    Eq 5</t>
      </text>
    </comment>
    <comment ref="G87" authorId="31" shapeId="0" xr:uid="{220F584A-7F3E-40E0-9CB9-0367913B44D2}">
      <text>
        <t>[Threaded comment]
Your version of Excel allows you to read this threaded comment; however, any edits to it will get removed if the file is opened in a newer version of Excel. Learn more: https://go.microsoft.com/fwlink/?linkid=870924
Comment:
    CDM Tool 05</t>
      </text>
    </comment>
    <comment ref="G88" authorId="32" shapeId="0" xr:uid="{3968AD38-E870-4264-B3FA-0E49203E275F}">
      <text>
        <t>[Threaded comment]
Your version of Excel allows you to read this threaded comment; however, any edits to it will get removed if the file is opened in a newer version of Excel. Learn more: https://go.microsoft.com/fwlink/?linkid=870924
Comment:
    CDM Tool 03</t>
      </text>
    </comment>
    <comment ref="G91" authorId="33" shapeId="0" xr:uid="{D8D704B4-5B77-4DEF-91AB-7A4DC9F1B197}">
      <text>
        <t>[Threaded comment]
Your version of Excel allows you to read this threaded comment; however, any edits to it will get removed if the file is opened in a newer version of Excel. Learn more: https://go.microsoft.com/fwlink/?linkid=870924
Comment:
    Eq 2</t>
      </text>
    </comment>
    <comment ref="G95" authorId="34" shapeId="0" xr:uid="{5FAA9792-C167-4E55-B156-A06EA010D653}">
      <text>
        <t>[Threaded comment]
Your version of Excel allows you to read this threaded comment; however, any edits to it will get removed if the file is opened in a newer version of Excel. Learn more: https://go.microsoft.com/fwlink/?linkid=870924
Comment:
    Table 3</t>
      </text>
    </comment>
    <comment ref="G96" authorId="35" shapeId="0" xr:uid="{61F840FD-73C6-4B06-9BAD-26ADBE53758D}">
      <text>
        <t>[Threaded comment]
Your version of Excel allows you to read this threaded comment; however, any edits to it will get removed if the file is opened in a newer version of Excel. Learn more: https://go.microsoft.com/fwlink/?linkid=870924
Comment:
    Eq 12</t>
      </text>
    </comment>
    <comment ref="G98" authorId="36" shapeId="0" xr:uid="{37F12128-0D98-49EE-A468-EDD4F91AD025}">
      <text>
        <t>[Threaded comment]
Your version of Excel allows you to read this threaded comment; however, any edits to it will get removed if the file is opened in a newer version of Excel. Learn more: https://go.microsoft.com/fwlink/?linkid=870924
Comment:
    CDM Tool 05</t>
      </text>
    </comment>
    <comment ref="G99" authorId="37" shapeId="0" xr:uid="{37715A17-404F-48DB-BFD1-A835ED6239CD}">
      <text>
        <t>[Threaded comment]
Your version of Excel allows you to read this threaded comment; however, any edits to it will get removed if the file is opened in a newer version of Excel. Learn more: https://go.microsoft.com/fwlink/?linkid=870924
Comment:
    CDM Tool 03</t>
      </text>
    </comment>
    <comment ref="G101" authorId="38" shapeId="0" xr:uid="{3D736C0F-7AC6-429E-B108-91E623BC80E8}">
      <text>
        <t>[Threaded comment]
Your version of Excel allows you to read this threaded comment; however, any edits to it will get removed if the file is opened in a newer version of Excel. Learn more: https://go.microsoft.com/fwlink/?linkid=870924
Comment:
    Eq 2</t>
      </text>
    </comment>
    <comment ref="G105" authorId="39" shapeId="0" xr:uid="{C197EE08-1506-47A6-9FB5-2F7F5A708BF5}">
      <text>
        <t>[Threaded comment]
Your version of Excel allows you to read this threaded comment; however, any edits to it will get removed if the file is opened in a newer version of Excel. Learn more: https://go.microsoft.com/fwlink/?linkid=870924
Comment:
    Table 3</t>
      </text>
    </comment>
    <comment ref="G106" authorId="40" shapeId="0" xr:uid="{16DCA4E6-EE1F-4313-844C-31D6FF73F693}">
      <text>
        <t>[Threaded comment]
Your version of Excel allows you to read this threaded comment; however, any edits to it will get removed if the file is opened in a newer version of Excel. Learn more: https://go.microsoft.com/fwlink/?linkid=870924
Comment:
    Eq 12</t>
      </text>
    </comment>
    <comment ref="G108" authorId="41" shapeId="0" xr:uid="{F2706665-37FB-4C1D-B2A4-0A833D90D851}">
      <text>
        <t>[Threaded comment]
Your version of Excel allows you to read this threaded comment; however, any edits to it will get removed if the file is opened in a newer version of Excel. Learn more: https://go.microsoft.com/fwlink/?linkid=870924
Comment:
    CDM Tool 05</t>
      </text>
    </comment>
    <comment ref="G109" authorId="42" shapeId="0" xr:uid="{7E4B7711-8D0F-4E58-9F41-B823D1CB54E4}">
      <text>
        <t>[Threaded comment]
Your version of Excel allows you to read this threaded comment; however, any edits to it will get removed if the file is opened in a newer version of Excel. Learn more: https://go.microsoft.com/fwlink/?linkid=870924
Comment:
    CDM Tool 03</t>
      </text>
    </comment>
    <comment ref="G112" authorId="43" shapeId="0" xr:uid="{E8A0128F-DF14-494A-8902-3BE1450519C6}">
      <text>
        <t>[Threaded comment]
Your version of Excel allows you to read this threaded comment; however, any edits to it will get removed if the file is opened in a newer version of Excel. Learn more: https://go.microsoft.com/fwlink/?linkid=870924
Comment:
    Eq 7</t>
      </text>
    </comment>
    <comment ref="G113" authorId="44" shapeId="0" xr:uid="{511DB80B-76B8-4DC5-9E11-0CB9DCFC9E66}">
      <text>
        <t>[Threaded comment]
Your version of Excel allows you to read this threaded comment; however, any edits to it will get removed if the file is opened in a newer version of Excel. Learn more: https://go.microsoft.com/fwlink/?linkid=870924
Comment:
    Eq 8</t>
      </text>
    </comment>
    <comment ref="G114" authorId="45" shapeId="0" xr:uid="{EDB4E79A-AE70-436E-975B-0D4BF79298CF}">
      <text>
        <t>[Threaded comment]
Your version of Excel allows you to read this threaded comment; however, any edits to it will get removed if the file is opened in a newer version of Excel. Learn more: https://go.microsoft.com/fwlink/?linkid=870924
Comment:
    Eq 9</t>
      </text>
    </comment>
    <comment ref="G115" authorId="46" shapeId="0" xr:uid="{34903AEF-84D0-44BA-9BC0-5619B873482F}">
      <text>
        <t>[Threaded comment]
Your version of Excel allows you to read this threaded comment; however, any edits to it will get removed if the file is opened in a newer version of Excel. Learn more: https://go.microsoft.com/fwlink/?linkid=870924
Comment:
    Eq 10</t>
      </text>
    </comment>
    <comment ref="G116" authorId="47" shapeId="0" xr:uid="{076AEB9C-8AB1-45CB-A596-542C88B6332D}">
      <text>
        <t>[Threaded comment]
Your version of Excel allows you to read this threaded comment; however, any edits to it will get removed if the file is opened in a newer version of Excel. Learn more: https://go.microsoft.com/fwlink/?linkid=870924
Comment:
    CDM Tool 05</t>
      </text>
    </comment>
    <comment ref="G117" authorId="48" shapeId="0" xr:uid="{26C014FF-DCD1-4C4F-809B-9F5B5CA62486}">
      <text>
        <t>[Threaded comment]
Your version of Excel allows you to read this threaded comment; however, any edits to it will get removed if the file is opened in a newer version of Excel. Learn more: https://go.microsoft.com/fwlink/?linkid=870924
Comment:
    CDM Tool 03</t>
      </text>
    </comment>
    <comment ref="G118" authorId="49" shapeId="0" xr:uid="{F2144742-5325-4F61-B66E-77E065F3652C}">
      <text>
        <t>[Threaded comment]
Your version of Excel allows you to read this threaded comment; however, any edits to it will get removed if the file is opened in a newer version of Excel. Learn more: https://go.microsoft.com/fwlink/?linkid=870924
Comment:
    CDM Tool 05</t>
      </text>
    </comment>
    <comment ref="G119" authorId="50" shapeId="0" xr:uid="{D3051BEF-D46A-42BF-9C04-8066FEAEB70F}">
      <text>
        <t>[Threaded comment]
Your version of Excel allows you to read this threaded comment; however, any edits to it will get removed if the file is opened in a newer version of Excel. Learn more: https://go.microsoft.com/fwlink/?linkid=870924
Comment:
    CDM Tool 03</t>
      </text>
    </comment>
    <comment ref="G122" authorId="51" shapeId="0" xr:uid="{5B363A98-2C88-4288-ADBF-E63B0CC90931}">
      <text>
        <t>[Threaded comment]
Your version of Excel allows you to read this threaded comment; however, any edits to it will get removed if the file is opened in a newer version of Excel. Learn more: https://go.microsoft.com/fwlink/?linkid=870924
Comment:
    Eq 6</t>
      </text>
    </comment>
    <comment ref="G125" authorId="52" shapeId="0" xr:uid="{03430B5D-2810-4CC5-9B0A-5DBB663AB285}">
      <text>
        <t>[Threaded comment]
Your version of Excel allows you to read this threaded comment; however, any edits to it will get removed if the file is opened in a newer version of Excel. Learn more: https://go.microsoft.com/fwlink/?linkid=870924
Comment:
    Table 4</t>
      </text>
    </comment>
    <comment ref="G128" authorId="53" shapeId="0" xr:uid="{C5E7C768-F1CF-4165-B017-3334012394A4}">
      <text>
        <t>[Threaded comment]
Your version of Excel allows you to read this threaded comment; however, any edits to it will get removed if the file is opened in a newer version of Excel. Learn more: https://go.microsoft.com/fwlink/?linkid=870924
Comment:
    Eq 12</t>
      </text>
    </comment>
    <comment ref="G130" authorId="54" shapeId="0" xr:uid="{58CDF39C-4F3B-4C3F-A584-A5E117E62E47}">
      <text>
        <t>[Threaded comment]
Your version of Excel allows you to read this threaded comment; however, any edits to it will get removed if the file is opened in a newer version of Excel. Learn more: https://go.microsoft.com/fwlink/?linkid=870924
Comment:
    CDM Tool 05</t>
      </text>
    </comment>
    <comment ref="G131" authorId="55" shapeId="0" xr:uid="{D4C526D9-6A43-4DFC-9577-1C93709D6510}">
      <text>
        <t>[Threaded comment]
Your version of Excel allows you to read this threaded comment; however, any edits to it will get removed if the file is opened in a newer version of Excel. Learn more: https://go.microsoft.com/fwlink/?linkid=870924
Comment:
    CDM Tool 03</t>
      </text>
    </comment>
    <comment ref="G133" authorId="56" shapeId="0" xr:uid="{CDE181FD-2045-41F3-81E7-CA3F999F4800}">
      <text>
        <t>[Threaded comment]
Your version of Excel allows you to read this threaded comment; however, any edits to it will get removed if the file is opened in a newer version of Excel. Learn more: https://go.microsoft.com/fwlink/?linkid=870924
Comment:
    Eq 6</t>
      </text>
    </comment>
    <comment ref="G136" authorId="57" shapeId="0" xr:uid="{D1039FAE-BDDF-48A6-B35A-BFE74889F3B5}">
      <text>
        <t>[Threaded comment]
Your version of Excel allows you to read this threaded comment; however, any edits to it will get removed if the file is opened in a newer version of Excel. Learn more: https://go.microsoft.com/fwlink/?linkid=870924
Comment:
    Table 4</t>
      </text>
    </comment>
    <comment ref="G139" authorId="58" shapeId="0" xr:uid="{BA4A5740-1C52-433D-B040-A4EBEB4A1D17}">
      <text>
        <t>[Threaded comment]
Your version of Excel allows you to read this threaded comment; however, any edits to it will get removed if the file is opened in a newer version of Excel. Learn more: https://go.microsoft.com/fwlink/?linkid=870924
Comment:
    Eq 12</t>
      </text>
    </comment>
    <comment ref="G141" authorId="59" shapeId="0" xr:uid="{7CC37CE0-8AA5-483E-AA93-AF09157F5610}">
      <text>
        <t>[Threaded comment]
Your version of Excel allows you to read this threaded comment; however, any edits to it will get removed if the file is opened in a newer version of Excel. Learn more: https://go.microsoft.com/fwlink/?linkid=870924
Comment:
    CDM Tool 05</t>
      </text>
    </comment>
    <comment ref="G142" authorId="60" shapeId="0" xr:uid="{0B9866DF-8D28-4D92-8C28-9EC3AD3F767F}">
      <text>
        <t>[Threaded comment]
Your version of Excel allows you to read this threaded comment; however, any edits to it will get removed if the file is opened in a newer version of Excel. Learn more: https://go.microsoft.com/fwlink/?linkid=870924
Comment:
    CDM Tool 03</t>
      </text>
    </comment>
    <comment ref="G145" authorId="61" shapeId="0" xr:uid="{5A8F4FF1-F612-4940-9016-D07E23FD7A96}">
      <text>
        <t>[Threaded comment]
Your version of Excel allows you to read this threaded comment; however, any edits to it will get removed if the file is opened in a newer version of Excel. Learn more: https://go.microsoft.com/fwlink/?linkid=870924
Comment:
    Eq 7</t>
      </text>
    </comment>
    <comment ref="G146" authorId="62" shapeId="0" xr:uid="{A4D3F0BF-264A-4CC4-805B-EF0C059B7F64}">
      <text>
        <t>[Threaded comment]
Your version of Excel allows you to read this threaded comment; however, any edits to it will get removed if the file is opened in a newer version of Excel. Learn more: https://go.microsoft.com/fwlink/?linkid=870924
Comment:
    Eq 8</t>
      </text>
    </comment>
    <comment ref="G147" authorId="63" shapeId="0" xr:uid="{805C863B-ED4C-4D9D-A2FB-93BA9C7586B9}">
      <text>
        <t>[Threaded comment]
Your version of Excel allows you to read this threaded comment; however, any edits to it will get removed if the file is opened in a newer version of Excel. Learn more: https://go.microsoft.com/fwlink/?linkid=870924
Comment:
    Eq 9</t>
      </text>
    </comment>
    <comment ref="G148" authorId="64" shapeId="0" xr:uid="{8CE4D4DA-DEAD-49C4-99E8-A0DC7D926250}">
      <text>
        <t>[Threaded comment]
Your version of Excel allows you to read this threaded comment; however, any edits to it will get removed if the file is opened in a newer version of Excel. Learn more: https://go.microsoft.com/fwlink/?linkid=870924
Comment:
    Eq 10</t>
      </text>
    </comment>
    <comment ref="G149" authorId="65" shapeId="0" xr:uid="{8F50251E-3E89-4830-99FE-555EF6B89F43}">
      <text>
        <t>[Threaded comment]
Your version of Excel allows you to read this threaded comment; however, any edits to it will get removed if the file is opened in a newer version of Excel. Learn more: https://go.microsoft.com/fwlink/?linkid=870924
Comment:
    CDM Tool 05</t>
      </text>
    </comment>
    <comment ref="G150" authorId="66" shapeId="0" xr:uid="{F9C10709-604D-4048-9B3C-4B8FCB42C67F}">
      <text>
        <t>[Threaded comment]
Your version of Excel allows you to read this threaded comment; however, any edits to it will get removed if the file is opened in a newer version of Excel. Learn more: https://go.microsoft.com/fwlink/?linkid=870924
Comment:
    CDM Tool 03</t>
      </text>
    </comment>
    <comment ref="G151" authorId="67" shapeId="0" xr:uid="{9489E721-4D4B-44A0-809A-FCFCAFBE61E9}">
      <text>
        <t>[Threaded comment]
Your version of Excel allows you to read this threaded comment; however, any edits to it will get removed if the file is opened in a newer version of Excel. Learn more: https://go.microsoft.com/fwlink/?linkid=870924
Comment:
    CDM Tool 05</t>
      </text>
    </comment>
    <comment ref="G152" authorId="68" shapeId="0" xr:uid="{A6D3520F-64E2-4E28-9C21-839F78FCDBC3}">
      <text>
        <t>[Threaded comment]
Your version of Excel allows you to read this threaded comment; however, any edits to it will get removed if the file is opened in a newer version of Excel. Learn more: https://go.microsoft.com/fwlink/?linkid=870924
Comment:
    CDM Tool 03</t>
      </text>
    </comment>
    <comment ref="G155" authorId="69" shapeId="0" xr:uid="{46B63904-DA8E-4D73-8B80-F65B1C62204E}">
      <text>
        <t>[Threaded comment]
Your version of Excel allows you to read this threaded comment; however, any edits to it will get removed if the file is opened in a newer version of Excel. Learn more: https://go.microsoft.com/fwlink/?linkid=870924
Comment:
    Eq 6</t>
      </text>
    </comment>
    <comment ref="G158" authorId="70" shapeId="0" xr:uid="{A870B07E-1877-4A4F-BDBF-CDE24FD53606}">
      <text>
        <t>[Threaded comment]
Your version of Excel allows you to read this threaded comment; however, any edits to it will get removed if the file is opened in a newer version of Excel. Learn more: https://go.microsoft.com/fwlink/?linkid=870924
Comment:
    Table 4</t>
      </text>
    </comment>
    <comment ref="G161" authorId="71" shapeId="0" xr:uid="{B1779023-12F4-4C74-9FC8-325FDEDC88AA}">
      <text>
        <t>[Threaded comment]
Your version of Excel allows you to read this threaded comment; however, any edits to it will get removed if the file is opened in a newer version of Excel. Learn more: https://go.microsoft.com/fwlink/?linkid=870924
Comment:
    Eq 12</t>
      </text>
    </comment>
    <comment ref="G163" authorId="72" shapeId="0" xr:uid="{205756FA-E2F1-4FD0-9889-70493291DA2D}">
      <text>
        <t>[Threaded comment]
Your version of Excel allows you to read this threaded comment; however, any edits to it will get removed if the file is opened in a newer version of Excel. Learn more: https://go.microsoft.com/fwlink/?linkid=870924
Comment:
    CDM Tool 05</t>
      </text>
    </comment>
    <comment ref="G164" authorId="73" shapeId="0" xr:uid="{27EFDE52-A78D-4F02-8A3B-9E1C4AA0E311}">
      <text>
        <t>[Threaded comment]
Your version of Excel allows you to read this threaded comment; however, any edits to it will get removed if the file is opened in a newer version of Excel. Learn more: https://go.microsoft.com/fwlink/?linkid=870924
Comment:
    CDM Tool 03</t>
      </text>
    </comment>
    <comment ref="G166" authorId="74" shapeId="0" xr:uid="{B7B90F45-52C9-4577-AD2B-2D3FB16606E6}">
      <text>
        <t>[Threaded comment]
Your version of Excel allows you to read this threaded comment; however, any edits to it will get removed if the file is opened in a newer version of Excel. Learn more: https://go.microsoft.com/fwlink/?linkid=870924
Comment:
    Eq 6</t>
      </text>
    </comment>
    <comment ref="G169" authorId="75" shapeId="0" xr:uid="{42EE503D-9E04-4FF9-9E42-416D2AE8C0E7}">
      <text>
        <t>[Threaded comment]
Your version of Excel allows you to read this threaded comment; however, any edits to it will get removed if the file is opened in a newer version of Excel. Learn more: https://go.microsoft.com/fwlink/?linkid=870924
Comment:
    Table 4</t>
      </text>
    </comment>
    <comment ref="G172" authorId="76" shapeId="0" xr:uid="{549C0BB5-8B9B-4B07-B1DD-E0A33E65C422}">
      <text>
        <t>[Threaded comment]
Your version of Excel allows you to read this threaded comment; however, any edits to it will get removed if the file is opened in a newer version of Excel. Learn more: https://go.microsoft.com/fwlink/?linkid=870924
Comment:
    Eq 12</t>
      </text>
    </comment>
    <comment ref="G174" authorId="77" shapeId="0" xr:uid="{CFF28699-345E-45CC-9BD5-BADF058AA047}">
      <text>
        <t>[Threaded comment]
Your version of Excel allows you to read this threaded comment; however, any edits to it will get removed if the file is opened in a newer version of Excel. Learn more: https://go.microsoft.com/fwlink/?linkid=870924
Comment:
    CDM Tool 05</t>
      </text>
    </comment>
    <comment ref="G175" authorId="78" shapeId="0" xr:uid="{720DB247-8332-44E3-8DF8-B40315C67762}">
      <text>
        <t>[Threaded comment]
Your version of Excel allows you to read this threaded comment; however, any edits to it will get removed if the file is opened in a newer version of Excel. Learn more: https://go.microsoft.com/fwlink/?linkid=870924
Comment:
    CDM Tool 03</t>
      </text>
    </comment>
    <comment ref="G177" authorId="79" shapeId="0" xr:uid="{E8416F62-692A-43AB-97F9-3F0E69ED863B}">
      <text>
        <t>[Threaded comment]
Your version of Excel allows you to read this threaded comment; however, any edits to it will get removed if the file is opened in a newer version of Excel. Learn more: https://go.microsoft.com/fwlink/?linkid=870924
Comment:
    Eq 13</t>
      </text>
    </comment>
    <comment ref="G181" authorId="80" shapeId="0" xr:uid="{07AFCD53-F8D7-45B3-A3EF-C35CDAB0A7C4}">
      <text>
        <t>[Threaded comment]
Your version of Excel allows you to read this threaded comment; however, any edits to it will get removed if the file is opened in a newer version of Excel. Learn more: https://go.microsoft.com/fwlink/?linkid=870924
Comment:
    CDM Tool 12 &amp; 16</t>
      </text>
    </comment>
    <comment ref="G183" authorId="81" shapeId="0" xr:uid="{8204BEDC-02ED-44AE-AECF-EAB52349930C}">
      <text>
        <t>[Threaded comment]
Your version of Excel allows you to read this threaded comment; however, any edits to it will get removed if the file is opened in a newer version of Excel. Learn more: https://go.microsoft.com/fwlink/?linkid=870924
Comment:
    CDM Tool 12 &amp; 16</t>
      </text>
    </comment>
    <comment ref="G185" authorId="82" shapeId="0" xr:uid="{0BBC4C9B-79BE-44CC-BF41-9FB8170E5DAE}">
      <text>
        <t>[Threaded comment]
Your version of Excel allows you to read this threaded comment; however, any edits to it will get removed if the file is opened in a newer version of Excel. Learn more: https://go.microsoft.com/fwlink/?linkid=870924
Comment:
    Eq 14</t>
      </text>
    </comment>
    <comment ref="G186" authorId="83" shapeId="0" xr:uid="{AA75DAEA-597E-4138-992A-CB0F592C21DA}">
      <text>
        <t>[Threaded comment]
Your version of Excel allows you to read this threaded comment; however, any edits to it will get removed if the file is opened in a newer version of Excel. Learn more: https://go.microsoft.com/fwlink/?linkid=870924
Comment:
    Eq 1</t>
      </text>
    </comment>
    <comment ref="G187" authorId="84" shapeId="0" xr:uid="{2C974445-6D1F-4097-9C5B-AA90D7C10B08}">
      <text>
        <t>[Threaded comment]
Your version of Excel allows you to read this threaded comment; however, any edits to it will get removed if the file is opened in a newer version of Excel. Learn more: https://go.microsoft.com/fwlink/?linkid=870924
Comment:
    Eq 15</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tc={3EA5257E-F41C-4D68-86FB-8AF9138653E1}</author>
  </authors>
  <commentList>
    <comment ref="A3" authorId="0" shapeId="0" xr:uid="{3EA5257E-F41C-4D68-86FB-8AF9138653E1}">
      <text>
        <t xml:space="preserve">[Threaded comment]
Your version of Excel allows you to read this threaded comment; however, any edits to it will get removed if the file is opened in a newer version of Excel. Learn more: https://go.microsoft.com/fwlink/?linkid=870924
Comment:
    Add a line for each transportation activity (f). </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tc={61F72FDE-8179-49DE-AAE2-01F2ABA15EBF}</author>
    <author>tc={00FE318F-9B25-4C4A-B87E-1C5CEC126B9B}</author>
    <author>tc={1F544FC0-1951-449F-8524-0BA61E944180}</author>
    <author>tc={B7EC37CC-C021-474A-8273-0A3E75710F0B}</author>
    <author>tc={A7C16D61-386E-476C-B1CA-05D4A10866EE}</author>
    <author>tc={F733C416-5E31-428A-8764-8A41F14565E1}</author>
    <author>tc={D73E281A-0C6D-46AD-8E6B-86B3F9A10539}</author>
    <author>tc={AE3BA71D-0D02-4B40-B999-05015AAFCF7C}</author>
    <author>tc={9AB30AA1-9091-4540-B759-6598FE562B95}</author>
  </authors>
  <commentList>
    <comment ref="F9" authorId="0" shapeId="0" xr:uid="{61F72FDE-8179-49DE-AAE2-01F2ABA15EBF}">
      <text>
        <t>[Threaded comment]
Your version of Excel allows you to read this threaded comment; however, any edits to it will get removed if the file is opened in a newer version of Excel. Learn more: https://go.microsoft.com/fwlink/?linkid=870924
Comment:
    Eq 2</t>
      </text>
    </comment>
    <comment ref="F16" authorId="1" shapeId="0" xr:uid="{00FE318F-9B25-4C4A-B87E-1C5CEC126B9B}">
      <text>
        <t>[Threaded comment]
Your version of Excel allows you to read this threaded comment; however, any edits to it will get removed if the file is opened in a newer version of Excel. Learn more: https://go.microsoft.com/fwlink/?linkid=870924
Comment:
    Tool 05</t>
      </text>
    </comment>
    <comment ref="F20" authorId="2" shapeId="0" xr:uid="{1F544FC0-1951-449F-8524-0BA61E944180}">
      <text>
        <t>[Threaded comment]
Your version of Excel allows you to read this threaded comment; however, any edits to it will get removed if the file is opened in a newer version of Excel. Learn more: https://go.microsoft.com/fwlink/?linkid=870924
Comment:
    Tool 03</t>
      </text>
    </comment>
    <comment ref="F22" authorId="3" shapeId="0" xr:uid="{B7EC37CC-C021-474A-8273-0A3E75710F0B}">
      <text>
        <t>[Threaded comment]
Your version of Excel allows you to read this threaded comment; however, any edits to it will get removed if the file is opened in a newer version of Excel. Learn more: https://go.microsoft.com/fwlink/?linkid=870924
Comment:
    Eq 4</t>
      </text>
    </comment>
    <comment ref="F27" authorId="4" shapeId="0" xr:uid="{A7C16D61-386E-476C-B1CA-05D4A10866EE}">
      <text>
        <t>[Threaded comment]
Your version of Excel allows you to read this threaded comment; however, any edits to it will get removed if the file is opened in a newer version of Excel. Learn more: https://go.microsoft.com/fwlink/?linkid=870924
Comment:
    Eq 5</t>
      </text>
    </comment>
    <comment ref="F28" authorId="5" shapeId="0" xr:uid="{F733C416-5E31-428A-8764-8A41F14565E1}">
      <text>
        <t>[Threaded comment]
Your version of Excel allows you to read this threaded comment; however, any edits to it will get removed if the file is opened in a newer version of Excel. Learn more: https://go.microsoft.com/fwlink/?linkid=870924
Comment:
    Eq 6 for option 1 and default for option 2</t>
      </text>
    </comment>
    <comment ref="F43" authorId="6" shapeId="0" xr:uid="{D73E281A-0C6D-46AD-8E6B-86B3F9A10539}">
      <text>
        <t>[Threaded comment]
Your version of Excel allows you to read this threaded comment; however, any edits to it will get removed if the file is opened in a newer version of Excel. Learn more: https://go.microsoft.com/fwlink/?linkid=870924
Comment:
    Eq 7</t>
      </text>
    </comment>
    <comment ref="F44" authorId="7" shapeId="0" xr:uid="{AE3BA71D-0D02-4B40-B999-05015AAFCF7C}">
      <text>
        <t>[Threaded comment]
Your version of Excel allows you to read this threaded comment; however, any edits to it will get removed if the file is opened in a newer version of Excel. Learn more: https://go.microsoft.com/fwlink/?linkid=870924
Comment:
    Eq 8 for option 1 and default for option 2</t>
      </text>
    </comment>
    <comment ref="F49" authorId="8" shapeId="0" xr:uid="{9AB30AA1-9091-4540-B759-6598FE562B95}">
      <text>
        <t xml:space="preserve">[Threaded comment]
Your version of Excel allows you to read this threaded comment; however, any edits to it will get removed if the file is opened in a newer version of Excel. Learn more: https://go.microsoft.com/fwlink/?linkid=870924
Comment:
    Eq 9 with if/then for run-off wastewater that is collected and re-circulated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tc={6986BA3A-F39B-4B94-9F6D-6DE222FB4B82}</author>
    <author>tc={EACB8C42-F381-4B0E-B0C1-627618020860}</author>
    <author>tc={F9BB180F-F5CC-4AF5-82FA-006FB3EE2FB6}</author>
    <author>tc={7F8EDE38-7E21-49BE-B76A-66315D4CD5BE}</author>
    <author>tc={E1BCBF9C-C5FD-4312-B54B-87346CDF356B}</author>
    <author>tc={06C86D7C-34D5-4C86-A495-1016ECFF11AF}</author>
    <author>tc={8166F539-D98C-42C1-B5AC-6D67B30DFA01}</author>
    <author>tc={43975D2A-F92C-4497-939B-06AFF93FBBA0}</author>
    <author>tc={00D631BF-5AC2-4F1A-AFE5-28D2BA073F78}</author>
    <author>tc={B175DE2A-F7B8-4FCB-B06D-D04C5030AA3F}</author>
    <author>tc={16B9E8D0-8CD2-4DB6-BC36-3DC87C244568}</author>
    <author>tc={09F8C2CB-1581-4C74-A506-46974352129A}</author>
    <author>tc={7CAAC99B-2D78-4627-B9A1-DD1978C52416}</author>
    <author>tc={A4BDDE00-C3A3-4E66-957D-8A1045950104}</author>
    <author>tc={6958E159-0BDD-4DAB-8FF7-878DDE32D922}</author>
    <author>tc={2E97A72A-A3EA-45F7-A34D-04AF988F7389}</author>
    <author>tc={80B492F1-3365-41DA-B791-DBDE8222C6DF}</author>
    <author>tc={8444F3BE-7C81-4CF2-889F-316DEAD3A589}</author>
    <author>tc={AFC395F2-4BF6-4D22-B8C6-E998BB84396D}</author>
    <author>tc={977BBE33-E5A3-4D10-B91A-626F13A548B8}</author>
    <author>tc={EB229936-D6F8-485A-9B14-6AB0E63CA21A}</author>
    <author>tc={CB4D4C8D-F824-4659-B3AA-5F3D31EC82C7}</author>
    <author>tc={96F4EC2E-9BBA-41DD-ACF7-27AFC36693F5}</author>
    <author>tc={2C16BF57-2442-4CD8-AC18-FC99F5C4824D}</author>
    <author>tc={66AE27D6-D71F-4707-A8CC-D5C2D1C43FC7}</author>
    <author>tc={008791B5-1751-401F-82CB-83838797AD2C}</author>
    <author>tc={594B92EB-F22F-4A68-8FCD-FB6ABA0FA016}</author>
  </authors>
  <commentList>
    <comment ref="E13" authorId="0" shapeId="0" xr:uid="{6986BA3A-F39B-4B94-9F6D-6DE222FB4B82}">
      <text>
        <t>[Threaded comment]
Your version of Excel allows you to read this threaded comment; however, any edits to it will get removed if the file is opened in a newer version of Excel. Learn more: https://go.microsoft.com/fwlink/?linkid=870924
Comment:
    Eq 1</t>
      </text>
    </comment>
    <comment ref="E14" authorId="1" shapeId="0" xr:uid="{EACB8C42-F381-4B0E-B0C1-627618020860}">
      <text>
        <t>[Threaded comment]
Your version of Excel allows you to read this threaded comment; however, any edits to it will get removed if the file is opened in a newer version of Excel. Learn more: https://go.microsoft.com/fwlink/?linkid=870924
Comment:
    Eq 3</t>
      </text>
    </comment>
    <comment ref="E15" authorId="2" shapeId="0" xr:uid="{F9BB180F-F5CC-4AF5-82FA-006FB3EE2FB6}">
      <text>
        <t>[Threaded comment]
Your version of Excel allows you to read this threaded comment; however, any edits to it will get removed if the file is opened in a newer version of Excel. Learn more: https://go.microsoft.com/fwlink/?linkid=870924
Comment:
    Tool 05</t>
      </text>
    </comment>
    <comment ref="F15" authorId="3" shapeId="0" xr:uid="{7F8EDE38-7E21-49BE-B76A-66315D4CD5BE}">
      <text>
        <t>[Threaded comment]
Your version of Excel allows you to read this threaded comment; however, any edits to it will get removed if the file is opened in a newer version of Excel. Learn more: https://go.microsoft.com/fwlink/?linkid=870924
Comment:
    Comes from tool 03</t>
      </text>
    </comment>
    <comment ref="E16" authorId="4" shapeId="0" xr:uid="{E1BCBF9C-C5FD-4312-B54B-87346CDF356B}">
      <text>
        <t>[Threaded comment]
Your version of Excel allows you to read this threaded comment; however, any edits to it will get removed if the file is opened in a newer version of Excel. Learn more: https://go.microsoft.com/fwlink/?linkid=870924
Comment:
    Eq 4</t>
      </text>
    </comment>
    <comment ref="E19" authorId="5" shapeId="0" xr:uid="{06C86D7C-34D5-4C86-A495-1016ECFF11AF}">
      <text>
        <t xml:space="preserve">[Threaded comment]
Your version of Excel allows you to read this threaded comment; however, any edits to it will get removed if the file is opened in a newer version of Excel. Learn more: https://go.microsoft.com/fwlink/?linkid=870924
Comment:
    Eq 4
Reply:
    Tool 8 Tool to determine the mass flow of a greenhouse gas in a gaseous stream </t>
      </text>
    </comment>
    <comment ref="E24" authorId="6" shapeId="0" xr:uid="{8166F539-D98C-42C1-B5AC-6D67B30DFA01}">
      <text>
        <t>[Threaded comment]
Your version of Excel allows you to read this threaded comment; however, any edits to it will get removed if the file is opened in a newer version of Excel. Learn more: https://go.microsoft.com/fwlink/?linkid=870924
Comment:
    Eq 3</t>
      </text>
    </comment>
    <comment ref="E28" authorId="7" shapeId="0" xr:uid="{43975D2A-F92C-4497-939B-06AFF93FBBA0}">
      <text>
        <t>[Threaded comment]
Your version of Excel allows you to read this threaded comment; however, any edits to it will get removed if the file is opened in a newer version of Excel. Learn more: https://go.microsoft.com/fwlink/?linkid=870924
Comment:
    Eq 9</t>
      </text>
    </comment>
    <comment ref="E29" authorId="8" shapeId="0" xr:uid="{00D631BF-5AC2-4F1A-AFE5-28D2BA073F78}">
      <text>
        <t>[Threaded comment]
Your version of Excel allows you to read this threaded comment; however, any edits to it will get removed if the file is opened in a newer version of Excel. Learn more: https://go.microsoft.com/fwlink/?linkid=870924
Comment:
    Eq 15</t>
      </text>
    </comment>
    <comment ref="E31" authorId="9" shapeId="0" xr:uid="{B175DE2A-F7B8-4FCB-B06D-D04C5030AA3F}">
      <text>
        <t>[Threaded comment]
Your version of Excel allows you to read this threaded comment; however, any edits to it will get removed if the file is opened in a newer version of Excel. Learn more: https://go.microsoft.com/fwlink/?linkid=870924
Comment:
    Eq 10</t>
      </text>
    </comment>
    <comment ref="F34" authorId="10" shapeId="0" xr:uid="{16B9E8D0-8CD2-4DB6-BC36-3DC87C244568}">
      <text>
        <t>[Threaded comment]
Your version of Excel allows you to read this threaded comment; however, any edits to it will get removed if the file is opened in a newer version of Excel. Learn more: https://go.microsoft.com/fwlink/?linkid=870924
Comment:
    Methane</t>
      </text>
    </comment>
    <comment ref="E37" authorId="11" shapeId="0" xr:uid="{09F8C2CB-1581-4C74-A506-46974352129A}">
      <text>
        <t>[Threaded comment]
Your version of Excel allows you to read this threaded comment; however, any edits to it will get removed if the file is opened in a newer version of Excel. Learn more: https://go.microsoft.com/fwlink/?linkid=870924
Comment:
    Eq 16</t>
      </text>
    </comment>
    <comment ref="E38" authorId="12" shapeId="0" xr:uid="{7CAAC99B-2D78-4627-B9A1-DD1978C52416}">
      <text>
        <t>[Threaded comment]
Your version of Excel allows you to read this threaded comment; however, any edits to it will get removed if the file is opened in a newer version of Excel. Learn more: https://go.microsoft.com/fwlink/?linkid=870924
Comment:
    Eq 17</t>
      </text>
    </comment>
    <comment ref="E42" authorId="13" shapeId="0" xr:uid="{A4BDDE00-C3A3-4E66-957D-8A1045950104}">
      <text>
        <t>[Threaded comment]
Your version of Excel allows you to read this threaded comment; however, any edits to it will get removed if the file is opened in a newer version of Excel. Learn more: https://go.microsoft.com/fwlink/?linkid=870924
Comment:
    Eq 2</t>
      </text>
    </comment>
    <comment ref="C46" authorId="14" shapeId="0" xr:uid="{6958E159-0BDD-4DAB-8FF7-878DDE32D922}">
      <text>
        <t>[Threaded comment]
Your version of Excel allows you to read this threaded comment; however, any edits to it will get removed if the file is opened in a newer version of Excel. Learn more: https://go.microsoft.com/fwlink/?linkid=870924
Comment:
    This data comes from tool 05</t>
      </text>
    </comment>
    <comment ref="E47" authorId="15" shapeId="0" xr:uid="{2E97A72A-A3EA-45F7-A34D-04AF988F7389}">
      <text>
        <t>[Threaded comment]
Your version of Excel allows you to read this threaded comment; however, any edits to it will get removed if the file is opened in a newer version of Excel. Learn more: https://go.microsoft.com/fwlink/?linkid=870924
Comment:
    Eq 1
Reply:
    Tool 05</t>
      </text>
    </comment>
    <comment ref="E49" authorId="16" shapeId="0" xr:uid="{80B492F1-3365-41DA-B791-DBDE8222C6DF}">
      <text>
        <t>[Threaded comment]
Your version of Excel allows you to read this threaded comment; however, any edits to it will get removed if the file is opened in a newer version of Excel. Learn more: https://go.microsoft.com/fwlink/?linkid=870924
Comment:
    Eq 3</t>
      </text>
    </comment>
    <comment ref="C54" authorId="17" shapeId="0" xr:uid="{8444F3BE-7C81-4CF2-889F-316DEAD3A589}">
      <text>
        <t>[Threaded comment]
Your version of Excel allows you to read this threaded comment; however, any edits to it will get removed if the file is opened in a newer version of Excel. Learn more: https://go.microsoft.com/fwlink/?linkid=870924
Comment:
    This data comes from tool 05</t>
      </text>
    </comment>
    <comment ref="E55" authorId="18" shapeId="0" xr:uid="{AFC395F2-4BF6-4D22-B8C6-E998BB84396D}">
      <text>
        <t>[Threaded comment]
Your version of Excel allows you to read this threaded comment; however, any edits to it will get removed if the file is opened in a newer version of Excel. Learn more: https://go.microsoft.com/fwlink/?linkid=870924
Comment:
    Eq 1
Reply:
    Tool 03</t>
      </text>
    </comment>
    <comment ref="E57" authorId="19" shapeId="0" xr:uid="{977BBE33-E5A3-4D10-B91A-626F13A548B8}">
      <text>
        <t>[Threaded comment]
Your version of Excel allows you to read this threaded comment; however, any edits to it will get removed if the file is opened in a newer version of Excel. Learn more: https://go.microsoft.com/fwlink/?linkid=870924
Comment:
    Eq 4</t>
      </text>
    </comment>
    <comment ref="C62" authorId="20" shapeId="0" xr:uid="{EB229936-D6F8-485A-9B14-6AB0E63CA21A}">
      <text>
        <t>[Threaded comment]
Your version of Excel allows you to read this threaded comment; however, any edits to it will get removed if the file is opened in a newer version of Excel. Learn more: https://go.microsoft.com/fwlink/?linkid=870924
Comment:
    Data comes from Tool 06</t>
      </text>
    </comment>
    <comment ref="E63" authorId="21" shapeId="0" xr:uid="{CB4D4C8D-F824-4659-B3AA-5F3D31EC82C7}">
      <text>
        <t>[Threaded comment]
Your version of Excel allows you to read this threaded comment; however, any edits to it will get removed if the file is opened in a newer version of Excel. Learn more: https://go.microsoft.com/fwlink/?linkid=870924
Comment:
    Tool 06
Reply:
    Eq 15</t>
      </text>
    </comment>
    <comment ref="E65" authorId="22" shapeId="0" xr:uid="{96F4EC2E-9BBA-41DD-ACF7-27AFC36693F5}">
      <text>
        <t>[Threaded comment]
Your version of Excel allows you to read this threaded comment; however, any edits to it will get removed if the file is opened in a newer version of Excel. Learn more: https://go.microsoft.com/fwlink/?linkid=870924
Comment:
    Eq 5</t>
      </text>
    </comment>
    <comment ref="E69" authorId="23" shapeId="0" xr:uid="{2C16BF57-2442-4CD8-AC18-FC99F5C4824D}">
      <text>
        <t>[Threaded comment]
Your version of Excel allows you to read this threaded comment; however, any edits to it will get removed if the file is opened in a newer version of Excel. Learn more: https://go.microsoft.com/fwlink/?linkid=870924
Comment:
    Eq 6</t>
      </text>
    </comment>
    <comment ref="E77" authorId="24" shapeId="0" xr:uid="{66AE27D6-D71F-4707-A8CC-D5C2D1C43FC7}">
      <text>
        <t>[Threaded comment]
Your version of Excel allows you to read this threaded comment; however, any edits to it will get removed if the file is opened in a newer version of Excel. Learn more: https://go.microsoft.com/fwlink/?linkid=870924
Comment:
    Eq 7</t>
      </text>
    </comment>
    <comment ref="E83" authorId="25" shapeId="0" xr:uid="{008791B5-1751-401F-82CB-83838797AD2C}">
      <text>
        <t>[Threaded comment]
Your version of Excel allows you to read this threaded comment; however, any edits to it will get removed if the file is opened in a newer version of Excel. Learn more: https://go.microsoft.com/fwlink/?linkid=870924
Comment:
    Eq 8</t>
      </text>
    </comment>
    <comment ref="E89" authorId="26" shapeId="0" xr:uid="{594B92EB-F22F-4A68-8FCD-FB6ABA0FA016}">
      <text>
        <t>[Threaded comment]
Your version of Excel allows you to read this threaded comment; however, any edits to it will get removed if the file is opened in a newer version of Excel. Learn more: https://go.microsoft.com/fwlink/?linkid=870924
Comment:
    Eq 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tc={6158664C-A563-48DB-9505-2594FF78C79F}</author>
    <author>tc={AECA252E-86F2-419E-8797-E19AFCC735A8}</author>
    <author>tc={868C95DA-97F1-4506-ABD9-CCEAE4DAB4E9}</author>
    <author>tc={D1BD127F-3EFF-4CD2-92EF-2FB325CFABC9}</author>
    <author>tc={46A12F78-DB8A-4537-A50F-81E177442742}</author>
    <author>tc={AFDCEE32-B11D-43C1-A194-7ADE23B6CA51}</author>
    <author>tc={D850AB9A-454D-496D-A4AA-7400F575DA93}</author>
    <author>tc={49D572C3-F77B-42B5-99CC-264D145C3833}</author>
    <author>tc={F6B3666A-45AF-4681-835A-0970BFF2B710}</author>
    <author>tc={8F12120D-0F57-4CD9-B6A4-C0DF6DD9917F}</author>
    <author>tc={98479179-8F8A-42C2-8629-58BB147673EF}</author>
    <author>tc={D839A956-ED11-4C0D-8981-B125E64941C1}</author>
    <author>tc={675DD399-3C55-4A69-B088-F0F427CD50C0}</author>
    <author>tc={E84C7792-0A27-42D5-9FB9-FD8C45D7B3B9}</author>
    <author>tc={EC7AD0B5-FC05-4623-8068-B31DB9F9EDE2}</author>
  </authors>
  <commentList>
    <comment ref="B38" authorId="0" shapeId="0" xr:uid="{6158664C-A563-48DB-9505-2594FF78C79F}">
      <text>
        <t>[Threaded comment]
Your version of Excel allows you to read this threaded comment; however, any edits to it will get removed if the file is opened in a newer version of Excel. Learn more: https://go.microsoft.com/fwlink/?linkid=870924
Comment:
    Equation 8</t>
      </text>
    </comment>
    <comment ref="B43" authorId="1" shapeId="0" xr:uid="{AECA252E-86F2-419E-8797-E19AFCC735A8}">
      <text>
        <t>[Threaded comment]
Your version of Excel allows you to read this threaded comment; however, any edits to it will get removed if the file is opened in a newer version of Excel. Learn more: https://go.microsoft.com/fwlink/?linkid=870924
Comment:
    Equation 7</t>
      </text>
    </comment>
    <comment ref="B48" authorId="2" shapeId="0" xr:uid="{868C95DA-97F1-4506-ABD9-CCEAE4DAB4E9}">
      <text>
        <t>[Threaded comment]
Your version of Excel allows you to read this threaded comment; however, any edits to it will get removed if the file is opened in a newer version of Excel. Learn more: https://go.microsoft.com/fwlink/?linkid=870924
Comment:
    Equation 6</t>
      </text>
    </comment>
    <comment ref="B54" authorId="3" shapeId="0" xr:uid="{D1BD127F-3EFF-4CD2-92EF-2FB325CFABC9}">
      <text>
        <t>[Threaded comment]
Your version of Excel allows you to read this threaded comment; however, any edits to it will get removed if the file is opened in a newer version of Excel. Learn more: https://go.microsoft.com/fwlink/?linkid=870924
Comment:
    Equation 5</t>
      </text>
    </comment>
    <comment ref="B56" authorId="4" shapeId="0" xr:uid="{46A12F78-DB8A-4537-A50F-81E177442742}">
      <text>
        <t>[Threaded comment]
Your version of Excel allows you to read this threaded comment; however, any edits to it will get removed if the file is opened in a newer version of Excel. Learn more: https://go.microsoft.com/fwlink/?linkid=870924
Comment:
    Equation 4</t>
      </text>
    </comment>
    <comment ref="B66" authorId="5" shapeId="0" xr:uid="{AFDCEE32-B11D-43C1-A194-7ADE23B6CA51}">
      <text>
        <t>[Threaded comment]
Your version of Excel allows you to read this threaded comment; however, any edits to it will get removed if the file is opened in a newer version of Excel. Learn more: https://go.microsoft.com/fwlink/?linkid=870924
Comment:
    Equation 3</t>
      </text>
    </comment>
    <comment ref="B70" authorId="6" shapeId="0" xr:uid="{D850AB9A-454D-496D-A4AA-7400F575DA93}">
      <text>
        <t>[Threaded comment]
Your version of Excel allows you to read this threaded comment; however, any edits to it will get removed if the file is opened in a newer version of Excel. Learn more: https://go.microsoft.com/fwlink/?linkid=870924
Comment:
    Equation 2</t>
      </text>
    </comment>
    <comment ref="B71" authorId="7" shapeId="0" xr:uid="{49D572C3-F77B-42B5-99CC-264D145C3833}">
      <text>
        <t>[Threaded comment]
Your version of Excel allows you to read this threaded comment; however, any edits to it will get removed if the file is opened in a newer version of Excel. Learn more: https://go.microsoft.com/fwlink/?linkid=870924
Comment:
    Equation 1</t>
      </text>
    </comment>
    <comment ref="B79" authorId="8" shapeId="0" xr:uid="{F6B3666A-45AF-4681-835A-0970BFF2B710}">
      <text>
        <t>[Threaded comment]
Your version of Excel allows you to read this threaded comment; however, any edits to it will get removed if the file is opened in a newer version of Excel. Learn more: https://go.microsoft.com/fwlink/?linkid=870924
Comment:
    Equation 13</t>
      </text>
    </comment>
    <comment ref="B85" authorId="9" shapeId="0" xr:uid="{8F12120D-0F57-4CD9-B6A4-C0DF6DD9917F}">
      <text>
        <t>[Threaded comment]
Your version of Excel allows you to read this threaded comment; however, any edits to it will get removed if the file is opened in a newer version of Excel. Learn more: https://go.microsoft.com/fwlink/?linkid=870924
Comment:
    Equation 11</t>
      </text>
    </comment>
    <comment ref="B91" authorId="10" shapeId="0" xr:uid="{98479179-8F8A-42C2-8629-58BB147673EF}">
      <text>
        <t>[Threaded comment]
Your version of Excel allows you to read this threaded comment; however, any edits to it will get removed if the file is opened in a newer version of Excel. Learn more: https://go.microsoft.com/fwlink/?linkid=870924
Comment:
    Equation 9</t>
      </text>
    </comment>
    <comment ref="B95" authorId="11" shapeId="0" xr:uid="{D839A956-ED11-4C0D-8981-B125E64941C1}">
      <text>
        <t>[Threaded comment]
Your version of Excel allows you to read this threaded comment; however, any edits to it will get removed if the file is opened in a newer version of Excel. Learn more: https://go.microsoft.com/fwlink/?linkid=870924
Comment:
    Equation 14</t>
      </text>
    </comment>
    <comment ref="B101" authorId="12" shapeId="0" xr:uid="{675DD399-3C55-4A69-B088-F0F427CD50C0}">
      <text>
        <t>[Threaded comment]
Your version of Excel allows you to read this threaded comment; however, any edits to it will get removed if the file is opened in a newer version of Excel. Learn more: https://go.microsoft.com/fwlink/?linkid=870924
Comment:
    Equation 12</t>
      </text>
    </comment>
    <comment ref="B107" authorId="13" shapeId="0" xr:uid="{E84C7792-0A27-42D5-9FB9-FD8C45D7B3B9}">
      <text>
        <t>[Threaded comment]
Your version of Excel allows you to read this threaded comment; however, any edits to it will get removed if the file is opened in a newer version of Excel. Learn more: https://go.microsoft.com/fwlink/?linkid=870924
Comment:
    Equation 10</t>
      </text>
    </comment>
    <comment ref="B116" authorId="14" shapeId="0" xr:uid="{EC7AD0B5-FC05-4623-8068-B31DB9F9EDE2}">
      <text>
        <t>[Threaded comment]
Your version of Excel allows you to read this threaded comment; however, any edits to it will get removed if the file is opened in a newer version of Excel. Learn more: https://go.microsoft.com/fwlink/?linkid=870924
Comment:
    Equation 15</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tc={881D143F-6AEF-44F4-8486-1B8D6131066F}</author>
    <author>tc={211B9BF0-B23B-44D1-B015-C5534EA88D1A}</author>
    <author>tc={15E6913E-293E-431E-B19C-B6507CB5D184}</author>
  </authors>
  <commentList>
    <comment ref="A1" authorId="0" shapeId="0" xr:uid="{881D143F-6AEF-44F4-8486-1B8D6131066F}">
      <text>
        <t xml:space="preserve">[Threaded comment]
Your version of Excel allows you to read this threaded comment; however, any edits to it will get removed if the file is opened in a newer version of Excel. Learn more: https://go.microsoft.com/fwlink/?linkid=870924
Comment:
    Add one of each of the parameters and an annual total for each year added. </t>
      </text>
    </comment>
    <comment ref="A8" authorId="1" shapeId="0" xr:uid="{211B9BF0-B23B-44D1-B015-C5534EA88D1A}">
      <text>
        <t xml:space="preserve">[Threaded comment]
Your version of Excel allows you to read this threaded comment; however, any edits to it will get removed if the file is opened in a newer version of Excel. Learn more: https://go.microsoft.com/fwlink/?linkid=870924
Comment:
    Add one of each of the parameters and an annual total for each year added. </t>
      </text>
    </comment>
    <comment ref="A13" authorId="2" shapeId="0" xr:uid="{15E6913E-293E-431E-B19C-B6507CB5D184}">
      <text>
        <t>[Threaded comment]
Your version of Excel allows you to read this threaded comment; however, any edits to it will get removed if the file is opened in a newer version of Excel. Learn more: https://go.microsoft.com/fwlink/?linkid=870924
Comment:
    Unless allowed by the methodology, only positive leakage, i.e. increased emissions outside the project boundary, can be accounted under this tool. If the result of the leakage calculation is negative, assume a value equals to zero.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tc={94D961B3-EE0E-4274-8906-2E08765334F8}</author>
  </authors>
  <commentList>
    <comment ref="F10" authorId="0" shapeId="0" xr:uid="{94D961B3-EE0E-4274-8906-2E08765334F8}">
      <text>
        <t>[Threaded comment]
Your version of Excel allows you to read this threaded comment; however, any edits to it will get removed if the file is opened in a newer version of Excel. Learn more: https://go.microsoft.com/fwlink/?linkid=870924
Comment:
    Eq 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tc={BD97A938-69B0-43FB-B37C-116B6358673E}</author>
    <author>tc={DE87AF62-ABB3-4D55-80AC-28BBFAD04D80}</author>
    <author>tc={3F47A9DD-38A3-4F54-94E7-93AC9D79DE5E}</author>
    <author>tc={3A5D2AEB-D132-4414-B97A-D9C64B35C7DB}</author>
    <author>tc={EFE3660F-4177-4502-9D01-4DCFDDED3A35}</author>
    <author>tc={6C8E9128-F92D-49DD-A0AB-757867FC7382}</author>
    <author>tc={36243A52-931E-4F7C-B7CB-68A599032B91}</author>
    <author>tc={70BA97E9-CBB1-4865-9BF2-4B0E84346052}</author>
  </authors>
  <commentList>
    <comment ref="B34" authorId="0" shapeId="0" xr:uid="{BD97A938-69B0-43FB-B37C-116B6358673E}">
      <text>
        <t>[Threaded comment]
Your version of Excel allows you to read this threaded comment; however, any edits to it will get removed if the file is opened in a newer version of Excel. Learn more: https://go.microsoft.com/fwlink/?linkid=870924
Comment:
    Equation 3</t>
      </text>
    </comment>
    <comment ref="B35" authorId="1" shapeId="0" xr:uid="{DE87AF62-ABB3-4D55-80AC-28BBFAD04D80}">
      <text>
        <t>[Threaded comment]
Your version of Excel allows you to read this threaded comment; however, any edits to it will get removed if the file is opened in a newer version of Excel. Learn more: https://go.microsoft.com/fwlink/?linkid=870924
Comment:
    Equation 4</t>
      </text>
    </comment>
    <comment ref="B44" authorId="2" shapeId="0" xr:uid="{3F47A9DD-38A3-4F54-94E7-93AC9D79DE5E}">
      <text>
        <t>[Threaded comment]
Your version of Excel allows you to read this threaded comment; however, any edits to it will get removed if the file is opened in a newer version of Excel. Learn more: https://go.microsoft.com/fwlink/?linkid=870924
Comment:
    Equation 7</t>
      </text>
    </comment>
    <comment ref="B45" authorId="3" shapeId="0" xr:uid="{3A5D2AEB-D132-4414-B97A-D9C64B35C7DB}">
      <text>
        <t>[Threaded comment]
Your version of Excel allows you to read this threaded comment; however, any edits to it will get removed if the file is opened in a newer version of Excel. Learn more: https://go.microsoft.com/fwlink/?linkid=870924
Comment:
    Equation 5</t>
      </text>
    </comment>
    <comment ref="B54" authorId="4" shapeId="0" xr:uid="{EFE3660F-4177-4502-9D01-4DCFDDED3A35}">
      <text>
        <t>[Threaded comment]
Your version of Excel allows you to read this threaded comment; however, any edits to it will get removed if the file is opened in a newer version of Excel. Learn more: https://go.microsoft.com/fwlink/?linkid=870924
Comment:
    Equation 9</t>
      </text>
    </comment>
    <comment ref="B59" authorId="5" shapeId="0" xr:uid="{6C8E9128-F92D-49DD-A0AB-757867FC7382}">
      <text>
        <t>[Threaded comment]
Your version of Excel allows you to read this threaded comment; however, any edits to it will get removed if the file is opened in a newer version of Excel. Learn more: https://go.microsoft.com/fwlink/?linkid=870924
Comment:
    Equation 11</t>
      </text>
    </comment>
    <comment ref="B66" authorId="6" shapeId="0" xr:uid="{36243A52-931E-4F7C-B7CB-68A599032B91}">
      <text>
        <t>[Threaded comment]
Your version of Excel allows you to read this threaded comment; however, any edits to it will get removed if the file is opened in a newer version of Excel. Learn more: https://go.microsoft.com/fwlink/?linkid=870924
Comment:
    Equation 12</t>
      </text>
    </comment>
    <comment ref="B86" authorId="7" shapeId="0" xr:uid="{70BA97E9-CBB1-4865-9BF2-4B0E84346052}">
      <text>
        <t>[Threaded comment]
Your version of Excel allows you to read this threaded comment; however, any edits to it will get removed if the file is opened in a newer version of Excel. Learn more: https://go.microsoft.com/fwlink/?linkid=870924
Comment:
    Equation 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tc={8880DABE-CD9A-466E-9163-BC6112B98DA4}</author>
  </authors>
  <commentList>
    <comment ref="A2" authorId="0" shapeId="0" xr:uid="{8880DABE-CD9A-466E-9163-BC6112B98DA4}">
      <text>
        <t>[Threaded comment]
Your version of Excel allows you to read this threaded comment; however, any edits to it will get removed if the file is opened in a newer version of Excel. Learn more: https://go.microsoft.com/fwlink/?linkid=870924
Comment:
    Add a line for each SWDS CH4 calculation instance added</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tc={181042B4-ECA6-454F-A2D7-D6FD4914BEC8}</author>
    <author>tc={509777C7-26D2-42C3-860F-1F1415495D01}</author>
    <author>tc={FEFD3CD9-1B73-4298-9D42-53741FD933FD}</author>
    <author>tc={D87DF130-0BA8-4E30-8A97-7D2A640545DC}</author>
    <author>tc={AA1255B8-DA2D-4A98-ADD9-D9752DBB1A50}</author>
    <author>tc={510430B2-C0E5-4454-870B-BABAAF8013F8}</author>
    <author>tc={3D2829CA-70B0-4F66-AC3B-0C0A04EB0899}</author>
    <author>tc={E20988FE-F34D-43B8-9DED-C816C10D8DB2}</author>
  </authors>
  <commentList>
    <comment ref="F6" authorId="0" shapeId="0" xr:uid="{181042B4-ECA6-454F-A2D7-D6FD4914BEC8}">
      <text>
        <t>[Threaded comment]
Your version of Excel allows you to read this threaded comment; however, any edits to it will get removed if the file is opened in a newer version of Excel. Learn more: https://go.microsoft.com/fwlink/?linkid=870924
Comment:
    Eq 1</t>
      </text>
    </comment>
    <comment ref="F11" authorId="1" shapeId="0" xr:uid="{509777C7-26D2-42C3-860F-1F1415495D01}">
      <text>
        <t>[Threaded comment]
Your version of Excel allows you to read this threaded comment; however, any edits to it will get removed if the file is opened in a newer version of Excel. Learn more: https://go.microsoft.com/fwlink/?linkid=870924
Comment:
    Eq 2</t>
      </text>
    </comment>
    <comment ref="F13" authorId="2" shapeId="0" xr:uid="{FEFD3CD9-1B73-4298-9D42-53741FD933FD}">
      <text>
        <t>[Threaded comment]
Your version of Excel allows you to read this threaded comment; however, any edits to it will get removed if the file is opened in a newer version of Excel. Learn more: https://go.microsoft.com/fwlink/?linkid=870924
Comment:
    At least monthly recording of data</t>
      </text>
    </comment>
    <comment ref="F16" authorId="3" shapeId="0" xr:uid="{D87DF130-0BA8-4E30-8A97-7D2A640545DC}">
      <text>
        <t>[Threaded comment]
Your version of Excel allows you to read this threaded comment; however, any edits to it will get removed if the file is opened in a newer version of Excel. Learn more: https://go.microsoft.com/fwlink/?linkid=870924
Comment:
    Eq 3</t>
      </text>
    </comment>
    <comment ref="F22" authorId="4" shapeId="0" xr:uid="{AA1255B8-DA2D-4A98-ADD9-D9752DBB1A50}">
      <text>
        <t>[Threaded comment]
Your version of Excel allows you to read this threaded comment; however, any edits to it will get removed if the file is opened in a newer version of Excel. Learn more: https://go.microsoft.com/fwlink/?linkid=870924
Comment:
    Eq 7</t>
      </text>
    </comment>
    <comment ref="F23" authorId="5" shapeId="0" xr:uid="{510430B2-C0E5-4454-870B-BABAAF8013F8}">
      <text>
        <t>[Threaded comment]
Your version of Excel allows you to read this threaded comment; however, any edits to it will get removed if the file is opened in a newer version of Excel. Learn more: https://go.microsoft.com/fwlink/?linkid=870924
Comment:
    Eq 8</t>
      </text>
    </comment>
    <comment ref="F37" authorId="6" shapeId="0" xr:uid="{3D2829CA-70B0-4F66-AC3B-0C0A04EB0899}">
      <text>
        <t>[Threaded comment]
Your version of Excel allows you to read this threaded comment; however, any edits to it will get removed if the file is opened in a newer version of Excel. Learn more: https://go.microsoft.com/fwlink/?linkid=870924
Comment:
    Eq 4</t>
      </text>
    </comment>
    <comment ref="F38" authorId="7" shapeId="0" xr:uid="{E20988FE-F34D-43B8-9DED-C816C10D8DB2}">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tc={6D873B06-4510-490C-BA66-07D4A93A9F62}</author>
    <author>tc={ECD7F68F-7BD7-4E4C-9202-3595EDE93344}</author>
    <author>tc={D34A6A4E-F5DF-40BA-9A26-34764AA07AF3}</author>
    <author>tc={0D1E915E-8DD5-4C58-A772-4DF99B082CF3}</author>
    <author>tc={5B68D6BE-F35D-4AFD-92CB-80E4B616B0E1}</author>
    <author>tc={1A4D21B8-FC66-402E-A979-B60BEAA65C7A}</author>
    <author>tc={A9EC99E3-B86D-4138-BCE8-3E9CD3E32A60}</author>
    <author>tc={5931F148-67C1-4D8E-9A12-2723E5106BC8}</author>
    <author>tc={167C35DC-AC04-4BF2-88EF-5629A7B17EB0}</author>
    <author>tc={EA1250A2-8421-4B5E-AB85-9FEA770DA9EE}</author>
    <author>tc={1CEEAA29-BF3D-48D8-A016-18D4B9B225D5}</author>
    <author>tc={BDE684C5-A6DF-424E-9336-F2CF8E4E4700}</author>
    <author>tc={D1FD4927-0EEF-4025-8F95-8A8DDB631519}</author>
    <author>tc={32AB151D-CFAB-4278-BCE1-106D5960B2DE}</author>
    <author>tc={512101BD-055D-43BB-8C2A-ECE6AE998101}</author>
    <author>tc={E8B5BC30-B4B5-4F0D-AD3A-7D85195689CC}</author>
    <author>tc={2885BA2A-AA51-4D47-A1BD-837ACD1855F0}</author>
    <author>tc={BF8369A5-40D4-4C70-9458-552EDC5D580F}</author>
    <author>tc={F338BA5F-61DF-429C-A33B-85CEDB6BF9DE}</author>
    <author>tc={960492DF-2E79-4DF3-8042-001D3AE09964}</author>
  </authors>
  <commentList>
    <comment ref="F3" authorId="0" shapeId="0" xr:uid="{6D873B06-4510-490C-BA66-07D4A93A9F62}">
      <text>
        <t>[Threaded comment]
Your version of Excel allows you to read this threaded comment; however, any edits to it will get removed if the file is opened in a newer version of Excel. Learn more: https://go.microsoft.com/fwlink/?linkid=870924
Comment:
    Eq 4</t>
      </text>
    </comment>
    <comment ref="F4" authorId="1" shapeId="0" xr:uid="{ECD7F68F-7BD7-4E4C-9202-3595EDE93344}">
      <text>
        <t>[Threaded comment]
Your version of Excel allows you to read this threaded comment; however, any edits to it will get removed if the file is opened in a newer version of Excel. Learn more: https://go.microsoft.com/fwlink/?linkid=870924
Comment:
    Eq 5</t>
      </text>
    </comment>
    <comment ref="F7" authorId="2" shapeId="0" xr:uid="{D34A6A4E-F5DF-40BA-9A26-34764AA07AF3}">
      <text>
        <t>[Threaded comment]
Your version of Excel allows you to read this threaded comment; however, any edits to it will get removed if the file is opened in a newer version of Excel. Learn more: https://go.microsoft.com/fwlink/?linkid=870924
Comment:
    Eq 4</t>
      </text>
    </comment>
    <comment ref="F8" authorId="3" shapeId="0" xr:uid="{0D1E915E-8DD5-4C58-A772-4DF99B082CF3}">
      <text>
        <t>[Threaded comment]
Your version of Excel allows you to read this threaded comment; however, any edits to it will get removed if the file is opened in a newer version of Excel. Learn more: https://go.microsoft.com/fwlink/?linkid=870924
Comment:
    Eq 5</t>
      </text>
    </comment>
    <comment ref="F10" authorId="4" shapeId="0" xr:uid="{5B68D6BE-F35D-4AFD-92CB-80E4B616B0E1}">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10" authorId="5" shapeId="0" xr:uid="{1A4D21B8-FC66-402E-A979-B60BEAA65C7A}">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11" authorId="6" shapeId="0" xr:uid="{A9EC99E3-B86D-4138-BCE8-3E9CD3E32A60}">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12" authorId="7" shapeId="0" xr:uid="{5931F148-67C1-4D8E-9A12-2723E5106BC8}">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19" authorId="8" shapeId="0" xr:uid="{167C35DC-AC04-4BF2-88EF-5629A7B17EB0}">
      <text>
        <t>[Threaded comment]
Your version of Excel allows you to read this threaded comment; however, any edits to it will get removed if the file is opened in a newer version of Excel. Learn more: https://go.microsoft.com/fwlink/?linkid=870924
Comment:
    Eq 4</t>
      </text>
    </comment>
    <comment ref="F20" authorId="9" shapeId="0" xr:uid="{EA1250A2-8421-4B5E-AB85-9FEA770DA9EE}">
      <text>
        <t>[Threaded comment]
Your version of Excel allows you to read this threaded comment; however, any edits to it will get removed if the file is opened in a newer version of Excel. Learn more: https://go.microsoft.com/fwlink/?linkid=870924
Comment:
    Eq 5</t>
      </text>
    </comment>
    <comment ref="F22" authorId="10" shapeId="0" xr:uid="{1CEEAA29-BF3D-48D8-A016-18D4B9B225D5}">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22" authorId="11" shapeId="0" xr:uid="{BDE684C5-A6DF-424E-9336-F2CF8E4E4700}">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23" authorId="12" shapeId="0" xr:uid="{D1FD4927-0EEF-4025-8F95-8A8DDB631519}">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24" authorId="13" shapeId="0" xr:uid="{32AB151D-CFAB-4278-BCE1-106D5960B2DE}">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31" authorId="14" shapeId="0" xr:uid="{512101BD-055D-43BB-8C2A-ECE6AE998101}">
      <text>
        <t>[Threaded comment]
Your version of Excel allows you to read this threaded comment; however, any edits to it will get removed if the file is opened in a newer version of Excel. Learn more: https://go.microsoft.com/fwlink/?linkid=870924
Comment:
    Eq 4</t>
      </text>
    </comment>
    <comment ref="F32" authorId="15" shapeId="0" xr:uid="{E8B5BC30-B4B5-4F0D-AD3A-7D85195689CC}">
      <text>
        <t>[Threaded comment]
Your version of Excel allows you to read this threaded comment; however, any edits to it will get removed if the file is opened in a newer version of Excel. Learn more: https://go.microsoft.com/fwlink/?linkid=870924
Comment:
    Eq 5</t>
      </text>
    </comment>
    <comment ref="F34" authorId="16" shapeId="0" xr:uid="{2885BA2A-AA51-4D47-A1BD-837ACD1855F0}">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34" authorId="17" shapeId="0" xr:uid="{BF8369A5-40D4-4C70-9458-552EDC5D580F}">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35" authorId="18" shapeId="0" xr:uid="{F338BA5F-61DF-429C-A33B-85CEDB6BF9DE}">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36" authorId="19" shapeId="0" xr:uid="{960492DF-2E79-4DF3-8042-001D3AE09964}">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tc={E28A668C-427D-4E56-B238-EF3839E0A702}</author>
  </authors>
  <commentList>
    <comment ref="D3" authorId="0" shapeId="0" xr:uid="{E28A668C-427D-4E56-B238-EF3839E0A702}">
      <text>
        <t>[Threaded comment]
Your version of Excel allows you to read this threaded comment; however, any edits to it will get removed if the file is opened in a newer version of Excel. Learn more: https://go.microsoft.com/fwlink/?linkid=870924
Comment:
    Upper Default Value at the 95% confidence interval</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tc={2B6C94B0-964D-409D-9AA7-1DF6085AFA0B}</author>
    <author>tc={66C009A8-C748-4C73-AA15-1DCC52E63F62}</author>
    <author>tc={6ACF53FF-27A7-478F-91D3-5AA7109FFE72}</author>
    <author>tc={E218BFC0-DF15-456A-875B-6B18170B2562}</author>
    <author>tc={543D96D9-8A58-4CAE-A668-36AEBF40A4DD}</author>
    <author>tc={55B56EC8-7980-45BD-AF3D-17CCD78924E9}</author>
    <author>tc={A4C71141-B6BA-45A3-8EED-37FCD92D5BB6}</author>
    <author>tc={0B71AD26-F051-405D-8D1F-53D5C4EC8B29}</author>
    <author>tc={D7FBC321-5D04-4214-AA50-D0674D39F29F}</author>
    <author>tc={03947D1E-3CBF-48A2-926D-F2F6C653D41C}</author>
    <author>tc={0E47C676-D66A-4861-9793-48C9B6D73EC9}</author>
    <author>tc={3FDFCABC-701F-41E6-9CB5-2FFA94C69FD9}</author>
    <author>tc={F5EDD6E5-2030-445E-A9FB-AC6EEC8A3619}</author>
    <author>tc={7873754D-5CAF-459B-A3CA-0BE0E11B6004}</author>
    <author>tc={59AD7B8E-A6C7-469C-A556-AD1535CDF3CF}</author>
    <author>tc={3638C23D-02A9-4D27-8035-656CBE5DECF6}</author>
    <author>tc={C9E40553-EC7D-4F87-984C-A5D12B7B0ECF}</author>
    <author>tc={67CED3BB-D0D4-4B99-8781-1235D76B50BB}</author>
    <author>tc={C7E20A55-80AD-4FD7-BA2E-6798336D1F4C}</author>
  </authors>
  <commentList>
    <comment ref="C44" authorId="0" shapeId="0" xr:uid="{2B6C94B0-964D-409D-9AA7-1DF6085AFA0B}">
      <text>
        <t>[Threaded comment]
Your version of Excel allows you to read this threaded comment; however, any edits to it will get removed if the file is opened in a newer version of Excel. Learn more: https://go.microsoft.com/fwlink/?linkid=870924
Comment:
    Eq 5</t>
      </text>
    </comment>
    <comment ref="C45" authorId="1" shapeId="0" xr:uid="{66C009A8-C748-4C73-AA15-1DCC52E63F62}">
      <text>
        <t>[Threaded comment]
Your version of Excel allows you to read this threaded comment; however, any edits to it will get removed if the file is opened in a newer version of Excel. Learn more: https://go.microsoft.com/fwlink/?linkid=870924
Comment:
    Eq 6</t>
      </text>
    </comment>
    <comment ref="C48" authorId="2" shapeId="0" xr:uid="{6ACF53FF-27A7-478F-91D3-5AA7109FFE72}">
      <text>
        <t>[Threaded comment]
Your version of Excel allows you to read this threaded comment; however, any edits to it will get removed if the file is opened in a newer version of Excel. Learn more: https://go.microsoft.com/fwlink/?linkid=870924
Comment:
    Eq 7</t>
      </text>
    </comment>
    <comment ref="C49" authorId="3" shapeId="0" xr:uid="{E218BFC0-DF15-456A-875B-6B18170B2562}">
      <text>
        <t>[Threaded comment]
Your version of Excel allows you to read this threaded comment; however, any edits to it will get removed if the file is opened in a newer version of Excel. Learn more: https://go.microsoft.com/fwlink/?linkid=870924
Comment:
    Comes from tool 08</t>
      </text>
    </comment>
    <comment ref="C50" authorId="4" shapeId="0" xr:uid="{543D96D9-8A58-4CAE-A668-36AEBF40A4DD}">
      <text>
        <t>[Threaded comment]
Your version of Excel allows you to read this threaded comment; however, any edits to it will get removed if the file is opened in a newer version of Excel. Learn more: https://go.microsoft.com/fwlink/?linkid=870924
Comment:
    Eq 5 in tool 08</t>
      </text>
    </comment>
    <comment ref="C51" authorId="5" shapeId="0" xr:uid="{55B56EC8-7980-45BD-AF3D-17CCD78924E9}">
      <text>
        <t>[Threaded comment]
Your version of Excel allows you to read this threaded comment; however, any edits to it will get removed if the file is opened in a newer version of Excel. Learn more: https://go.microsoft.com/fwlink/?linkid=870924
Comment:
    Comes from tool 08</t>
      </text>
    </comment>
    <comment ref="C54" authorId="6" shapeId="0" xr:uid="{A4C71141-B6BA-45A3-8EED-37FCD92D5BB6}">
      <text>
        <t>[Threaded comment]
Your version of Excel allows you to read this threaded comment; however, any edits to it will get removed if the file is opened in a newer version of Excel. Learn more: https://go.microsoft.com/fwlink/?linkid=870924
Comment:
    Eq 3</t>
      </text>
    </comment>
    <comment ref="C56" authorId="7" shapeId="0" xr:uid="{0B71AD26-F051-405D-8D1F-53D5C4EC8B29}">
      <text>
        <t>[Threaded comment]
Your version of Excel allows you to read this threaded comment; however, any edits to it will get removed if the file is opened in a newer version of Excel. Learn more: https://go.microsoft.com/fwlink/?linkid=870924
Comment:
    Eq 4</t>
      </text>
    </comment>
    <comment ref="C57" authorId="8" shapeId="0" xr:uid="{D7FBC321-5D04-4214-AA50-D0674D39F29F}">
      <text>
        <t>[Threaded comment]
Your version of Excel allows you to read this threaded comment; however, any edits to it will get removed if the file is opened in a newer version of Excel. Learn more: https://go.microsoft.com/fwlink/?linkid=870924
Comment:
    Eq 8</t>
      </text>
    </comment>
    <comment ref="C58" authorId="9" shapeId="0" xr:uid="{03947D1E-3CBF-48A2-926D-F2F6C653D41C}">
      <text>
        <t>[Threaded comment]
Your version of Excel allows you to read this threaded comment; however, any edits to it will get removed if the file is opened in a newer version of Excel. Learn more: https://go.microsoft.com/fwlink/?linkid=870924
Comment:
    Eq 9</t>
      </text>
    </comment>
    <comment ref="C59" authorId="10" shapeId="0" xr:uid="{0E47C676-D66A-4861-9793-48C9B6D73EC9}">
      <text>
        <t>[Threaded comment]
Your version of Excel allows you to read this threaded comment; however, any edits to it will get removed if the file is opened in a newer version of Excel. Learn more: https://go.microsoft.com/fwlink/?linkid=870924
Comment:
    Eq 10</t>
      </text>
    </comment>
    <comment ref="C60" authorId="11" shapeId="0" xr:uid="{3FDFCABC-701F-41E6-9CB5-2FFA94C69FD9}">
      <text>
        <t>[Threaded comment]
Your version of Excel allows you to read this threaded comment; however, any edits to it will get removed if the file is opened in a newer version of Excel. Learn more: https://go.microsoft.com/fwlink/?linkid=870924
Comment:
    Eq 11</t>
      </text>
    </comment>
    <comment ref="C61" authorId="12" shapeId="0" xr:uid="{F5EDD6E5-2030-445E-A9FB-AC6EEC8A3619}">
      <text>
        <t>[Threaded comment]
Your version of Excel allows you to read this threaded comment; however, any edits to it will get removed if the file is opened in a newer version of Excel. Learn more: https://go.microsoft.com/fwlink/?linkid=870924
Comment:
    Eq 12</t>
      </text>
    </comment>
    <comment ref="C62" authorId="13" shapeId="0" xr:uid="{7873754D-5CAF-459B-A3CA-0BE0E11B6004}">
      <text>
        <t>[Threaded comment]
Your version of Excel allows you to read this threaded comment; however, any edits to it will get removed if the file is opened in a newer version of Excel. Learn more: https://go.microsoft.com/fwlink/?linkid=870924
Comment:
    Eq 13</t>
      </text>
    </comment>
    <comment ref="C64" authorId="14" shapeId="0" xr:uid="{59AD7B8E-A6C7-469C-A556-AD1535CDF3CF}">
      <text>
        <t>[Threaded comment]
Your version of Excel allows you to read this threaded comment; however, any edits to it will get removed if the file is opened in a newer version of Excel. Learn more: https://go.microsoft.com/fwlink/?linkid=870924
Comment:
    Eq 14</t>
      </text>
    </comment>
    <comment ref="C65" authorId="15" shapeId="0" xr:uid="{3638C23D-02A9-4D27-8035-656CBE5DECF6}">
      <text>
        <t>[Threaded comment]
Your version of Excel allows you to read this threaded comment; however, any edits to it will get removed if the file is opened in a newer version of Excel. Learn more: https://go.microsoft.com/fwlink/?linkid=870924
Comment:
    Eq 14</t>
      </text>
    </comment>
    <comment ref="C66" authorId="16" shapeId="0" xr:uid="{C9E40553-EC7D-4F87-984C-A5D12B7B0ECF}">
      <text>
        <t>[Threaded comment]
Your version of Excel allows you to read this threaded comment; however, any edits to it will get removed if the file is opened in a newer version of Excel. Learn more: https://go.microsoft.com/fwlink/?linkid=870924
Comment:
    Eq 14</t>
      </text>
    </comment>
    <comment ref="C67" authorId="17" shapeId="0" xr:uid="{67CED3BB-D0D4-4B99-8781-1235D76B50BB}">
      <text>
        <t>[Threaded comment]
Your version of Excel allows you to read this threaded comment; however, any edits to it will get removed if the file is opened in a newer version of Excel. Learn more: https://go.microsoft.com/fwlink/?linkid=870924
Comment:
    Eq 14</t>
      </text>
    </comment>
    <comment ref="C69" authorId="18" shapeId="0" xr:uid="{C7E20A55-80AD-4FD7-BA2E-6798336D1F4C}">
      <text>
        <t>[Threaded comment]
Your version of Excel allows you to read this threaded comment; however, any edits to it will get removed if the file is opened in a newer version of Excel. Learn more: https://go.microsoft.com/fwlink/?linkid=870924
Comment:
    Eq 15</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tc={8FE0794B-E688-45A4-AC86-B2D1AF9D2E8C}</author>
  </authors>
  <commentList>
    <comment ref="C17" authorId="0" shapeId="0" xr:uid="{8FE0794B-E688-45A4-AC86-B2D1AF9D2E8C}">
      <text>
        <t>[Threaded comment]
Your version of Excel allows you to read this threaded comment; however, any edits to it will get removed if the file is opened in a newer version of Excel. Learn more: https://go.microsoft.com/fwlink/?linkid=870924
Comment:
    Tool 03</t>
      </text>
    </comment>
  </commentList>
</comments>
</file>

<file path=xl/sharedStrings.xml><?xml version="1.0" encoding="utf-8"?>
<sst xmlns="http://schemas.openxmlformats.org/spreadsheetml/2006/main" count="4404" uniqueCount="1994">
  <si>
    <t>Required Field</t>
  </si>
  <si>
    <t>Allow Multiple Answers</t>
  </si>
  <si>
    <t>Schema Type</t>
  </si>
  <si>
    <t>Parameter</t>
  </si>
  <si>
    <t>Question</t>
  </si>
  <si>
    <t>Answer</t>
  </si>
  <si>
    <t>Notes</t>
  </si>
  <si>
    <t>Project Details</t>
  </si>
  <si>
    <t>Yes</t>
  </si>
  <si>
    <t>No</t>
  </si>
  <si>
    <t>String</t>
  </si>
  <si>
    <t>Summary Description of the Project</t>
  </si>
  <si>
    <t>Sectoral Scope</t>
  </si>
  <si>
    <t>Project Scope: 13</t>
  </si>
  <si>
    <t>Project Type</t>
  </si>
  <si>
    <t>GHG emission avoidance: Avoidance of GHG emissions by alternative treatment process</t>
  </si>
  <si>
    <t>Type of Activity</t>
  </si>
  <si>
    <t>GeoJSON</t>
  </si>
  <si>
    <t>(33°40'33.0"S, 18°47'22.0"E)</t>
  </si>
  <si>
    <t>Project Eligibility</t>
  </si>
  <si>
    <t>Project Participant Organization Name</t>
  </si>
  <si>
    <t>Name</t>
  </si>
  <si>
    <t>Project Participant Contact Person</t>
  </si>
  <si>
    <t>John Doe</t>
  </si>
  <si>
    <t xml:space="preserve">Project Participant Title </t>
  </si>
  <si>
    <t>Address</t>
  </si>
  <si>
    <t xml:space="preserve">Project Participant Address </t>
  </si>
  <si>
    <t>Phone Number</t>
  </si>
  <si>
    <t xml:space="preserve">Project Participant Telephone </t>
  </si>
  <si>
    <t>(555) 222-3131</t>
  </si>
  <si>
    <t>Email</t>
  </si>
  <si>
    <t>Project Participant Email</t>
  </si>
  <si>
    <t>JD@gmail.com</t>
  </si>
  <si>
    <t>Project Ownership</t>
  </si>
  <si>
    <t>Emissions Trading Programs and Other Binding Limits</t>
  </si>
  <si>
    <t>N/A</t>
  </si>
  <si>
    <t>Participation under other GHG Programs</t>
  </si>
  <si>
    <t>Other Forms of Environmental Credit</t>
  </si>
  <si>
    <t>Projects Rejected by Other GHG Programs</t>
  </si>
  <si>
    <t>The project has not been rejected by any GHG reduction or removal program.</t>
  </si>
  <si>
    <t>Title and Reference of Methodologies</t>
  </si>
  <si>
    <t>Tool 03</t>
  </si>
  <si>
    <t>Tool 04</t>
  </si>
  <si>
    <t>Tool 05</t>
  </si>
  <si>
    <t>Tool 13</t>
  </si>
  <si>
    <t>Date</t>
  </si>
  <si>
    <t>Project Start Date</t>
  </si>
  <si>
    <t>Date Range</t>
  </si>
  <si>
    <t>Project Crediting Period</t>
  </si>
  <si>
    <t>Project Monitoring Period</t>
  </si>
  <si>
    <t>Project Monitoring Plan</t>
  </si>
  <si>
    <t>Compliance with Laws, Statutes and Other Regulatory Frameworks</t>
  </si>
  <si>
    <t>Leakage Management</t>
  </si>
  <si>
    <t>Sustainable development</t>
  </si>
  <si>
    <t>Further Information</t>
  </si>
  <si>
    <t>There is no further relevant information.</t>
  </si>
  <si>
    <t>Baseline Emissions</t>
  </si>
  <si>
    <t>Baseline emissions in year y</t>
  </si>
  <si>
    <t>BEy</t>
  </si>
  <si>
    <t>Baseline emissions from sourcing in year y</t>
  </si>
  <si>
    <t>Baseline emissions from production in year y</t>
  </si>
  <si>
    <t>Baseline emissions from application in year y</t>
  </si>
  <si>
    <t>Project Emissions in Sourcing Stage</t>
  </si>
  <si>
    <t>PESS,y</t>
  </si>
  <si>
    <t>BESS,y</t>
  </si>
  <si>
    <t>BEPS,y</t>
  </si>
  <si>
    <t>BEAS,y</t>
  </si>
  <si>
    <t>GHG emissions removals at production stage in year y (tCO2e)</t>
  </si>
  <si>
    <t>Coefficient to convert organic carbon to tCO2e</t>
  </si>
  <si>
    <t>[Click to Add Production Facility]</t>
  </si>
  <si>
    <t>Organic carbon content on a dry weight basis for biochar type t used for application type k in year y (tonnes).</t>
  </si>
  <si>
    <t>Organic carbon content of biochar type t produced in production facility p per tonne of biochar, taken on a dry weight basis (percent). For high technology production facilities, this is defined through laboratory material analysis of biochar.</t>
  </si>
  <si>
    <t>Permanence adjustment factor due to decay of biochar per application type k (dimensionless)</t>
  </si>
  <si>
    <t>Project emissions at the production stage for production of biochar at production facility p in year y (tCO2e)</t>
  </si>
  <si>
    <t>Emissions associated with the pre-treatment of waste biomass at production facility p in year y (tCO2e)</t>
  </si>
  <si>
    <t>Emissions associated with the conversion of waste biomass into biochar at production facility p in year y (tCO2e)</t>
  </si>
  <si>
    <t>Emissions due to the utilization of auxiliary energy for the purpose of pyrolysis at production facility p in year y (tCO2e)</t>
  </si>
  <si>
    <t>Total mass of biochar on a dry weight basis produced in production facility p in year y (tonnes)</t>
  </si>
  <si>
    <t>PEPS,p,y</t>
  </si>
  <si>
    <t>PED,p,y</t>
  </si>
  <si>
    <t>PEP,p,y</t>
  </si>
  <si>
    <t>PEC,p,y</t>
  </si>
  <si>
    <t>Mp,y</t>
  </si>
  <si>
    <t>CCt,k,y</t>
  </si>
  <si>
    <t>Mt,k,p,y</t>
  </si>
  <si>
    <t>FCp,t,p</t>
  </si>
  <si>
    <t>PRde,k</t>
  </si>
  <si>
    <t>[Click to Add Biochar Type and Application Type]</t>
  </si>
  <si>
    <t>PEDE,p,y</t>
  </si>
  <si>
    <t>PEDF,p,y</t>
  </si>
  <si>
    <t>Emissions associated with use of grid-connected electricity utilized for pretreatment of waste biomass at production facility p in year y (tCO2e).</t>
  </si>
  <si>
    <t xml:space="preserve">Emissions associated with combustion of fossil fuels utilized for pre-treatment of waste biomass at production facility p in year y (tCO2e). </t>
  </si>
  <si>
    <t>Is the source of auxiliary energy renewable?</t>
  </si>
  <si>
    <t>Emissions associated with use of grid-connected electricity utilized for starting the reactor at production facility p in year y (tCO2e)</t>
  </si>
  <si>
    <t>Emissions associated with combustion of fossil fuels utilized for starting the reactor at production facility p in year y (tCO2e).</t>
  </si>
  <si>
    <t>PECE,p,y</t>
  </si>
  <si>
    <t>Select the option that applies to the production facility:
Option P.1: High Technology Production Facility
Option P.2: Low Technology Production Facility</t>
  </si>
  <si>
    <t>Option P.1: High Technology Production Facility</t>
  </si>
  <si>
    <t>Organic carbon content of biochar type t produced in production facility p per tonne of biochar, taken on a dry weight basis (percent). For low technology production facilities. this is determined through laboratory material analysis of biochar where possible.</t>
  </si>
  <si>
    <t>Project Emissions at the production stage at production facility p in year y (tCO2e)</t>
  </si>
  <si>
    <t>Emissions associated with grid-connected electricity utilized for pre-treatment of waste biomass at production facility p in year y (tCO2e).</t>
  </si>
  <si>
    <t>Emissions associated with combustion of fossil fuels utilized for pre-treatment of waste biomass at production facility p in year y (tCO2e).</t>
  </si>
  <si>
    <t>Average methane emissions from producing one tonne of biochar in year y (tCH4/tonne).</t>
  </si>
  <si>
    <t>Global warming potential of methane.</t>
  </si>
  <si>
    <t>GWPCH4</t>
  </si>
  <si>
    <t>Fe</t>
  </si>
  <si>
    <t>Emissions associated with use of grid-connected electricity utilized for starting the reactor at production facility p in year y (tCO2e).</t>
  </si>
  <si>
    <t>Project Emissions in Production &amp; Application Stage</t>
  </si>
  <si>
    <t>GHG emissions at application stage in year y (tCO2e)</t>
  </si>
  <si>
    <t>PEAS,y</t>
  </si>
  <si>
    <t>Option P.2: Low Technology Production Facility</t>
  </si>
  <si>
    <t>Emissions from processing of biochar type t for application type k in year y (tCO2e)</t>
  </si>
  <si>
    <t>Emissions from utilization of biochar type t for application type k in year y (tCO2e)</t>
  </si>
  <si>
    <t>EP,t,k,y</t>
  </si>
  <si>
    <t>Eap,t,k,y</t>
  </si>
  <si>
    <t>PEPE,k,y</t>
  </si>
  <si>
    <t>Emissions associated with combustion of fossil fuels utilized for processing of biochar for application type k in year y (tCO2e).</t>
  </si>
  <si>
    <t>Emissions associated with grid-connected electricity utilized for processing biochar for application type k in year y (tCO2e).</t>
  </si>
  <si>
    <t>PEPF,k,y</t>
  </si>
  <si>
    <t>Leakage Emissions</t>
  </si>
  <si>
    <t>Total leakage emissions in year y (tCO2e)</t>
  </si>
  <si>
    <t>Leakage due to activity shift in year y (tCO2e).</t>
  </si>
  <si>
    <t>Leakage due to biomass diversion in year y (tCO2e).</t>
  </si>
  <si>
    <t>Leakage emissions from transportation of waste biomass from sourcing to biochar production facility in year y (tCO2e).</t>
  </si>
  <si>
    <t>Leakage emissions from transportation of biochar from the production facility to the site of end application in year y (tCO2e).</t>
  </si>
  <si>
    <t>LEy</t>
  </si>
  <si>
    <t>LEas,y</t>
  </si>
  <si>
    <t>LEbd,y</t>
  </si>
  <si>
    <t>LEts,y</t>
  </si>
  <si>
    <t>LEtap,y</t>
  </si>
  <si>
    <t>ERPS,y</t>
  </si>
  <si>
    <t>Coeficient</t>
  </si>
  <si>
    <t>Select the appropariate production temperature to determine conservative defaults for PRde,k:
High temperature pyrolysis and gasification (&gt; 600 °C)
Medium temperature pyrolysis (450 – 600 °C)
Low temperature (350 – 450 °C)</t>
  </si>
  <si>
    <t>High Temperature</t>
  </si>
  <si>
    <t xml:space="preserve">Properties </t>
  </si>
  <si>
    <t>Selective Disclosure</t>
  </si>
  <si>
    <t xml:space="preserve">Question </t>
  </si>
  <si>
    <t xml:space="preserve">Answer </t>
  </si>
  <si>
    <t>Required</t>
  </si>
  <si>
    <t xml:space="preserve">Multiple Answers </t>
  </si>
  <si>
    <t xml:space="preserve">Selective Disclosure </t>
  </si>
  <si>
    <t xml:space="preserve">Questionnaire </t>
  </si>
  <si>
    <t xml:space="preserve">Is transportation the main project activity? </t>
  </si>
  <si>
    <t xml:space="preserve">No </t>
  </si>
  <si>
    <t>Select One</t>
  </si>
  <si>
    <t xml:space="preserve">Is the tool being used to calculate project emissions (PEtr,m) or leakage emissions (LEtr,m)? </t>
  </si>
  <si>
    <t>Project emissions (PEtr,m)</t>
  </si>
  <si>
    <t>f</t>
  </si>
  <si>
    <t xml:space="preserve">Which freight transportation activities (f) will occur under the project activity? </t>
  </si>
  <si>
    <t>Activity 1</t>
  </si>
  <si>
    <t>Click to add transportation activity (f)</t>
  </si>
  <si>
    <r>
      <t xml:space="preserve">All fields below must be completed for </t>
    </r>
    <r>
      <rPr>
        <u/>
        <sz val="11"/>
        <color theme="1"/>
        <rFont val="Calibri"/>
        <family val="2"/>
        <scheme val="minor"/>
      </rPr>
      <t>each</t>
    </r>
    <r>
      <rPr>
        <sz val="11"/>
        <color theme="1"/>
        <rFont val="Calibri"/>
        <family val="2"/>
        <scheme val="minor"/>
      </rPr>
      <t xml:space="preserve"> transportation activity </t>
    </r>
  </si>
  <si>
    <t>For each freight transportation activities (f), the origin of the freight (to the extent that this is known at validation)</t>
  </si>
  <si>
    <t>Source 1</t>
  </si>
  <si>
    <t>For each freight transportation activities (f), the destination of the freight (to the extent that this is known at validation)</t>
  </si>
  <si>
    <t>Facility 1</t>
  </si>
  <si>
    <t>For each freight transportation activities (f), the type(s) of freight that are planned to be transported</t>
  </si>
  <si>
    <t>Sugar cane bagasse</t>
  </si>
  <si>
    <t xml:space="preserve">For each freight transportation activities (f), the planned number of trips made </t>
  </si>
  <si>
    <t>Number</t>
  </si>
  <si>
    <t>FRf,m</t>
  </si>
  <si>
    <t>For each freight transportation activities (f), the planned quantity of freight that should be transported (t)</t>
  </si>
  <si>
    <t xml:space="preserve">Total mass of freight transported in freight transportation activity f in monitoring period m (t) </t>
  </si>
  <si>
    <t xml:space="preserve">For each freight transportation activities (f),which option will be used to determine project or leakage emissions from road transportation of freight? </t>
  </si>
  <si>
    <t>Option A: Monitoring fuel consumption</t>
  </si>
  <si>
    <t>For each freight transportation activities (f), select the mode of transportation</t>
  </si>
  <si>
    <t>Road Vehicle</t>
  </si>
  <si>
    <t>For each freight transportation activities (f), select the vehicle class</t>
  </si>
  <si>
    <t>Heavy</t>
  </si>
  <si>
    <t xml:space="preserve">Please detail and document how data on fuel consumption is collected and checked. </t>
  </si>
  <si>
    <t xml:space="preserve">The monitoring plan shall document how data on fuel consumption is collected and checked. </t>
  </si>
  <si>
    <t>[PE, LE] tr,m</t>
  </si>
  <si>
    <t>[Project or Leakage] emissions from transportation of freight in monitoring
period m</t>
  </si>
  <si>
    <t>Referenced Parameter</t>
  </si>
  <si>
    <t xml:space="preserve">Element process j corresponds to the combustion of fuels in the vehicles. If biofuels are used, then the corresponding CO2 emission factor of the fossil fuels that would most likely be used in the absence of the use of biofuels should be used. If biofuel blends are consumed, then the CO2 emission factor of the fossil fuel used in the blend shall be used, as a conservative simplification. The monitored fuel consumption shall include fuel consumed by the vehicles on both outbound and return trips, even if the vehicles also transport freight not associated with the project activity. </t>
  </si>
  <si>
    <t>Option B: Using conservative default values</t>
  </si>
  <si>
    <t>Df,m</t>
  </si>
  <si>
    <t>Road (or rail line) distance between the origin and the destination (km)</t>
  </si>
  <si>
    <t xml:space="preserve">Return trip distance between the origin and destination of freight transportation activity f in monitoring period m (km) </t>
  </si>
  <si>
    <t>EFco2,f</t>
  </si>
  <si>
    <t>Default CO2 emission factor for freight transportation activity f
(g CO2/t km)</t>
  </si>
  <si>
    <t xml:space="preserve">Auto-calculation </t>
  </si>
  <si>
    <t>[Project or Leakage] Emissions from transportation of freight in monitoring
period m</t>
  </si>
  <si>
    <t>Project Emissions Monitoring Summary Table</t>
  </si>
  <si>
    <t>Activity (f)</t>
  </si>
  <si>
    <t>Freight Type</t>
  </si>
  <si>
    <t>Weight (t)</t>
  </si>
  <si>
    <t>Origin</t>
  </si>
  <si>
    <t>Destination</t>
  </si>
  <si>
    <t>Road Distance (km)</t>
  </si>
  <si>
    <t>Transportation Mode</t>
  </si>
  <si>
    <t>Vehicle Class</t>
  </si>
  <si>
    <t>PEtr,m</t>
  </si>
  <si>
    <t>Total</t>
  </si>
  <si>
    <t>Leakage Emissions Monitoring Summary Table</t>
  </si>
  <si>
    <t>Options</t>
  </si>
  <si>
    <t>Binary Yes/No</t>
  </si>
  <si>
    <t>Mode of Transportation</t>
  </si>
  <si>
    <t>Type of Emissions Estimates</t>
  </si>
  <si>
    <t>Rail</t>
  </si>
  <si>
    <t xml:space="preserve">Light </t>
  </si>
  <si>
    <t>Leakage emissions (LEtr,m)</t>
  </si>
  <si>
    <t>Multiple Answers</t>
  </si>
  <si>
    <t xml:space="preserve">What is the scale of the project </t>
  </si>
  <si>
    <t>Small or Micro</t>
  </si>
  <si>
    <t xml:space="preserve">Select One </t>
  </si>
  <si>
    <t xml:space="preserve">Are biomass residues consumed in a CDM project activity, and the biomass residues can be utilized after processing or without processing? </t>
  </si>
  <si>
    <t xml:space="preserve">Do the project activities include biomass cultivation? </t>
  </si>
  <si>
    <t>Does the land on which biomass is cultivated contain wetlands?</t>
  </si>
  <si>
    <t>Does the land on which biomass is cultivated contain organic soils?</t>
  </si>
  <si>
    <t>Is the land on which biomass is cultivated subjected to flood irrigation?</t>
  </si>
  <si>
    <t>Does the land on which biomass is cultivated contain forest or contained forest since 31 December 1989?</t>
  </si>
  <si>
    <t xml:space="preserve">Is desalination a substantial source of water in the host country? </t>
  </si>
  <si>
    <t xml:space="preserve">Does the land on which biomass is cultivated contain a forest plantation? </t>
  </si>
  <si>
    <t xml:space="preserve">Will the forest plantation be harvested before the start of the project and the land be neither reforested nor will regenerate on its own into a forest in the absence of the project activity? </t>
  </si>
  <si>
    <t>Identify and describe realistic and credible alternatives with regard to the possible land use scenarios that would occur in the absence of the project activity.</t>
  </si>
  <si>
    <t xml:space="preserve">String </t>
  </si>
  <si>
    <t>Assess the economic attractiveness of the existing forest plantation by applying Step 2 of the “TOOL01: Tool for the demonstration and assessment of additionality. Does sensitivity analysis conclude that the proposed CDM project activity is unlikely to be the most financially attractive or is unlikely to be financially attractive?</t>
  </si>
  <si>
    <t>Pull answer from Tool 01, Step 2</t>
  </si>
  <si>
    <t xml:space="preserve">Confirm, based on the plantation management practices in the region for the considered species, that it is the common practice to harvest the forest plantation and that the forest will not be reforested or regenerate back to forest in the absence of the project activity. </t>
  </si>
  <si>
    <t>Use relevant credible evidence, including but not limited to official land use maps,
satellite images/aerial photographs, cadastral information, official land use records.</t>
  </si>
  <si>
    <t>Image and/or document upload</t>
  </si>
  <si>
    <t>Applicability</t>
  </si>
  <si>
    <t xml:space="preserve">Auto-calculate </t>
  </si>
  <si>
    <t xml:space="preserve">Is the tool being used to calculate project emissions (PE) or leakage emissions (LE)? </t>
  </si>
  <si>
    <t>Project Emissions (PE)</t>
  </si>
  <si>
    <t xml:space="preserve">Will project emissions resulting from cultivation of biomass (PEbc,y) be included or omitted? </t>
  </si>
  <si>
    <t>Included</t>
  </si>
  <si>
    <t>Indicate the soil amendment agent type applied</t>
  </si>
  <si>
    <t>Urea</t>
  </si>
  <si>
    <r>
      <t>Will pr</t>
    </r>
    <r>
      <rPr>
        <sz val="11"/>
        <rFont val="Calibri"/>
        <family val="2"/>
        <scheme val="minor"/>
      </rPr>
      <t>oject emissions resulting from energy consumption (electricity and fuel) for biomass seeding and harvesting (PEbsh,ec,y)</t>
    </r>
    <r>
      <rPr>
        <sz val="11"/>
        <color theme="1"/>
        <rFont val="Calibri"/>
        <family val="2"/>
        <scheme val="minor"/>
      </rPr>
      <t xml:space="preserve"> be included or omitted? </t>
    </r>
  </si>
  <si>
    <t>Small scale project activities may, unless otherwise required by the methodology, neglect emissions from energy consumption associated with seeding and harvesting of biomass.</t>
  </si>
  <si>
    <t xml:space="preserve">Will project emissions resulting from transportation of biomass (PEbt,y) be included or omitted? </t>
  </si>
  <si>
    <t xml:space="preserve">Will project emissions resulting from transportation of biomass residues  (PEbrt,y) be included or omitted? </t>
  </si>
  <si>
    <t xml:space="preserve">Will project emissions resulting from processing of biomass (PEbp,y) be included or omitted? </t>
  </si>
  <si>
    <t xml:space="preserve">Will project emissions resulting from processing of biomass residues (PEbrp,y) be included or omitted? </t>
  </si>
  <si>
    <t xml:space="preserve">Is the wastewater originating from the processing of the biomass and biomass residues (partly) treated under anaerobic conditions with the methane from the wastewater not being captured and flared or combusted? </t>
  </si>
  <si>
    <t xml:space="preserve">Will leakage emissions due to shift of pre-project activities resulting from cultivation of biomass in a dedicated plantation (LEbc,y) be included or omitted? </t>
  </si>
  <si>
    <t>Omitted</t>
  </si>
  <si>
    <t>Was or would the plantation area have been abandoned land prior to the implementation of the project activity?</t>
  </si>
  <si>
    <t>Was the plantation area used prior to the implementation of the project area, but the pre-project land use of the plantation area will be accommodated for, providing at least the same level of service during the project activity, within the land area included in the project boundary?</t>
  </si>
  <si>
    <t>The project area may be expanded to accommodate for this condition.</t>
  </si>
  <si>
    <t xml:space="preserve">Will leakage emissions due to diversion of biomass residues from other
applications (LEbr,div,y) be included or omitted? </t>
  </si>
  <si>
    <t>Indicate the alternative scenario of the biomass residues in absence of the project activity</t>
  </si>
  <si>
    <t>B4: The biomass residues are used for energy or non-energy applications, or the primary source of the biomass residues and/or their fate cannot be clearly identified.</t>
  </si>
  <si>
    <t xml:space="preserve">Will leakage emissions due to the transportation of biomass residues outside
of the project boundary (LEbrt,y) be included or omitted? </t>
  </si>
  <si>
    <t xml:space="preserve">Will leakage emissions due to  processing of biomass residues outside the
project boundary (LEbrp,y) be included or omitted? </t>
  </si>
  <si>
    <t>PEbc,y</t>
  </si>
  <si>
    <t>Project emissions resulting from cultivation of biomass in a dedicated plantation in year y</t>
  </si>
  <si>
    <t>𝐴fr,𝑖,y</t>
  </si>
  <si>
    <t>Area of stratum i of land subjected to clearance or fire in year y (ha)</t>
  </si>
  <si>
    <t>𝑏i</t>
  </si>
  <si>
    <t>Fuel biomass consumption per hectare in stratum i of land subjected to clearance or fire (t dry matter/ha)</t>
  </si>
  <si>
    <t>Ri</t>
  </si>
  <si>
    <t>Root-shoot ratio (i.e. ratio of below-ground biomass to aboveground biomass) for stratum i of land subjected to clearance or fire</t>
  </si>
  <si>
    <t>𝑃𝐸bby</t>
  </si>
  <si>
    <t>Project emissions resulting from clearance or burning of biomass, in year y (t CO2e)</t>
  </si>
  <si>
    <t>[Click to add stratum]</t>
  </si>
  <si>
    <t xml:space="preserve">Repeat equation 8 for each stratum. </t>
  </si>
  <si>
    <t>𝑃𝐸bsh,ec,y</t>
  </si>
  <si>
    <t>Project emissions resulting from energy consumption (electricity and fuel) for biomass seeding and harvesting in year y (t CO2e)</t>
  </si>
  <si>
    <t xml:space="preserve">𝑃𝐸bsh,𝑒𝑙𝑒𝑐𝑡𝑟𝑖𝑐𝑖𝑡𝑦,𝑦 </t>
  </si>
  <si>
    <t>Project emissions from the consumption of electricity for biomass seeding and harvesting in year y (tCO2e)</t>
  </si>
  <si>
    <t xml:space="preserve">Referenced Parameter </t>
  </si>
  <si>
    <t>𝑃𝐸bsh,𝑓𝑢𝑒𝑙,y</t>
  </si>
  <si>
    <t>Project emissions from the consumption of fossil fuels for biomass seeding and harvesting in year y (tCO2e)</t>
  </si>
  <si>
    <t>𝑃𝐸sa,y</t>
  </si>
  <si>
    <t>Project emissions resulting from soil amendment in year y (t CO2e)</t>
  </si>
  <si>
    <t>𝑞sa.𝑖,y</t>
  </si>
  <si>
    <t>Rate of application of soil amendment agent type i in year y (t/ha)</t>
  </si>
  <si>
    <t>𝐴sa,𝑖,y</t>
  </si>
  <si>
    <t>Area of land in which soil amendment agent type i is applied in year y (ha)</t>
  </si>
  <si>
    <t>𝐸𝐹sa,i,y</t>
  </si>
  <si>
    <t>Emission factor for CO2 emissions from application of soil amendment agent type i (t CO2e/t)</t>
  </si>
  <si>
    <t>Default values for limestone (0.12 t CO2e/t), dolomite (0.13 t CO2e/t) and urea (0.20 t CO2e/t) shall be used</t>
  </si>
  <si>
    <t xml:space="preserve">Repeat equation 6 for each stratum. </t>
  </si>
  <si>
    <t>𝑃𝐸sf,y</t>
  </si>
  <si>
    <t>Project emissions resulting from of soil fertilization and management in year y (t CO2e)</t>
  </si>
  <si>
    <t>𝑞n,y</t>
  </si>
  <si>
    <t>Rate of nitrogen applied in year y (t N/ha)</t>
  </si>
  <si>
    <t>𝐴ftm,y</t>
  </si>
  <si>
    <t>Area of land subjected to soil fertilization and management in year y (ha)</t>
  </si>
  <si>
    <t>𝐸𝐹ft</t>
  </si>
  <si>
    <t xml:space="preserve">Aggregate emission factor for N2O and CO2 emissions resulting from production and application of nitrogen (t CO2e/(t N)). </t>
  </si>
  <si>
    <t>Fixed default</t>
  </si>
  <si>
    <t xml:space="preserve">A default value of 11.29 t CO2e/(t N) shall be used. </t>
  </si>
  <si>
    <t>𝑃𝐸sm,y</t>
  </si>
  <si>
    <t>Project emissions resulting from soil management in year y</t>
  </si>
  <si>
    <t>Project emissions resulting from soil management in year y (tCO2e)</t>
  </si>
  <si>
    <t xml:space="preserve">∆𝑆𝑂𝐶𝑖 </t>
  </si>
  <si>
    <t>Loss of soil organic carbon in land stratum i ( t C)</t>
  </si>
  <si>
    <t>𝐴soc,i</t>
  </si>
  <si>
    <t>Area of land stratum i (ha)</t>
  </si>
  <si>
    <t>𝑆𝑂𝐶ref,i</t>
  </si>
  <si>
    <t>Reference SOC stock applicable to land stratum i (t C/ha)</t>
  </si>
  <si>
    <t>See Table 1 in defaults tab. After the first crediting period of the project, the value of PESOC,y shall be 0.</t>
  </si>
  <si>
    <t>𝑓lub,i</t>
  </si>
  <si>
    <t>Relative stock change factor for land-use in the baseline in stratum i</t>
  </si>
  <si>
    <t xml:space="preserve">See Tables 2-4 in defaults tab. </t>
  </si>
  <si>
    <t>𝑓mgb,i</t>
  </si>
  <si>
    <t>Relative stock change factor for land management in the baseline in stratum i</t>
  </si>
  <si>
    <t xml:space="preserve">See Table 2-4 in defaults tab. </t>
  </si>
  <si>
    <t>𝑓inb,i</t>
  </si>
  <si>
    <t>Relative stock change factor for input in the baseline in stratum i</t>
  </si>
  <si>
    <t>𝑓lup,i</t>
  </si>
  <si>
    <t>Relative stock change factor for land-use in the project in stratum i</t>
  </si>
  <si>
    <t>𝑓mgp,i</t>
  </si>
  <si>
    <t>Relative stock change factor for land management in the project in stratum i</t>
  </si>
  <si>
    <t>𝑓inp,i</t>
  </si>
  <si>
    <t>Relative stock change factor for input in the project in stratum i</t>
  </si>
  <si>
    <t xml:space="preserve">The totals of these results are summed by </t>
  </si>
  <si>
    <t xml:space="preserve">Repeat equation 3 for each stratum but do not sum. These will be summed by equation 2. </t>
  </si>
  <si>
    <t>𝑃𝐸soc,y</t>
  </si>
  <si>
    <t>Project emissions resulting from loss of soil organic carbon in year y (tCO2e)</t>
  </si>
  <si>
    <t>T</t>
  </si>
  <si>
    <t xml:space="preserve">Length of the first crediting period of the project in years </t>
  </si>
  <si>
    <t>For each stratum of the areas of land which is subjected to soil disturbance attributable to project activity and for which the total area disturbed is less than 10% of the area of the stratum, emissions resulting from loss of soil organic carbon may be accounted as zero. After the first crediting period of the project, the value of PESOC,y shall be 0.</t>
  </si>
  <si>
    <t>Biomass originating from land areas included in registered afforestation/reforestation (A/R) project activities may be considered to have no project emissions, provided that the emission reductions from the A/R project activity have been verified and issued for the time period in which the biomass was harvested.</t>
  </si>
  <si>
    <t>PEbt,y and PEbrt,y</t>
  </si>
  <si>
    <t>Project emissions resulting from transportation of biomass in year y and Project emissions resulting from transportation of biomass residues in year y</t>
  </si>
  <si>
    <t>As an alternative to the monitoring of the parameters needed to calculate the emissions from the transportation, project proponents may apply the following options: (a) For microscale and small-scale project activities, apply a default emission factor of
0.0142 tCO2/tonne of biomass. (b) For large-scale project activities, apply a net-to-gross adjustment of 10% , i.e. multiply the emission reductions determined based on the applied methodology by 0.9 to determine the final amount of emission reductions that can be claimed
0.9 to determine the final amount of emission reductions that can be claimed</t>
  </si>
  <si>
    <t>PEbt,y</t>
  </si>
  <si>
    <t>Project emissions resulting from transportation of biomass in year y</t>
  </si>
  <si>
    <t>(i) If the biomass produced is utilized without further processing, the route shall include only the transport of the biomass between the biomass production site and the biomass utilization facility;
(ii) If the biomass is processed before being utilized, the routes shall include the transport between (i) the biomass production site and the biomass processing facility, and (ii) the biomass processing facility and the biomass utilization facility;</t>
  </si>
  <si>
    <t>PEbrt,y</t>
  </si>
  <si>
    <t>Project emissions resulting from transportation of biomass residues in year y</t>
  </si>
  <si>
    <t>(i) If the biomass residues are consumed without further processing, the route shall include only the transport of the biomass residues between the biomass processing facility or the biomass generation site and the biomass residues
utilization facility; (ii) If the biomass residues are processed before being utilized, the routes shall include the transport between (i) the biomass processing facility or the biomass generation site and the biomass residues processing facility, and (ii) the biomass residues processing facility and the biomass residues utilization facility</t>
  </si>
  <si>
    <t>PEbp,y and PEbrp,y</t>
  </si>
  <si>
    <t>Project emissions resulting from processing of biomass in year y and Project emissions resulting from processing of biomass residues in year y</t>
  </si>
  <si>
    <t>𝑃𝐸bp,𝑎𝑑𝑑𝑖𝑡𝑖𝑣𝑒𝑠,𝑡𝑟𝑎𝑛𝑠𝑝𝑜𝑟t</t>
  </si>
  <si>
    <t>Project emissions from the transportation of the additives from the production site to the biomass processing facility (tCO2)</t>
  </si>
  <si>
    <t>The simplifications contained in paragraph 31 also apply.</t>
  </si>
  <si>
    <t>𝑃𝐸bp,𝑎𝑑𝑑𝑖𝑡𝑖𝑣𝑒𝑠,𝑒𝑙𝑒𝑐𝑡𝑟𝑖𝑐𝑖𝑡𝑦,y</t>
  </si>
  <si>
    <t>Project emissions from the consumption of electricity to produce the additives used by the biomass processing facility (tCO2)</t>
  </si>
  <si>
    <t>𝑃𝐸bp,𝑎𝑑𝑑𝑖𝑡𝑖𝑣𝑒𝑠,𝐹𝐹,y</t>
  </si>
  <si>
    <t>Project emissions from the consumption of fossil fuels to produce the additives used by the biomass processing facility (tCO2)</t>
  </si>
  <si>
    <t>𝑃𝐸bp,additives,y</t>
  </si>
  <si>
    <t>Project emissions resulting from the use of additives to process the biomass in year y (tCO2e)</t>
  </si>
  <si>
    <t>As an alternative to the monitoring of the parameters needed to calculate 𝑃𝐸𝐵𝑃,𝑎𝑑𝑑𝑖𝑡𝑖𝑣𝑒𝑠,𝑦 and 𝑃𝐸𝐵𝑅𝑃,𝑎𝑑𝑑𝑖𝑡𝑖𝑣𝑒𝑠,𝑦, project proponents may apply the following options: (a) If the ratio between the additive consumed and the biomass or biomass residue processed (mass or volume basis) is below or equal to 2%, these emission sources may be neglected; (b) If the ratio between the additive consumed and the biomass or biomass residue processed ( mass or volume basis) is above 2% and below or equal to 10%, only the emissions from the consumption of electricity and fuel to produce the additives may be accounted. Project proponents may determine these emission sources based on literature such as peer reviewed studies. (c) If the ratio between the additive consumed and the biomass or biomass residue processed (mass or volume basis) is above 10%, emissions from both the consumption of electricity and fuel to produce the additives and to transport the additives shall be accounted. Project proponents may determine these emission sources based on literature such as peer reviewed studies.</t>
  </si>
  <si>
    <t>𝐺𝑊𝑃ch4</t>
  </si>
  <si>
    <t>Global warming potential for methane valid for the relevant commitment period (tCO2/tCH4)</t>
  </si>
  <si>
    <t>Fixed Default</t>
  </si>
  <si>
    <t>𝑉bp,𝑤𝑤,y</t>
  </si>
  <si>
    <t>Quantity of wastewater generated from the processing of biomass in year y (m³)</t>
  </si>
  <si>
    <t>𝐶𝑂𝐷bp,𝑤𝑤,y</t>
  </si>
  <si>
    <t>Average chemical oxygen demand of the wastewater generated from the processing of biomass in year y (tCOD/m³)</t>
  </si>
  <si>
    <t>𝐵𝑜,ww</t>
  </si>
  <si>
    <t>Methane generation potential of the wastewater (t CH4/tCOD)</t>
  </si>
  <si>
    <t>𝑀𝐶𝐹bp,𝑤w</t>
  </si>
  <si>
    <t>Methane correction factor for the treatment of wastewater generated from the processing of biomass in year y (ratio)</t>
  </si>
  <si>
    <t>𝑃𝐸bp,ww,y</t>
  </si>
  <si>
    <t>Project emissions resulting from wastewater treatment due to thermochemical, biological and mechanical processing of the biomass in year y (tCO2e)</t>
  </si>
  <si>
    <t>𝑃𝐸bp,𝑒𝑙𝑒𝑐𝑡𝑟𝑖𝑐𝑖𝑡𝑦,y</t>
  </si>
  <si>
    <t>Project emissions resulting from the consumption of electricity due to thermo-chemical, biological and mechanical processing of the biomass in year y (tCO2e)</t>
  </si>
  <si>
    <t>𝑃𝐸bp,fuel,y</t>
  </si>
  <si>
    <t>Project emissions resulting from the consumption of fossil fuels for thermo-chemical, biological and mechanical processing of the biomass in year y (tCO2e)</t>
  </si>
  <si>
    <t>𝑃𝐸bp,𝐶𝐻4,y</t>
  </si>
  <si>
    <t>Project methane emissions resulting from the decay of biomass under anaerobic conditions as a result of thermo-chemical, biological and mechanical processing in year y (tCO2e)</t>
  </si>
  <si>
    <t>𝑃𝐸bp,comp,y</t>
  </si>
  <si>
    <t>Project emissions resulting from composting due to thermo-chemical, biological and mechanical processing of the biomass in year y (tCO2e)</t>
  </si>
  <si>
    <t>𝑃𝐸bp,ad,y</t>
  </si>
  <si>
    <t>Project emissions resulting from the anaerobic digester due to thermochemical, biological and mechanical processing of the biomass in year y (tCO2e)</t>
  </si>
  <si>
    <t>PEbp,y</t>
  </si>
  <si>
    <t>Project emissions resulting from processing of biomass in year y</t>
  </si>
  <si>
    <t>𝑃𝐸brp,𝑎𝑑𝑑𝑖𝑡𝑖𝑣𝑒𝑠,𝑡𝑟𝑎𝑛𝑠𝑝𝑜𝑟t</t>
  </si>
  <si>
    <t>Project emissions from the transportation of the additives from the production site to the biomass residues processing facility (tCO2)</t>
  </si>
  <si>
    <t>𝑃𝐸brp,𝑎𝑑𝑑𝑖𝑡𝑖𝑣𝑒𝑠,𝑒𝑙𝑒𝑐𝑡𝑟𝑖𝑐𝑖𝑡𝑦,y</t>
  </si>
  <si>
    <t>Project emissions from the consumption of electricity to produce the additives used by the biomass residues processing facility (tCO2)</t>
  </si>
  <si>
    <t>𝑃𝐸brp,𝑎𝑑𝑑𝑖𝑡𝑖𝑣𝑒𝑠,𝐹𝐹,y</t>
  </si>
  <si>
    <t>Project emissions from the consumption of fossil fuels to produce the additives used by the biomass residues processing facility (tCO2)</t>
  </si>
  <si>
    <t>𝑃𝐸brp,additives,y</t>
  </si>
  <si>
    <t>Project emissions resulting from the use of additives to process the biomass residues in year y (tCO2e)</t>
  </si>
  <si>
    <t>𝑉brp,𝑤𝑤,y</t>
  </si>
  <si>
    <t>Quantity of wastewater generated from the processing of biomass residues in year y (m³)</t>
  </si>
  <si>
    <t>𝐶𝑂𝐷brp,𝑤𝑤,y</t>
  </si>
  <si>
    <t>Average chemical oxygen demand of the wastewater generated from the processing of biomass residues in year y (tCOD/m³)</t>
  </si>
  <si>
    <t>𝑀𝐶𝐹brp,𝑤w</t>
  </si>
  <si>
    <t>Methane correction factor for the treatment of wastewater generated from the processing of biomass residues in year y (ratio)</t>
  </si>
  <si>
    <t>𝑃𝐸brp,ww,y</t>
  </si>
  <si>
    <t>Project emissions resulting from wastewater treatment due to thermochemical, biological and mechanical processing of the biomass residues in year y (tCO2e)</t>
  </si>
  <si>
    <t>𝑃𝐸brp,𝑒𝑙𝑒𝑐𝑡𝑟𝑖𝑐𝑖𝑡𝑦,y</t>
  </si>
  <si>
    <t>Project emissions resulting from the consumption of electricity due to thermo-chemical, biological and mechanical processing of the biomass residues in year y (tCO2e)</t>
  </si>
  <si>
    <t>𝑃𝐸brp,fuel,y</t>
  </si>
  <si>
    <t>Project emissions resulting from the consumption of fossil fuels for thermo-chemical, biological and mechanical processing of the biomass residues in year y (tCO2e)</t>
  </si>
  <si>
    <t>𝑃𝐸brp,𝐶𝐻4,y</t>
  </si>
  <si>
    <t>Project methane emissions resulting from the decay of biomass residues under anaerobic conditions as a result of thermo-chemical, biological and mechanical processing in year y (tCO2e)</t>
  </si>
  <si>
    <t>𝑃𝐸brp,comp,y</t>
  </si>
  <si>
    <t>Project emissions resulting from composting due to thermo-chemical, biological and mechanical processing of the biomass residues in year y (tCO2e)</t>
  </si>
  <si>
    <t>𝑃𝐸brp,ad,y</t>
  </si>
  <si>
    <t>Project emissions resulting from the anaerobic digester due to thermochemical, biological and mechanical processing of the biomass residues in year y (tCO2e)</t>
  </si>
  <si>
    <t>PEbrp,y</t>
  </si>
  <si>
    <t>Project emissions resulting from processing of biomass residues in year y</t>
  </si>
  <si>
    <t>LEbc,y</t>
  </si>
  <si>
    <t xml:space="preserve">Leakage due to shift of pre-project activities resulting from cultivation of biomass in a dedicated plantation in year y </t>
  </si>
  <si>
    <t>Percentage of families/households of the community involved in or affected by the project activity displaced (from within to outside of the project boundary) due to the project activity</t>
  </si>
  <si>
    <t>Percentage of total production of the main product (e.g. meat, corn) within the project boundary displaced due to the cultivation of biomass</t>
  </si>
  <si>
    <t xml:space="preserve">The BE and PE parameters can be found in the mainframe schema. </t>
  </si>
  <si>
    <t>LEbr,div,y</t>
  </si>
  <si>
    <t>Leakage due to diversion of biomass residues from other applications in year y</t>
  </si>
  <si>
    <t>𝐸𝐹co2,le</t>
  </si>
  <si>
    <t>CO2 emission factor of the most carbon intensive fossil fuel used in the country (t CO2/GJ)</t>
  </si>
  <si>
    <t>𝐵𝑅pj,𝑛,y</t>
  </si>
  <si>
    <t>Quantity of biomass residues of category n used in facilities which are located at the project site and included in the project boundary in year y (tonnes on dry-basis)</t>
  </si>
  <si>
    <t>The determination of BRpj,n,y shall be based on the monitored amounts of biomass residues used in facilities included in the project boundary.</t>
  </si>
  <si>
    <t>𝑁𝐶𝑉𝑛,y</t>
  </si>
  <si>
    <t>Net calorific value of the biomass residues of category n in year y (GJ/tonne of dry matter)</t>
  </si>
  <si>
    <t xml:space="preserve">The main potential source of leakage due to biomass residues is an increase in emissions from fossil fuel combustion or other sources due to diversion of biomass residues from other uses to the project plant as a result of the project activity. The alternative scenario for biomass residues for which this potential leakage is relevant is B4. 
The actual leakage emissions in each of these cases may differ significantly and depend on the specific situation of each project activity. For that reason, a simplified approach is used in this tool: it is assumed that an equivalent amount of fossil fuels, on energy basis, would be used if biomass residues are diverted from other users, no matter what the use of biomass residues would be in the alternative scenario.
Therefore, for the categories of biomass residues whose alternative scenario has been identified as B4. </t>
  </si>
  <si>
    <t>[Click to add category of biomass residues]</t>
  </si>
  <si>
    <t>Repeat equation 15 for each residue category.</t>
  </si>
  <si>
    <t>LEbrt,y</t>
  </si>
  <si>
    <t>Leakage due to the transportation of biomass residues outside of the project boundary in year y</t>
  </si>
  <si>
    <t>LEbrp,y</t>
  </si>
  <si>
    <t>Leakage due to processing of biomass residues outside the project boundary in year y</t>
  </si>
  <si>
    <t>LEbrp,𝑎𝑑𝑑𝑖𝑡𝑖𝑣𝑒𝑠,𝑡𝑟𝑎𝑛𝑠𝑝𝑜𝑟t</t>
  </si>
  <si>
    <t>Leakage emissions from the transportation of the additives from the production site to the biomass residues processing facility (tCO2)</t>
  </si>
  <si>
    <t>LEbrp,𝑎𝑑𝑑𝑖𝑡𝑖𝑣𝑒𝑠,𝑒𝑙𝑒𝑐𝑡𝑟𝑖𝑐𝑖𝑡𝑦,y</t>
  </si>
  <si>
    <t>Leakage emissions from the consumption of electricity to produce the additives used by the biomass residues processing facility (tCO2)</t>
  </si>
  <si>
    <t>LEbrp,𝑎𝑑𝑑𝑖𝑡𝑖𝑣𝑒𝑠,𝐹𝐹,y</t>
  </si>
  <si>
    <t>Leakage emissions from the consumption of fossil fuels to produce the additives used by the biomass residues processing facility (tCO2)</t>
  </si>
  <si>
    <t>LEbrp,additives,y</t>
  </si>
  <si>
    <t>Leakage emissions resulting from the use of additives to process the biomass residues in year y (tCO2e)</t>
  </si>
  <si>
    <t>As an alternative to the monitoring of the parameters needed to calculate LE𝐵𝑃,𝑎𝑑𝑑𝑖𝑡𝑖𝑣𝑒𝑠,𝑦 and LE𝐵𝑅𝑃,𝑎𝑑𝑑𝑖𝑡𝑖𝑣𝑒𝑠,𝑦, Leakage proponents may apply the following options: (a) If the ratio between the additive consumed and the biomass or biomass residue processed (mass or volume basis) is below or equal to 2%, these emission sources may be neglected; (b) If the ratio between the additive consumed and the biomass or biomass residue processed ( mass or volume basis) is above 2% and below or equal to 10%, only the emissions from the consumption of electricity and fuel to produce the additives may be accounted. Leakage proponents may determine these emission sources based on literature such as peer reviewed studies. (c) If the ratio between the additive consumed and the biomass or biomass residue processed (mass or volume basis) is above 10%, emissions from both the consumption of electricity and fuel to produce the additives and to transport the additives shall be accounted. Leakage proponents may determine these emission sources based on literature such as peer reviewed studies.</t>
  </si>
  <si>
    <t>LEbrp,ww,y</t>
  </si>
  <si>
    <t>Leakage emissions resulting from wastewater treatment due to thermochemical, biological and mechanical processing of the biomass residues in year y (tCO2e)</t>
  </si>
  <si>
    <t>L𝐸brp,𝑒𝑙𝑒𝑐𝑡𝑟𝑖𝑐𝑖𝑡𝑦,y</t>
  </si>
  <si>
    <t>Leakage emissions resulting from the consumption of electricity due to thermo-chemical, biological and mechanical processing of the biomass residues in year y (tCO2e)</t>
  </si>
  <si>
    <t>L𝐸brp,fuel,y</t>
  </si>
  <si>
    <t>Leakage emissions resulting from the consumption of fossil fuels for thermo-chemical, biological and mechanical processing of the biomass residues in year y (tCO2e)</t>
  </si>
  <si>
    <t>L𝐸brp,𝐶𝐻4,y</t>
  </si>
  <si>
    <t>Leakage methane emissions resulting from the decay of biomass residues under anaerobic conditions as a result of thermo-chemical, biological and mechanical processing in year y (tCO2e)</t>
  </si>
  <si>
    <t>L𝐸brp,comp,y</t>
  </si>
  <si>
    <t>Leakage emissions resulting from composting due to thermo-chemical, biological and mechanical processing of the biomass residues in year y (tCO2e)</t>
  </si>
  <si>
    <t>L𝐸brp,ad,y</t>
  </si>
  <si>
    <t>Leakage emissions resulting from the anaerobic digester due to thermochemical, biological and mechanical processing of the biomass residues in year y (tCO2e)</t>
  </si>
  <si>
    <t>Leakage emissions resulting from processing of biomass residues in year y</t>
  </si>
  <si>
    <t>[Click to add year]</t>
  </si>
  <si>
    <t xml:space="preserve">Add a new calculation/instance of this tool for each additional year. Sum the years to get the totals for project or leakage emissions (see summary tab). </t>
  </si>
  <si>
    <t>Project Emissions (PE) from Biomass</t>
  </si>
  <si>
    <t>Total for Year Y</t>
  </si>
  <si>
    <t>Leakage Emissions (LE) from Biomass</t>
  </si>
  <si>
    <t>Included or Omitted</t>
  </si>
  <si>
    <t xml:space="preserve">Applicability </t>
  </si>
  <si>
    <t>Length of the first crediting period of the project in years</t>
  </si>
  <si>
    <t>Level of the management activities on cropland</t>
  </si>
  <si>
    <t>Temperature regime of the cropland</t>
  </si>
  <si>
    <t>Moisture regime of the cropland</t>
  </si>
  <si>
    <t>Soil amendment agent type</t>
  </si>
  <si>
    <t xml:space="preserve">Project Scale </t>
  </si>
  <si>
    <t>Alternative scenario of the biomass residues</t>
  </si>
  <si>
    <t xml:space="preserve">Applicable </t>
  </si>
  <si>
    <t>Long-term cultivated</t>
  </si>
  <si>
    <t>Cool temperate</t>
  </si>
  <si>
    <t>Dry</t>
  </si>
  <si>
    <t>Limestone</t>
  </si>
  <si>
    <t>Large</t>
  </si>
  <si>
    <t>B1: The biomass residues are dumped or left to decay mainly under aerobic conditions. This applies, for example, to dumping and decay of biomass residues on fields.</t>
  </si>
  <si>
    <t>Leakage Emissions (LE)</t>
  </si>
  <si>
    <t xml:space="preserve">Not Applicable </t>
  </si>
  <si>
    <t>Set aside (&lt; 20 yrs)</t>
  </si>
  <si>
    <t>Warm temperate</t>
  </si>
  <si>
    <t>Moist</t>
  </si>
  <si>
    <t>Dolomite</t>
  </si>
  <si>
    <t xml:space="preserve">B2: The biomass residues are dumped or left to decay under clearly anaerobic conditions. This applies, for example, to landfills which are deeper than five meters. This does not apply to biomass residues that are stock-piled or left to decay on fields. </t>
  </si>
  <si>
    <t>Full tillage</t>
  </si>
  <si>
    <t>Temperate</t>
  </si>
  <si>
    <t>Moist/Wet</t>
  </si>
  <si>
    <t xml:space="preserve">B3: The biomass residues are burnt in an uncontrolled manner without utilizing it for energy purposes. </t>
  </si>
  <si>
    <t>Reduced tillage</t>
  </si>
  <si>
    <t>Boreal</t>
  </si>
  <si>
    <t>Wet</t>
  </si>
  <si>
    <t>NA</t>
  </si>
  <si>
    <t>No-tillage</t>
  </si>
  <si>
    <t>Tropical</t>
  </si>
  <si>
    <t>Tropical montane</t>
  </si>
  <si>
    <t xml:space="preserve">Tool 03: Tool to calculate project or leakage CO2 emissions from fossil fuel combustion </t>
  </si>
  <si>
    <t>Auto-Calculated</t>
  </si>
  <si>
    <r>
      <rPr>
        <sz val="18"/>
        <color rgb="FF000000"/>
        <rFont val="Calibri"/>
        <scheme val="minor"/>
      </rPr>
      <t>PE</t>
    </r>
    <r>
      <rPr>
        <vertAlign val="subscript"/>
        <sz val="18"/>
        <color rgb="FF000000"/>
        <rFont val="Calibri"/>
        <scheme val="minor"/>
      </rPr>
      <t xml:space="preserve">FC,j,y </t>
    </r>
  </si>
  <si>
    <t>Total CO2 emissions from fossil fuel combustion in process j during the year y (tCO2/yr) (From all Cases)</t>
  </si>
  <si>
    <t>Sum of emissions from all cases added.</t>
  </si>
  <si>
    <t>Case 1: Questionnaire to determine calculation method 
[Click to add project or leakage CO2 emissions from fossil fuel combustion based on fuel type]</t>
  </si>
  <si>
    <t>𝑖</t>
  </si>
  <si>
    <t>What fuel types are combusted in the project activity process?</t>
  </si>
  <si>
    <t>Natural gas</t>
  </si>
  <si>
    <t>Specify which combustion process this tool is being applied to</t>
  </si>
  <si>
    <t>Anaerobic digester</t>
  </si>
  <si>
    <t>If/then</t>
  </si>
  <si>
    <t xml:space="preserve">What approach would you like to use to calculate the CO2 emission coefficient? </t>
  </si>
  <si>
    <t>Option A</t>
  </si>
  <si>
    <r>
      <rPr>
        <b/>
        <u/>
        <sz val="11"/>
        <color rgb="FF000000"/>
        <rFont val="Calibri"/>
        <scheme val="minor"/>
      </rPr>
      <t>Option A:</t>
    </r>
    <r>
      <rPr>
        <sz val="11"/>
        <color rgb="FF000000"/>
        <rFont val="Calibri"/>
        <scheme val="minor"/>
      </rPr>
      <t xml:space="preserve"> The CO2 emission coefficient is calculated based on the chemical composition of the fossil fuel type. (Option A should be the preferred approach, if the necessary data is available.)
</t>
    </r>
    <r>
      <rPr>
        <b/>
        <u/>
        <sz val="11"/>
        <color rgb="FF000000"/>
        <rFont val="Calibri"/>
        <scheme val="minor"/>
      </rPr>
      <t>Option B:</t>
    </r>
    <r>
      <rPr>
        <sz val="11"/>
        <color rgb="FF000000"/>
        <rFont val="Calibri"/>
        <scheme val="minor"/>
      </rPr>
      <t xml:space="preserve"> The CO2 emission coefficient is calculated based on net calorific value and CO2 emission factor of the fuel type. 
</t>
    </r>
  </si>
  <si>
    <t>Is the fuel used measused in a mass or volume unit?</t>
  </si>
  <si>
    <t>Mass</t>
  </si>
  <si>
    <t>Mass or Volume (if Mass is selected then cell F13 should be used, if Volume is selected then cell F14 should be used. Note: Only relavent if Option A is seleted)</t>
  </si>
  <si>
    <t>Emissions</t>
  </si>
  <si>
    <r>
      <t>PE</t>
    </r>
    <r>
      <rPr>
        <vertAlign val="subscript"/>
        <sz val="18"/>
        <color theme="1"/>
        <rFont val="Calibri"/>
        <family val="2"/>
        <scheme val="minor"/>
      </rPr>
      <t xml:space="preserve">FC,j,y </t>
    </r>
  </si>
  <si>
    <t>CO2 emissions from fossil fuel combustion in process j during the year y (tCO2/yr)</t>
  </si>
  <si>
    <r>
      <t>FC</t>
    </r>
    <r>
      <rPr>
        <vertAlign val="subscript"/>
        <sz val="18"/>
        <color theme="1"/>
        <rFont val="Calibri"/>
        <family val="2"/>
        <scheme val="minor"/>
      </rPr>
      <t>i,j,y</t>
    </r>
  </si>
  <si>
    <t>Quantity of fuel type i combusted in process j during the year y (mass or volume unit/yr)</t>
  </si>
  <si>
    <r>
      <t>COEF</t>
    </r>
    <r>
      <rPr>
        <vertAlign val="subscript"/>
        <sz val="18"/>
        <color theme="1"/>
        <rFont val="Calibri"/>
        <family val="2"/>
        <scheme val="minor"/>
      </rPr>
      <t>i,y</t>
    </r>
  </si>
  <si>
    <t>CO2 emission coefficient of fuel type i in year y (tCO2/mass or volume unit)</t>
  </si>
  <si>
    <t xml:space="preserve">This value will come from cell G14, G15, or G19 depending on the responses from the questionnaire </t>
  </si>
  <si>
    <r>
      <t>The CO2 emission coefficient COEFi,</t>
    </r>
    <r>
      <rPr>
        <i/>
        <sz val="16"/>
        <color rgb="FF000000"/>
        <rFont val="Calibri"/>
        <family val="2"/>
        <scheme val="minor"/>
      </rPr>
      <t xml:space="preserve">y </t>
    </r>
    <r>
      <rPr>
        <b/>
        <sz val="16"/>
        <color rgb="FF000000"/>
        <rFont val="Calibri"/>
        <family val="2"/>
        <scheme val="minor"/>
      </rPr>
      <t>Option A</t>
    </r>
  </si>
  <si>
    <t>CO2 emission coefficient of fuel type i in year y (tCO2/Mass Unit)</t>
  </si>
  <si>
    <t>If Mass Unit</t>
  </si>
  <si>
    <t>CO2 emission coefficient of fuel type i in year y (tCO2/Volume Unit)</t>
  </si>
  <si>
    <t>If Volume Unit</t>
  </si>
  <si>
    <r>
      <t>w</t>
    </r>
    <r>
      <rPr>
        <vertAlign val="subscript"/>
        <sz val="18"/>
        <color theme="1"/>
        <rFont val="Calibri"/>
        <family val="2"/>
        <scheme val="minor"/>
      </rPr>
      <t>c,i,y</t>
    </r>
  </si>
  <si>
    <t>Weighted average mass fraction of carbon in fuel type i in year y (tC/mass unit of the fuel)</t>
  </si>
  <si>
    <r>
      <t>P</t>
    </r>
    <r>
      <rPr>
        <vertAlign val="subscript"/>
        <sz val="18"/>
        <color theme="1"/>
        <rFont val="Calibri"/>
        <family val="2"/>
        <scheme val="minor"/>
      </rPr>
      <t>i,y</t>
    </r>
  </si>
  <si>
    <t>Weighted average density of fuel type i in year y (mass unit/volume unit of the fuel)</t>
  </si>
  <si>
    <t>The CO2 emission coefficient COEFi,y Option B</t>
  </si>
  <si>
    <r>
      <t>NCV</t>
    </r>
    <r>
      <rPr>
        <vertAlign val="subscript"/>
        <sz val="18"/>
        <color theme="1"/>
        <rFont val="Calibri"/>
        <family val="2"/>
        <scheme val="minor"/>
      </rPr>
      <t>i,y</t>
    </r>
  </si>
  <si>
    <t>Weighted average net calorific value of the fuel type i in year y (GJ/mass or volume unit)</t>
  </si>
  <si>
    <r>
      <t>EF</t>
    </r>
    <r>
      <rPr>
        <vertAlign val="subscript"/>
        <sz val="18"/>
        <color theme="1"/>
        <rFont val="Calibri"/>
        <family val="2"/>
        <scheme val="minor"/>
      </rPr>
      <t>CO2,y,y</t>
    </r>
  </si>
  <si>
    <t>Weighted average CO2 emission factor of fuel type i in year y (tCO2/GJ)</t>
  </si>
  <si>
    <t>Case 2: Questionnaire to determine calculation method 
[Click to add project or leakage CO2 emissions from fossil fuel combustion based on fuel type]</t>
  </si>
  <si>
    <t>Enum</t>
  </si>
  <si>
    <t>Option B</t>
  </si>
  <si>
    <t>Volume</t>
  </si>
  <si>
    <t xml:space="preserve">This value will come from cell G32, G33, or G37 depending on the responses from the questionnaire </t>
  </si>
  <si>
    <t xml:space="preserve">To which emission category is the tool being applied? </t>
  </si>
  <si>
    <t>Baseline Emissions (BE)</t>
  </si>
  <si>
    <t>Select one</t>
  </si>
  <si>
    <t xml:space="preserve">Will the project be implementing Application A or Application B? </t>
  </si>
  <si>
    <t>Application B</t>
  </si>
  <si>
    <t xml:space="preserve">Application A: The CDM project activity mitigates methane emissions from a specific existing SWDS. Methane emissions are mitigated by capturing and flaring or combusting the methane (e.g. “ACM0001: Flaring or use of landfill gas”). The methane is generated from waste disposed in the past, including prior to the start of the CDM project activity. In these cases, the tool is only applied for an ex ante estimation of emissions in the project design document (CDM-PDD). The emissions will then be monitored during the crediting period using the applicable approaches in the relevant methodologies (e.g. measuring the amount of methane captured from the SWDS). 
Application B: The CDM project activity avoids or involves the disposal of waste at a SWDS. An example of this application of the tool is ACM0022, in which municipal solid waste (MSW) is treated with an alternative option, such as composting or anaerobic digestion, and is then prevented from being disposed of in a SWDS. The methane is generated from waste disposed or avoided from disposal during the crediting period. In these cases, the tool can be applied for both ex ante and ex post estimation of emissions. These project activities may apply the simplified approach detailed in 0 when calculating baseline emissions. </t>
  </si>
  <si>
    <t xml:space="preserve">Is methane captured (e.g. due to safety regulations) and flared, combusted or used in another manner that prevents emissions of methane to the atmosphere? </t>
  </si>
  <si>
    <t xml:space="preserve">Is the tool being applied to MSW? </t>
  </si>
  <si>
    <t xml:space="preserve">Is the tool being applied to residual waste? </t>
  </si>
  <si>
    <t>For the baseline model correction factor (parameter φy), will you use a default value (option 1) or a project specific value estimated yearly (option 2)?</t>
  </si>
  <si>
    <t>Option 1 (Default)</t>
  </si>
  <si>
    <t>Please indicate the climate conditions of the SWDS</t>
  </si>
  <si>
    <t>Humid/wet conditions</t>
  </si>
  <si>
    <t>Please indicate the climate type of the SWDS</t>
  </si>
  <si>
    <t xml:space="preserve">Is the solid waste weighed using accurate weighbridges or estimated, such as from the depth and surface area of
an existing SWDS? </t>
  </si>
  <si>
    <t>Estimated</t>
  </si>
  <si>
    <t>Is more than 50 percent of the waste rapidly degradable organic material?</t>
  </si>
  <si>
    <t xml:space="preserve">Is the SWDS is located in a tropical climate? </t>
  </si>
  <si>
    <t xml:space="preserve">Is the SWDS managed or unmanaged? </t>
  </si>
  <si>
    <t>Managed</t>
  </si>
  <si>
    <t xml:space="preserve">Is residual waste is disposed at the SWDS? </t>
  </si>
  <si>
    <t xml:space="preserve">Were the SWDS compartments where the project is implemented closed less than three years ago? </t>
  </si>
  <si>
    <t>For the fraction of DOC that decomposes in the SWDS (DOCf), will you use a default factor or measure a project specific value?</t>
  </si>
  <si>
    <t>Measure</t>
  </si>
  <si>
    <t xml:space="preserve">Does the SWDS have a water table above the bottom of the SWDS? </t>
  </si>
  <si>
    <t xml:space="preserve">Select the applicable SWDS condition </t>
  </si>
  <si>
    <t>Unmanaged solid waste disposal sites – deep</t>
  </si>
  <si>
    <t>For the methane correction factor (DOCj), will you use a default factor or measure/calculate a project specific value?</t>
  </si>
  <si>
    <t>Default</t>
  </si>
  <si>
    <t xml:space="preserve">For industrial sludge, either a value of 9 per cent (% wet sludge) may be used as a default, assuming an organic dry matter content of 35 percent, or alternatively, if the percentage of organic dry matter content is known, then the DOC value may be calculated as follows: DOCj (% wet sludge) = 9 * (% organic dry matter content/35); 
For domestic sludge, either a value of 5 per cent (% wet sludge) may be used as a default, assuming an organic dry matter content of 10 per cent, or alternatively, if the percentage of organic dry matter content is known, then the DOC value may be calculated as follows: DOCj (% wet sludge) = 5 * (% organic dry matter content/10). 
If a waste type is not comparable to </t>
  </si>
  <si>
    <t>Select the applicable waste type (j)</t>
  </si>
  <si>
    <t>Pulp, paper and cardboard (other than sludge)</t>
  </si>
  <si>
    <t>If waste type (j) = "other", please specify</t>
  </si>
  <si>
    <t xml:space="preserve">Does the SWDS have only one type of waste disposed (for example, in the case of a residual waste)? </t>
  </si>
  <si>
    <t>Determining the baseline model correction factor (φy)</t>
  </si>
  <si>
    <t>Option 1: Default</t>
  </si>
  <si>
    <t>φdefault; Model correction factor to account for model uncertainties for year y</t>
  </si>
  <si>
    <t>Auto-calculate</t>
  </si>
  <si>
    <t>Option 2: Uncertainty Analysis</t>
  </si>
  <si>
    <t>a (W)</t>
  </si>
  <si>
    <t>b (DOCj)</t>
  </si>
  <si>
    <t>c (DOCf)</t>
  </si>
  <si>
    <t>d (F)</t>
  </si>
  <si>
    <t>e (MCFy)</t>
  </si>
  <si>
    <r>
      <t>g [e</t>
    </r>
    <r>
      <rPr>
        <vertAlign val="superscript"/>
        <sz val="11"/>
        <color theme="1"/>
        <rFont val="Calibri"/>
        <family val="2"/>
        <scheme val="minor"/>
      </rPr>
      <t>−𝑘𝑗×(𝑦−𝑥)</t>
    </r>
    <r>
      <rPr>
        <sz val="11"/>
        <color theme="1"/>
        <rFont val="Calibri"/>
        <family val="2"/>
        <scheme val="minor"/>
      </rPr>
      <t xml:space="preserve"> × (1 − e</t>
    </r>
    <r>
      <rPr>
        <vertAlign val="superscript"/>
        <sz val="11"/>
        <color theme="1"/>
        <rFont val="Calibri"/>
        <family val="2"/>
        <scheme val="minor"/>
      </rPr>
      <t>−𝑘𝑗</t>
    </r>
    <r>
      <rPr>
        <sz val="11"/>
        <color theme="1"/>
        <rFont val="Calibri"/>
        <family val="2"/>
        <scheme val="minor"/>
      </rPr>
      <t>)]</t>
    </r>
  </si>
  <si>
    <t>Vy</t>
  </si>
  <si>
    <t>Overall uncertainty of the determination of methane generation in year y</t>
  </si>
  <si>
    <t>𝜑y</t>
  </si>
  <si>
    <t>Model correction factor to account for model uncertainties for year y</t>
  </si>
  <si>
    <t>Determining the amounts of waste types j disposed in the SWDS (Wj,x or Wj,i)</t>
  </si>
  <si>
    <t>Application A</t>
  </si>
  <si>
    <t xml:space="preserve">Wj,x </t>
  </si>
  <si>
    <t xml:space="preserve">Wj,x or Wj,i calculated based on information from the SWDS owner and administration and from interviews with senior employees. </t>
  </si>
  <si>
    <t>Pn,j,x</t>
  </si>
  <si>
    <t>Fraction of the waste type j in the sample n collected during the year x (weight fraction)</t>
  </si>
  <si>
    <t xml:space="preserve">[Click to add sample] </t>
  </si>
  <si>
    <t>Zx</t>
  </si>
  <si>
    <t>Number of samples collected during the year x</t>
  </si>
  <si>
    <t>𝑊x</t>
  </si>
  <si>
    <t>Total amount of solid waste disposed or prevented from disposal in the SWDS in year x (t)</t>
  </si>
  <si>
    <t>P𝑗,x</t>
  </si>
  <si>
    <t>Average fraction of the waste type j in the waste in year x (weight fraction)</t>
  </si>
  <si>
    <t>𝑊𝑗,𝑥</t>
  </si>
  <si>
    <t>Amount of solid waste type j disposed or prevented from disposal in the SWDS in the year x (t)</t>
  </si>
  <si>
    <t>Determining the fraction of DOC that decomposes in the SWDS (DOCf,y)</t>
  </si>
  <si>
    <t>DOCf,default</t>
  </si>
  <si>
    <t xml:space="preserve">Fraction of degradable organic carbon (DOC) that decomposes under the specific conditions occurring in the SWDS for year y (weight fraction) </t>
  </si>
  <si>
    <t>Measurement (MSW)</t>
  </si>
  <si>
    <t>BMPmsw</t>
  </si>
  <si>
    <t>Biochemical methane potential for the MSW disposed or prevented from disposal (t CH4/t waste)</t>
  </si>
  <si>
    <t>F</t>
  </si>
  <si>
    <t>Fraction of methane in the SWDS gas (volume fraction)</t>
  </si>
  <si>
    <t>Pj,y</t>
  </si>
  <si>
    <t>Average fraction of the waste type j in the waste in year y (weight fraction)</t>
  </si>
  <si>
    <t>DOC,j</t>
  </si>
  <si>
    <t>Fraction of degradable organic carbon in the waste type j (weight fraction)</t>
  </si>
  <si>
    <t>𝐷𝑂𝐶𝑓,y</t>
  </si>
  <si>
    <t>Measurement (Residual Waste)</t>
  </si>
  <si>
    <t>BMPj</t>
  </si>
  <si>
    <t>Biochemical methane potential for the residual waste type j disposed or prevented from disposal (t CH4/t waste)</t>
  </si>
  <si>
    <t>Determining the methane correction factor (MCFy)</t>
  </si>
  <si>
    <t>MCFdefault</t>
  </si>
  <si>
    <t>Methane correction factor for year y</t>
  </si>
  <si>
    <t>Calculated</t>
  </si>
  <si>
    <t>ℎ𝑤,y</t>
  </si>
  <si>
    <t>Height of water table Measure from the base of the SWDS (m)</t>
  </si>
  <si>
    <t>dy</t>
  </si>
  <si>
    <t>Depth of SWDS (m)</t>
  </si>
  <si>
    <t>𝑀𝐶𝐹y</t>
  </si>
  <si>
    <t>Determining the methane correction factor (DOCj)</t>
  </si>
  <si>
    <t>𝐷𝑂𝐶𝑗,default</t>
  </si>
  <si>
    <t>Measurement/Calculate</t>
  </si>
  <si>
    <t>𝐷𝑂𝐶𝑗</t>
  </si>
  <si>
    <t>Baseline (BE), Project (PE), or Leakage (LE) Methane Emissions from SWDS</t>
  </si>
  <si>
    <t>X</t>
  </si>
  <si>
    <t>Years in the time period in which waste is disposed at the SWDS, extending from the first year in the time period (x = 1) to year y (x = y)</t>
  </si>
  <si>
    <t>y</t>
  </si>
  <si>
    <t>Year of the crediting period for which methane emissions are calculated (y is a consecutive period of 12 months)</t>
  </si>
  <si>
    <t>𝑊𝑗,x</t>
  </si>
  <si>
    <t>𝑓,y</t>
  </si>
  <si>
    <t>Fraction of methane captured at the SWDS and flared, combusted or used in another manner that prevents the emissions of methane to the atmosphere in year y</t>
  </si>
  <si>
    <t>𝐺𝑊𝑃𝐶𝐻4</t>
  </si>
  <si>
    <t>Global Warming Potential of methane</t>
  </si>
  <si>
    <t>𝑂X</t>
  </si>
  <si>
    <t>Oxidation factor (reflecting the amount of methane from SWDS that is oxidized in the soil or other material covering the waste)</t>
  </si>
  <si>
    <t>𝑀𝐶𝐹𝑦</t>
  </si>
  <si>
    <t>k</t>
  </si>
  <si>
    <t>Decay rate for the waste type j (1 / yr)</t>
  </si>
  <si>
    <t>If a waste type disposed in a SWDS cannot clearly be attributed to one
of the waste types in table 7, project participants should
choose, among the waste types that have similar characteristics, the
waste type where the values of DOCj and kj result in a conservative
estimate (lowest emissions), or request a revision of/deviation from this
methodology.</t>
  </si>
  <si>
    <t>j</t>
  </si>
  <si>
    <t xml:space="preserve">Type of residual waste or types of waste in the MSW </t>
  </si>
  <si>
    <t>[𝐵𝐸,PE,LE] 𝐶𝐻4,𝑆𝑊𝐷𝑆,y</t>
  </si>
  <si>
    <t>[Baseline, Project, or Leakage] Methane emissions occurring in year y generated from waste disposal at a SWDS during a time period ending in year y (t CO2e/yr)</t>
  </si>
  <si>
    <t>[Click to add SWDS emission calculation]</t>
  </si>
  <si>
    <t xml:space="preserve">Add a new calculation/instance of this tool for the baseline, project, and leakage emissions. For each of the above, add another instance for each waste type (j), and year (y). Sum the waste types and years to get the totals for baseline, project, and leakage emissions (see summary tab). </t>
  </si>
  <si>
    <t>CH4,SWDS,y,j</t>
  </si>
  <si>
    <t>Emissions Category</t>
  </si>
  <si>
    <t>Application</t>
  </si>
  <si>
    <t>Calculation Frequency</t>
  </si>
  <si>
    <t>Binary</t>
  </si>
  <si>
    <t>Model correction factor (φy)</t>
  </si>
  <si>
    <t>Methane correction factor (DOCj)</t>
  </si>
  <si>
    <t>Climate Conditions</t>
  </si>
  <si>
    <t>Climate Type</t>
  </si>
  <si>
    <t>Waste Types (j)</t>
  </si>
  <si>
    <t xml:space="preserve">Yearly </t>
  </si>
  <si>
    <t>Boreal and Temperate</t>
  </si>
  <si>
    <t>Wood and wood products</t>
  </si>
  <si>
    <t>Weighed</t>
  </si>
  <si>
    <t>Anaerobic managed solid waste disposal sites</t>
  </si>
  <si>
    <t>Monthly</t>
  </si>
  <si>
    <t>Option 2 (Estimated)</t>
  </si>
  <si>
    <t>Dry conditions</t>
  </si>
  <si>
    <t>Unmanaged</t>
  </si>
  <si>
    <t>Semi-aerobic managed solid waste disposal sites</t>
  </si>
  <si>
    <t>Food, food waste, beverages and tobacco (other than sludge)</t>
  </si>
  <si>
    <t>Textiles</t>
  </si>
  <si>
    <t>Unmanaged-shallow solid waste disposal sites or stockpiles that are considered SWDS</t>
  </si>
  <si>
    <t>Garden, yard and park waste</t>
  </si>
  <si>
    <t>Glass, plastic, metal, other inert waste</t>
  </si>
  <si>
    <t>Empty fruit brunches (EFB)</t>
  </si>
  <si>
    <t>Industrial sludge</t>
  </si>
  <si>
    <t>Domestic sludge</t>
  </si>
  <si>
    <t>Other</t>
  </si>
  <si>
    <t xml:space="preserve">Tool 05: Baseline, project and/or leakage emissions from electricity consumption and monitoring of electricity generation </t>
  </si>
  <si>
    <t xml:space="preserve">Questionnaire to determine calculation method </t>
  </si>
  <si>
    <t xml:space="preserve">
Tool 05 is only applicable to the following scenarios, please select the appropriate one for your project:
Scenario A: Electricity consumption from the grid
Scenario B: Electricity consumption from (an) off-grid fossil fuel fired captive power plant(s)
Scenario C: Electricity consumption from the grid and (a) fossil fuel fired captive power plant(s)</t>
  </si>
  <si>
    <t>B: Off-Grid Captive Power Plants</t>
  </si>
  <si>
    <r>
      <rPr>
        <b/>
        <sz val="12"/>
        <color rgb="FF000000"/>
        <rFont val="Calibri"/>
        <scheme val="minor"/>
      </rPr>
      <t xml:space="preserve">Scenario A: </t>
    </r>
    <r>
      <rPr>
        <sz val="12"/>
        <color rgb="FF000000"/>
        <rFont val="Calibri"/>
        <scheme val="minor"/>
      </rPr>
      <t xml:space="preserve">Electricity consumption from the grid. The electricity is purchased from the grid only, and either no captive power plant(s) is/are installed at the site of electricity consumption or, if any captive power plant exists on site, it is either not operating or it is not physically able to provide electricity to the electricity consumer. 
</t>
    </r>
    <r>
      <rPr>
        <b/>
        <sz val="12"/>
        <color rgb="FF000000"/>
        <rFont val="Calibri"/>
        <scheme val="minor"/>
      </rPr>
      <t xml:space="preserve">Scenario B: </t>
    </r>
    <r>
      <rPr>
        <sz val="12"/>
        <color rgb="FF000000"/>
        <rFont val="Calibri"/>
        <scheme val="minor"/>
      </rPr>
      <t xml:space="preserve">Electricity consumption from (an) off-grid fossil fuel fired captive power plant(s). One or more fossil fuel fired captive power plants are installed at the site of the electricity consumer and supply the consumer with electricity. The captive power plant(s) is/are not connected to the electricity grid. 
</t>
    </r>
    <r>
      <rPr>
        <b/>
        <sz val="12"/>
        <color rgb="FF000000"/>
        <rFont val="Calibri"/>
        <scheme val="minor"/>
      </rPr>
      <t>Scenario C:</t>
    </r>
    <r>
      <rPr>
        <sz val="12"/>
        <color rgb="FF000000"/>
        <rFont val="Calibri"/>
        <scheme val="minor"/>
      </rPr>
      <t xml:space="preserve"> Electricity consumption from the grid and (a) fossil fuel fired captive power plant(s). One or more fossil fuel fired captive power plants operate at the site of the electricity consumer. The captive power plant(s) can provide electricity to the electricity consumer. The captive power plant(s) is/are also connected to the electricity grid. Hence, the electricity consumer can be provided with electricity from the captive power plant(s) and the grid.</t>
    </r>
  </si>
  <si>
    <t>Generic approach</t>
  </si>
  <si>
    <r>
      <t>PE</t>
    </r>
    <r>
      <rPr>
        <vertAlign val="subscript"/>
        <sz val="18"/>
        <color theme="1"/>
        <rFont val="Calibri"/>
        <family val="2"/>
        <scheme val="minor"/>
      </rPr>
      <t>EC,y</t>
    </r>
  </si>
  <si>
    <t>Project emissions from electricity consumption in year y (t CO2 / yr)</t>
  </si>
  <si>
    <r>
      <t>EF</t>
    </r>
    <r>
      <rPr>
        <vertAlign val="subscript"/>
        <sz val="18"/>
        <color theme="1"/>
        <rFont val="Calibri"/>
        <family val="2"/>
        <scheme val="minor"/>
      </rPr>
      <t>EF,j,y</t>
    </r>
  </si>
  <si>
    <t>Project emission factor for electricity generation for source in year y (t CO2/MWh)</t>
  </si>
  <si>
    <t>This value comes from EFEL,j/k/l,y. Depending on the scenario and options chosen.</t>
  </si>
  <si>
    <r>
      <t>EC</t>
    </r>
    <r>
      <rPr>
        <vertAlign val="subscript"/>
        <sz val="18"/>
        <color theme="1"/>
        <rFont val="Calibri"/>
        <family val="2"/>
        <scheme val="minor"/>
      </rPr>
      <t>PJ,j,y</t>
    </r>
  </si>
  <si>
    <t>Quantity of electricity consumed by the project electricity consumption source in year y (MWh/yr)</t>
  </si>
  <si>
    <r>
      <t>TDL</t>
    </r>
    <r>
      <rPr>
        <vertAlign val="subscript"/>
        <sz val="18"/>
        <color theme="1"/>
        <rFont val="Calibri"/>
        <family val="2"/>
        <scheme val="minor"/>
      </rPr>
      <t>j,y</t>
    </r>
  </si>
  <si>
    <t>Average technical transmission and distribution losses for providing electricity to source for project in year y</t>
  </si>
  <si>
    <t>Sources of electricity consumption in the project</t>
  </si>
  <si>
    <r>
      <t>BE</t>
    </r>
    <r>
      <rPr>
        <vertAlign val="subscript"/>
        <sz val="18"/>
        <color theme="1"/>
        <rFont val="Calibri"/>
        <family val="2"/>
        <scheme val="minor"/>
      </rPr>
      <t>EC,y</t>
    </r>
  </si>
  <si>
    <t>Baseline emissions from electricity consumption in year y (t CO2 / yr)</t>
  </si>
  <si>
    <r>
      <t>EF</t>
    </r>
    <r>
      <rPr>
        <vertAlign val="subscript"/>
        <sz val="18"/>
        <color theme="1"/>
        <rFont val="Calibri"/>
        <family val="2"/>
        <scheme val="minor"/>
      </rPr>
      <t>EF,k,y</t>
    </r>
  </si>
  <si>
    <t>Baseline emission factor for electricity generation for source in year y (t CO2/MWh)</t>
  </si>
  <si>
    <r>
      <t>EC</t>
    </r>
    <r>
      <rPr>
        <vertAlign val="subscript"/>
        <sz val="18"/>
        <color theme="1"/>
        <rFont val="Calibri"/>
        <family val="2"/>
        <scheme val="minor"/>
      </rPr>
      <t>BL,k,y</t>
    </r>
  </si>
  <si>
    <t>Quantity of electricity that would be consumed by the baseline electricity consumer in year y (MWh/yr)</t>
  </si>
  <si>
    <r>
      <t>TDL</t>
    </r>
    <r>
      <rPr>
        <vertAlign val="subscript"/>
        <sz val="18"/>
        <color theme="1"/>
        <rFont val="Calibri"/>
        <family val="2"/>
        <scheme val="minor"/>
      </rPr>
      <t>k,y</t>
    </r>
  </si>
  <si>
    <t>Average technical transmission and distribution losses for providing electricity to source for baseline in year y</t>
  </si>
  <si>
    <t>Sources of electricity consumption in the baseline</t>
  </si>
  <si>
    <r>
      <t>LE</t>
    </r>
    <r>
      <rPr>
        <vertAlign val="subscript"/>
        <sz val="18"/>
        <color theme="1"/>
        <rFont val="Calibri"/>
        <family val="2"/>
        <scheme val="minor"/>
      </rPr>
      <t>EC,y</t>
    </r>
  </si>
  <si>
    <t>Leakage emissions from electricity consumption in year y (t CO2 / yr)</t>
  </si>
  <si>
    <r>
      <t>EF</t>
    </r>
    <r>
      <rPr>
        <vertAlign val="subscript"/>
        <sz val="18"/>
        <color theme="1"/>
        <rFont val="Calibri"/>
        <family val="2"/>
        <scheme val="minor"/>
      </rPr>
      <t>EF,l,y</t>
    </r>
  </si>
  <si>
    <t>Leakage emission factor for electricity generation for source in year y (t CO2/MWh)</t>
  </si>
  <si>
    <r>
      <t>EC</t>
    </r>
    <r>
      <rPr>
        <vertAlign val="subscript"/>
        <sz val="18"/>
        <color theme="1"/>
        <rFont val="Calibri"/>
        <family val="2"/>
        <scheme val="minor"/>
      </rPr>
      <t>LE,l,y</t>
    </r>
  </si>
  <si>
    <t>Net increase in electricity consumption of source in year y as a result of leakage (MWh/yr)</t>
  </si>
  <si>
    <r>
      <t>TDL</t>
    </r>
    <r>
      <rPr>
        <vertAlign val="subscript"/>
        <sz val="18"/>
        <color theme="1"/>
        <rFont val="Calibri"/>
        <family val="2"/>
        <scheme val="minor"/>
      </rPr>
      <t>l,y</t>
    </r>
  </si>
  <si>
    <t>Average technical transmission and distribution losses for providing electricity to source for leakage in year y</t>
  </si>
  <si>
    <t>l</t>
  </si>
  <si>
    <t>Leakage sources of electricity consumption</t>
  </si>
  <si>
    <t>Alternative approaches for project and/or leakage emissions (Only if chosen from Scenario B)</t>
  </si>
  <si>
    <r>
      <t>PE</t>
    </r>
    <r>
      <rPr>
        <vertAlign val="subscript"/>
        <sz val="18"/>
        <color theme="1"/>
        <rFont val="Calibri"/>
        <family val="2"/>
        <scheme val="minor"/>
      </rPr>
      <t>EC,j,y</t>
    </r>
  </si>
  <si>
    <t>Project emissions from electricity consumption by source(s) j in year y (t CO2 / yr)</t>
  </si>
  <si>
    <r>
      <t>LE</t>
    </r>
    <r>
      <rPr>
        <vertAlign val="subscript"/>
        <sz val="18"/>
        <color theme="1"/>
        <rFont val="Calibri"/>
        <family val="2"/>
        <scheme val="minor"/>
      </rPr>
      <t>EC,j,y</t>
    </r>
  </si>
  <si>
    <t>Leakage emissions from electricity consumption by source(s) l in year y (t CO2 / yr)</t>
  </si>
  <si>
    <r>
      <t>PP</t>
    </r>
    <r>
      <rPr>
        <vertAlign val="subscript"/>
        <sz val="18"/>
        <color theme="1"/>
        <rFont val="Calibri"/>
        <family val="2"/>
        <scheme val="minor"/>
      </rPr>
      <t>CP,j</t>
    </r>
  </si>
  <si>
    <t>Rated capacity of the captive power plant(s) that provide the project electricity consumption source(s) j with electricity (MW)</t>
  </si>
  <si>
    <t xml:space="preserve">Project electricity consumption sources that are supplied with power from captive power plant(s) installed at one site </t>
  </si>
  <si>
    <r>
      <t>PP</t>
    </r>
    <r>
      <rPr>
        <vertAlign val="subscript"/>
        <sz val="18"/>
        <color theme="1"/>
        <rFont val="Calibri"/>
        <family val="2"/>
        <scheme val="minor"/>
      </rPr>
      <t>CP,l</t>
    </r>
  </si>
  <si>
    <t>Rated capacity of the captive power plant(s) that provide the leakage electricity consumption source(s) l with electricity (MW)</t>
  </si>
  <si>
    <t xml:space="preserve">Leakage electricity consumption sources that are supplied with power from captive power plant(s) installed at one site </t>
  </si>
  <si>
    <t>Scenario A: Electricity consumption from the grid (Default Values)</t>
  </si>
  <si>
    <t>If scenario A was chosen:</t>
  </si>
  <si>
    <t>Scenario A has 2 options, please select the appropriate one for your project:
Option A1: Calculate the combined margin emission factor of the applicable electricity system, using the procedures in the latest approved version of the “Use Tool 7 to calculate the emission factor for an electricity system” (EFEL,j/k/l,y = EFgrid,CM,y). 
Option A2: Use conservative default values</t>
  </si>
  <si>
    <t>Option A2</t>
  </si>
  <si>
    <r>
      <rPr>
        <b/>
        <sz val="11"/>
        <color theme="1"/>
        <rFont val="Calibri"/>
        <family val="2"/>
        <scheme val="minor"/>
      </rPr>
      <t>"Option A2" Default Values</t>
    </r>
    <r>
      <rPr>
        <sz val="11"/>
        <color theme="1"/>
        <rFont val="Calibri"/>
        <family val="2"/>
        <scheme val="minor"/>
      </rPr>
      <t xml:space="preserve"> is the only option until Tool 07 is available </t>
    </r>
  </si>
  <si>
    <t>If Option A2:</t>
  </si>
  <si>
    <t>Choose which option applies to the Default Values for Scenario A:
2.1: Only to project and/or leakage electricity consumption sources but not to baseline electricity consumption sources
or 
2.2: Only to baseline electricity consumption sources but not to project or leakage electricity consumption sources</t>
  </si>
  <si>
    <t>Option 2.2</t>
  </si>
  <si>
    <t>If Option 2.2:</t>
  </si>
  <si>
    <t>Does hydro power plants constitute less than 50% of total grid generation in:
1) average of the five most recent years
or
2) based on long-term averages for hydroelectricity production</t>
  </si>
  <si>
    <t>If yes a value of 0.4 t CO2/MWh will be used for EFEL,j/k/l,y
If no a value of 0.25 t CO2/MWh will be used for EFEL,j/k/l,y</t>
  </si>
  <si>
    <r>
      <t>EF</t>
    </r>
    <r>
      <rPr>
        <vertAlign val="subscript"/>
        <sz val="20"/>
        <color theme="1"/>
        <rFont val="Calibri"/>
        <family val="2"/>
        <scheme val="minor"/>
      </rPr>
      <t>EL,j/k/l,y</t>
    </r>
  </si>
  <si>
    <t>Electricity consumption from the grid for project and leakage scenario calculations (CO2/MWh)</t>
  </si>
  <si>
    <t>If Option A1: Value must be derived from Tool 7
If Option A2.1: Use value of 1.3 t CO2/MWh
If Option A2.2: Use value of 0.25 t CO2/MWh (or value of 0.4 t CO2/MWh if yes to question above)</t>
  </si>
  <si>
    <t>Scenario B1: Electricity consumption from an off-grid captive power plant (Monitored Data)</t>
  </si>
  <si>
    <t>If Scenario B was chosen:</t>
  </si>
  <si>
    <t>Tool 05 provides 2 approaches to calculate project and /or leakage emissions, a generic approach or an alternative approach only if the project applies to the following:
(a) Scenario B (as described in Tool 5 Section 2.2, paragraph 5) applies to an electricity consumer
(b) The electricity consumer is a project or leakage source.
Please select if your project follows these and which approach you would like to use:</t>
  </si>
  <si>
    <t>No: Generic Approach</t>
  </si>
  <si>
    <t>If No: Generic Approach, use Generic Approach section using values from Scenario B
If Yes: Alternative Approach, use Alternative Approach section</t>
  </si>
  <si>
    <t>If "No: Generic Approach" was chosen:</t>
  </si>
  <si>
    <t>Please select which approach you would like to use for your Scenario B project calculations:</t>
  </si>
  <si>
    <t>Monitored Data</t>
  </si>
  <si>
    <t>If "Monitored Data" then continue to next question below
If "Default Values" then move to first question of Scenario B2 (Default Values)</t>
  </si>
  <si>
    <t>If "Monitored Data" was chosen:</t>
  </si>
  <si>
    <t>Choose which option applies to the monitored data:
A: Case where none of the captive power plants is a cogeneration plant or where the heat generation is ignored
or 
B: Case where the CO2 emission factor for electricity generation is calculated by allocating the fuel consumption between electricity and heat generation</t>
  </si>
  <si>
    <t>Heat Generation ignored</t>
  </si>
  <si>
    <t>If "Heat Generation Ignored" then use bottom EF "Heat Generation Ignored" values for Generic Approach
If "Fuel Consumption" then use bottom EF "Fuel Consumption" values for Generic Approach</t>
  </si>
  <si>
    <t>Emission factor for electricity generation for source j, k or l in year y (where the heatgeneration is ignored (t CO2/MWh)</t>
  </si>
  <si>
    <t>Sum of all "Heat generation ignored" values from Power Plants Sheet</t>
  </si>
  <si>
    <t>Emission factor for electricity generation for source j, k or l in year y (fuel consumption between electricity and heat generation) (t CO2/MWh)</t>
  </si>
  <si>
    <t>Sum of all "Fuel consumption between electricity and heat generation" values from Power Plants Sheet</t>
  </si>
  <si>
    <t>Scenario B2:  Electricity consumption from an off-grid captive power plant (Conservative Default Values)</t>
  </si>
  <si>
    <t>If "Default Values" was chosen:</t>
  </si>
  <si>
    <t>Choose which option applies to the Default Values for Scenario B:
A: Only to project and/or leakage electricity consumption sources but not to baseline electricity consumption sources
or 
B: Only to baseline electricity consumption sources but not to project or leakage electricity consumption sources</t>
  </si>
  <si>
    <t>Answer to this choice will determine which value below will be used</t>
  </si>
  <si>
    <t>Use this value if Option A was chosen</t>
  </si>
  <si>
    <t>Electricity consumption from the grid for baseline scenario calculations (CO2/MWh)</t>
  </si>
  <si>
    <t>Use this value if Option B was chosen</t>
  </si>
  <si>
    <t xml:space="preserve">Scenario C:  Electricity consumption from the grid and (a) fossil fuel fired captive power plant(s) </t>
  </si>
  <si>
    <r>
      <t xml:space="preserve">Under Scanario C the consumption of electricity in the project, the baseline or as a source of leakage may result in different emission levels, depending on the situation of the project activity. 
The following three cases can be differentiated, please select the appropriate option for your project: 
</t>
    </r>
    <r>
      <rPr>
        <b/>
        <u/>
        <sz val="11"/>
        <color theme="1"/>
        <rFont val="Calibri"/>
        <family val="2"/>
        <scheme val="minor"/>
      </rPr>
      <t xml:space="preserve">Case 1: </t>
    </r>
    <r>
      <rPr>
        <sz val="11"/>
        <color theme="1"/>
        <rFont val="Calibri"/>
        <family val="2"/>
        <scheme val="minor"/>
      </rPr>
      <t xml:space="preserve">Grid electricity. The implementation of the project activity only affects the quantity of electricity that is supplied from the grid and not the operation of the captive power plant. 
</t>
    </r>
    <r>
      <rPr>
        <b/>
        <u/>
        <sz val="11"/>
        <color theme="1"/>
        <rFont val="Calibri"/>
        <family val="2"/>
        <scheme val="minor"/>
      </rPr>
      <t>Case 2:</t>
    </r>
    <r>
      <rPr>
        <sz val="11"/>
        <color theme="1"/>
        <rFont val="Calibri"/>
        <family val="2"/>
        <scheme val="minor"/>
      </rPr>
      <t xml:space="preserve"> Electricity from captive power plant(s). The implementation of the project activity is clearly demonstrated to only affect the quantity of electricity that is generated in the captive power plant(s) and does not affect the quantity of electricity supplied from the grid. 
</t>
    </r>
    <r>
      <rPr>
        <b/>
        <u/>
        <sz val="11"/>
        <color theme="1"/>
        <rFont val="Calibri"/>
        <family val="2"/>
        <scheme val="minor"/>
      </rPr>
      <t>Case 3:</t>
    </r>
    <r>
      <rPr>
        <sz val="11"/>
        <color theme="1"/>
        <rFont val="Calibri"/>
        <family val="2"/>
        <scheme val="minor"/>
      </rPr>
      <t xml:space="preserve"> Electricity from both the grid and captive power plant(s). The implementation of the project activity may affect both the quantity of electricity that is generated in the captive power plant(s) and the quantity of electricity supplied from the grid.</t>
    </r>
  </si>
  <si>
    <t>Case 1</t>
  </si>
  <si>
    <t>If/Then</t>
  </si>
  <si>
    <t>If Case 1 was chosen:</t>
  </si>
  <si>
    <t>Redirect to Scenario A</t>
  </si>
  <si>
    <t>If Case 2 was chosen:</t>
  </si>
  <si>
    <t>Redirect to Scenario B</t>
  </si>
  <si>
    <t>If Case 3 was chosen:</t>
  </si>
  <si>
    <t>Redirect to Scenario A &amp; B</t>
  </si>
  <si>
    <t xml:space="preserve">If case 3 was chosen, this means that the more conservative value should be chosen between 
a) the result of applying either option A1 or A2 
and 
b) the result of applying either option B1 or B2. </t>
  </si>
  <si>
    <t>Sum of all Added Power Plants Emission Factor</t>
  </si>
  <si>
    <t>Emission factor for electricity generation for source j, k or l in year y (where the heat generation is ignored (t CO2/MWh)</t>
  </si>
  <si>
    <t>Sum of each Emission Factor (Heat generation ignored)</t>
  </si>
  <si>
    <t>Sum of each Emission Factor (Fuel consumption between electricity and heat generation)</t>
  </si>
  <si>
    <t>[Click to Add Fossil Fuel Captive Power Plant]</t>
  </si>
  <si>
    <t xml:space="preserve">Plant Name </t>
  </si>
  <si>
    <t>Plant 1</t>
  </si>
  <si>
    <t>Type of fossil fuel used</t>
  </si>
  <si>
    <t>Crude Oil</t>
  </si>
  <si>
    <r>
      <rPr>
        <sz val="18"/>
        <color rgb="FF000000"/>
        <rFont val="Calibri"/>
        <family val="2"/>
      </rPr>
      <t>NCV</t>
    </r>
    <r>
      <rPr>
        <vertAlign val="subscript"/>
        <sz val="18"/>
        <color rgb="FF000000"/>
        <rFont val="Calibri"/>
        <family val="2"/>
      </rPr>
      <t>i,t</t>
    </r>
  </si>
  <si>
    <t>Average net calorific value of the fossil fuel type used in the period t (GJ / mass or volume unit)</t>
  </si>
  <si>
    <t xml:space="preserve">Will auto-populate value from Default Values sheet dependent on Type of Fossil Fuel Used </t>
  </si>
  <si>
    <r>
      <t>EF</t>
    </r>
    <r>
      <rPr>
        <vertAlign val="subscript"/>
        <sz val="18"/>
        <color rgb="FF000000"/>
        <rFont val="Calibri"/>
        <family val="2"/>
      </rPr>
      <t>CO2,i,t</t>
    </r>
  </si>
  <si>
    <t>Average CO2 emission factor of the fossil fuel type used in the period t (t CO2 / GJ)</t>
  </si>
  <si>
    <t xml:space="preserve">Will auto-populate converted value from Default Values sheet dependent on Type of Fossil Fuel Used </t>
  </si>
  <si>
    <r>
      <t>FC</t>
    </r>
    <r>
      <rPr>
        <vertAlign val="subscript"/>
        <sz val="18"/>
        <color rgb="FF000000"/>
        <rFont val="Calibri"/>
        <family val="2"/>
      </rPr>
      <t>n,i,t</t>
    </r>
  </si>
  <si>
    <t>Quantity of fossil fuel fired in the captive power plant in the time period described in the project details (cubric meters, metric ton, or liters)</t>
  </si>
  <si>
    <r>
      <t>EG</t>
    </r>
    <r>
      <rPr>
        <vertAlign val="subscript"/>
        <sz val="18"/>
        <color rgb="FF000000"/>
        <rFont val="Calibri"/>
        <family val="2"/>
      </rPr>
      <t>n,t</t>
    </r>
  </si>
  <si>
    <t>Quantity of electricity generated in captive the power plant in the time period decribed in the projet details (MWh)</t>
  </si>
  <si>
    <r>
      <t>HG</t>
    </r>
    <r>
      <rPr>
        <vertAlign val="subscript"/>
        <sz val="18"/>
        <color rgb="FF000000"/>
        <rFont val="Calibri"/>
        <family val="2"/>
      </rPr>
      <t>n,t</t>
    </r>
  </si>
  <si>
    <t>Quantity of heat co-generated in captive power plant n in the time period t (GJ). (Only applicable if the CO2 emission factor for electricity generation is calculated by allocating the fuel consumption between electricity and heat generation)</t>
  </si>
  <si>
    <r>
      <t>η</t>
    </r>
    <r>
      <rPr>
        <vertAlign val="subscript"/>
        <sz val="18"/>
        <color theme="1"/>
        <rFont val="Calibri"/>
        <family val="2"/>
        <scheme val="minor"/>
      </rPr>
      <t>boiler,y</t>
    </r>
  </si>
  <si>
    <t>Efficiency of the boiler in which heat is assumed to be generated in the absence of a cogeneration plant in project/leakage scenario</t>
  </si>
  <si>
    <t>Default Values (will not change)</t>
  </si>
  <si>
    <t>Efficiency of the boiler in which heat is assumed to be generated in the absence of a cogeneration plant in baseline scenario</t>
  </si>
  <si>
    <t>Plant 2</t>
  </si>
  <si>
    <t>Gas/Diesel Oil</t>
  </si>
  <si>
    <t>Plant 3</t>
  </si>
  <si>
    <t>Natural Gas</t>
  </si>
  <si>
    <t xml:space="preserve">IPCC Default Values </t>
  </si>
  <si>
    <t xml:space="preserve">Fuel Type </t>
  </si>
  <si>
    <t>"NCV" Net Calorific Value (TJ/Gg)</t>
  </si>
  <si>
    <t>"EFCO2" Effective Default CO2 Emission Factors for Combustion (kg/TJ)</t>
  </si>
  <si>
    <t>Orimulsion</t>
  </si>
  <si>
    <t>Natural Gas Liquids</t>
  </si>
  <si>
    <t>Motor Gasoline</t>
  </si>
  <si>
    <t>Aviation Gasoline</t>
  </si>
  <si>
    <t>Jet Gasoline</t>
  </si>
  <si>
    <t>Jet Kerosene</t>
  </si>
  <si>
    <t>Other Kerosene</t>
  </si>
  <si>
    <t>Shale Oil</t>
  </si>
  <si>
    <t>Residual Fuel Oil</t>
  </si>
  <si>
    <t>Liquefied Petroleum Gases</t>
  </si>
  <si>
    <t>Ethane</t>
  </si>
  <si>
    <t>Naphtha</t>
  </si>
  <si>
    <t>Bitumen</t>
  </si>
  <si>
    <t>Lubricants</t>
  </si>
  <si>
    <t>Petroleum Coke</t>
  </si>
  <si>
    <t>Refinery Feedstocks</t>
  </si>
  <si>
    <t>Refinery Gas</t>
  </si>
  <si>
    <t>Paraffin Waxes</t>
  </si>
  <si>
    <t>White Spirit &amp; SBP</t>
  </si>
  <si>
    <t>Other Petroleum Products</t>
  </si>
  <si>
    <t>Anthracite</t>
  </si>
  <si>
    <t>Coking Coal</t>
  </si>
  <si>
    <t>Other Bituminous Coal</t>
  </si>
  <si>
    <t>Sub-Bituminous Coal</t>
  </si>
  <si>
    <t>Lignite</t>
  </si>
  <si>
    <t>Oil Shale and Tar Sands</t>
  </si>
  <si>
    <t>Brown Coal Briquettes</t>
  </si>
  <si>
    <t>Patent Fuel</t>
  </si>
  <si>
    <t>Coke oven coke and lignite Coke</t>
  </si>
  <si>
    <t>Gas Coke</t>
  </si>
  <si>
    <t>Coal Tar</t>
  </si>
  <si>
    <t>Gas Works Gas</t>
  </si>
  <si>
    <t>Coke Oven Gas</t>
  </si>
  <si>
    <t xml:space="preserve">Blast Furnace Gas </t>
  </si>
  <si>
    <t>Oxygen Steel Furnace Gas</t>
  </si>
  <si>
    <t>Municipal Wastes (non-biomass fraction)</t>
  </si>
  <si>
    <t>Waste Oil</t>
  </si>
  <si>
    <t>Peat</t>
  </si>
  <si>
    <t>Wood/Wood Waste</t>
  </si>
  <si>
    <t>Sulphite lyes (black liquor)</t>
  </si>
  <si>
    <t>Other Primary Solid Biomass</t>
  </si>
  <si>
    <t>Charcoal</t>
  </si>
  <si>
    <t>Biogasoline</t>
  </si>
  <si>
    <t>Biodiesels</t>
  </si>
  <si>
    <t>Other Liquid Biofuels</t>
  </si>
  <si>
    <t>Landfill Gas</t>
  </si>
  <si>
    <t>Sludge Gas</t>
  </si>
  <si>
    <t>Other Biogas</t>
  </si>
  <si>
    <t>Municipal Wastes (biomass fraction)</t>
  </si>
  <si>
    <t>Industrial Wastes</t>
  </si>
  <si>
    <t>Project emissions from composting</t>
  </si>
  <si>
    <t>Auto-Calculate</t>
  </si>
  <si>
    <t>PECOMP,y</t>
  </si>
  <si>
    <t>Project emissions associated with composting in year y (t CO2e/yr)</t>
  </si>
  <si>
    <t>Determination of the quantity of waste composted (Qy)</t>
  </si>
  <si>
    <t>There are two options to determine the quantity of waste composted in year y. Select one: 
Option 1: Procedure using a weighing device
Option 2: Procedure without using a weighing device</t>
  </si>
  <si>
    <t>Option 1</t>
  </si>
  <si>
    <t>Determination of the quantity of waste composted (Qy) Option 1</t>
  </si>
  <si>
    <t>Qy</t>
  </si>
  <si>
    <t>Quantity of waste composted in year y (t / yr)</t>
  </si>
  <si>
    <t>Determination of the quantity of waste composted (Qy) Option 2</t>
  </si>
  <si>
    <t>[Click to add waste deliveries in trucks to the composting installation]</t>
  </si>
  <si>
    <t>CT,t,y</t>
  </si>
  <si>
    <t>Carrying capacity of truck t used in year y to deliver waste to the composting installation</t>
  </si>
  <si>
    <t>Determination of project emissions from electricity consumption (PEEC,y)</t>
  </si>
  <si>
    <t>Where the composting activity involves electricity consumption from the grid or from a fossil fuel fired on-site power plant, PEEC,y shall be calculated using the latest approved version of the methodological tool “Baseline, project and/or leakage emissions from electricity consumption and monitoring of electricity generation”. Do you have monitored data for electricity consumption?</t>
  </si>
  <si>
    <t>PEECy</t>
  </si>
  <si>
    <t>Project emissions from electricity consumption associated with composting in year y (t CO2/yr)</t>
  </si>
  <si>
    <t>Determination of project emissions from fossil fuel consumption (PEFC,y)</t>
  </si>
  <si>
    <t>There are two options to determine project emissions from fossil fuel consumption. Select one: 
Option 1: Procedure using monitored data
Option 2: Procedure using a default value</t>
  </si>
  <si>
    <t>Determination of project emissions from fossil fuel consumption (PEFC,y) Option 1</t>
  </si>
  <si>
    <t>PEFC,y</t>
  </si>
  <si>
    <t>Project emissions from fossil fuel consumption associated with composting in year y (t CO2 / yr)</t>
  </si>
  <si>
    <t>Determination of project emissions from fossil fuel consumption (PEFC,y) Option 2</t>
  </si>
  <si>
    <t>Quantity of waste composted in year y (t/yr)</t>
  </si>
  <si>
    <t>EFFC,default</t>
  </si>
  <si>
    <t>Default emission factor for fossil fuels consumed by the composting activity per tonne of waste (t CO2/t)</t>
  </si>
  <si>
    <t>Determination of project emissions of methane (PECH4,y)</t>
  </si>
  <si>
    <t>There are two options to determine tproject emissions of methane. Select one: 
Option 1: Procedure using monitored data
Option 2: Procedure using a default value</t>
  </si>
  <si>
    <t>PECH4,y</t>
  </si>
  <si>
    <t>Project emissions of methane from the composting process in year y (t CO2e / yr)</t>
  </si>
  <si>
    <t>EFCH4,y</t>
  </si>
  <si>
    <t>Emission factor of methane per tonne of waste composted valid for year y (t CH4/t)</t>
  </si>
  <si>
    <t>Determination of project emissions of methane (PECH4,y) Option 1</t>
  </si>
  <si>
    <t>x</t>
  </si>
  <si>
    <t>Number of composting cycles c for which emissions were measured in year y (at least three)</t>
  </si>
  <si>
    <t>[Click to add composting cycles for which measurements were undertaken]</t>
  </si>
  <si>
    <t xml:space="preserve">c </t>
  </si>
  <si>
    <t>Composting cycle for which measurements were undertaken</t>
  </si>
  <si>
    <t>Cycle 1</t>
  </si>
  <si>
    <t>ECCCH4,c</t>
  </si>
  <si>
    <t>Methane emissions from composting during the composting cycle c (t CH4)</t>
  </si>
  <si>
    <t>ECCN2O,c</t>
  </si>
  <si>
    <t>Nitrous oxide emissions from composting during the composting cycle c (t N2O)</t>
  </si>
  <si>
    <t>Qc</t>
  </si>
  <si>
    <t>Quantity of waste composted in composting cycle c (t)</t>
  </si>
  <si>
    <t>c</t>
  </si>
  <si>
    <t>Cycle 2</t>
  </si>
  <si>
    <t>Determination of project emissions of nitrous oxide (PEN2O,y)</t>
  </si>
  <si>
    <t>There are two options to determine project emissions of nitrous oxide. Select one: 
Option 1: Procedure using monitored data
Option 2: Procedure using a default value</t>
  </si>
  <si>
    <t>Option 2</t>
  </si>
  <si>
    <t>PEN2O,y</t>
  </si>
  <si>
    <t>Project emissions of nitrous oxide from composting in year y (t CO2e/yr)</t>
  </si>
  <si>
    <t>EFN2O,y</t>
  </si>
  <si>
    <t>Emission factor of nitrous oxide per tonne of waste composted valid for year y (t N2O/t)</t>
  </si>
  <si>
    <t>GWPN2O</t>
  </si>
  <si>
    <t>Global Warming Potential of N2O (t CO2e/t N2O)</t>
  </si>
  <si>
    <t>Determination of project emissions from run-off wastewater (PERO,y)</t>
  </si>
  <si>
    <t>Is run-off wastewater collected and re-circulated to the composting process?</t>
  </si>
  <si>
    <t>Project emissions of methane from run-off wastewater (PERO,y) are calculated only for the case of co-composting. Moreover, if run-off wastewater is collected and re-circulated to the composting process, then PERO,y is assumed to be zero (for example, this is the case for tunnel co-composting technology). Otherwise, PERO,y is calculated based on the quantity and chemical oxygen demand (COD) of run-off wastewater as follows, select one:
Option 1: Procedure monitoring quantity and COD of the run-off wastewater (Monitored data only)
Option 2: Procedure monitoring quantity and COD of the wastewater cocomposted (Monitored data and default values)</t>
  </si>
  <si>
    <t>PERO,y</t>
  </si>
  <si>
    <t>Project emissions of methane from run-off wastewater associated with co-composting in year y (t CO2e / yr)</t>
  </si>
  <si>
    <t>QCOD,y</t>
  </si>
  <si>
    <t>Quantity of COD of the run-off wastewater from the co-composting installation in year y (t COD / yr)</t>
  </si>
  <si>
    <t>B0,ww</t>
  </si>
  <si>
    <t>Default methane producing capacity of the run-off wastewater (t CH4 / t COD)</t>
  </si>
  <si>
    <t>Select the wastewater treatment system where the run-off wastewater is treated</t>
  </si>
  <si>
    <t>Anaerobic shallow lagoon (depth less than 2 metres)</t>
  </si>
  <si>
    <t>MCFww,treatment</t>
  </si>
  <si>
    <t>Default methane correction factor for the wastewater treatment system where the run-off wastewater is treated</t>
  </si>
  <si>
    <t>Default model correction factor to account for model uncertainties of methane emissions from run-off wastewater</t>
  </si>
  <si>
    <t>Global Warming Potential of methane (t CO2e / t CH4)</t>
  </si>
  <si>
    <t>Determination of project emissions from run-off wastewater (PERO,y) Option 1</t>
  </si>
  <si>
    <t>QRO,y</t>
  </si>
  <si>
    <t>Volume of run-off wastewater from the co-composting installation in year y (m3 / yr)</t>
  </si>
  <si>
    <t>CODRO,y</t>
  </si>
  <si>
    <t>Average COD of the run-off wastewater from the co-composting installation valid for year y (t COD / m3 )</t>
  </si>
  <si>
    <t>Determination of project emissions from run-off wastewater (PERO,y) Option 2</t>
  </si>
  <si>
    <t>Qwastewater,y</t>
  </si>
  <si>
    <t>Volume of wastewater co-composted in year y (m3 / yr)</t>
  </si>
  <si>
    <t>CODwastewater,y</t>
  </si>
  <si>
    <t>Average COD of the wastewater co-composted valid for year y (t COD / m3 )</t>
  </si>
  <si>
    <t>DFCOD,RO</t>
  </si>
  <si>
    <t>Default factor for the ratio of the amount of COD in run-off wastewater and wastewater co-composted</t>
  </si>
  <si>
    <t>Is compost subjected to anaerobic storage or disposed of in a SWDS? 
If yes, reference section 6.2 in Tool 13 "Methodological tool for project and leakage emissions from composting".</t>
  </si>
  <si>
    <t>LECOMP,y</t>
  </si>
  <si>
    <t>Leakage based on Tool 04 "“Emissions from solid waste disposal sites"</t>
  </si>
  <si>
    <t>Table 2: IPCC default values for MCF</t>
  </si>
  <si>
    <t>Type of wastewater treatment and discharge pathway or system</t>
  </si>
  <si>
    <t>MCF value</t>
  </si>
  <si>
    <t>Discharge of wastewater to sea, river or lake</t>
  </si>
  <si>
    <t>Aerobic treatment, well managed</t>
  </si>
  <si>
    <t>Aerobic treatment, poorly managed or overloaded</t>
  </si>
  <si>
    <t>Anaerobic digester for sludge without methane recovery</t>
  </si>
  <si>
    <t>Anaerobic reactor without methane recovery</t>
  </si>
  <si>
    <t>Anaerobic deep lagoon (depth more than 2 metres)</t>
  </si>
  <si>
    <t>Septic system</t>
  </si>
  <si>
    <t>Determination of the quantity of methane produced in the digester (QCH4,y)</t>
  </si>
  <si>
    <t>Is your project small-scale or large-scale?</t>
  </si>
  <si>
    <t>Small-scale</t>
  </si>
  <si>
    <t>If PP selects "large scale" they will use option one calculation using monitored data if they select "small scale" the follow up with question in D4.</t>
  </si>
  <si>
    <t>Do you want to use default values or monitored data to calculate the quantity of methane produced in the digester?</t>
  </si>
  <si>
    <t>Default Values</t>
  </si>
  <si>
    <r>
      <t>Default Values or Monitored Data</t>
    </r>
    <r>
      <rPr>
        <sz val="11"/>
        <rFont val="Calibri"/>
        <family val="2"/>
        <scheme val="minor"/>
      </rPr>
      <t xml:space="preserve"> (If Default Value use schema in row 41, if Monitored Data use schema in row 18)</t>
    </r>
  </si>
  <si>
    <t>Does the anaerobic digester consumes electricity, such as for mixing, recirculation of digestate, or processing of feed material?</t>
  </si>
  <si>
    <t xml:space="preserve">If no then no calculation is needed for "Project emissions from electricity consumption associated with the anaerobic digester", if yes then follow up with question in D7. </t>
  </si>
  <si>
    <t>Is the electricity consumed generated on-site using biomass residues, wind, hydro or geothermal power?</t>
  </si>
  <si>
    <t xml:space="preserve">If yes then  "Project emissions from electricity consumption associated with the anaerobic digester" is equal to 0, if no then follow up with question in D8. </t>
  </si>
  <si>
    <t>Do you want to use default values or monitored data to calculate project emissions from electricity consumption associated with anaerobic digesters?</t>
  </si>
  <si>
    <r>
      <t xml:space="preserve">Default Values or Monitored Data </t>
    </r>
    <r>
      <rPr>
        <sz val="11"/>
        <rFont val="Calibri"/>
        <family val="2"/>
        <scheme val="minor"/>
      </rPr>
      <t>(If Default Value use schema in row 48, if Monitored Data use schema in row 46)</t>
    </r>
  </si>
  <si>
    <t>Determination of leakage emissions associated with storage of 
digestate (LEstorage,y) of project emissions from electricity consumption (PEEC,y)</t>
  </si>
  <si>
    <r>
      <t xml:space="preserve">Is the digestate is stored under the following anaerobic
conditions?
</t>
    </r>
    <r>
      <rPr>
        <b/>
        <sz val="11"/>
        <color rgb="FF000000"/>
        <rFont val="Calibri"/>
        <family val="2"/>
        <scheme val="minor"/>
      </rPr>
      <t>Option 1-</t>
    </r>
    <r>
      <rPr>
        <sz val="11"/>
        <color rgb="FF000000"/>
        <rFont val="Calibri"/>
        <family val="2"/>
        <scheme val="minor"/>
      </rPr>
      <t xml:space="preserve"> In an un-aerated lagoon that has a depth of more than one meter.
</t>
    </r>
    <r>
      <rPr>
        <b/>
        <sz val="11"/>
        <color rgb="FF000000"/>
        <rFont val="Calibri"/>
        <family val="2"/>
        <scheme val="minor"/>
      </rPr>
      <t>Option 2-</t>
    </r>
    <r>
      <rPr>
        <sz val="11"/>
        <color rgb="FF000000"/>
        <rFont val="Calibri"/>
        <family val="2"/>
        <scheme val="minor"/>
      </rPr>
      <t xml:space="preserve"> In a solid waste disposal site (SWDS), including stockpiles that are considered a SWDS.
</t>
    </r>
    <r>
      <rPr>
        <b/>
        <sz val="11"/>
        <color rgb="FF000000"/>
        <rFont val="Calibri"/>
        <family val="2"/>
        <scheme val="minor"/>
      </rPr>
      <t>Option 3-</t>
    </r>
    <r>
      <rPr>
        <sz val="11"/>
        <color rgb="FF000000"/>
        <rFont val="Calibri"/>
        <family val="2"/>
        <scheme val="minor"/>
      </rPr>
      <t xml:space="preserve"> None of the above apply.</t>
    </r>
  </si>
  <si>
    <t>Option 3</t>
  </si>
  <si>
    <t>If option 1 or 2 is selected then follow up with question in D11, if option 3 is selected then F66 will be 0</t>
  </si>
  <si>
    <t>Do you want to use default values or monitored data to calculate leakage emissions associated with storage of digestate?</t>
  </si>
  <si>
    <t>Option 1 has the option between Default Values (row 76) or Monitored Data (row 68), Option 2 has the option between Default Values (row 82) or Monitored Values (Tool 04)</t>
  </si>
  <si>
    <t xml:space="preserve">Project Emissions associated with anaerobic digesters </t>
  </si>
  <si>
    <t>PEAD,y</t>
  </si>
  <si>
    <t>Project emissions associated with the anaerobic digester in year y (t CO2e)</t>
  </si>
  <si>
    <t>PEEC,y</t>
  </si>
  <si>
    <t>Project emissions from electricity consumption associated with the anaerobic digester in year y (t CO2e)</t>
  </si>
  <si>
    <t>If using monitored data then use F47, if using default data then use F49</t>
  </si>
  <si>
    <t>Project emissions from fossil fuel consumption associated with the anaerobic digester in year y (t CO2e)</t>
  </si>
  <si>
    <t>Project emissions of methane from the anaerobic digester in year y (t CO2e)</t>
  </si>
  <si>
    <t>PEflare,y</t>
  </si>
  <si>
    <t>Project emissions from flaring of biogas in year y (t CO2e)</t>
  </si>
  <si>
    <t>Quantity of methane produced in the digester (QCH4,y) (Monitored Data)</t>
  </si>
  <si>
    <t xml:space="preserve">mH2O,t,db,Sat </t>
  </si>
  <si>
    <t>Saturation absolute humidity in time interval t on a dry basis (kg H2O/kg dry gas)</t>
  </si>
  <si>
    <t xml:space="preserve">pH2O,t,Sat </t>
  </si>
  <si>
    <t>Saturation pressure of H2O at temperature Tt in time interval t (Pa)</t>
  </si>
  <si>
    <t xml:space="preserve">Tt </t>
  </si>
  <si>
    <t>Temperature of the gaseous stream in time interval t (K)</t>
  </si>
  <si>
    <t xml:space="preserve">Pt </t>
  </si>
  <si>
    <t>Absolute pressure of the gaseous stream in time interval t (Pa)</t>
  </si>
  <si>
    <t xml:space="preserve">MMH2O </t>
  </si>
  <si>
    <t>Molecular mass of H2O (kg H2O/kmol H2O)</t>
  </si>
  <si>
    <t xml:space="preserve">MMt,db </t>
  </si>
  <si>
    <t>Molecular mass of the gaseous stream in a time interval t on a dry basis (kg dry gas/kmol dry gas)</t>
  </si>
  <si>
    <t xml:space="preserve">vk,t,db </t>
  </si>
  <si>
    <t>Volumetric fraction of gas k in the gaseous stream in time interval t on a dry basis (m³ gas k/m³ dry gas)</t>
  </si>
  <si>
    <t xml:space="preserve">MMk </t>
  </si>
  <si>
    <t>Molecular mass of gas k (kg/kmol)</t>
  </si>
  <si>
    <t xml:space="preserve">k </t>
  </si>
  <si>
    <t>All gases, except H2O, contained in the gaseous stream</t>
  </si>
  <si>
    <t>Methane (CH4)</t>
  </si>
  <si>
    <t>Fi,t</t>
  </si>
  <si>
    <t>Mass flow of greenhouse gas i in the gaseous stream in time interval t (kg gas/h)</t>
  </si>
  <si>
    <t xml:space="preserve">Vt,wb, n </t>
  </si>
  <si>
    <t>Volumetric flow of the gaseous stream in time interval t on a wet basis at normal conditions (m³ wet gas/h)</t>
  </si>
  <si>
    <t xml:space="preserve">vi,t,wb </t>
  </si>
  <si>
    <t>Volumetric fraction of greenhouse gas i in the gaseous stream in time interval t on a wet basis (m³ gas i/m³ wet gas)</t>
  </si>
  <si>
    <t xml:space="preserve">pi,n </t>
  </si>
  <si>
    <t xml:space="preserve">Density of greenhouse gas i in the gaseous stream at normal conditions
(kg gas i/m³ wet gas i) </t>
  </si>
  <si>
    <t>Pn Absolute pressure at normal conditions (Pa)</t>
  </si>
  <si>
    <t xml:space="preserve">Tn </t>
  </si>
  <si>
    <t>Temperature at normal conditions (K)</t>
  </si>
  <si>
    <t xml:space="preserve">MMi </t>
  </si>
  <si>
    <t>Molecular mass of greenhouse gas i (kg/kmol)</t>
  </si>
  <si>
    <t xml:space="preserve">Ru </t>
  </si>
  <si>
    <t>Universal ideal gases constant (Pa.m3 /kmol.K)</t>
  </si>
  <si>
    <t xml:space="preserve">Mt,wb </t>
  </si>
  <si>
    <t>Mass flow of the gaseous stream in time interval t on a wet basis (kg/h</t>
  </si>
  <si>
    <t xml:space="preserve">Pt,wb,n </t>
  </si>
  <si>
    <t>Density of the gaseous stream in time interval t on a wet basis at normal conditions (kg wet gas/m3 wet gas)</t>
  </si>
  <si>
    <t xml:space="preserve">MMt,wb </t>
  </si>
  <si>
    <t>Molecular mass of the gaseous stream in time interval t on a wet basis
(kg wet gas/kmol wet gas)</t>
  </si>
  <si>
    <t xml:space="preserve">Vk,t,wb </t>
  </si>
  <si>
    <t>Volumetric fraction of gas k in the gaseous stream in time interval t on a wet basis (m³ gas k/m³ wet gas)</t>
  </si>
  <si>
    <t xml:space="preserve">t </t>
  </si>
  <si>
    <t>Time interval of monitoring (Example: 5 minutes or hourly)</t>
  </si>
  <si>
    <t>hourly basis or a smaller time interval</t>
  </si>
  <si>
    <t>Quantity of methane produced in the digester (QCH4,y) (Default Value)</t>
  </si>
  <si>
    <t xml:space="preserve">QCH4,y </t>
  </si>
  <si>
    <t>Quantity of methane produced in the digester in year y (t CH4)</t>
  </si>
  <si>
    <t xml:space="preserve">Qbiogas,y </t>
  </si>
  <si>
    <t>Amount of biogas collected at the digester outlet in year y (Nm3 biogas)</t>
  </si>
  <si>
    <t xml:space="preserve">fCH4,default </t>
  </si>
  <si>
    <t>Default value for the fraction of methane in the biogas (m3 CH4 / m3 biogas)</t>
  </si>
  <si>
    <t>PCH4</t>
  </si>
  <si>
    <t>Density of methane at normal conditions (t CH4 / Nm3 CH4)</t>
  </si>
  <si>
    <t>Project emissions from electricity consumption (PEEC,y) (Monitored Data)</t>
  </si>
  <si>
    <t>Comes from Tool 05</t>
  </si>
  <si>
    <t>Project emissions from electricity consumption (PEEC,y) (Default Value)</t>
  </si>
  <si>
    <t>Project emissions from electricity consumption associated with the anaerobic digester in year y (t CO2)</t>
  </si>
  <si>
    <t>Quantity of methane produced in the anaerobic digester in year y (t CH4)</t>
  </si>
  <si>
    <r>
      <t xml:space="preserve">Please select the digester that is being used in this project: </t>
    </r>
    <r>
      <rPr>
        <b/>
        <sz val="11"/>
        <color theme="1"/>
        <rFont val="Calibri"/>
        <family val="2"/>
        <scheme val="minor"/>
      </rPr>
      <t xml:space="preserve">Option A- </t>
    </r>
    <r>
      <rPr>
        <sz val="11"/>
        <color theme="1"/>
        <rFont val="Calibri"/>
        <family val="2"/>
        <scheme val="minor"/>
      </rPr>
      <t xml:space="preserve">Covered anaerobic lagoons (gravity fed) / conventional digesters 
</t>
    </r>
    <r>
      <rPr>
        <b/>
        <sz val="11"/>
        <color theme="1"/>
        <rFont val="Calibri"/>
        <family val="2"/>
        <scheme val="minor"/>
      </rPr>
      <t xml:space="preserve">Option B- </t>
    </r>
    <r>
      <rPr>
        <sz val="11"/>
        <color theme="1"/>
        <rFont val="Calibri"/>
        <family val="2"/>
        <scheme val="minor"/>
      </rPr>
      <t xml:space="preserve">Upflow anaerobic sludge blanket reactor (UASB) / filter bed reactor for wastewater / fluidized bed reactor </t>
    </r>
    <r>
      <rPr>
        <b/>
        <sz val="11"/>
        <color theme="1"/>
        <rFont val="Calibri"/>
        <family val="2"/>
        <scheme val="minor"/>
      </rPr>
      <t>Option C-</t>
    </r>
    <r>
      <rPr>
        <sz val="11"/>
        <color theme="1"/>
        <rFont val="Calibri"/>
        <family val="2"/>
        <scheme val="minor"/>
      </rPr>
      <t xml:space="preserve"> Conventional digesters with continuously stirred tank reactor type for wastewater
</t>
    </r>
    <r>
      <rPr>
        <b/>
        <sz val="11"/>
        <color theme="1"/>
        <rFont val="Calibri"/>
        <family val="2"/>
        <scheme val="minor"/>
      </rPr>
      <t xml:space="preserve">Option D- </t>
    </r>
    <r>
      <rPr>
        <sz val="11"/>
        <color theme="1"/>
        <rFont val="Calibri"/>
        <family val="2"/>
        <scheme val="minor"/>
      </rPr>
      <t xml:space="preserve">Any anaerobic digester for solid waste with preprocessing of wastes (e.g. pulverizing)
</t>
    </r>
    <r>
      <rPr>
        <b/>
        <sz val="11"/>
        <color theme="1"/>
        <rFont val="Calibri"/>
        <family val="2"/>
        <scheme val="minor"/>
      </rPr>
      <t xml:space="preserve">Option E- </t>
    </r>
    <r>
      <rPr>
        <sz val="11"/>
        <color theme="1"/>
        <rFont val="Calibri"/>
        <family val="2"/>
        <scheme val="minor"/>
      </rPr>
      <t>Any digesters other than those specified above, which are fed bygravity, and have no recirculation</t>
    </r>
  </si>
  <si>
    <t xml:space="preserve">FEC,default </t>
  </si>
  <si>
    <t>Default factor for the electricity consumption associated with the anaerobic digester per ton of methane generated (MWh / t CH4)</t>
  </si>
  <si>
    <t>Dependent on response from F51</t>
  </si>
  <si>
    <t xml:space="preserve">EFEL,default </t>
  </si>
  <si>
    <t>Default emission factor for the electricity consumed in year y (t CO2 / MWh)</t>
  </si>
  <si>
    <t>Project emissions from fossil fuel consumption
(PEFC,y)</t>
  </si>
  <si>
    <t>Comes from Tool 03</t>
  </si>
  <si>
    <t>Project emissions of methane from the anaerobic 
digester (PECH4,y)</t>
  </si>
  <si>
    <t xml:space="preserve">PECH4,y </t>
  </si>
  <si>
    <r>
      <t xml:space="preserve">What type of digester is used in the project activity? 
</t>
    </r>
    <r>
      <rPr>
        <b/>
        <sz val="11"/>
        <color theme="1"/>
        <rFont val="Calibri"/>
        <family val="2"/>
        <scheme val="minor"/>
      </rPr>
      <t>Option A-</t>
    </r>
    <r>
      <rPr>
        <sz val="11"/>
        <color theme="1"/>
        <rFont val="Calibri"/>
        <family val="2"/>
        <scheme val="minor"/>
      </rPr>
      <t xml:space="preserve"> Digesters with steel or lined concrete or fiberglass
digesters and a gas holding system (egg shaped digesters) and monolithic construction
</t>
    </r>
    <r>
      <rPr>
        <b/>
        <sz val="11"/>
        <color theme="1"/>
        <rFont val="Calibri"/>
        <family val="2"/>
        <scheme val="minor"/>
      </rPr>
      <t xml:space="preserve">Option B- </t>
    </r>
    <r>
      <rPr>
        <sz val="11"/>
        <color theme="1"/>
        <rFont val="Calibri"/>
        <family val="2"/>
        <scheme val="minor"/>
      </rPr>
      <t xml:space="preserve">UASB type digesters, floating gas holders with no external water seal
</t>
    </r>
    <r>
      <rPr>
        <b/>
        <sz val="11"/>
        <color theme="1"/>
        <rFont val="Calibri"/>
        <family val="2"/>
        <scheme val="minor"/>
      </rPr>
      <t xml:space="preserve">Option C- </t>
    </r>
    <r>
      <rPr>
        <sz val="11"/>
        <color theme="1"/>
        <rFont val="Calibri"/>
        <family val="2"/>
        <scheme val="minor"/>
      </rPr>
      <t xml:space="preserve">Digesters with unlined concrete/ferrocement/brick masonry arched type gas holding section; monolithic fixed dome digesters, covered anaerobic lagoon
</t>
    </r>
    <r>
      <rPr>
        <b/>
        <sz val="11"/>
        <color theme="1"/>
        <rFont val="Calibri"/>
        <family val="2"/>
        <scheme val="minor"/>
      </rPr>
      <t xml:space="preserve">Option D- </t>
    </r>
    <r>
      <rPr>
        <sz val="11"/>
        <color theme="1"/>
        <rFont val="Calibri"/>
        <family val="2"/>
        <scheme val="minor"/>
      </rPr>
      <t>Other</t>
    </r>
  </si>
  <si>
    <t xml:space="preserve">EFCH4,default </t>
  </si>
  <si>
    <t>Default emission factor for the fraction of CH4 produced that leaks from the anaerobic digester (fraction)</t>
  </si>
  <si>
    <t>Dependent on response from F59</t>
  </si>
  <si>
    <t xml:space="preserve">GWPCH4 </t>
  </si>
  <si>
    <t>Global warming potential of CH4 (t CO2 / t CH4)</t>
  </si>
  <si>
    <t>Project emissions from flaring of biogas (PEflare,y)</t>
  </si>
  <si>
    <t xml:space="preserve">PEflare,y </t>
  </si>
  <si>
    <t>Project emissions from flaring of the residual gas in year y (tCO2e)</t>
  </si>
  <si>
    <t>Comes from Tool 06</t>
  </si>
  <si>
    <t xml:space="preserve">Leakage emissions </t>
  </si>
  <si>
    <t xml:space="preserve">LEAD,y </t>
  </si>
  <si>
    <t>Leakage emissions associated with the anaerobic digester in year y (t CO2e)</t>
  </si>
  <si>
    <t xml:space="preserve">LEstorage,y </t>
  </si>
  <si>
    <t>Leakage emissions associated with storage of digestate in year y (t CO2e)</t>
  </si>
  <si>
    <t xml:space="preserve">LEcomp,y </t>
  </si>
  <si>
    <t>Leakage emissions associated with composting digestate in year y (t CO2e)</t>
  </si>
  <si>
    <t>Leakage emissions associated with storage of 
liquid digestate (LEstorage,y) (Monitored Data)</t>
  </si>
  <si>
    <t xml:space="preserve">Qstored,y </t>
  </si>
  <si>
    <t>Amount of liquid digestate stored anaerobically in year y (m3 )</t>
  </si>
  <si>
    <t xml:space="preserve">PCOD,y </t>
  </si>
  <si>
    <t>Average chemical oxygen demand (COD) of the liquid digestate in year y (t COD / m3 )</t>
  </si>
  <si>
    <t xml:space="preserve">B0 </t>
  </si>
  <si>
    <t>Maximum methane producing capacity of the COD applied (t CH4 / t COD)</t>
  </si>
  <si>
    <t xml:space="preserve">MCF </t>
  </si>
  <si>
    <t>For methane conversion factor calculation purposes select the depth of liquid digestate storage:</t>
  </si>
  <si>
    <t>≥ 2 m</t>
  </si>
  <si>
    <t xml:space="preserve">Methane conversion factor </t>
  </si>
  <si>
    <t>Dependent on response from F73</t>
  </si>
  <si>
    <t>Leakage emissions associated with storage of 
liquid digestate (LEstorage,y) (Default Value)</t>
  </si>
  <si>
    <r>
      <t xml:space="preserve">In order to calculate the default factor representing the remaining methane production capacity of liquid digestate select one of the following options: 
</t>
    </r>
    <r>
      <rPr>
        <b/>
        <sz val="11"/>
        <color theme="1"/>
        <rFont val="Calibri"/>
        <family val="2"/>
        <scheme val="minor"/>
      </rPr>
      <t xml:space="preserve">Option 1- </t>
    </r>
    <r>
      <rPr>
        <sz val="11"/>
        <color theme="1"/>
        <rFont val="Calibri"/>
        <family val="2"/>
        <scheme val="minor"/>
      </rPr>
      <t xml:space="preserve">Covered anaerobic lagoons
</t>
    </r>
    <r>
      <rPr>
        <b/>
        <sz val="11"/>
        <color theme="1"/>
        <rFont val="Calibri"/>
        <family val="2"/>
        <scheme val="minor"/>
      </rPr>
      <t>Option 2-</t>
    </r>
    <r>
      <rPr>
        <sz val="11"/>
        <color theme="1"/>
        <rFont val="Calibri"/>
        <family val="2"/>
        <scheme val="minor"/>
      </rPr>
      <t xml:space="preserve"> UASB type digesters / Anaerobic filter bed digesters /Anaerobic fluidized bed digester
</t>
    </r>
    <r>
      <rPr>
        <b/>
        <sz val="11"/>
        <color theme="1"/>
        <rFont val="Calibri"/>
        <family val="2"/>
        <scheme val="minor"/>
      </rPr>
      <t>Option 3-</t>
    </r>
    <r>
      <rPr>
        <sz val="11"/>
        <color theme="1"/>
        <rFont val="Calibri"/>
        <family val="2"/>
        <scheme val="minor"/>
      </rPr>
      <t xml:space="preserve"> Conventional digesters
</t>
    </r>
    <r>
      <rPr>
        <b/>
        <sz val="11"/>
        <color theme="1"/>
        <rFont val="Calibri"/>
        <family val="2"/>
        <scheme val="minor"/>
      </rPr>
      <t xml:space="preserve">Option 4- </t>
    </r>
    <r>
      <rPr>
        <sz val="11"/>
        <color theme="1"/>
        <rFont val="Calibri"/>
        <family val="2"/>
        <scheme val="minor"/>
      </rPr>
      <t>Two stage digesters</t>
    </r>
  </si>
  <si>
    <t xml:space="preserve">Fww,CH4,default </t>
  </si>
  <si>
    <t>Default factor representing the remaining methane production capacity of liquid digestate (fraction)</t>
  </si>
  <si>
    <t>Dependent on response from F78</t>
  </si>
  <si>
    <t>Leakage emissions associated with storage of 
solid digestate (LEstorage,y) (Default Values)</t>
  </si>
  <si>
    <r>
      <t xml:space="preserve">In order to calculate the default factor for the methane generation capacity of solid digestate select one of the following options:
</t>
    </r>
    <r>
      <rPr>
        <b/>
        <sz val="11"/>
        <color theme="1"/>
        <rFont val="Calibri"/>
        <family val="2"/>
        <scheme val="minor"/>
      </rPr>
      <t xml:space="preserve">Option 1- </t>
    </r>
    <r>
      <rPr>
        <sz val="11"/>
        <color theme="1"/>
        <rFont val="Calibri"/>
        <family val="2"/>
        <scheme val="minor"/>
      </rPr>
      <t xml:space="preserve">Two phase digester 
</t>
    </r>
    <r>
      <rPr>
        <b/>
        <sz val="11"/>
        <color theme="1"/>
        <rFont val="Calibri"/>
        <family val="2"/>
        <scheme val="minor"/>
      </rPr>
      <t>Option 2-</t>
    </r>
    <r>
      <rPr>
        <sz val="11"/>
        <color theme="1"/>
        <rFont val="Calibri"/>
        <family val="2"/>
        <scheme val="minor"/>
      </rPr>
      <t xml:space="preserve"> All other technologies</t>
    </r>
  </si>
  <si>
    <t xml:space="preserve">FSD,CH4,default </t>
  </si>
  <si>
    <t>Default factor for the methane generation capacity of solid digestate (fraction)</t>
  </si>
  <si>
    <t>Dependent on response from F85</t>
  </si>
  <si>
    <t>Global warming potential of CH4 (t CO2/t CH4)</t>
  </si>
  <si>
    <t>Leakage emissions associated with storage of 
solid digestate (LEstorage,y) (Monitored Values)</t>
  </si>
  <si>
    <t>Please select yes if the flaring of flammable greenhouse gases follows this statement: Methane is the component with the highest concentration in the flammable residual gas; and  the source of the residual gas is coal mine methane or a gas from a biogenic source (e.g. biogas, landfill gas or wastewater treatment gas).</t>
  </si>
  <si>
    <t xml:space="preserve">The PP can select Yes or No. If no is selected then they should get a message saying "This tool is not applicable for your project." </t>
  </si>
  <si>
    <t>Constants used in equations</t>
  </si>
  <si>
    <t>MMCH4</t>
  </si>
  <si>
    <t>Molecular mass of methane</t>
  </si>
  <si>
    <t>MMCO</t>
  </si>
  <si>
    <t>Molecular mass of carbon monoxide</t>
  </si>
  <si>
    <t>MMCO2</t>
  </si>
  <si>
    <t>Molecular mass of carbon dioxide</t>
  </si>
  <si>
    <t>MMO2</t>
  </si>
  <si>
    <t>Molecular mass of oxygen</t>
  </si>
  <si>
    <t>MMH2</t>
  </si>
  <si>
    <t>Molecular mass of hydrogen</t>
  </si>
  <si>
    <t>MMN2</t>
  </si>
  <si>
    <t>Molecular mass of nitrogen</t>
  </si>
  <si>
    <t>AMc</t>
  </si>
  <si>
    <t>Atomic mass of carbon</t>
  </si>
  <si>
    <t>AMh</t>
  </si>
  <si>
    <t>Atomic mass of hydrogen</t>
  </si>
  <si>
    <t>AMo</t>
  </si>
  <si>
    <t>Atomic mass of oxygen</t>
  </si>
  <si>
    <t>AMn</t>
  </si>
  <si>
    <t>Atomic mass of nitrogen</t>
  </si>
  <si>
    <t>Pn</t>
  </si>
  <si>
    <t>Atmospheric pressure at normal conditions</t>
  </si>
  <si>
    <t>Ru</t>
  </si>
  <si>
    <t>Universal ideal gas constant</t>
  </si>
  <si>
    <t>Tn</t>
  </si>
  <si>
    <t>Temperature at normal conditions</t>
  </si>
  <si>
    <t>MFO2</t>
  </si>
  <si>
    <t>O2 volumetric fraction of air</t>
  </si>
  <si>
    <t>Global warming potential of methane</t>
  </si>
  <si>
    <t>MVn</t>
  </si>
  <si>
    <t>Volume of one mole of any ideal gas at normal temperature and pressure</t>
  </si>
  <si>
    <t>ρ CH4, n</t>
  </si>
  <si>
    <t>Density of methane gas at normal conditions</t>
  </si>
  <si>
    <t>NAi,j</t>
  </si>
  <si>
    <t>Number of atoms of element j in component i, depending on molecular structure</t>
  </si>
  <si>
    <t>-</t>
  </si>
  <si>
    <t>NA C,CH4</t>
  </si>
  <si>
    <t>Number of atoms of element C in component CH4</t>
  </si>
  <si>
    <t>NA C,CO</t>
  </si>
  <si>
    <t>Number of atoms of element C in component CO</t>
  </si>
  <si>
    <t>NA C,CO2</t>
  </si>
  <si>
    <t>Number of atoms of element C in component CO2</t>
  </si>
  <si>
    <t>NA H,CH4</t>
  </si>
  <si>
    <t>Number of atoms of element H in component CH4</t>
  </si>
  <si>
    <t>NA H,H2</t>
  </si>
  <si>
    <t>Number of atoms of element H in component H2</t>
  </si>
  <si>
    <t>NA O,CO</t>
  </si>
  <si>
    <t>Number of atoms of element O in component CO</t>
  </si>
  <si>
    <t>NA O,CO2</t>
  </si>
  <si>
    <t>Number of atoms of element O in component CO2</t>
  </si>
  <si>
    <t>NA O,O2</t>
  </si>
  <si>
    <t>Number of atoms of element O in component O2</t>
  </si>
  <si>
    <t>NA N,N2</t>
  </si>
  <si>
    <t>Number of atoms of element N in component N2</t>
  </si>
  <si>
    <t>Input Data</t>
  </si>
  <si>
    <t>vi,RG,m,CH4</t>
  </si>
  <si>
    <t xml:space="preserve">Volumetric fraction of CH4 in residual gas </t>
  </si>
  <si>
    <t>vi,RG,m,CO</t>
  </si>
  <si>
    <t xml:space="preserve">Volumetric fraction of CO in residual gas </t>
  </si>
  <si>
    <t>vi,RG,m,CO2</t>
  </si>
  <si>
    <t xml:space="preserve">Volumetric fraction of CO2 in residual gas </t>
  </si>
  <si>
    <t>vi,RG,m,O2</t>
  </si>
  <si>
    <t xml:space="preserve">Volumetric fraction of O2 in residual gas </t>
  </si>
  <si>
    <t>vi,RG,m,H2</t>
  </si>
  <si>
    <t xml:space="preserve">Volumetric fraction of H2 in residual gas </t>
  </si>
  <si>
    <t>vi,RG,m,N2</t>
  </si>
  <si>
    <t xml:space="preserve">Volumetric fraction of N2 in residual gas </t>
  </si>
  <si>
    <t>VRG,m</t>
  </si>
  <si>
    <t>Volumetric flow of residual gas at normal conditions</t>
  </si>
  <si>
    <t>vO2,EG,m</t>
  </si>
  <si>
    <t>O2 volumetric fraction of flare exhaust gas</t>
  </si>
  <si>
    <t>fcCH4,EG,m</t>
  </si>
  <si>
    <t>Methane volumetric fraction or concentration of flare exhaust gas</t>
  </si>
  <si>
    <t>FOP</t>
  </si>
  <si>
    <t>Flare operational hours in the year</t>
  </si>
  <si>
    <t>Determination of the methane mass flow in the residual gas</t>
  </si>
  <si>
    <t>MRG,m</t>
  </si>
  <si>
    <t>Mass flow of the residual gas on a dry basis at reference conditions in the minute m (kg)</t>
  </si>
  <si>
    <t>PRG,ref,m</t>
  </si>
  <si>
    <t>Density of the residual gas at reference conditions in the minute m (kg/m3 )</t>
  </si>
  <si>
    <t xml:space="preserve">VRG,m </t>
  </si>
  <si>
    <t>Volumetric flow of the residual gas on a dry basis at reference conditions in the minute m (m3 )</t>
  </si>
  <si>
    <t>Pref</t>
  </si>
  <si>
    <t>Atmospheric pressure at reference conditions (Pa)</t>
  </si>
  <si>
    <t xml:space="preserve">MMRG,m </t>
  </si>
  <si>
    <t>Molecular mass of the residual gas in the minute m (kg/kmol)</t>
  </si>
  <si>
    <t>Determination of methane mass flow rate in the residual gas on a dry basis</t>
  </si>
  <si>
    <t>Mass flow of greenhouse gas I in the gaseous stream in time interval t (kg gas/h)</t>
  </si>
  <si>
    <t>Determination of flare efficiency</t>
  </si>
  <si>
    <t>nflare,calc,m</t>
  </si>
  <si>
    <t>Flare efficiency in the minute m (Percent)</t>
  </si>
  <si>
    <t>Determination of methane mass flow rate in the exhaust gas on a dry basis of flare efficiency</t>
  </si>
  <si>
    <t>FCH4,EG,m</t>
  </si>
  <si>
    <t>Mass flow of methane in the exhaust gas of the flare on a dry basis at reference conditions in the minute m (kg)</t>
  </si>
  <si>
    <t>Determination of the volumetric flow rate of the exhaust gas</t>
  </si>
  <si>
    <t>VEG,m</t>
  </si>
  <si>
    <t>Volumetric flow of the exhaust gas on a dry basis at reference conditions in the minute m (m3 )</t>
  </si>
  <si>
    <t xml:space="preserve">QEG,m </t>
  </si>
  <si>
    <t>Volume of the exhaust gas on a dry basis per kg of residual gas on a dry basis at reference conditions in the minute m (m3 /kg residual gas)</t>
  </si>
  <si>
    <t>QO2,EG,m</t>
  </si>
  <si>
    <t>O2 volume in the exhaust gas per kg of residual gas on a dry basis at reference conditions in the minute m (m3 /kg residual gas)</t>
  </si>
  <si>
    <t xml:space="preserve">QN2,EG,m </t>
  </si>
  <si>
    <t>N2 (volume) in the exhaust gas per kg of residual gas on a dry basis at reference conditions in the minute m (m3 /kg residual gas)</t>
  </si>
  <si>
    <t>QCO2,EG,m</t>
  </si>
  <si>
    <t>CO2 volume in the exhaust gas per kg of residual gas on a dry basis at reference conditions in the minute m (m3 /kg residual gas)</t>
  </si>
  <si>
    <t xml:space="preserve">NO2,EG,m </t>
  </si>
  <si>
    <t>O2 (moles) in the exhaust gas per kg of residual gas flared on a dry basis at reference conditions in the minute m (kmol/kg residual gas)</t>
  </si>
  <si>
    <t>FO2,RG,m</t>
  </si>
  <si>
    <t>Stochiometric quantity of moles of O2 required for a complete oxidation of one kg residual gas in the minute m (kmol/kg residual gas)</t>
  </si>
  <si>
    <t xml:space="preserve">Determination of the mass fraction of carbon, hydrogen, oxygen and nitrogen in the residual gas </t>
  </si>
  <si>
    <t xml:space="preserve">MFC,RG,m </t>
  </si>
  <si>
    <t>Mass fraction of element carbon in the residual gas in the minute m</t>
  </si>
  <si>
    <t>MFH2,RG,m</t>
  </si>
  <si>
    <t>Mass fraction of element hydrogen in the residual gas in the minute m</t>
  </si>
  <si>
    <t>MFO2,RG,m</t>
  </si>
  <si>
    <t>Mass fraction of element oxygen in the residual gas in the minute m</t>
  </si>
  <si>
    <t xml:space="preserve">MFN2,RG,m </t>
  </si>
  <si>
    <t>Mass fraction of element nitrogen in the residual gas in the minute m</t>
  </si>
  <si>
    <t>Calculation of project yearly emissions from flaring</t>
  </si>
  <si>
    <t>Is the transportation of waste biomass from sourcing to biochar production facility more than 200 km?</t>
  </si>
  <si>
    <t>Is the transportation of biochar from the production facility to the site of end application more than 200 km?</t>
  </si>
  <si>
    <t>Option P.1</t>
  </si>
  <si>
    <t>PECF,p,y</t>
  </si>
  <si>
    <t xml:space="preserve">Select the feedstock and production type in order to calculate the organic carbon content per tonne of biochar per production type:
Option 1: Animal Manure / Pyrolysis
Option 2: Animal Manure / Gasification
Option 3: Wood / Pyrolysis
Option 4: Wood / Gasification 
Option 5: Herbaceous / Pyrolysis
Option 6: Herbaceous / Gasification 
Option 7: Rice husks and rice straw / Pyrolysis
Option 8: Rice husks and rice straw / Gasification
Option 9: Nut shells, pits, and stones / Pyrolysis
Option 10: Nut shells, pits, and stones / Gasification
Option 11: Biosolids / Pyrolysis
Option 12: Biosolids / Gasification </t>
  </si>
  <si>
    <t>Only for Option P.2</t>
  </si>
  <si>
    <t>EP,k,y</t>
  </si>
  <si>
    <t>Net GHG Emission Reductions and Removals</t>
  </si>
  <si>
    <t>GHG emission reductions at sourcing stage in year y (tCO2e)</t>
  </si>
  <si>
    <t>ERSS,y</t>
  </si>
  <si>
    <t>Net GHG emissions reductions and removals in year y (tCO2e)</t>
  </si>
  <si>
    <t>Ery</t>
  </si>
  <si>
    <t>Property</t>
  </si>
  <si>
    <t>Methodology List</t>
  </si>
  <si>
    <t>AccountableImpactOrganization.id</t>
  </si>
  <si>
    <t>ACR- Truck Stop Electrification</t>
  </si>
  <si>
    <t>AccountableImpactOrganization.name</t>
  </si>
  <si>
    <t>ACR- Advanced Refrigeration Systems</t>
  </si>
  <si>
    <t>AccountableImpactOrganization.description</t>
  </si>
  <si>
    <t xml:space="preserve">ACR- Certified Reclaimed HFC Refrigerants, Propellants, and Fire Suppressants </t>
  </si>
  <si>
    <t>AccountableImpactOrganization.addresses</t>
  </si>
  <si>
    <t>ACR - Destruction of Ozone Depleting Substances and High-GWP Foam</t>
  </si>
  <si>
    <t>AccountableImpactOrganization.owners</t>
  </si>
  <si>
    <t>ACR- Destruction of Ozone Depleting Substances from International Sources</t>
  </si>
  <si>
    <t>AccountableImpactOrganization.country</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</si>
  <si>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</si>
  <si>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</si>
  <si>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</si>
  <si>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</si>
  <si>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</si>
  <si>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</si>
  <si>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</si>
  <si>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</si>
  <si>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</si>
  <si>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AccountableImpactOrganization.activityImpactModules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</si>
  <si>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</si>
  <si>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</si>
  <si>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</si>
  <si>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</si>
  <si>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</si>
  <si>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</si>
  <si>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</si>
  <si>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</si>
  <si>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</si>
  <si>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</si>
  <si>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</si>
  <si>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</si>
  <si>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</si>
  <si>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ActivityImpactModule.projectScope</t>
  </si>
  <si>
    <t xml:space="preserve">CAR - Coal Mine Methane </t>
  </si>
  <si>
    <t>ActivityImpactModule.projectType</t>
  </si>
  <si>
    <t>CAR - Forest</t>
  </si>
  <si>
    <t>ActivityImpactModule.projectScale</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</si>
  <si>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</si>
  <si>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</si>
  <si>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</si>
  <si>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</si>
  <si>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</si>
  <si>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</si>
  <si>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</si>
  <si>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</si>
  <si>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</si>
  <si>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</si>
  <si>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</si>
  <si>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</si>
  <si>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</si>
  <si>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</si>
  <si>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</si>
  <si>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</si>
  <si>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</si>
  <si>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</si>
  <si>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</si>
  <si>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</si>
  <si>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</si>
  <si>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</si>
  <si>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</si>
  <si>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</si>
  <si>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</si>
  <si>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ActivityImpactModule.projectStartDate</t>
  </si>
  <si>
    <t xml:space="preserve">CAR - Soil Enrichment </t>
  </si>
  <si>
    <t>ActivityImpactModule.projectCreditingPeriod</t>
  </si>
  <si>
    <t xml:space="preserve">CAR - Urban Forest Management </t>
  </si>
  <si>
    <t>ActivityImpactModule.projectMonitoringPeriod</t>
  </si>
  <si>
    <t>CAR - Urban Tree Planting</t>
  </si>
  <si>
    <t>ActivityImpactModule.GeographicLocation.longitude</t>
  </si>
  <si>
    <t xml:space="preserve">CAR - U.S. Landfill </t>
  </si>
  <si>
    <t>ActivityImpactModule.GeographicLocation.latitude</t>
  </si>
  <si>
    <t>CAR - U.S. Livestock</t>
  </si>
  <si>
    <t>ActivityImpactModule.GeographicLocation.geoJsonOrKml</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</si>
  <si>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</si>
  <si>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</si>
  <si>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</si>
  <si>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</si>
  <si>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</si>
  <si>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</si>
  <si>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</si>
  <si>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</si>
  <si>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</si>
  <si>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</si>
  <si>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</si>
  <si>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</si>
  <si>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</si>
  <si>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</si>
  <si>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</si>
  <si>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</si>
  <si>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</si>
  <si>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</si>
  <si>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</si>
  <si>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</si>
  <si>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</si>
  <si>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</si>
  <si>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</si>
  <si>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</si>
  <si>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</si>
  <si>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</si>
  <si>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</si>
  <si>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</si>
  <si>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</si>
  <si>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</si>
  <si>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</si>
  <si>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</si>
  <si>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</si>
  <si>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</si>
  <si>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</si>
  <si>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</si>
  <si>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</si>
  <si>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</si>
  <si>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</si>
  <si>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</si>
  <si>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</si>
  <si>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</si>
  <si>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</si>
  <si>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</si>
  <si>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</si>
  <si>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</si>
  <si>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</si>
  <si>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</si>
  <si>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</si>
  <si>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</si>
  <si>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</si>
  <si>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</si>
  <si>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</si>
  <si>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</si>
  <si>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</si>
  <si>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</si>
  <si>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</si>
  <si>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</si>
  <si>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</si>
  <si>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</si>
  <si>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</si>
  <si>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</si>
  <si>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</si>
  <si>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</si>
  <si>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</si>
  <si>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</si>
  <si>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</si>
  <si>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</si>
  <si>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</si>
  <si>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</si>
  <si>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</si>
  <si>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</si>
  <si>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</si>
  <si>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</si>
  <si>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</si>
  <si>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</si>
  <si>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</si>
  <si>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</si>
  <si>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</si>
  <si>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</si>
  <si>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</si>
  <si>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</si>
  <si>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</si>
  <si>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</si>
  <si>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</si>
  <si>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</si>
  <si>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</si>
  <si>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</si>
  <si>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</si>
  <si>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</si>
  <si>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</si>
  <si>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</si>
  <si>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</si>
  <si>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</si>
  <si>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</si>
  <si>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CoBenefit.unSdg</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</si>
  <si>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</si>
  <si>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</si>
  <si>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</si>
  <si>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</si>
  <si>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</si>
  <si>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</si>
  <si>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</si>
  <si>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</si>
  <si>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</si>
  <si>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</si>
  <si>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</si>
  <si>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</si>
  <si>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</si>
  <si>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</si>
  <si>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</si>
  <si>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</si>
  <si>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</si>
  <si>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</si>
  <si>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</si>
  <si>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</si>
  <si>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</si>
  <si>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</si>
  <si>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</si>
  <si>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</si>
  <si>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</si>
  <si>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</si>
  <si>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</si>
  <si>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</si>
  <si>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</si>
  <si>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</si>
  <si>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</si>
  <si>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</si>
  <si>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</si>
  <si>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</si>
  <si>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</si>
  <si>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</si>
  <si>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</si>
  <si>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</si>
  <si>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</si>
  <si>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</si>
  <si>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</si>
  <si>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</si>
  <si>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</si>
  <si>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</si>
  <si>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</si>
  <si>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</si>
  <si>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</si>
  <si>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</si>
  <si>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</si>
  <si>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</si>
  <si>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</si>
  <si>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</si>
  <si>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</si>
  <si>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</si>
  <si>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</si>
  <si>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</si>
  <si>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</si>
  <si>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</si>
  <si>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</si>
  <si>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</si>
  <si>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</si>
  <si>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</si>
  <si>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</si>
  <si>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</si>
  <si>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</si>
  <si>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</si>
  <si>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</si>
  <si>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</si>
  <si>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</si>
  <si>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</si>
  <si>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</si>
  <si>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</si>
  <si>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</si>
  <si>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</si>
  <si>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</si>
  <si>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</si>
  <si>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</si>
  <si>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</si>
  <si>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</si>
  <si>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</si>
  <si>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</si>
  <si>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</si>
  <si>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</si>
  <si>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GeographicLocation.longitude</t>
  </si>
  <si>
    <t>CDM - AM0121</t>
  </si>
  <si>
    <t>GeographicLocation.latitude</t>
  </si>
  <si>
    <t>CDM - AM0122</t>
  </si>
  <si>
    <t>GeographicLocation.geoJsonOrKml</t>
  </si>
  <si>
    <t>CDM - AMS-I.A.</t>
  </si>
  <si>
    <t>GeographicLocation.geographicLocationFile</t>
  </si>
  <si>
    <t>CDM - AMS-I.B.</t>
  </si>
  <si>
    <t>ImpactClaim.id</t>
  </si>
  <si>
    <t>CDM - AMS-I.C.</t>
  </si>
  <si>
    <t>ImpactClaim.aimId</t>
  </si>
  <si>
    <t>CDM - AMS-I.D.</t>
  </si>
  <si>
    <t>ImpactClaim.processedClaimId</t>
  </si>
  <si>
    <t>CDM - AMS-I.E.</t>
  </si>
  <si>
    <t>ImpactClaim.unit</t>
  </si>
  <si>
    <t>CDM - AMS-I.F.</t>
  </si>
  <si>
    <t>ImpactClaim.quantity</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</si>
  <si>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</si>
  <si>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</si>
  <si>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</si>
  <si>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</si>
  <si>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</si>
  <si>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</si>
  <si>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</si>
  <si>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</si>
  <si>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</si>
  <si>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</si>
  <si>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</si>
  <si>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</si>
  <si>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</si>
  <si>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</si>
  <si>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</si>
  <si>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</si>
  <si>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</si>
  <si>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ImpactClaimCheckpoint.efBefore</t>
  </si>
  <si>
    <t>CDM - AMS-II.C.</t>
  </si>
  <si>
    <t>ImpactClaimCheckpoint.efAfter</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</si>
  <si>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</si>
  <si>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</si>
  <si>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</si>
  <si>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</si>
  <si>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</si>
  <si>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</si>
  <si>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</si>
  <si>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</si>
  <si>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</si>
  <si>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</si>
  <si>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</si>
  <si>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</si>
  <si>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CDM - AMS-II.J.</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</si>
  <si>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</si>
  <si>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</si>
  <si>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</si>
  <si>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</si>
  <si>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</si>
  <si>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</si>
  <si>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</si>
  <si>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</si>
  <si>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</si>
  <si>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</si>
  <si>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</si>
  <si>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</si>
  <si>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</si>
  <si>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</si>
  <si>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</si>
  <si>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</si>
  <si>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</si>
  <si>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</si>
  <si>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</si>
  <si>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</si>
  <si>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</si>
  <si>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</si>
  <si>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</si>
  <si>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</si>
  <si>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</si>
  <si>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</si>
  <si>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</si>
  <si>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</si>
  <si>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</si>
  <si>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</si>
  <si>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</si>
  <si>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</si>
  <si>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</si>
  <si>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</si>
  <si>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</si>
  <si>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</si>
  <si>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</si>
  <si>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</si>
  <si>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</si>
  <si>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</si>
  <si>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</si>
  <si>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</si>
  <si>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</si>
  <si>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</si>
  <si>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</si>
  <si>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</si>
  <si>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</si>
  <si>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</si>
  <si>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</si>
  <si>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</si>
  <si>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</si>
  <si>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</si>
  <si>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</si>
  <si>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</si>
  <si>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</si>
  <si>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</si>
  <si>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</si>
  <si>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</si>
  <si>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</si>
  <si>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</si>
  <si>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</si>
  <si>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</si>
  <si>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</si>
  <si>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</si>
  <si>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</si>
  <si>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</si>
  <si>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</si>
  <si>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</si>
  <si>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</si>
  <si>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</si>
  <si>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</si>
  <si>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</si>
  <si>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</si>
  <si>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</si>
  <si>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</si>
  <si>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</si>
  <si>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</si>
  <si>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</si>
  <si>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</si>
  <si>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</si>
  <si>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</si>
  <si>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</si>
  <si>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</si>
  <si>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</si>
  <si>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</si>
  <si>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</si>
  <si>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</si>
  <si>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</si>
  <si>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QualityStandard.methodologyAndTools</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</si>
  <si>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</si>
  <si>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</si>
  <si>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</si>
  <si>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</si>
  <si>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</si>
  <si>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</si>
  <si>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</si>
  <si>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</si>
  <si>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</si>
  <si>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</si>
  <si>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</si>
  <si>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</si>
  <si>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</si>
  <si>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</si>
  <si>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</si>
  <si>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</si>
  <si>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</si>
  <si>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</si>
  <si>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CDM - AMS-III.AR.</t>
  </si>
  <si>
    <t>REC.listingAgentId</t>
  </si>
  <si>
    <t>CDM - AMS-III.AS.</t>
  </si>
  <si>
    <t>REC.climateLabels</t>
  </si>
  <si>
    <t>CDM - AMS-III.AT.</t>
  </si>
  <si>
    <t>REC.status</t>
  </si>
  <si>
    <t>CDM - AMS-III.AU.</t>
  </si>
  <si>
    <t>REC.referencedRec</t>
  </si>
  <si>
    <t>CDM - AMS-III.AV.</t>
  </si>
  <si>
    <t>REC.appliedToId</t>
  </si>
  <si>
    <t>CDM - AMS-III.AW.</t>
  </si>
  <si>
    <t>REC.processedClaimId</t>
  </si>
  <si>
    <t>CDM - AMS-III.AX.</t>
  </si>
  <si>
    <t>REC.issuerId</t>
  </si>
  <si>
    <t>CDM - AMS-III.AY.</t>
  </si>
  <si>
    <t>REC.processedClaim</t>
  </si>
  <si>
    <t>CDM - AMS-III.BA.</t>
  </si>
  <si>
    <t>ReferencedCredit.id</t>
  </si>
  <si>
    <t>CDM - AMS-III.BB.</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</si>
  <si>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</si>
  <si>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</si>
  <si>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</si>
  <si>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</si>
  <si>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</si>
  <si>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</si>
  <si>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</si>
  <si>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</si>
  <si>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</si>
  <si>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</si>
  <si>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</si>
  <si>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</si>
  <si>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</si>
  <si>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</si>
  <si>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</si>
  <si>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</si>
  <si>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</si>
  <si>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</si>
  <si>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</si>
  <si>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</si>
  <si>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</si>
  <si>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</si>
  <si>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</si>
  <si>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</si>
  <si>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</si>
  <si>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</si>
  <si>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</si>
  <si>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</si>
  <si>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</si>
  <si>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</si>
  <si>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</si>
  <si>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</si>
  <si>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</si>
  <si>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</si>
  <si>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</si>
  <si>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</si>
  <si>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</si>
  <si>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</si>
  <si>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</si>
  <si>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</si>
  <si>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</si>
  <si>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</si>
  <si>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</si>
  <si>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</si>
  <si>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</si>
  <si>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CDM - ACM0006</t>
  </si>
  <si>
    <t>Tag.data</t>
  </si>
  <si>
    <t>CDM - ACM0007</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</si>
  <si>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</si>
  <si>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</si>
  <si>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</si>
  <si>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</si>
  <si>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</si>
  <si>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</si>
  <si>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</si>
  <si>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</si>
  <si>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</si>
  <si>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</si>
  <si>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</si>
  <si>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</si>
  <si>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</si>
  <si>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</si>
  <si>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</si>
  <si>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</si>
  <si>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</si>
  <si>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</si>
  <si>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</si>
  <si>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</si>
  <si>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</si>
  <si>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CDM - ACM0018</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</si>
  <si>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</si>
  <si>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</si>
  <si>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</si>
  <si>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</si>
  <si>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</si>
  <si>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</si>
  <si>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</si>
  <si>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</si>
  <si>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</si>
  <si>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</si>
  <si>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</si>
  <si>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</si>
  <si>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</si>
  <si>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</si>
  <si>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</si>
  <si>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</si>
  <si>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</si>
  <si>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</si>
  <si>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</si>
  <si>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</si>
  <si>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</si>
  <si>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</si>
  <si>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</si>
  <si>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</si>
  <si>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</si>
  <si>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</si>
  <si>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</si>
  <si>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</si>
  <si>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</si>
  <si>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</si>
  <si>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</si>
  <si>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</si>
  <si>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</si>
  <si>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</si>
  <si>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</si>
  <si>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</si>
  <si>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</si>
  <si>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</si>
  <si>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</si>
  <si>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</si>
  <si>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</si>
  <si>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</si>
  <si>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</si>
  <si>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</si>
  <si>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</si>
  <si>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</si>
  <si>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</si>
  <si>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</si>
  <si>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</si>
  <si>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</si>
  <si>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</si>
  <si>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</si>
  <si>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</si>
  <si>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</si>
  <si>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</si>
  <si>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</si>
  <si>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</si>
  <si>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</si>
  <si>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</si>
  <si>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</si>
  <si>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</si>
  <si>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</si>
  <si>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</si>
  <si>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</si>
  <si>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</si>
  <si>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</si>
  <si>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</si>
  <si>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</si>
  <si>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</si>
  <si>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</si>
  <si>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</si>
  <si>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</si>
  <si>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</si>
  <si>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</si>
  <si>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</si>
  <si>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</si>
  <si>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</si>
  <si>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</si>
  <si>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</si>
  <si>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</si>
  <si>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</si>
  <si>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</si>
  <si>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</si>
  <si>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</si>
  <si>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</si>
  <si>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</si>
  <si>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</si>
  <si>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</si>
  <si>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</si>
  <si>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</si>
  <si>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</si>
  <si>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</si>
  <si>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</si>
  <si>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</si>
  <si>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</si>
  <si>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</si>
  <si>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</si>
  <si>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</si>
  <si>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</si>
  <si>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</si>
  <si>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</si>
  <si>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</si>
  <si>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</si>
  <si>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</si>
  <si>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</si>
  <si>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</si>
  <si>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</si>
  <si>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</si>
  <si>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</si>
  <si>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</si>
  <si>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</si>
  <si>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</si>
  <si>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</si>
  <si>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</si>
  <si>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</si>
  <si>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</si>
  <si>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</si>
  <si>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</si>
  <si>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</si>
  <si>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</si>
  <si>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</si>
  <si>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</si>
  <si>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</si>
  <si>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</si>
  <si>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</si>
  <si>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</si>
  <si>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</si>
  <si>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</si>
  <si>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</si>
  <si>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</si>
  <si>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</si>
  <si>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</si>
  <si>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</si>
  <si>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</si>
  <si>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</si>
  <si>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</si>
  <si>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</si>
  <si>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</si>
  <si>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</si>
  <si>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</si>
  <si>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</si>
  <si>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</si>
  <si>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</si>
  <si>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</si>
  <si>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</si>
  <si>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</si>
  <si>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</si>
  <si>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</si>
  <si>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</si>
  <si>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</si>
  <si>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</si>
  <si>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</si>
  <si>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</si>
  <si>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</si>
  <si>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</si>
  <si>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</si>
  <si>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</si>
  <si>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</si>
  <si>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</si>
  <si>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</si>
  <si>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</si>
  <si>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</si>
  <si>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</si>
  <si>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</si>
  <si>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</si>
  <si>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</si>
  <si>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</si>
  <si>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</si>
  <si>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</si>
  <si>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</si>
  <si>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</si>
  <si>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</si>
  <si>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</si>
  <si>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</si>
  <si>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</si>
  <si>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</si>
  <si>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</si>
  <si>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</si>
  <si>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</si>
  <si>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</si>
  <si>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</si>
  <si>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</si>
  <si>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</si>
  <si>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</si>
  <si>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</si>
  <si>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</si>
  <si>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</si>
  <si>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</si>
  <si>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</si>
  <si>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</si>
  <si>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</si>
  <si>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</si>
  <si>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</si>
  <si>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</si>
  <si>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</si>
  <si>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</si>
  <si>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</si>
  <si>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</si>
  <si>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</si>
  <si>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</si>
  <si>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</si>
  <si>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</si>
  <si>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</si>
  <si>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</si>
  <si>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</si>
  <si>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</si>
  <si>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</si>
  <si>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</si>
  <si>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</si>
  <si>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</si>
  <si>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</si>
  <si>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</si>
  <si>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</si>
  <si>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</si>
  <si>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</si>
  <si>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</si>
  <si>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</si>
  <si>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</si>
  <si>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</si>
  <si>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</si>
  <si>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</si>
  <si>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</si>
  <si>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</si>
  <si>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</si>
  <si>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</si>
  <si>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</si>
  <si>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</si>
  <si>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</si>
  <si>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</si>
  <si>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</si>
  <si>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</si>
  <si>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</si>
  <si>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</si>
  <si>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</si>
  <si>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</si>
  <si>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</si>
  <si>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</si>
  <si>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</si>
  <si>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</si>
  <si>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</si>
  <si>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</si>
  <si>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</si>
  <si>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</si>
  <si>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</si>
  <si>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</si>
  <si>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</si>
  <si>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</si>
  <si>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</si>
  <si>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</si>
  <si>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</si>
  <si>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</si>
  <si>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</si>
  <si>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</si>
  <si>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</si>
  <si>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</si>
  <si>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</si>
  <si>
    <t>Project Scale</t>
  </si>
  <si>
    <t>Project Location Latitude</t>
  </si>
  <si>
    <t>Project Location Longitude</t>
  </si>
  <si>
    <t>Project Location GeoJSON (GeoJSON supports the following geometry types: Point, LineString, Polygon, MultiPoint, MultiLineString, MultiPolygon.)</t>
  </si>
  <si>
    <t>Project or Large Project</t>
  </si>
  <si>
    <t>Summed Project Emissions</t>
  </si>
  <si>
    <t>Project emissions at the sourcing, production and application stage in year y (tCO2e)</t>
  </si>
  <si>
    <t>Project emissions at the sourcing stage in year y (tCO2e)</t>
  </si>
  <si>
    <t>PEy</t>
  </si>
  <si>
    <t>Mass on a dry weight basis of biochar type t for application type k produced at the production facility p in year y (tonnes)</t>
  </si>
  <si>
    <t>The project activity mitigates CO2 and CH4 emissions by avoiding open field burning and biomass decomposition. It removes carbon through biochar production and soil application. These actions address CO2 and CH4, which come under the seven greenhouse gases outlined in the Kyoto Protocol.</t>
  </si>
  <si>
    <t>Director</t>
  </si>
  <si>
    <t>India</t>
  </si>
  <si>
    <t>X Group</t>
  </si>
  <si>
    <t>X Group is the owner of the group project and responsible for management of the project.</t>
  </si>
  <si>
    <t>10/16/2023-10/15/2030</t>
  </si>
  <si>
    <t>10/16/2023-10/15/2031</t>
  </si>
  <si>
    <t>Monitoring plan was structured based on VM0044 criteria</t>
  </si>
  <si>
    <t>Reliance is compliant with the legal requirements of India</t>
  </si>
  <si>
    <t xml:space="preserve"> - 68°7' to 97°25' E</t>
  </si>
  <si>
    <t xml:space="preserve"> - 8°4' to 37°6' N</t>
  </si>
  <si>
    <t>SDG 1, SDG 2, SDG 3, SDG 5, SDG 6, SDG 8, SDG 10, SDG 11, SDG 12, SDG 13, SDG, 15, SDG 17</t>
  </si>
  <si>
    <t>There are no leakage emissions applicable to the project as there is no transportation involved in any stage of the biochar lifecycle from sourcing of biomass to application of biochar in the project.</t>
  </si>
  <si>
    <t>This globally applicable methodology provides criteria and procedures for the quantification of GHG benefits following the adoption of improved waste handling and disposal (WHD) of waste biomass. The project activity consists of three parts: 1) sourcing waste biomass, 2) producing biochar, and 3) utilizing biochar in soil or non-soil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</si>
</sst>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6" x14ac:knownFonts="1">
    <font>
      <sz val="11"/>
      <color theme="1"/>
      <name val="Calibri"/>
      <family val="2"/>
      <scheme val="minor"/>
    </font>
    <font>
      <u/>
      <sz val="11"/>
      <color theme="10"/>
      <name val="Calibri"/>
      <family val="2"/>
      <scheme val="minor"/>
    </font>
    <font>
      <b/>
      <sz val="14"/>
      <color rgb="FF000000"/>
      <name val="Calibri"/>
      <family val="2"/>
      <scheme val="minor"/>
    </font>
    <font>
      <sz val="11"/>
      <color rgb="FF000000"/>
      <name val="Calibri"/>
      <family val="2"/>
      <scheme val="minor"/>
    </font>
    <font>
      <b/>
      <sz val="11"/>
      <color theme="1"/>
      <name val="Calibri"/>
      <family val="2"/>
      <scheme val="minor"/>
    </font>
    <font>
      <sz val="9"/>
      <color indexed="81"/>
      <name val="Tahoma"/>
      <charset val="1"/>
    </font>
    <font>
      <i/>
      <sz val="11"/>
      <color theme="1"/>
      <name val="Calibri"/>
      <family val="2"/>
      <scheme val="minor"/>
    </font>
    <font>
      <u/>
      <sz val="11"/>
      <color theme="1"/>
      <name val="Calibri"/>
      <family val="2"/>
      <scheme val="minor"/>
    </font>
    <font>
      <b/>
      <sz val="14"/>
      <color theme="1"/>
      <name val="Calibri"/>
      <family val="2"/>
      <scheme val="minor"/>
    </font>
    <font>
      <sz val="11"/>
      <color theme="1"/>
      <name val="Calibri"/>
      <family val="2"/>
      <scheme val="minor"/>
    </font>
    <font>
      <sz val="11"/>
      <color rgb="FF9C5700"/>
      <name val="Calibri"/>
      <family val="2"/>
      <scheme val="minor"/>
    </font>
    <font>
      <sz val="11"/>
      <name val="Calibri"/>
      <family val="2"/>
      <scheme val="minor"/>
    </font>
    <font>
      <b/>
      <i/>
      <sz val="11"/>
      <color theme="1"/>
      <name val="Calibri"/>
      <family val="2"/>
      <scheme val="minor"/>
    </font>
    <font>
      <b/>
      <i/>
      <sz val="14"/>
      <color theme="1"/>
      <name val="Calibri"/>
      <family val="2"/>
      <scheme val="minor"/>
    </font>
    <font>
      <b/>
      <sz val="16"/>
      <color rgb="FF000000"/>
      <name val="Calibri"/>
      <family val="2"/>
      <scheme val="minor"/>
    </font>
    <font>
      <sz val="18"/>
      <color rgb="FF000000"/>
      <name val="Calibri"/>
      <scheme val="minor"/>
    </font>
    <font>
      <vertAlign val="subscript"/>
      <sz val="18"/>
      <color rgb="FF000000"/>
      <name val="Calibri"/>
      <scheme val="minor"/>
    </font>
    <font>
      <sz val="18"/>
      <color theme="1"/>
      <name val="Calibri"/>
      <family val="2"/>
      <scheme val="minor"/>
    </font>
    <font>
      <sz val="11"/>
      <color rgb="FF000000"/>
      <name val="Calibri"/>
      <scheme val="minor"/>
    </font>
    <font>
      <b/>
      <u/>
      <sz val="11"/>
      <color rgb="FF000000"/>
      <name val="Calibri"/>
      <scheme val="minor"/>
    </font>
    <font>
      <vertAlign val="subscript"/>
      <sz val="18"/>
      <color theme="1"/>
      <name val="Calibri"/>
      <family val="2"/>
      <scheme val="minor"/>
    </font>
    <font>
      <i/>
      <sz val="16"/>
      <color rgb="FF000000"/>
      <name val="Calibri"/>
      <family val="2"/>
      <scheme val="minor"/>
    </font>
    <font>
      <vertAlign val="superscript"/>
      <sz val="11"/>
      <color theme="1"/>
      <name val="Calibri"/>
      <family val="2"/>
      <scheme val="minor"/>
    </font>
    <font>
      <sz val="12"/>
      <color theme="1"/>
      <name val="Calibri"/>
      <family val="2"/>
      <scheme val="minor"/>
    </font>
    <font>
      <sz val="12"/>
      <color rgb="FF000000"/>
      <name val="Calibri"/>
      <scheme val="minor"/>
    </font>
    <font>
      <b/>
      <sz val="12"/>
      <color rgb="FF000000"/>
      <name val="Calibri"/>
      <scheme val="minor"/>
    </font>
    <font>
      <sz val="20"/>
      <color theme="1"/>
      <name val="Calibri"/>
      <family val="2"/>
      <scheme val="minor"/>
    </font>
    <font>
      <vertAlign val="subscript"/>
      <sz val="20"/>
      <color theme="1"/>
      <name val="Calibri"/>
      <family val="2"/>
      <scheme val="minor"/>
    </font>
    <font>
      <b/>
      <u/>
      <sz val="11"/>
      <color theme="1"/>
      <name val="Calibri"/>
      <family val="2"/>
      <scheme val="minor"/>
    </font>
    <font>
      <b/>
      <sz val="11"/>
      <color rgb="FF000000"/>
      <name val="Calibri"/>
      <family val="2"/>
      <scheme val="minor"/>
    </font>
    <font>
      <sz val="18"/>
      <color rgb="FF000000"/>
      <name val="Calibri"/>
      <family val="2"/>
    </font>
    <font>
      <vertAlign val="subscript"/>
      <sz val="18"/>
      <color rgb="FF000000"/>
      <name val="Calibri"/>
      <family val="2"/>
    </font>
    <font>
      <b/>
      <sz val="12"/>
      <color theme="1"/>
      <name val="Calibri"/>
      <family val="2"/>
      <scheme val="minor"/>
    </font>
    <font>
      <sz val="14"/>
      <color rgb="FF000000"/>
      <name val="Calibri"/>
      <family val="2"/>
      <scheme val="minor"/>
    </font>
    <font>
      <sz val="10"/>
      <name val="Arial"/>
      <family val="2"/>
    </font>
    <font>
      <sz val="8"/>
      <name val="Calibri"/>
      <family val="2"/>
      <scheme val="minor"/>
    </font>
  </fonts>
  <fills count="13">
    <fill>
      <patternFill patternType="none"/>
    </fill>
    <fill>
      <patternFill patternType="gray125"/>
    </fill>
    <fill>
      <patternFill patternType="solid">
        <fgColor rgb="FFBFBFBF"/>
        <bgColor rgb="FF000000"/>
      </patternFill>
    </fill>
    <fill>
      <patternFill patternType="solid">
        <fgColor rgb="FF92D050"/>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00B050"/>
        <bgColor indexed="64"/>
      </patternFill>
    </fill>
    <fill>
      <patternFill patternType="solid">
        <fgColor rgb="FFFFEB9C"/>
      </patternFill>
    </fill>
    <fill>
      <patternFill patternType="solid">
        <fgColor theme="0" tint="-0.34998626667073579"/>
        <bgColor indexed="64"/>
      </patternFill>
    </fill>
    <fill>
      <patternFill patternType="solid">
        <fgColor theme="0" tint="-0.249977111117893"/>
        <bgColor rgb="FF000000"/>
      </patternFill>
    </fill>
    <fill>
      <patternFill patternType="solid">
        <fgColor theme="0" tint="-0.14999847407452621"/>
        <bgColor rgb="FF000000"/>
      </patternFill>
    </fill>
    <fill>
      <patternFill patternType="solid">
        <fgColor theme="9" tint="0.59999389629810485"/>
        <bgColor indexed="64"/>
      </patternFill>
    </fill>
    <fill>
      <patternFill patternType="solid">
        <fgColor theme="2" tint="-9.9978637043366805E-2"/>
        <bgColor indexed="64"/>
      </patternFill>
    </fill>
  </fills>
  <borders count="2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ck">
        <color auto="1"/>
      </top>
      <bottom style="thick">
        <color auto="1"/>
      </bottom>
      <diagonal/>
    </border>
    <border>
      <left/>
      <right/>
      <top style="thick">
        <color auto="1"/>
      </top>
      <bottom/>
      <diagonal/>
    </border>
    <border>
      <left style="medium">
        <color auto="1"/>
      </left>
      <right style="medium">
        <color auto="1"/>
      </right>
      <top style="medium">
        <color auto="1"/>
      </top>
      <bottom style="medium">
        <color auto="1"/>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1" fillId="0" borderId="0" applyNumberFormat="0" applyFill="0" applyBorder="0" applyAlignment="0" applyProtection="0"/>
    <xf numFmtId="0" fontId="10" fillId="7" borderId="0" applyNumberFormat="0" applyBorder="0" applyAlignment="0" applyProtection="0"/>
    <xf numFmtId="43" fontId="9" fillId="0" borderId="0" applyFont="0" applyFill="0" applyBorder="0" applyAlignment="0" applyProtection="0"/>
    <xf numFmtId="0" fontId="34" fillId="0" borderId="0"/>
  </cellStyleXfs>
  <cellXfs count="164">
    <xf numFmtId="0" fontId="0" fillId="0" borderId="0" xfId="0"/>
    <xf numFmtId="0" fontId="2" fillId="0" borderId="0" xfId="0" applyFont="1" applyAlignment="1">
      <alignment horizontal="center" wrapText="1"/>
    </xf>
    <xf numFmtId="0" fontId="2" fillId="0" borderId="0" xfId="0" applyFont="1" applyAlignment="1">
      <alignment horizontal="center"/>
    </xf>
    <xf numFmtId="0" fontId="3" fillId="0" borderId="0" xfId="0" applyFont="1"/>
    <xf numFmtId="0" fontId="0" fillId="0" borderId="0" xfId="0" applyAlignment="1">
      <alignment wrapText="1"/>
    </xf>
    <xf numFmtId="0" fontId="3" fillId="0" borderId="0" xfId="0" applyFont="1" applyAlignment="1">
      <alignment horizontal="left"/>
    </xf>
    <xf numFmtId="0" fontId="3" fillId="0" borderId="0" xfId="0" applyFont="1" applyAlignment="1">
      <alignment horizontal="left" wrapText="1"/>
    </xf>
    <xf numFmtId="0" fontId="1" fillId="0" borderId="0" xfId="1" applyAlignment="1">
      <alignment horizontal="left"/>
    </xf>
    <xf numFmtId="14" fontId="3" fillId="0" borderId="0" xfId="0" applyNumberFormat="1" applyFont="1" applyAlignment="1">
      <alignment horizontal="left" wrapText="1"/>
    </xf>
    <xf numFmtId="0" fontId="0" fillId="3" borderId="0" xfId="0" applyFill="1"/>
    <xf numFmtId="0" fontId="0" fillId="4" borderId="0" xfId="0" applyFill="1"/>
    <xf numFmtId="0" fontId="0" fillId="4" borderId="0" xfId="0" applyFill="1" applyAlignment="1">
      <alignment wrapText="1"/>
    </xf>
    <xf numFmtId="0" fontId="0" fillId="3" borderId="0" xfId="0" applyFill="1" applyAlignment="1">
      <alignment wrapText="1"/>
    </xf>
    <xf numFmtId="0" fontId="0" fillId="0" borderId="0" xfId="0" applyAlignment="1">
      <alignment horizontal="left"/>
    </xf>
    <xf numFmtId="0" fontId="0" fillId="5" borderId="0" xfId="0" applyFill="1"/>
    <xf numFmtId="0" fontId="0" fillId="5" borderId="0" xfId="0" applyFill="1" applyAlignment="1">
      <alignment wrapText="1"/>
    </xf>
    <xf numFmtId="0" fontId="0" fillId="5" borderId="0" xfId="0" applyFill="1" applyAlignment="1">
      <alignment horizontal="left"/>
    </xf>
    <xf numFmtId="0" fontId="6" fillId="0" borderId="0" xfId="0" applyFont="1" applyAlignment="1">
      <alignment horizontal="center"/>
    </xf>
    <xf numFmtId="0" fontId="0" fillId="6" borderId="0" xfId="0" applyFill="1" applyAlignment="1">
      <alignment horizontal="left"/>
    </xf>
    <xf numFmtId="3" fontId="0" fillId="0" borderId="0" xfId="0" applyNumberFormat="1" applyAlignment="1">
      <alignment horizontal="left"/>
    </xf>
    <xf numFmtId="0" fontId="8" fillId="0" borderId="3" xfId="0" applyFont="1" applyBorder="1" applyAlignment="1">
      <alignment horizontal="center"/>
    </xf>
    <xf numFmtId="0" fontId="8" fillId="0" borderId="0" xfId="0" applyFont="1"/>
    <xf numFmtId="0" fontId="4" fillId="0" borderId="4" xfId="0" applyFont="1" applyBorder="1" applyAlignment="1">
      <alignment horizontal="left"/>
    </xf>
    <xf numFmtId="0" fontId="4" fillId="0" borderId="0" xfId="0" applyFont="1"/>
    <xf numFmtId="0" fontId="4" fillId="0" borderId="5" xfId="0" applyFont="1" applyBorder="1"/>
    <xf numFmtId="0" fontId="0" fillId="3" borderId="4" xfId="0" applyFill="1" applyBorder="1" applyAlignment="1">
      <alignment horizontal="left"/>
    </xf>
    <xf numFmtId="0" fontId="0" fillId="3" borderId="5" xfId="0" applyFill="1" applyBorder="1"/>
    <xf numFmtId="0" fontId="0" fillId="0" borderId="4" xfId="0" applyBorder="1" applyAlignment="1">
      <alignment horizontal="left"/>
    </xf>
    <xf numFmtId="0" fontId="0" fillId="0" borderId="5" xfId="0" applyBorder="1"/>
    <xf numFmtId="0" fontId="4" fillId="0" borderId="1" xfId="0" applyFont="1" applyBorder="1" applyAlignment="1">
      <alignment horizontal="left"/>
    </xf>
    <xf numFmtId="0" fontId="4" fillId="0" borderId="2" xfId="0" applyFont="1" applyBorder="1"/>
    <xf numFmtId="0" fontId="4" fillId="3" borderId="3" xfId="0" applyFont="1" applyFill="1" applyBorder="1"/>
    <xf numFmtId="0" fontId="4" fillId="0" borderId="6" xfId="0" applyFont="1" applyBorder="1" applyAlignment="1">
      <alignment horizontal="left"/>
    </xf>
    <xf numFmtId="0" fontId="4" fillId="0" borderId="7" xfId="0" applyFont="1" applyBorder="1"/>
    <xf numFmtId="0" fontId="4" fillId="3" borderId="8" xfId="0" applyFont="1" applyFill="1" applyBorder="1"/>
    <xf numFmtId="0" fontId="2" fillId="2" borderId="0" xfId="0" applyFont="1" applyFill="1" applyAlignment="1">
      <alignment horizontal="center"/>
    </xf>
    <xf numFmtId="0" fontId="6" fillId="0" borderId="0" xfId="0" applyFont="1" applyAlignment="1">
      <alignment horizontal="center"/>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5" borderId="0" xfId="0" applyFont="1" applyFill="1" applyAlignment="1">
      <alignment wrapText="1"/>
    </xf>
    <xf numFmtId="0" fontId="4" fillId="0" borderId="9" xfId="0" applyFont="1" applyBorder="1" applyAlignment="1">
      <alignment wrapText="1"/>
    </xf>
    <xf numFmtId="0" fontId="0" fillId="3" borderId="9" xfId="0" applyFill="1" applyBorder="1"/>
    <xf numFmtId="0" fontId="0" fillId="0" borderId="9" xfId="0" applyBorder="1"/>
    <xf numFmtId="0" fontId="0" fillId="0" borderId="10" xfId="0" applyBorder="1" applyAlignment="1">
      <alignment wrapText="1"/>
    </xf>
    <xf numFmtId="0" fontId="0" fillId="0" borderId="10" xfId="0" applyBorder="1"/>
    <xf numFmtId="0" fontId="8" fillId="5" borderId="0" xfId="0" applyFont="1" applyFill="1"/>
    <xf numFmtId="0" fontId="12" fillId="0" borderId="0" xfId="0" applyFont="1" applyAlignment="1">
      <alignment wrapText="1"/>
    </xf>
    <xf numFmtId="0" fontId="4" fillId="5" borderId="0" xfId="0" applyFont="1" applyFill="1"/>
    <xf numFmtId="0" fontId="4" fillId="5" borderId="0" xfId="0" applyFont="1" applyFill="1" applyAlignment="1">
      <alignment wrapText="1"/>
    </xf>
    <xf numFmtId="0" fontId="0" fillId="3" borderId="11" xfId="0" applyFill="1" applyBorder="1"/>
    <xf numFmtId="0" fontId="4" fillId="0" borderId="9" xfId="0" applyFont="1" applyBorder="1"/>
    <xf numFmtId="0" fontId="4" fillId="3" borderId="9" xfId="0" applyFont="1" applyFill="1" applyBorder="1"/>
    <xf numFmtId="0" fontId="4" fillId="3" borderId="0" xfId="0" applyFont="1" applyFill="1"/>
    <xf numFmtId="9" fontId="0" fillId="0" borderId="0" xfId="0" applyNumberFormat="1"/>
    <xf numFmtId="0" fontId="0" fillId="0" borderId="9" xfId="0" applyBorder="1" applyAlignment="1">
      <alignment wrapText="1"/>
    </xf>
    <xf numFmtId="0" fontId="0" fillId="3" borderId="10" xfId="0" applyFill="1" applyBorder="1"/>
    <xf numFmtId="0" fontId="0" fillId="0" borderId="12" xfId="0" applyBorder="1"/>
    <xf numFmtId="0" fontId="12" fillId="0" borderId="12" xfId="0" applyFont="1" applyBorder="1" applyAlignment="1">
      <alignment wrapText="1"/>
    </xf>
    <xf numFmtId="0" fontId="13" fillId="0" borderId="0" xfId="0" applyFont="1" applyAlignment="1">
      <alignment wrapText="1"/>
    </xf>
    <xf numFmtId="0" fontId="4" fillId="0" borderId="0" xfId="0" applyFont="1" applyAlignment="1">
      <alignment horizontal="center"/>
    </xf>
    <xf numFmtId="0" fontId="0" fillId="0" borderId="0" xfId="0" applyAlignment="1">
      <alignment horizontal="center"/>
    </xf>
    <xf numFmtId="0" fontId="6" fillId="0" borderId="0" xfId="0" applyFont="1"/>
    <xf numFmtId="0" fontId="6" fillId="3" borderId="0" xfId="0" applyFont="1" applyFill="1"/>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left"/>
    </xf>
    <xf numFmtId="0" fontId="14" fillId="2" borderId="0" xfId="0" applyFont="1" applyFill="1" applyAlignment="1">
      <alignment horizontal="center" vertical="center" wrapText="1"/>
    </xf>
    <xf numFmtId="0" fontId="15" fillId="3" borderId="0" xfId="0" applyFont="1" applyFill="1" applyAlignment="1">
      <alignment horizontal="center" vertical="center"/>
    </xf>
    <xf numFmtId="0" fontId="0" fillId="3" borderId="0" xfId="0" applyFill="1" applyAlignment="1">
      <alignment horizontal="left" vertical="center" wrapText="1"/>
    </xf>
    <xf numFmtId="0" fontId="0" fillId="3" borderId="0" xfId="0" applyFill="1" applyAlignment="1">
      <alignment horizontal="left"/>
    </xf>
    <xf numFmtId="0" fontId="17" fillId="0" borderId="0" xfId="0" applyFont="1"/>
    <xf numFmtId="0" fontId="0" fillId="0" borderId="0" xfId="0" applyAlignment="1">
      <alignment horizontal="left" vertical="center" wrapText="1"/>
    </xf>
    <xf numFmtId="0" fontId="0" fillId="4" borderId="0" xfId="0" applyFill="1" applyAlignment="1">
      <alignment horizontal="left" vertical="center" wrapText="1"/>
    </xf>
    <xf numFmtId="0" fontId="18" fillId="4" borderId="0" xfId="0" applyFont="1" applyFill="1" applyAlignment="1">
      <alignment wrapText="1"/>
    </xf>
    <xf numFmtId="0" fontId="14" fillId="5" borderId="0" xfId="0" applyFont="1" applyFill="1" applyAlignment="1">
      <alignment horizontal="center"/>
    </xf>
    <xf numFmtId="0" fontId="17" fillId="3" borderId="0" xfId="0" applyFont="1" applyFill="1" applyAlignment="1">
      <alignment horizontal="center" vertical="center"/>
    </xf>
    <xf numFmtId="0" fontId="17" fillId="0" borderId="0" xfId="0" applyFont="1" applyAlignment="1">
      <alignment horizontal="center" vertical="center"/>
    </xf>
    <xf numFmtId="0" fontId="17" fillId="3" borderId="0" xfId="0" applyFont="1" applyFill="1"/>
    <xf numFmtId="0" fontId="0" fillId="3" borderId="0" xfId="0" applyFill="1" applyAlignment="1">
      <alignment vertical="center" wrapText="1"/>
    </xf>
    <xf numFmtId="0" fontId="0" fillId="0" borderId="0" xfId="0" applyAlignment="1">
      <alignment horizontal="center" vertical="center"/>
    </xf>
    <xf numFmtId="0" fontId="0" fillId="4" borderId="0" xfId="0" applyFill="1" applyAlignment="1">
      <alignment horizontal="center" vertical="center"/>
    </xf>
    <xf numFmtId="0" fontId="0" fillId="8" borderId="0" xfId="0" applyFill="1"/>
    <xf numFmtId="0" fontId="0" fillId="0" borderId="0" xfId="0" applyAlignment="1">
      <alignment horizontal="left" wrapText="1"/>
    </xf>
    <xf numFmtId="0" fontId="4" fillId="0" borderId="0" xfId="0" applyFont="1" applyAlignment="1">
      <alignment horizontal="center"/>
    </xf>
    <xf numFmtId="9" fontId="0" fillId="3" borderId="0" xfId="0" applyNumberFormat="1" applyFill="1"/>
    <xf numFmtId="0" fontId="4" fillId="0" borderId="0" xfId="0" applyFont="1" applyAlignment="1">
      <alignment horizontal="center" wrapText="1"/>
    </xf>
    <xf numFmtId="0" fontId="8" fillId="8" borderId="0" xfId="0" applyFont="1" applyFill="1"/>
    <xf numFmtId="0" fontId="12" fillId="0" borderId="0" xfId="0" applyFont="1" applyAlignment="1">
      <alignment horizontal="center"/>
    </xf>
    <xf numFmtId="0" fontId="12" fillId="0" borderId="0" xfId="0" applyFont="1"/>
    <xf numFmtId="0" fontId="14" fillId="9" borderId="0" xfId="0" applyFont="1" applyFill="1" applyAlignment="1">
      <alignment horizontal="center"/>
    </xf>
    <xf numFmtId="0" fontId="23" fillId="4" borderId="0" xfId="0" applyFont="1" applyFill="1" applyAlignment="1">
      <alignment horizontal="left" vertical="center"/>
    </xf>
    <xf numFmtId="0" fontId="23" fillId="4" borderId="0" xfId="0" applyFont="1" applyFill="1" applyAlignment="1">
      <alignment horizontal="left" vertical="center" wrapText="1"/>
    </xf>
    <xf numFmtId="0" fontId="24" fillId="4" borderId="0" xfId="0" applyFont="1" applyFill="1" applyAlignment="1">
      <alignment wrapText="1"/>
    </xf>
    <xf numFmtId="0" fontId="23" fillId="0" borderId="0" xfId="0" applyFont="1"/>
    <xf numFmtId="0" fontId="14" fillId="9" borderId="0" xfId="0" applyFont="1" applyFill="1" applyAlignment="1">
      <alignment horizontal="center" vertical="center"/>
    </xf>
    <xf numFmtId="0" fontId="23" fillId="3" borderId="0" xfId="0" applyFont="1" applyFill="1"/>
    <xf numFmtId="0" fontId="17" fillId="0" borderId="0" xfId="0" applyFont="1" applyAlignment="1">
      <alignment horizontal="center"/>
    </xf>
    <xf numFmtId="0" fontId="14" fillId="5" borderId="0" xfId="0" applyFont="1" applyFill="1" applyAlignment="1">
      <alignment horizontal="center" vertical="center"/>
    </xf>
    <xf numFmtId="0" fontId="0" fillId="4" borderId="0" xfId="0" applyFill="1" applyAlignment="1">
      <alignment vertical="center" wrapText="1"/>
    </xf>
    <xf numFmtId="0" fontId="0" fillId="4" borderId="0" xfId="0" applyFill="1" applyAlignment="1">
      <alignment vertical="center"/>
    </xf>
    <xf numFmtId="0" fontId="26" fillId="3" borderId="0" xfId="0" applyFont="1" applyFill="1" applyAlignment="1">
      <alignment vertical="center"/>
    </xf>
    <xf numFmtId="0" fontId="0" fillId="3" borderId="0" xfId="0" applyFill="1" applyAlignment="1">
      <alignment horizontal="left" wrapText="1"/>
    </xf>
    <xf numFmtId="0" fontId="2" fillId="5" borderId="0" xfId="0" applyFont="1" applyFill="1" applyAlignment="1">
      <alignment horizontal="center"/>
    </xf>
    <xf numFmtId="0" fontId="0" fillId="3" borderId="0" xfId="0" applyFill="1" applyAlignment="1">
      <alignment vertical="center"/>
    </xf>
    <xf numFmtId="0" fontId="29" fillId="0" borderId="0" xfId="0" applyFont="1" applyAlignment="1">
      <alignment horizontal="left"/>
    </xf>
    <xf numFmtId="0" fontId="0" fillId="4" borderId="0" xfId="0" applyFill="1" applyAlignment="1">
      <alignment horizontal="left" wrapText="1"/>
    </xf>
    <xf numFmtId="0" fontId="30" fillId="3" borderId="0" xfId="0" applyFont="1" applyFill="1" applyAlignment="1">
      <alignment vertical="center"/>
    </xf>
    <xf numFmtId="0" fontId="30" fillId="0" borderId="0" xfId="0" applyFont="1" applyAlignment="1">
      <alignment vertical="center"/>
    </xf>
    <xf numFmtId="0" fontId="32" fillId="0" borderId="13" xfId="0" applyFont="1" applyBorder="1" applyAlignment="1">
      <alignment horizontal="center"/>
    </xf>
    <xf numFmtId="0" fontId="32" fillId="0" borderId="13" xfId="0" applyFont="1" applyBorder="1" applyAlignment="1">
      <alignment horizontal="center" wrapText="1"/>
    </xf>
    <xf numFmtId="0" fontId="0" fillId="0" borderId="14" xfId="0" applyBorder="1"/>
    <xf numFmtId="0" fontId="0" fillId="0" borderId="15" xfId="0" applyBorder="1"/>
    <xf numFmtId="164" fontId="0" fillId="0" borderId="16" xfId="3" applyNumberFormat="1" applyFont="1" applyBorder="1"/>
    <xf numFmtId="0" fontId="0" fillId="0" borderId="17" xfId="0" applyBorder="1"/>
    <xf numFmtId="0" fontId="0" fillId="0" borderId="18" xfId="0" applyBorder="1"/>
    <xf numFmtId="164" fontId="0" fillId="0" borderId="19" xfId="3" applyNumberFormat="1" applyFont="1" applyBorder="1"/>
    <xf numFmtId="0" fontId="0" fillId="0" borderId="17" xfId="0" applyBorder="1" applyAlignment="1">
      <alignment wrapText="1"/>
    </xf>
    <xf numFmtId="0" fontId="0" fillId="0" borderId="20" xfId="0" applyBorder="1"/>
    <xf numFmtId="0" fontId="0" fillId="0" borderId="21" xfId="0" applyBorder="1"/>
    <xf numFmtId="164" fontId="0" fillId="0" borderId="22" xfId="3" applyNumberFormat="1" applyFont="1" applyBorder="1"/>
    <xf numFmtId="0" fontId="3" fillId="3" borderId="0" xfId="0" applyFont="1" applyFill="1" applyAlignment="1">
      <alignment wrapText="1"/>
    </xf>
    <xf numFmtId="0" fontId="2" fillId="3" borderId="0" xfId="0" applyFont="1" applyFill="1" applyAlignment="1">
      <alignment wrapText="1"/>
    </xf>
    <xf numFmtId="0" fontId="3" fillId="3" borderId="0" xfId="0" applyFont="1" applyFill="1" applyAlignment="1">
      <alignment horizontal="left" wrapText="1"/>
    </xf>
    <xf numFmtId="0" fontId="3" fillId="3" borderId="0" xfId="0" applyFont="1" applyFill="1" applyAlignment="1">
      <alignment horizontal="right"/>
    </xf>
    <xf numFmtId="0" fontId="2" fillId="3" borderId="0" xfId="0" applyFont="1" applyFill="1" applyAlignment="1">
      <alignment horizontal="left" wrapText="1"/>
    </xf>
    <xf numFmtId="0" fontId="14" fillId="10" borderId="0" xfId="0" applyFont="1" applyFill="1" applyAlignment="1">
      <alignment horizontal="center" vertical="center" wrapText="1"/>
    </xf>
    <xf numFmtId="0" fontId="0" fillId="0" borderId="0" xfId="0" applyAlignment="1">
      <alignment horizontal="right"/>
    </xf>
    <xf numFmtId="0" fontId="0" fillId="3" borderId="0" xfId="0" applyFill="1" applyAlignment="1">
      <alignment horizontal="right"/>
    </xf>
    <xf numFmtId="0" fontId="14" fillId="0" borderId="0" xfId="0" applyFont="1" applyAlignment="1">
      <alignment vertical="center" wrapText="1"/>
    </xf>
    <xf numFmtId="0" fontId="14" fillId="2" borderId="7" xfId="0" applyFont="1" applyFill="1" applyBorder="1" applyAlignment="1">
      <alignment horizontal="center" vertical="center" wrapText="1"/>
    </xf>
    <xf numFmtId="0" fontId="8" fillId="0" borderId="11" xfId="0" applyFont="1" applyBorder="1" applyAlignment="1">
      <alignment horizontal="center" wrapText="1"/>
    </xf>
    <xf numFmtId="0" fontId="0" fillId="0" borderId="23" xfId="0" applyBorder="1" applyAlignment="1">
      <alignment wrapText="1"/>
    </xf>
    <xf numFmtId="0" fontId="0" fillId="0" borderId="24" xfId="0" applyBorder="1"/>
    <xf numFmtId="0" fontId="0" fillId="0" borderId="19" xfId="0" applyBorder="1"/>
    <xf numFmtId="0" fontId="0" fillId="0" borderId="22" xfId="0" applyBorder="1"/>
    <xf numFmtId="0" fontId="2" fillId="0" borderId="0" xfId="0" applyFont="1"/>
    <xf numFmtId="0" fontId="2" fillId="9" borderId="0" xfId="0" applyFont="1" applyFill="1" applyAlignment="1">
      <alignment horizontal="left"/>
    </xf>
    <xf numFmtId="0" fontId="33" fillId="9" borderId="0" xfId="0" applyFont="1" applyFill="1" applyAlignment="1">
      <alignment horizontal="left"/>
    </xf>
    <xf numFmtId="0" fontId="3" fillId="4" borderId="0" xfId="0" applyFont="1" applyFill="1"/>
    <xf numFmtId="0" fontId="3" fillId="4" borderId="0" xfId="0" applyFont="1" applyFill="1" applyAlignment="1">
      <alignment horizontal="left"/>
    </xf>
    <xf numFmtId="0" fontId="2" fillId="4" borderId="0" xfId="0" applyFont="1" applyFill="1"/>
    <xf numFmtId="0" fontId="3" fillId="4" borderId="0" xfId="0" applyFont="1" applyFill="1" applyAlignment="1">
      <alignment horizontal="left" wrapText="1"/>
    </xf>
    <xf numFmtId="0" fontId="3" fillId="4" borderId="0" xfId="0" applyFont="1" applyFill="1" applyAlignment="1">
      <alignment wrapText="1"/>
    </xf>
    <xf numFmtId="0" fontId="11" fillId="4" borderId="0" xfId="2" applyFont="1" applyFill="1" applyAlignment="1">
      <alignment wrapText="1"/>
    </xf>
    <xf numFmtId="0" fontId="3" fillId="11" borderId="0" xfId="0" applyFont="1" applyFill="1" applyAlignment="1">
      <alignment horizontal="left"/>
    </xf>
    <xf numFmtId="0" fontId="0" fillId="11" borderId="0" xfId="0" applyFill="1"/>
    <xf numFmtId="0" fontId="0" fillId="11" borderId="0" xfId="0" applyFill="1" applyAlignment="1">
      <alignment wrapText="1"/>
    </xf>
    <xf numFmtId="0" fontId="11" fillId="3" borderId="0" xfId="2" applyFont="1" applyFill="1" applyAlignment="1">
      <alignment horizontal="left" wrapText="1"/>
    </xf>
    <xf numFmtId="0" fontId="10" fillId="3" borderId="0" xfId="2" applyFill="1" applyAlignment="1">
      <alignment wrapText="1"/>
    </xf>
    <xf numFmtId="0" fontId="0" fillId="4" borderId="0" xfId="0" applyFill="1" applyAlignment="1">
      <alignment horizontal="left"/>
    </xf>
    <xf numFmtId="0" fontId="11" fillId="3" borderId="0" xfId="4" applyFont="1" applyFill="1" applyAlignment="1">
      <alignment vertical="top" wrapText="1"/>
    </xf>
    <xf numFmtId="10" fontId="0" fillId="0" borderId="0" xfId="0" applyNumberFormat="1" applyAlignment="1">
      <alignment horizontal="left"/>
    </xf>
    <xf numFmtId="4" fontId="0" fillId="0" borderId="0" xfId="0" applyNumberFormat="1" applyAlignment="1">
      <alignment horizontal="left"/>
    </xf>
    <xf numFmtId="0" fontId="3" fillId="3" borderId="0" xfId="0" applyFont="1" applyFill="1" applyAlignment="1">
      <alignment horizontal="left"/>
    </xf>
    <xf numFmtId="0" fontId="0" fillId="4" borderId="0" xfId="0" applyFill="1" applyAlignment="1">
      <alignment horizontal="right"/>
    </xf>
    <xf numFmtId="0" fontId="0" fillId="0" borderId="0" xfId="0" applyFill="1"/>
    <xf numFmtId="0" fontId="0" fillId="0" borderId="0" xfId="0" applyFill="1" applyAlignment="1">
      <alignment wrapText="1"/>
    </xf>
    <xf numFmtId="0" fontId="0" fillId="4" borderId="0" xfId="0" applyFill="1" applyAlignment="1">
      <alignment horizontal="right" indent="1"/>
    </xf>
    <xf numFmtId="0" fontId="4" fillId="0" borderId="18" xfId="0" applyFont="1" applyBorder="1" applyAlignment="1">
      <alignment horizontal="center" vertical="top"/>
    </xf>
    <xf numFmtId="0" fontId="4" fillId="0" borderId="25" xfId="0" applyFont="1" applyBorder="1" applyAlignment="1">
      <alignment horizontal="center" vertical="top" wrapText="1"/>
    </xf>
    <xf numFmtId="0" fontId="0" fillId="12" borderId="0" xfId="0" applyFill="1"/>
    <xf numFmtId="0" fontId="3" fillId="0" borderId="0" xfId="0" applyFont="1" applyAlignment="1">
      <alignment wrapText="1"/>
    </xf>
    <xf numFmtId="0" fontId="3" fillId="3" borderId="0" xfId="0" applyFont="1" applyFill="1"/>
  </cellXfs>
  <cellStyles count="5">
    <cellStyle name="Comma 2" xfId="3" xr:uid="{322C34CC-47A9-4C24-932F-488A12BF2495}"/>
    <cellStyle name="Hyperlink" xfId="1" builtinId="8"/>
    <cellStyle name="Neutral" xfId="2" builtinId="28"/>
    <cellStyle name="Normal" xfId="0" builtinId="0"/>
    <cellStyle name="Normal 3" xfId="4" xr:uid="{E98307EF-EC71-41CE-9461-405FD88F950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251460</xdr:colOff>
      <xdr:row>6</xdr:row>
      <xdr:rowOff>38100</xdr:rowOff>
    </xdr:from>
    <xdr:to>
      <xdr:col>23</xdr:col>
      <xdr:colOff>556260</xdr:colOff>
      <xdr:row>40</xdr:row>
      <xdr:rowOff>68580</xdr:rowOff>
    </xdr:to>
    <xdr:pic>
      <xdr:nvPicPr>
        <xdr:cNvPr id="2" name="Picture 1">
          <a:extLst>
            <a:ext uri="{FF2B5EF4-FFF2-40B4-BE49-F238E27FC236}">
              <a16:creationId xmlns:a16="http://schemas.microsoft.com/office/drawing/2014/main" id="{DCF14C11-42AB-43C9-AA01-4545794877E7}"/>
            </a:ext>
          </a:extLst>
        </xdr:cNvPr>
        <xdr:cNvPicPr>
          <a:picLocks noChangeAspect="1"/>
        </xdr:cNvPicPr>
      </xdr:nvPicPr>
      <xdr:blipFill rotWithShape="1">
        <a:blip xmlns:r="http://schemas.openxmlformats.org/officeDocument/2006/relationships" r:embed="rId1"/>
        <a:srcRect l="35629" t="29263" r="36034" b="9989"/>
        <a:stretch/>
      </xdr:blipFill>
      <xdr:spPr>
        <a:xfrm>
          <a:off x="9395460" y="1181100"/>
          <a:ext cx="5181600" cy="6507480"/>
        </a:xfrm>
        <a:prstGeom prst="rect">
          <a:avLst/>
        </a:prstGeom>
      </xdr:spPr>
    </xdr:pic>
    <xdr:clientData/>
  </xdr:twoCellAnchor>
  <xdr:twoCellAnchor editAs="oneCell">
    <xdr:from>
      <xdr:col>26</xdr:col>
      <xdr:colOff>30480</xdr:colOff>
      <xdr:row>5</xdr:row>
      <xdr:rowOff>45720</xdr:rowOff>
    </xdr:from>
    <xdr:to>
      <xdr:col>36</xdr:col>
      <xdr:colOff>597220</xdr:colOff>
      <xdr:row>38</xdr:row>
      <xdr:rowOff>76200</xdr:rowOff>
    </xdr:to>
    <xdr:pic>
      <xdr:nvPicPr>
        <xdr:cNvPr id="3" name="Picture 2">
          <a:extLst>
            <a:ext uri="{FF2B5EF4-FFF2-40B4-BE49-F238E27FC236}">
              <a16:creationId xmlns:a16="http://schemas.microsoft.com/office/drawing/2014/main" id="{B1DA6CED-93DD-4F6D-805C-11C574AC89E6}"/>
            </a:ext>
          </a:extLst>
        </xdr:cNvPr>
        <xdr:cNvPicPr>
          <a:picLocks noChangeAspect="1"/>
        </xdr:cNvPicPr>
      </xdr:nvPicPr>
      <xdr:blipFill rotWithShape="1">
        <a:blip xmlns:r="http://schemas.openxmlformats.org/officeDocument/2006/relationships" r:embed="rId2"/>
        <a:srcRect l="35504" t="29041" r="34742" b="22804"/>
        <a:stretch/>
      </xdr:blipFill>
      <xdr:spPr>
        <a:xfrm>
          <a:off x="15880080" y="998220"/>
          <a:ext cx="6662740" cy="6316980"/>
        </a:xfrm>
        <a:prstGeom prst="rect">
          <a:avLst/>
        </a:prstGeom>
      </xdr:spPr>
    </xdr:pic>
    <xdr:clientData/>
  </xdr:twoCellAnchor>
  <xdr:twoCellAnchor editAs="oneCell">
    <xdr:from>
      <xdr:col>36</xdr:col>
      <xdr:colOff>426720</xdr:colOff>
      <xdr:row>2</xdr:row>
      <xdr:rowOff>106680</xdr:rowOff>
    </xdr:from>
    <xdr:to>
      <xdr:col>46</xdr:col>
      <xdr:colOff>304800</xdr:colOff>
      <xdr:row>38</xdr:row>
      <xdr:rowOff>62313</xdr:rowOff>
    </xdr:to>
    <xdr:pic>
      <xdr:nvPicPr>
        <xdr:cNvPr id="4" name="Picture 3">
          <a:extLst>
            <a:ext uri="{FF2B5EF4-FFF2-40B4-BE49-F238E27FC236}">
              <a16:creationId xmlns:a16="http://schemas.microsoft.com/office/drawing/2014/main" id="{1D3E5A28-D8A1-4BF9-B297-D4E3D09A6710}"/>
            </a:ext>
          </a:extLst>
        </xdr:cNvPr>
        <xdr:cNvPicPr>
          <a:picLocks noChangeAspect="1"/>
        </xdr:cNvPicPr>
      </xdr:nvPicPr>
      <xdr:blipFill rotWithShape="1">
        <a:blip xmlns:r="http://schemas.openxmlformats.org/officeDocument/2006/relationships" r:embed="rId3"/>
        <a:srcRect l="35546" t="35560" r="35825" b="8728"/>
        <a:stretch/>
      </xdr:blipFill>
      <xdr:spPr>
        <a:xfrm>
          <a:off x="22372320" y="487680"/>
          <a:ext cx="5974080" cy="6813633"/>
        </a:xfrm>
        <a:prstGeom prst="rect">
          <a:avLst/>
        </a:prstGeom>
      </xdr:spPr>
    </xdr:pic>
    <xdr:clientData/>
  </xdr:twoCellAnchor>
  <xdr:twoCellAnchor editAs="oneCell">
    <xdr:from>
      <xdr:col>0</xdr:col>
      <xdr:colOff>190500</xdr:colOff>
      <xdr:row>17</xdr:row>
      <xdr:rowOff>60960</xdr:rowOff>
    </xdr:from>
    <xdr:to>
      <xdr:col>14</xdr:col>
      <xdr:colOff>182880</xdr:colOff>
      <xdr:row>37</xdr:row>
      <xdr:rowOff>7620</xdr:rowOff>
    </xdr:to>
    <xdr:pic>
      <xdr:nvPicPr>
        <xdr:cNvPr id="5" name="Picture 4">
          <a:extLst>
            <a:ext uri="{FF2B5EF4-FFF2-40B4-BE49-F238E27FC236}">
              <a16:creationId xmlns:a16="http://schemas.microsoft.com/office/drawing/2014/main" id="{7CFB1FB2-C5EF-4A58-9E5F-7EA5C09EE790}"/>
            </a:ext>
          </a:extLst>
        </xdr:cNvPr>
        <xdr:cNvPicPr>
          <a:picLocks noChangeAspect="1"/>
        </xdr:cNvPicPr>
      </xdr:nvPicPr>
      <xdr:blipFill rotWithShape="1">
        <a:blip xmlns:r="http://schemas.openxmlformats.org/officeDocument/2006/relationships" r:embed="rId4"/>
        <a:srcRect l="27211" t="36004" r="26157" b="28955"/>
        <a:stretch/>
      </xdr:blipFill>
      <xdr:spPr>
        <a:xfrm>
          <a:off x="190500" y="3299460"/>
          <a:ext cx="8526780" cy="375666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x Pinnola" id="{150C1429-9296-472A-94F1-8328DE52CB31}" userId="6071b2e426a8e48f" providerId="Windows Live"/>
  <person displayName="Jailine Molina" id="{359267EB-C5AE-4005-AF4F-1799F7E14E1B}" userId="f3e4387646bbb898" providerId="Windows Live"/>
  <person displayName="Jailine Molina" id="{CD2DD0E4-A624-4247-9B82-603BEBE69A31}" userId="S::jailine.molina@envisionblockchain.com::dcbde9ba-19ec-4293-81b0-e7f5b6f86a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3" dT="2023-10-11T17:58:56.11" personId="{CD2DD0E4-A624-4247-9B82-603BEBE69A31}" id="{FF5017F3-4D7E-455B-9DBB-7C36D2E42047}">
    <text>Section 8.1</text>
  </threadedComment>
  <threadedComment ref="G34" dT="2023-10-11T17:59:12.42" personId="{CD2DD0E4-A624-4247-9B82-603BEBE69A31}" id="{EA639AFE-1292-4A8F-8ED7-F435B69F3401}">
    <text>Section 8.1.1</text>
  </threadedComment>
  <threadedComment ref="G35" dT="2023-10-11T17:59:20.09" personId="{CD2DD0E4-A624-4247-9B82-603BEBE69A31}" id="{26B6F422-266F-40D0-B87C-8EB29BBFE5A6}">
    <text>Section 8.1.2</text>
  </threadedComment>
  <threadedComment ref="G36" dT="2023-10-11T17:59:32.70" personId="{CD2DD0E4-A624-4247-9B82-603BEBE69A31}" id="{95EA8A8F-F8B4-46BD-80AE-88E5A15F6515}">
    <text>Section 8.1.3</text>
  </threadedComment>
  <threadedComment ref="G38" dT="2023-10-16T16:51:28.84" personId="{CD2DD0E4-A624-4247-9B82-603BEBE69A31}" id="{7446DA27-D1AF-4FF5-A4C9-B25FBD6743CA}">
    <text>Summed for property</text>
  </threadedComment>
  <threadedComment ref="G40" dT="2023-10-11T18:29:17.47" personId="{CD2DD0E4-A624-4247-9B82-603BEBE69A31}" id="{5BA96CB4-68EC-4F91-B935-E24A4C91034A}">
    <text>Section 8.2.1</text>
  </threadedComment>
  <threadedComment ref="G42" dT="2023-10-11T19:17:21.27" personId="{CD2DD0E4-A624-4247-9B82-603BEBE69A31}" id="{774C7151-16C8-46CA-89DA-7FC6F6169D81}">
    <text>Eq 11</text>
  </threadedComment>
  <threadedComment ref="G48" dT="2023-10-13T17:34:01.59" personId="{CD2DD0E4-A624-4247-9B82-603BEBE69A31}" id="{5AC48C8D-079A-473D-8358-918C0A7AA086}">
    <text>Eq 3</text>
  </threadedComment>
  <threadedComment ref="G49" dT="2023-10-11T18:49:44.55" personId="{CD2DD0E4-A624-4247-9B82-603BEBE69A31}" id="{F8008040-F585-4987-82DD-CC6277B72FC3}">
    <text>Eq 4</text>
  </threadedComment>
  <threadedComment ref="G50" dT="2023-10-11T18:50:20.32" personId="{CD2DD0E4-A624-4247-9B82-603BEBE69A31}" id="{27056C07-84BE-4842-98EF-67CD86C05428}">
    <text>CDM Tool 05</text>
  </threadedComment>
  <threadedComment ref="G51" dT="2023-10-11T18:50:27.88" personId="{CD2DD0E4-A624-4247-9B82-603BEBE69A31}" id="{1FD8FBC4-EEA0-4BFB-AA7D-D362D8AEC3EB}">
    <text>CDM Tool 03</text>
  </threadedComment>
  <threadedComment ref="G52" dT="2023-10-11T18:52:16.25" personId="{CD2DD0E4-A624-4247-9B82-603BEBE69A31}" id="{935A8397-A5C1-4B78-B5C6-7A139D588890}">
    <text>Zero for high technology facilities</text>
  </threadedComment>
  <threadedComment ref="G54" dT="2023-10-13T17:34:37.24" personId="{CD2DD0E4-A624-4247-9B82-603BEBE69A31}" id="{2F938C61-3B46-45E7-B1BE-5F8C5E3EA068}">
    <text>Eq 5</text>
  </threadedComment>
  <threadedComment ref="G55" dT="2023-10-11T18:55:59.81" personId="{CD2DD0E4-A624-4247-9B82-603BEBE69A31}" id="{46ABA90F-EB92-404D-9B0A-C6C2D617F16D}">
    <text>CDM Tool 05</text>
  </threadedComment>
  <threadedComment ref="G56" dT="2023-10-11T18:56:06.84" personId="{CD2DD0E4-A624-4247-9B82-603BEBE69A31}" id="{4E34A830-176A-4148-927B-22B19AEB72D0}">
    <text>CDM Tool 03</text>
  </threadedComment>
  <threadedComment ref="G59" dT="2023-10-11T18:44:11.82" personId="{CD2DD0E4-A624-4247-9B82-603BEBE69A31}" id="{C23AED93-4193-4841-B290-51A8F0CC02EE}">
    <text>Eq 2</text>
  </threadedComment>
  <threadedComment ref="G63" dT="2023-10-11T18:40:55.96" personId="{CD2DD0E4-A624-4247-9B82-603BEBE69A31}" id="{D880C6A9-D6B9-4BC6-9EAC-715DE075693D}">
    <text>Table 3</text>
  </threadedComment>
  <threadedComment ref="G64" dT="2023-10-11T19:17:02.01" personId="{CD2DD0E4-A624-4247-9B82-603BEBE69A31}" id="{90705C3C-B46B-430E-865C-C972C16D15BC}">
    <text>Eq 12</text>
  </threadedComment>
  <threadedComment ref="G66" dT="2023-10-11T19:19:07.63" personId="{CD2DD0E4-A624-4247-9B82-603BEBE69A31}" id="{A521DDDA-9514-42AB-8F6D-605BC3B09737}">
    <text>CDM Tool 05</text>
  </threadedComment>
  <threadedComment ref="G67" dT="2023-10-11T19:19:20.34" personId="{CD2DD0E4-A624-4247-9B82-603BEBE69A31}" id="{5DF4C6AA-3620-4BB4-B020-F206936BC912}">
    <text>CDM Tool 03</text>
  </threadedComment>
  <threadedComment ref="G69" dT="2023-10-11T18:44:11.82" personId="{CD2DD0E4-A624-4247-9B82-603BEBE69A31}" id="{9A822EE0-D118-444C-9451-30EBD6FDD642}">
    <text>Eq 2</text>
  </threadedComment>
  <threadedComment ref="G73" dT="2023-10-11T18:40:55.96" personId="{CD2DD0E4-A624-4247-9B82-603BEBE69A31}" id="{85E25727-34B3-44F4-85A1-56AEFA5C9556}">
    <text>Table 3</text>
  </threadedComment>
  <threadedComment ref="G74" dT="2023-10-11T19:17:02.01" personId="{CD2DD0E4-A624-4247-9B82-603BEBE69A31}" id="{EFF6FF5D-A595-48FF-BCC5-D4BEB344D5BC}">
    <text>Eq 12</text>
  </threadedComment>
  <threadedComment ref="G76" dT="2023-10-11T19:19:07.63" personId="{CD2DD0E4-A624-4247-9B82-603BEBE69A31}" id="{272519C8-9998-4767-A642-7C28225E0764}">
    <text>CDM Tool 05</text>
  </threadedComment>
  <threadedComment ref="G77" dT="2023-10-11T19:19:20.34" personId="{CD2DD0E4-A624-4247-9B82-603BEBE69A31}" id="{416F8DFB-1F40-48A8-8B2F-70A767B5A44B}">
    <text>CDM Tool 03</text>
  </threadedComment>
  <threadedComment ref="G80" dT="2023-10-13T17:34:01.59" personId="{CD2DD0E4-A624-4247-9B82-603BEBE69A31}" id="{7A338B64-4E77-4063-8DBB-D115638659AE}">
    <text>Eq 3</text>
  </threadedComment>
  <threadedComment ref="G81" dT="2023-10-11T18:49:44.55" personId="{CD2DD0E4-A624-4247-9B82-603BEBE69A31}" id="{4D4B3B12-2314-422E-8121-AEA780B5B01B}">
    <text>Eq 4</text>
  </threadedComment>
  <threadedComment ref="G82" dT="2023-10-11T18:50:20.32" personId="{CD2DD0E4-A624-4247-9B82-603BEBE69A31}" id="{1AD10155-19E2-4337-8AA2-8B3D58A9EAB3}">
    <text>CDM Tool 05</text>
  </threadedComment>
  <threadedComment ref="G83" dT="2023-10-11T18:50:27.88" personId="{CD2DD0E4-A624-4247-9B82-603BEBE69A31}" id="{94943F39-5381-4F4D-AD85-C4217690DCAE}">
    <text>CDM Tool 03</text>
  </threadedComment>
  <threadedComment ref="G84" dT="2023-10-11T18:52:16.25" personId="{CD2DD0E4-A624-4247-9B82-603BEBE69A31}" id="{650A0BC6-4F68-48AE-A274-EEA3443A8898}">
    <text>Zero for high technology facilities</text>
  </threadedComment>
  <threadedComment ref="G86" dT="2023-10-13T17:34:37.24" personId="{CD2DD0E4-A624-4247-9B82-603BEBE69A31}" id="{081844DF-40A6-4852-8D93-7FF2A238434F}">
    <text>Eq 5</text>
  </threadedComment>
  <threadedComment ref="G87" dT="2023-10-11T18:55:59.81" personId="{CD2DD0E4-A624-4247-9B82-603BEBE69A31}" id="{220F584A-7F3E-40E0-9CB9-0367913B44D2}">
    <text>CDM Tool 05</text>
  </threadedComment>
  <threadedComment ref="G88" dT="2023-10-11T18:56:06.84" personId="{CD2DD0E4-A624-4247-9B82-603BEBE69A31}" id="{3968AD38-E870-4264-B3FA-0E49203E275F}">
    <text>CDM Tool 03</text>
  </threadedComment>
  <threadedComment ref="G91" dT="2023-10-11T18:44:11.82" personId="{CD2DD0E4-A624-4247-9B82-603BEBE69A31}" id="{D8D704B4-5B77-4DEF-91AB-7A4DC9F1B197}">
    <text>Eq 2</text>
  </threadedComment>
  <threadedComment ref="G95" dT="2023-10-11T18:40:55.96" personId="{CD2DD0E4-A624-4247-9B82-603BEBE69A31}" id="{5FAA9792-C167-4E55-B156-A06EA010D653}">
    <text>Table 3</text>
  </threadedComment>
  <threadedComment ref="G96" dT="2023-10-11T19:17:02.01" personId="{CD2DD0E4-A624-4247-9B82-603BEBE69A31}" id="{61F840FD-73C6-4B06-9BAD-26ADBE53758D}">
    <text>Eq 12</text>
  </threadedComment>
  <threadedComment ref="G98" dT="2023-10-11T19:19:07.63" personId="{CD2DD0E4-A624-4247-9B82-603BEBE69A31}" id="{37F12128-0D98-49EE-A468-EDD4F91AD025}">
    <text>CDM Tool 05</text>
  </threadedComment>
  <threadedComment ref="G99" dT="2023-10-11T19:19:20.34" personId="{CD2DD0E4-A624-4247-9B82-603BEBE69A31}" id="{37715A17-404F-48DB-BFD1-A835ED6239CD}">
    <text>CDM Tool 03</text>
  </threadedComment>
  <threadedComment ref="G101" dT="2023-10-11T18:44:11.82" personId="{CD2DD0E4-A624-4247-9B82-603BEBE69A31}" id="{3D736C0F-7AC6-429E-B108-91E623BC80E8}">
    <text>Eq 2</text>
  </threadedComment>
  <threadedComment ref="G105" dT="2023-10-11T18:40:55.96" personId="{CD2DD0E4-A624-4247-9B82-603BEBE69A31}" id="{C197EE08-1506-47A6-9FB5-2F7F5A708BF5}">
    <text>Table 3</text>
  </threadedComment>
  <threadedComment ref="G106" dT="2023-10-11T19:17:02.01" personId="{CD2DD0E4-A624-4247-9B82-603BEBE69A31}" id="{16DCA4E6-EE1F-4313-844C-31D6FF73F693}">
    <text>Eq 12</text>
  </threadedComment>
  <threadedComment ref="G108" dT="2023-10-11T19:19:07.63" personId="{CD2DD0E4-A624-4247-9B82-603BEBE69A31}" id="{F2706665-37FB-4C1D-B2A4-0A833D90D851}">
    <text>CDM Tool 05</text>
  </threadedComment>
  <threadedComment ref="G109" dT="2023-10-11T19:19:20.34" personId="{CD2DD0E4-A624-4247-9B82-603BEBE69A31}" id="{7E4B7711-8D0F-4E58-9F41-B823D1CB54E4}">
    <text>CDM Tool 03</text>
  </threadedComment>
  <threadedComment ref="G112" dT="2023-10-11T19:07:14.05" personId="{CD2DD0E4-A624-4247-9B82-603BEBE69A31}" id="{E8A0128F-DF14-494A-8902-3BE1450519C6}">
    <text>Eq 7</text>
  </threadedComment>
  <threadedComment ref="G113" dT="2023-10-11T19:10:35.32" personId="{CD2DD0E4-A624-4247-9B82-603BEBE69A31}" id="{511DB80B-76B8-4DC5-9E11-0CB9DCFC9E66}">
    <text>Eq 8</text>
  </threadedComment>
  <threadedComment ref="G114" dT="2023-10-11T19:09:26.65" personId="{CD2DD0E4-A624-4247-9B82-603BEBE69A31}" id="{EDB4E79A-AE70-436E-975B-0D4BF79298CF}">
    <text>Eq 9</text>
  </threadedComment>
  <threadedComment ref="G115" dT="2023-10-11T19:12:19.75" personId="{CD2DD0E4-A624-4247-9B82-603BEBE69A31}" id="{34903AEF-84D0-44BA-9BC0-5619B873482F}">
    <text>Eq 10</text>
  </threadedComment>
  <threadedComment ref="G116" dT="2023-10-11T19:08:18.10" personId="{CD2DD0E4-A624-4247-9B82-603BEBE69A31}" id="{076AEB9C-8AB1-45CB-A596-542C88B6332D}">
    <text>CDM Tool 05</text>
  </threadedComment>
  <threadedComment ref="G117" dT="2023-10-11T19:08:26.76" personId="{CD2DD0E4-A624-4247-9B82-603BEBE69A31}" id="{26C014FF-DCD1-4C4F-809B-9F5B5CA62486}">
    <text>CDM Tool 03</text>
  </threadedComment>
  <threadedComment ref="G118" dT="2023-10-11T19:13:15.34" personId="{CD2DD0E4-A624-4247-9B82-603BEBE69A31}" id="{F2144742-5325-4F61-B66E-77E065F3652C}">
    <text>CDM Tool 05</text>
  </threadedComment>
  <threadedComment ref="G119" dT="2023-10-11T19:13:23.40" personId="{CD2DD0E4-A624-4247-9B82-603BEBE69A31}" id="{D3051BEF-D46A-42BF-9C04-8066FEAEB70F}">
    <text>CDM Tool 03</text>
  </threadedComment>
  <threadedComment ref="G122" dT="2023-10-11T18:44:11.82" personId="{CD2DD0E4-A624-4247-9B82-603BEBE69A31}" id="{5B363A98-2C88-4288-ADBF-E63B0CC90931}">
    <text>Eq 6</text>
  </threadedComment>
  <threadedComment ref="G125" dT="2023-10-11T19:03:57.86" personId="{CD2DD0E4-A624-4247-9B82-603BEBE69A31}" id="{03430B5D-2810-4CC5-9B0A-5DBB663AB285}">
    <text>Table 4</text>
  </threadedComment>
  <threadedComment ref="G128" dT="2023-10-11T19:17:02.01" personId="{CD2DD0E4-A624-4247-9B82-603BEBE69A31}" id="{C5E7C768-F1CF-4165-B017-3334012394A4}">
    <text>Eq 12</text>
  </threadedComment>
  <threadedComment ref="G130" dT="2023-10-11T19:19:07.63" personId="{CD2DD0E4-A624-4247-9B82-603BEBE69A31}" id="{58CDF39C-4F3B-4C3F-A584-A5E117E62E47}">
    <text>CDM Tool 05</text>
  </threadedComment>
  <threadedComment ref="G131" dT="2023-10-11T19:19:20.34" personId="{CD2DD0E4-A624-4247-9B82-603BEBE69A31}" id="{D4C526D9-6A43-4DFC-9577-1C93709D6510}">
    <text>CDM Tool 03</text>
  </threadedComment>
  <threadedComment ref="G133" dT="2023-10-11T18:44:11.82" personId="{CD2DD0E4-A624-4247-9B82-603BEBE69A31}" id="{CDE181FD-2045-41F3-81E7-CA3F999F4800}">
    <text>Eq 6</text>
  </threadedComment>
  <threadedComment ref="G136" dT="2023-10-11T19:03:57.86" personId="{CD2DD0E4-A624-4247-9B82-603BEBE69A31}" id="{D1039FAE-BDDF-48A6-B35A-BFE74889F3B5}">
    <text>Table 4</text>
  </threadedComment>
  <threadedComment ref="G139" dT="2023-10-11T19:17:02.01" personId="{CD2DD0E4-A624-4247-9B82-603BEBE69A31}" id="{BA4A5740-1C52-433D-B040-A4EBEB4A1D17}">
    <text>Eq 12</text>
  </threadedComment>
  <threadedComment ref="G141" dT="2023-10-11T19:19:07.63" personId="{CD2DD0E4-A624-4247-9B82-603BEBE69A31}" id="{7CC37CE0-8AA5-483E-AA93-AF09157F5610}">
    <text>CDM Tool 05</text>
  </threadedComment>
  <threadedComment ref="G142" dT="2023-10-11T19:19:20.34" personId="{CD2DD0E4-A624-4247-9B82-603BEBE69A31}" id="{0B9866DF-8D28-4D92-8C28-9EC3AD3F767F}">
    <text>CDM Tool 03</text>
  </threadedComment>
  <threadedComment ref="G145" dT="2023-10-11T19:07:14.05" personId="{CD2DD0E4-A624-4247-9B82-603BEBE69A31}" id="{5A8F4FF1-F612-4940-9016-D07E23FD7A96}">
    <text>Eq 7</text>
  </threadedComment>
  <threadedComment ref="G146" dT="2023-10-11T19:10:35.32" personId="{CD2DD0E4-A624-4247-9B82-603BEBE69A31}" id="{A4D3F0BF-264A-4CC4-805B-EF0C059B7F64}">
    <text>Eq 8</text>
  </threadedComment>
  <threadedComment ref="G147" dT="2023-10-11T19:09:26.65" personId="{CD2DD0E4-A624-4247-9B82-603BEBE69A31}" id="{805C863B-ED4C-4D9D-A2FB-93BA9C7586B9}">
    <text>Eq 9</text>
  </threadedComment>
  <threadedComment ref="G148" dT="2023-10-11T19:12:19.75" personId="{CD2DD0E4-A624-4247-9B82-603BEBE69A31}" id="{8CE4D4DA-DEAD-49C4-99E8-A0DC7D926250}">
    <text>Eq 10</text>
  </threadedComment>
  <threadedComment ref="G149" dT="2023-10-11T19:08:18.10" personId="{CD2DD0E4-A624-4247-9B82-603BEBE69A31}" id="{8F50251E-3E89-4830-99FE-555EF6B89F43}">
    <text>CDM Tool 05</text>
  </threadedComment>
  <threadedComment ref="G150" dT="2023-10-11T19:08:26.76" personId="{CD2DD0E4-A624-4247-9B82-603BEBE69A31}" id="{F9C10709-604D-4048-9B3C-4B8FCB42C67F}">
    <text>CDM Tool 03</text>
  </threadedComment>
  <threadedComment ref="G151" dT="2023-10-11T19:13:15.34" personId="{CD2DD0E4-A624-4247-9B82-603BEBE69A31}" id="{9489E721-4D4B-44A0-809A-FCFCAFBE61E9}">
    <text>CDM Tool 05</text>
  </threadedComment>
  <threadedComment ref="G152" dT="2023-10-11T19:13:23.40" personId="{CD2DD0E4-A624-4247-9B82-603BEBE69A31}" id="{A6D3520F-64E2-4E28-9C21-839F78FCDBC3}">
    <text>CDM Tool 03</text>
  </threadedComment>
  <threadedComment ref="G155" dT="2023-10-11T18:44:11.82" personId="{CD2DD0E4-A624-4247-9B82-603BEBE69A31}" id="{46B63904-DA8E-4D73-8B80-F65B1C62204E}">
    <text>Eq 6</text>
  </threadedComment>
  <threadedComment ref="G158" dT="2023-10-11T19:03:57.86" personId="{CD2DD0E4-A624-4247-9B82-603BEBE69A31}" id="{A870B07E-1877-4A4F-BDBF-CDE24FD53606}">
    <text>Table 4</text>
  </threadedComment>
  <threadedComment ref="G161" dT="2023-10-11T19:17:02.01" personId="{CD2DD0E4-A624-4247-9B82-603BEBE69A31}" id="{B1779023-12F4-4C74-9FC8-325FDEDC88AA}">
    <text>Eq 12</text>
  </threadedComment>
  <threadedComment ref="G163" dT="2023-10-11T19:19:07.63" personId="{CD2DD0E4-A624-4247-9B82-603BEBE69A31}" id="{205756FA-E2F1-4FD0-9889-70493291DA2D}">
    <text>CDM Tool 05</text>
  </threadedComment>
  <threadedComment ref="G164" dT="2023-10-11T19:19:20.34" personId="{CD2DD0E4-A624-4247-9B82-603BEBE69A31}" id="{27EFDE52-A78D-4F02-8A3B-9E1C4AA0E311}">
    <text>CDM Tool 03</text>
  </threadedComment>
  <threadedComment ref="G166" dT="2023-10-11T18:44:11.82" personId="{CD2DD0E4-A624-4247-9B82-603BEBE69A31}" id="{B7B90F45-52C9-4577-AD2B-2D3FB16606E6}">
    <text>Eq 6</text>
  </threadedComment>
  <threadedComment ref="G169" dT="2023-10-11T19:03:57.86" personId="{CD2DD0E4-A624-4247-9B82-603BEBE69A31}" id="{42EE503D-9E04-4FF9-9E42-416D2AE8C0E7}">
    <text>Table 4</text>
  </threadedComment>
  <threadedComment ref="G172" dT="2023-10-11T19:17:02.01" personId="{CD2DD0E4-A624-4247-9B82-603BEBE69A31}" id="{549C0BB5-8B9B-4B07-B1DD-E0A33E65C422}">
    <text>Eq 12</text>
  </threadedComment>
  <threadedComment ref="G174" dT="2023-10-11T19:19:07.63" personId="{CD2DD0E4-A624-4247-9B82-603BEBE69A31}" id="{CFF28699-345E-45CC-9BD5-BADF058AA047}">
    <text>CDM Tool 05</text>
  </threadedComment>
  <threadedComment ref="G175" dT="2023-10-11T19:19:20.34" personId="{CD2DD0E4-A624-4247-9B82-603BEBE69A31}" id="{720DB247-8332-44E3-8DF8-B40315C67762}">
    <text>CDM Tool 03</text>
  </threadedComment>
  <threadedComment ref="G177" dT="2023-10-11T20:39:33.69" personId="{CD2DD0E4-A624-4247-9B82-603BEBE69A31}" id="{E8416F62-692A-43AB-97F9-3F0E69ED863B}">
    <text>Eq 13</text>
  </threadedComment>
  <threadedComment ref="G181" dT="2023-10-11T19:28:19.30" personId="{CD2DD0E4-A624-4247-9B82-603BEBE69A31}" id="{07AFCD53-F8D7-45B3-A3EF-C35CDAB0A7C4}">
    <text>CDM Tool 12 &amp; 16</text>
  </threadedComment>
  <threadedComment ref="G183" dT="2023-10-11T19:28:09.86" personId="{CD2DD0E4-A624-4247-9B82-603BEBE69A31}" id="{8204BEDC-02ED-44AE-AECF-EAB52349930C}">
    <text>CDM Tool 12 &amp; 16</text>
  </threadedComment>
  <threadedComment ref="G185" dT="2023-10-13T19:52:08.41" personId="{CD2DD0E4-A624-4247-9B82-603BEBE69A31}" id="{0BBC4C9B-79BE-44CC-BF41-9FB8170E5DAE}">
    <text>Eq 14</text>
  </threadedComment>
  <threadedComment ref="G186" dT="2023-10-13T17:33:28.70" personId="{CD2DD0E4-A624-4247-9B82-603BEBE69A31}" id="{AA75DAEA-597E-4138-992A-CB0F592C21DA}">
    <text>Eq 1</text>
  </threadedComment>
  <threadedComment ref="G187" dT="2023-10-13T19:52:00.98" personId="{CD2DD0E4-A624-4247-9B82-603BEBE69A31}" id="{2C974445-6D1F-4097-9C5B-AA90D7C10B08}">
    <text>Eq 15</text>
  </threadedComment>
</ThreadedComments>
</file>

<file path=xl/threadedComments/threadedComment10.xml><?xml version="1.0" encoding="utf-8"?>
<ThreadedComments xmlns="http://schemas.microsoft.com/office/spreadsheetml/2018/threadedcomments" xmlns:x="http://schemas.openxmlformats.org/spreadsheetml/2006/main">
  <threadedComment ref="A3" dT="2023-09-20T20:07:43.23" personId="{150C1429-9296-472A-94F1-8328DE52CB31}" id="{3EA5257E-F41C-4D68-86FB-8AF9138653E1}">
    <text xml:space="preserve">Add a line for each transportation activity (f). </text>
  </threadedComment>
</ThreadedComments>
</file>

<file path=xl/threadedComments/threadedComment11.xml><?xml version="1.0" encoding="utf-8"?>
<ThreadedComments xmlns="http://schemas.microsoft.com/office/spreadsheetml/2018/threadedcomments" xmlns:x="http://schemas.openxmlformats.org/spreadsheetml/2006/main">
  <threadedComment ref="F9" dT="2023-10-02T17:56:34.11" personId="{CD2DD0E4-A624-4247-9B82-603BEBE69A31}" id="{61F72FDE-8179-49DE-AAE2-01F2ABA15EBF}">
    <text>Eq 2</text>
  </threadedComment>
  <threadedComment ref="F16" dT="2023-10-02T18:19:24.82" personId="{CD2DD0E4-A624-4247-9B82-603BEBE69A31}" id="{00FE318F-9B25-4C4A-B87E-1C5CEC126B9B}">
    <text>Tool 05</text>
  </threadedComment>
  <threadedComment ref="F20" dT="2023-10-02T18:19:14.96" personId="{CD2DD0E4-A624-4247-9B82-603BEBE69A31}" id="{1F544FC0-1951-449F-8524-0BA61E944180}">
    <text>Tool 03</text>
  </threadedComment>
  <threadedComment ref="F22" dT="2023-10-02T18:22:40.35" personId="{CD2DD0E4-A624-4247-9B82-603BEBE69A31}" id="{B7EC37CC-C021-474A-8273-0A3E75710F0B}">
    <text>Eq 4</text>
  </threadedComment>
  <threadedComment ref="F27" dT="2023-10-02T20:18:08.28" personId="{CD2DD0E4-A624-4247-9B82-603BEBE69A31}" id="{A7C16D61-386E-476C-B1CA-05D4A10866EE}">
    <text>Eq 5</text>
  </threadedComment>
  <threadedComment ref="F28" dT="2023-10-02T19:25:26.05" personId="{CD2DD0E4-A624-4247-9B82-603BEBE69A31}" id="{F733C416-5E31-428A-8764-8A41F14565E1}">
    <text>Eq 6 for option 1 and default for option 2</text>
  </threadedComment>
  <threadedComment ref="F43" dT="2023-10-02T20:26:17.53" personId="{CD2DD0E4-A624-4247-9B82-603BEBE69A31}" id="{D73E281A-0C6D-46AD-8E6B-86B3F9A10539}">
    <text>Eq 7</text>
  </threadedComment>
  <threadedComment ref="F44" dT="2023-10-02T19:35:41.62" personId="{CD2DD0E4-A624-4247-9B82-603BEBE69A31}" id="{AE3BA71D-0D02-4B40-B999-05015AAFCF7C}">
    <text>Eq 8 for option 1 and default for option 2</text>
  </threadedComment>
  <threadedComment ref="F49" dT="2023-10-02T20:09:00.29" personId="{CD2DD0E4-A624-4247-9B82-603BEBE69A31}" id="{9AB30AA1-9091-4540-B759-6598FE562B95}">
    <text xml:space="preserve">Eq 9 with if/then for run-off wastewater that is collected and re-circulated </text>
  </threadedComment>
</ThreadedComments>
</file>

<file path=xl/threadedComments/threadedComment12.xml><?xml version="1.0" encoding="utf-8"?>
<ThreadedComments xmlns="http://schemas.microsoft.com/office/spreadsheetml/2018/threadedcomments" xmlns:x="http://schemas.openxmlformats.org/spreadsheetml/2006/main">
  <threadedComment ref="E13" dT="2023-08-03T18:04:10.78" personId="{CD2DD0E4-A624-4247-9B82-603BEBE69A31}" id="{6986BA3A-F39B-4B94-9F6D-6DE222FB4B82}">
    <text>Eq 1</text>
  </threadedComment>
  <threadedComment ref="E14" dT="2023-09-05T15:07:52.37" personId="{359267EB-C5AE-4005-AF4F-1799F7E14E1B}" id="{EACB8C42-F381-4B0E-B0C1-627618020860}">
    <text>Eq 3</text>
  </threadedComment>
  <threadedComment ref="E15" dT="2023-09-05T15:07:28.89" personId="{359267EB-C5AE-4005-AF4F-1799F7E14E1B}" id="{F9BB180F-F5CC-4AF5-82FA-006FB3EE2FB6}">
    <text>Tool 05</text>
  </threadedComment>
  <threadedComment ref="F15" dT="2023-08-16T19:23:01.18" personId="{CD2DD0E4-A624-4247-9B82-603BEBE69A31}" id="{7F8EDE38-7E21-49BE-B76A-66315D4CD5BE}">
    <text>Comes from tool 03</text>
  </threadedComment>
  <threadedComment ref="E16" dT="2023-09-05T15:07:12.12" personId="{359267EB-C5AE-4005-AF4F-1799F7E14E1B}" id="{E1BCBF9C-C5FD-4312-B54B-87346CDF356B}">
    <text>Eq 4</text>
  </threadedComment>
  <threadedComment ref="E19" dT="2023-08-03T18:14:45.92" personId="{CD2DD0E4-A624-4247-9B82-603BEBE69A31}" id="{06C86D7C-34D5-4C86-A495-1016ECFF11AF}">
    <text>Eq 4</text>
  </threadedComment>
  <threadedComment ref="E19" dT="2023-08-03T18:42:23.82" personId="{CD2DD0E4-A624-4247-9B82-603BEBE69A31}" id="{E436AE9B-58A0-4F70-8C45-648F3664F15E}" parentId="{06C86D7C-34D5-4C86-A495-1016ECFF11AF}">
    <text xml:space="preserve">Tool 8 Tool to determine the mass flow of a greenhouse gas in a gaseous stream </text>
  </threadedComment>
  <threadedComment ref="E24" dT="2023-08-03T18:14:38.43" personId="{CD2DD0E4-A624-4247-9B82-603BEBE69A31}" id="{8166F539-D98C-42C1-B5AC-6D67B30DFA01}">
    <text>Eq 3</text>
  </threadedComment>
  <threadedComment ref="E28" dT="2023-08-03T18:19:12.73" personId="{CD2DD0E4-A624-4247-9B82-603BEBE69A31}" id="{43975D2A-F92C-4497-939B-06AFF93FBBA0}">
    <text>Eq 9</text>
  </threadedComment>
  <threadedComment ref="E29" dT="2023-08-03T18:26:53.25" personId="{CD2DD0E4-A624-4247-9B82-603BEBE69A31}" id="{00D631BF-5AC2-4F1A-AFE5-28D2BA073F78}">
    <text>Eq 15</text>
  </threadedComment>
  <threadedComment ref="E31" dT="2023-08-03T18:22:54.67" personId="{CD2DD0E4-A624-4247-9B82-603BEBE69A31}" id="{B175DE2A-F7B8-4FCB-B06D-D04C5030AA3F}">
    <text>Eq 10</text>
  </threadedComment>
  <threadedComment ref="F34" dT="2023-08-03T18:35:58.01" personId="{CD2DD0E4-A624-4247-9B82-603BEBE69A31}" id="{16B9E8D0-8CD2-4DB6-BC36-3DC87C244568}">
    <text>Methane</text>
  </threadedComment>
  <threadedComment ref="E37" dT="2023-08-03T18:26:34.28" personId="{CD2DD0E4-A624-4247-9B82-603BEBE69A31}" id="{09F8C2CB-1581-4C74-A506-46974352129A}">
    <text>Eq 16</text>
  </threadedComment>
  <threadedComment ref="E38" dT="2023-08-03T18:29:23.16" personId="{CD2DD0E4-A624-4247-9B82-603BEBE69A31}" id="{7CAAC99B-2D78-4627-B9A1-DD1978C52416}">
    <text>Eq 17</text>
  </threadedComment>
  <threadedComment ref="E42" dT="2023-08-03T18:52:20.08" personId="{CD2DD0E4-A624-4247-9B82-603BEBE69A31}" id="{A4BDDE00-C3A3-4E66-957D-8A1045950104}">
    <text>Eq 2</text>
  </threadedComment>
  <threadedComment ref="C46" dT="2023-08-04T20:02:42.42" personId="{CD2DD0E4-A624-4247-9B82-603BEBE69A31}" id="{6958E159-0BDD-4DAB-8FF7-878DDE32D922}">
    <text>This data comes from tool 05</text>
  </threadedComment>
  <threadedComment ref="E47" dT="2023-08-10T14:56:00.30" personId="{CD2DD0E4-A624-4247-9B82-603BEBE69A31}" id="{2E97A72A-A3EA-45F7-A34D-04AF988F7389}">
    <text>Eq 1</text>
  </threadedComment>
  <threadedComment ref="E47" dT="2023-08-16T20:12:59.41" personId="{CD2DD0E4-A624-4247-9B82-603BEBE69A31}" id="{44985A32-9E21-4716-9C1F-A49FBC0F1D82}" parentId="{2E97A72A-A3EA-45F7-A34D-04AF988F7389}">
    <text>Tool 05</text>
  </threadedComment>
  <threadedComment ref="E49" dT="2023-08-03T19:33:15.39" personId="{CD2DD0E4-A624-4247-9B82-603BEBE69A31}" id="{80B492F1-3365-41DA-B791-DBDE8222C6DF}">
    <text>Eq 3</text>
  </threadedComment>
  <threadedComment ref="C54" dT="2023-08-04T20:03:23.24" personId="{CD2DD0E4-A624-4247-9B82-603BEBE69A31}" id="{8444F3BE-7C81-4CF2-889F-316DEAD3A589}">
    <text>This data comes from tool 05</text>
  </threadedComment>
  <threadedComment ref="E55" dT="2023-08-10T14:56:00.30" personId="{CD2DD0E4-A624-4247-9B82-603BEBE69A31}" id="{AFC395F2-4BF6-4D22-B8C6-E998BB84396D}">
    <text>Eq 1</text>
  </threadedComment>
  <threadedComment ref="E55" dT="2023-08-16T20:15:28.34" personId="{CD2DD0E4-A624-4247-9B82-603BEBE69A31}" id="{6DAB4CDD-12FD-4CFF-AC92-3AE52E4B4FB0}" parentId="{AFC395F2-4BF6-4D22-B8C6-E998BB84396D}">
    <text>Tool 03</text>
  </threadedComment>
  <threadedComment ref="E57" dT="2023-08-03T19:41:13.38" personId="{CD2DD0E4-A624-4247-9B82-603BEBE69A31}" id="{977BBE33-E5A3-4D10-B91A-626F13A548B8}">
    <text>Eq 4</text>
  </threadedComment>
  <threadedComment ref="C62" dT="2023-08-04T20:13:11.89" personId="{CD2DD0E4-A624-4247-9B82-603BEBE69A31}" id="{EB229936-D6F8-485A-9B14-6AB0E63CA21A}">
    <text>Data comes from Tool 06</text>
  </threadedComment>
  <threadedComment ref="E63" dT="2023-08-16T20:17:50.63" personId="{CD2DD0E4-A624-4247-9B82-603BEBE69A31}" id="{CB4D4C8D-F824-4659-B3AA-5F3D31EC82C7}">
    <text>Tool 06</text>
  </threadedComment>
  <threadedComment ref="E63" dT="2023-08-16T20:18:06.74" personId="{CD2DD0E4-A624-4247-9B82-603BEBE69A31}" id="{E4E92517-AC37-4DE5-A2E1-F590CA159106}" parentId="{CB4D4C8D-F824-4659-B3AA-5F3D31EC82C7}">
    <text>Eq 15</text>
  </threadedComment>
  <threadedComment ref="E65" dT="2023-08-04T19:24:29.94" personId="{CD2DD0E4-A624-4247-9B82-603BEBE69A31}" id="{96F4EC2E-9BBA-41DD-ACF7-27AFC36693F5}">
    <text>Eq 5</text>
  </threadedComment>
  <threadedComment ref="E69" dT="2023-08-04T19:42:52.91" personId="{CD2DD0E4-A624-4247-9B82-603BEBE69A31}" id="{2C16BF57-2442-4CD8-AC18-FC99F5C4824D}">
    <text>Eq 6</text>
  </threadedComment>
  <threadedComment ref="E77" dT="2023-08-04T19:47:05.88" personId="{CD2DD0E4-A624-4247-9B82-603BEBE69A31}" id="{66AE27D6-D71F-4707-A8CC-D5C2D1C43FC7}">
    <text>Eq 7</text>
  </threadedComment>
  <threadedComment ref="E83" dT="2023-08-04T19:52:24.79" personId="{CD2DD0E4-A624-4247-9B82-603BEBE69A31}" id="{008791B5-1751-401F-82CB-83838797AD2C}">
    <text>Eq 8</text>
  </threadedComment>
  <threadedComment ref="E89" dT="2023-08-04T19:52:24.79" personId="{CD2DD0E4-A624-4247-9B82-603BEBE69A31}" id="{594B92EB-F22F-4A68-8FCD-FB6ABA0FA016}">
    <text>Eq 8</text>
  </threadedComment>
</ThreadedComments>
</file>

<file path=xl/threadedComments/threadedComment13.xml><?xml version="1.0" encoding="utf-8"?>
<ThreadedComments xmlns="http://schemas.microsoft.com/office/spreadsheetml/2018/threadedcomments" xmlns:x="http://schemas.openxmlformats.org/spreadsheetml/2006/main">
  <threadedComment ref="B38" dT="2023-09-22T17:52:54.23" personId="{150C1429-9296-472A-94F1-8328DE52CB31}" id="{6158664C-A563-48DB-9505-2594FF78C79F}">
    <text>Equation 8</text>
  </threadedComment>
  <threadedComment ref="B43" dT="2023-09-22T17:20:03.85" personId="{150C1429-9296-472A-94F1-8328DE52CB31}" id="{AECA252E-86F2-419E-8797-E19AFCC735A8}">
    <text>Equation 7</text>
  </threadedComment>
  <threadedComment ref="B48" dT="2023-09-22T16:54:06.93" personId="{150C1429-9296-472A-94F1-8328DE52CB31}" id="{868C95DA-97F1-4506-ABD9-CCEAE4DAB4E9}">
    <text>Equation 6</text>
  </threadedComment>
  <threadedComment ref="B54" dT="2023-09-22T16:20:01.99" personId="{150C1429-9296-472A-94F1-8328DE52CB31}" id="{D1BD127F-3EFF-4CD2-92EF-2FB325CFABC9}">
    <text>Equation 5</text>
  </threadedComment>
  <threadedComment ref="B56" dT="2023-09-22T16:09:08.74" personId="{150C1429-9296-472A-94F1-8328DE52CB31}" id="{46A12F78-DB8A-4537-A50F-81E177442742}">
    <text>Equation 4</text>
  </threadedComment>
  <threadedComment ref="B66" dT="2023-09-22T16:13:56.33" personId="{150C1429-9296-472A-94F1-8328DE52CB31}" id="{AFDCEE32-B11D-43C1-A194-7ADE23B6CA51}">
    <text>Equation 3</text>
  </threadedComment>
  <threadedComment ref="B70" dT="2023-09-22T16:08:33.70" personId="{150C1429-9296-472A-94F1-8328DE52CB31}" id="{D850AB9A-454D-496D-A4AA-7400F575DA93}">
    <text>Equation 2</text>
  </threadedComment>
  <threadedComment ref="B71" dT="2023-09-21T18:49:20.46" personId="{150C1429-9296-472A-94F1-8328DE52CB31}" id="{49D572C3-F77B-42B5-99CC-264D145C3833}">
    <text>Equation 1</text>
  </threadedComment>
  <threadedComment ref="B79" dT="2023-09-26T23:01:53.39" personId="{150C1429-9296-472A-94F1-8328DE52CB31}" id="{F6B3666A-45AF-4681-835A-0970BFF2B710}">
    <text>Equation 13</text>
  </threadedComment>
  <threadedComment ref="B85" dT="2023-09-22T19:29:14.23" personId="{150C1429-9296-472A-94F1-8328DE52CB31}" id="{8F12120D-0F57-4CD9-B6A4-C0DF6DD9917F}">
    <text>Equation 11</text>
  </threadedComment>
  <threadedComment ref="B91" dT="2023-09-27T21:05:11.72" personId="{150C1429-9296-472A-94F1-8328DE52CB31}" id="{98479179-8F8A-42C2-8629-58BB147673EF}">
    <text>Equation 9</text>
  </threadedComment>
  <threadedComment ref="B95" dT="2023-09-26T23:02:13.22" personId="{150C1429-9296-472A-94F1-8328DE52CB31}" id="{D839A956-ED11-4C0D-8981-B125E64941C1}">
    <text>Equation 14</text>
  </threadedComment>
  <threadedComment ref="B101" dT="2023-09-26T23:00:46.78" personId="{150C1429-9296-472A-94F1-8328DE52CB31}" id="{675DD399-3C55-4A69-B088-F0F427CD50C0}">
    <text>Equation 12</text>
  </threadedComment>
  <threadedComment ref="B107" dT="2023-09-27T21:05:29.30" personId="{150C1429-9296-472A-94F1-8328DE52CB31}" id="{E84C7792-0A27-42D5-9FB9-FD8C45D7B3B9}">
    <text>Equation 10</text>
  </threadedComment>
  <threadedComment ref="B116" dT="2023-09-26T23:05:30.00" personId="{150C1429-9296-472A-94F1-8328DE52CB31}" id="{EC7AD0B5-FC05-4623-8068-B31DB9F9EDE2}">
    <text>Equation 15</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3-09-28T20:33:45.05" personId="{150C1429-9296-472A-94F1-8328DE52CB31}" id="{881D143F-6AEF-44F4-8486-1B8D6131066F}">
    <text xml:space="preserve">Add one of each of the parameters and an annual total for each year added. </text>
  </threadedComment>
  <threadedComment ref="A8" dT="2023-09-28T20:38:30.46" personId="{150C1429-9296-472A-94F1-8328DE52CB31}" id="{211B9BF0-B23B-44D1-B015-C5534EA88D1A}">
    <text xml:space="preserve">Add one of each of the parameters and an annual total for each year added. </text>
  </threadedComment>
  <threadedComment ref="A13" dT="2023-09-28T20:34:08.78" personId="{150C1429-9296-472A-94F1-8328DE52CB31}" id="{15E6913E-293E-431E-B19C-B6507CB5D184}">
    <text>Unless allowed by the methodology, only positive leakage, i.e. increased emissions outside the project boundary, can be accounted under this tool. If the result of the leakage calculation is negative, assume a value equals to zero.</text>
  </threadedComment>
</ThreadedComments>
</file>

<file path=xl/threadedComments/threadedComment2.xml><?xml version="1.0" encoding="utf-8"?>
<ThreadedComments xmlns="http://schemas.microsoft.com/office/spreadsheetml/2018/threadedcomments" xmlns:x="http://schemas.openxmlformats.org/spreadsheetml/2006/main">
  <threadedComment ref="F10" dT="2023-08-16T16:15:54.51" personId="{CD2DD0E4-A624-4247-9B82-603BEBE69A31}" id="{94D961B3-EE0E-4274-8906-2E08765334F8}">
    <text>Eq 1</text>
  </threadedComment>
</ThreadedComments>
</file>

<file path=xl/threadedComments/threadedComment3.xml><?xml version="1.0" encoding="utf-8"?>
<ThreadedComments xmlns="http://schemas.microsoft.com/office/spreadsheetml/2018/threadedcomments" xmlns:x="http://schemas.openxmlformats.org/spreadsheetml/2006/main">
  <threadedComment ref="B34" dT="2023-09-14T15:57:32.66" personId="{150C1429-9296-472A-94F1-8328DE52CB31}" id="{BD97A938-69B0-43FB-B37C-116B6358673E}">
    <text>Equation 3</text>
  </threadedComment>
  <threadedComment ref="B35" dT="2023-09-14T15:57:50.52" personId="{150C1429-9296-472A-94F1-8328DE52CB31}" id="{DE87AF62-ABB3-4D55-80AC-28BBFAD04D80}">
    <text>Equation 4</text>
  </threadedComment>
  <threadedComment ref="B44" dT="2023-09-14T16:00:06.57" personId="{150C1429-9296-472A-94F1-8328DE52CB31}" id="{3F47A9DD-38A3-4F54-94E7-93AC9D79DE5E}">
    <text>Equation 7</text>
  </threadedComment>
  <threadedComment ref="B45" dT="2023-09-14T15:58:31.69" personId="{150C1429-9296-472A-94F1-8328DE52CB31}" id="{3A5D2AEB-D132-4414-B97A-D9C64B35C7DB}">
    <text>Equation 5</text>
  </threadedComment>
  <threadedComment ref="B54" dT="2023-09-14T16:00:45.83" personId="{150C1429-9296-472A-94F1-8328DE52CB31}" id="{EFE3660F-4177-4502-9D01-4DCFDDED3A35}">
    <text>Equation 9</text>
  </threadedComment>
  <threadedComment ref="B59" dT="2023-09-14T16:01:11.41" personId="{150C1429-9296-472A-94F1-8328DE52CB31}" id="{6C8E9128-F92D-49DD-A0AB-757867FC7382}">
    <text>Equation 11</text>
  </threadedComment>
  <threadedComment ref="B66" dT="2023-09-14T16:02:00.74" personId="{150C1429-9296-472A-94F1-8328DE52CB31}" id="{36243A52-931E-4F7C-B7CB-68A599032B91}">
    <text>Equation 12</text>
  </threadedComment>
  <threadedComment ref="B86" dT="2023-09-08T16:51:38.02" personId="{150C1429-9296-472A-94F1-8328DE52CB31}" id="{70BA97E9-CBB1-4865-9BF2-4B0E84346052}">
    <text>Equation 1</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23-09-14T16:39:36.76" personId="{150C1429-9296-472A-94F1-8328DE52CB31}" id="{8880DABE-CD9A-466E-9163-BC6112B98DA4}">
    <text>Add a line for each SWDS CH4 calculation instance added</text>
  </threadedComment>
</ThreadedComments>
</file>

<file path=xl/threadedComments/threadedComment5.xml><?xml version="1.0" encoding="utf-8"?>
<ThreadedComments xmlns="http://schemas.microsoft.com/office/spreadsheetml/2018/threadedcomments" xmlns:x="http://schemas.openxmlformats.org/spreadsheetml/2006/main">
  <threadedComment ref="F6" dT="2023-08-10T14:56:00.30" personId="{CD2DD0E4-A624-4247-9B82-603BEBE69A31}" id="{181042B4-ECA6-454F-A2D7-D6FD4914BEC8}">
    <text>Eq 1</text>
  </threadedComment>
  <threadedComment ref="F11" dT="2023-08-10T14:56:07.23" personId="{CD2DD0E4-A624-4247-9B82-603BEBE69A31}" id="{509777C7-26D2-42C3-860F-1F1415495D01}">
    <text>Eq 2</text>
  </threadedComment>
  <threadedComment ref="F13" dT="2023-08-14T21:55:53.61" personId="{CD2DD0E4-A624-4247-9B82-603BEBE69A31}" id="{FEFD3CD9-1B73-4298-9D42-53741FD933FD}">
    <text>At least monthly recording of data</text>
  </threadedComment>
  <threadedComment ref="F16" dT="2023-08-10T14:56:16.16" personId="{CD2DD0E4-A624-4247-9B82-603BEBE69A31}" id="{D87DF130-0BA8-4E30-8A97-7D2A640545DC}">
    <text>Eq 3</text>
  </threadedComment>
  <threadedComment ref="F22" dT="2023-08-22T01:12:00.32" personId="{CD2DD0E4-A624-4247-9B82-603BEBE69A31}" id="{AA1255B8-DA2D-4A98-ADD9-D9752DBB1A50}">
    <text>Eq 7</text>
  </threadedComment>
  <threadedComment ref="F23" dT="2023-08-22T01:12:36.84" personId="{CD2DD0E4-A624-4247-9B82-603BEBE69A31}" id="{510430B2-C0E5-4454-870B-BABAAF8013F8}">
    <text>Eq 8</text>
  </threadedComment>
  <threadedComment ref="F37" dT="2023-08-10T15:56:01.08" personId="{CD2DD0E4-A624-4247-9B82-603BEBE69A31}" id="{3D2829CA-70B0-4F66-AC3B-0C0A04EB0899}">
    <text>Eq 4</text>
  </threadedComment>
  <threadedComment ref="F38" dT="2023-08-10T21:11:09.42" personId="{CD2DD0E4-A624-4247-9B82-603BEBE69A31}" id="{E20988FE-F34D-43B8-9DED-C816C10D8DB2}">
    <text>Eq 5</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8-10T15:56:01.08" personId="{CD2DD0E4-A624-4247-9B82-603BEBE69A31}" id="{6D873B06-4510-490C-BA66-07D4A93A9F62}">
    <text>Eq 4</text>
  </threadedComment>
  <threadedComment ref="F4" dT="2023-08-10T21:11:09.42" personId="{CD2DD0E4-A624-4247-9B82-603BEBE69A31}" id="{ECD7F68F-7BD7-4E4C-9202-3595EDE93344}">
    <text>Eq 5</text>
  </threadedComment>
  <threadedComment ref="F7" dT="2023-08-10T15:56:01.08" personId="{CD2DD0E4-A624-4247-9B82-603BEBE69A31}" id="{D34A6A4E-F5DF-40BA-9A26-34764AA07AF3}">
    <text>Eq 4</text>
  </threadedComment>
  <threadedComment ref="F8" dT="2023-08-10T21:11:09.42" personId="{CD2DD0E4-A624-4247-9B82-603BEBE69A31}" id="{0D1E915E-8DD5-4C58-A772-4DF99B082CF3}">
    <text>Eq 5</text>
  </threadedComment>
  <threadedComment ref="F10" dT="2023-08-10T21:00:37.41" personId="{CD2DD0E4-A624-4247-9B82-603BEBE69A31}" id="{5B68D6BE-F35D-4AFD-92CB-80E4B616B0E1}">
    <text>Assumptions are made for this that the unit for FCn,i,t is in metric tons</text>
  </threadedComment>
  <threadedComment ref="G10" dT="2023-08-10T19:37:59.63" personId="{CD2DD0E4-A624-4247-9B82-603BEBE69A31}" id="{1A4D21B8-FC66-402E-A979-B60BEAA65C7A}">
    <text>Dependent on fuel type selection</text>
  </threadedComment>
  <threadedComment ref="G11" dT="2023-08-10T19:38:12.02" personId="{CD2DD0E4-A624-4247-9B82-603BEBE69A31}" id="{A9EC99E3-B86D-4138-BCE8-3E9CD3E32A60}">
    <text>Dependent on fuel type selection</text>
  </threadedComment>
  <threadedComment ref="F12" dT="2023-08-10T20:53:47.04" personId="{CD2DD0E4-A624-4247-9B82-603BEBE69A31}" id="{5931F148-67C1-4D8E-9A12-2723E5106BC8}">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19" dT="2023-08-10T15:56:01.08" personId="{CD2DD0E4-A624-4247-9B82-603BEBE69A31}" id="{167C35DC-AC04-4BF2-88EF-5629A7B17EB0}">
    <text>Eq 4</text>
  </threadedComment>
  <threadedComment ref="F20" dT="2023-08-10T21:11:09.42" personId="{CD2DD0E4-A624-4247-9B82-603BEBE69A31}" id="{EA1250A2-8421-4B5E-AB85-9FEA770DA9EE}">
    <text>Eq 5</text>
  </threadedComment>
  <threadedComment ref="F22" dT="2023-08-10T21:00:37.41" personId="{CD2DD0E4-A624-4247-9B82-603BEBE69A31}" id="{1CEEAA29-BF3D-48D8-A016-18D4B9B225D5}">
    <text>Assumptions are made for this that the unit for FCn,i,t is in metric tons</text>
  </threadedComment>
  <threadedComment ref="G22" dT="2023-08-10T19:37:59.63" personId="{CD2DD0E4-A624-4247-9B82-603BEBE69A31}" id="{BDE684C5-A6DF-424E-9336-F2CF8E4E4700}">
    <text>Dependent on fuel type selection</text>
  </threadedComment>
  <threadedComment ref="G23" dT="2023-08-10T19:38:12.02" personId="{CD2DD0E4-A624-4247-9B82-603BEBE69A31}" id="{D1FD4927-0EEF-4025-8F95-8A8DDB631519}">
    <text>Dependent on fuel type selection</text>
  </threadedComment>
  <threadedComment ref="F24" dT="2023-08-10T20:53:47.04" personId="{CD2DD0E4-A624-4247-9B82-603BEBE69A31}" id="{32AB151D-CFAB-4278-BCE1-106D5960B2DE}">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31" dT="2023-08-10T15:56:01.08" personId="{CD2DD0E4-A624-4247-9B82-603BEBE69A31}" id="{512101BD-055D-43BB-8C2A-ECE6AE998101}">
    <text>Eq 4</text>
  </threadedComment>
  <threadedComment ref="F32" dT="2023-08-10T21:11:09.42" personId="{CD2DD0E4-A624-4247-9B82-603BEBE69A31}" id="{E8B5BC30-B4B5-4F0D-AD3A-7D85195689CC}">
    <text>Eq 5</text>
  </threadedComment>
  <threadedComment ref="F34" dT="2023-08-10T21:00:37.41" personId="{CD2DD0E4-A624-4247-9B82-603BEBE69A31}" id="{2885BA2A-AA51-4D47-A1BD-837ACD1855F0}">
    <text>Assumptions are made for this that the unit for FCn,i,t is in metric tons</text>
  </threadedComment>
  <threadedComment ref="G34" dT="2023-08-10T19:37:59.63" personId="{CD2DD0E4-A624-4247-9B82-603BEBE69A31}" id="{BF8369A5-40D4-4C70-9458-552EDC5D580F}">
    <text>Dependent on fuel type selection</text>
  </threadedComment>
  <threadedComment ref="G35" dT="2023-08-10T19:38:12.02" personId="{CD2DD0E4-A624-4247-9B82-603BEBE69A31}" id="{F338BA5F-61DF-429C-A33B-85CEDB6BF9DE}">
    <text>Dependent on fuel type selection</text>
  </threadedComment>
  <threadedComment ref="F36" dT="2023-08-10T20:53:47.04" personId="{CD2DD0E4-A624-4247-9B82-603BEBE69A31}" id="{960492DF-2E79-4DF3-8042-001D3AE09964}">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s>
</file>

<file path=xl/threadedComments/threadedComment7.xml><?xml version="1.0" encoding="utf-8"?>
<ThreadedComments xmlns="http://schemas.microsoft.com/office/spreadsheetml/2018/threadedcomments" xmlns:x="http://schemas.openxmlformats.org/spreadsheetml/2006/main">
  <threadedComment ref="D3" dT="2023-08-10T16:26:52.04" personId="{CD2DD0E4-A624-4247-9B82-603BEBE69A31}" id="{E28A668C-427D-4E56-B238-EF3839E0A702}">
    <text>Upper Default Value at the 95% confidence interval</text>
  </threadedComment>
</ThreadedComments>
</file>

<file path=xl/threadedComments/threadedComment8.xml><?xml version="1.0" encoding="utf-8"?>
<ThreadedComments xmlns="http://schemas.microsoft.com/office/spreadsheetml/2018/threadedcomments" xmlns:x="http://schemas.openxmlformats.org/spreadsheetml/2006/main">
  <threadedComment ref="C44" dT="2023-08-07T18:31:59.03" personId="{CD2DD0E4-A624-4247-9B82-603BEBE69A31}" id="{2B6C94B0-964D-409D-9AA7-1DF6085AFA0B}">
    <text>Eq 5</text>
  </threadedComment>
  <threadedComment ref="C45" dT="2023-08-07T18:37:45.62" personId="{CD2DD0E4-A624-4247-9B82-603BEBE69A31}" id="{66C009A8-C748-4C73-AA15-1DCC52E63F62}">
    <text>Eq 6</text>
  </threadedComment>
  <threadedComment ref="C48" dT="2023-08-07T18:37:33.62" personId="{CD2DD0E4-A624-4247-9B82-603BEBE69A31}" id="{6ACF53FF-27A7-478F-91D3-5AA7109FFE72}">
    <text>Eq 7</text>
  </threadedComment>
  <threadedComment ref="C49" dT="2023-08-07T18:58:57.06" personId="{CD2DD0E4-A624-4247-9B82-603BEBE69A31}" id="{E218BFC0-DF15-456A-875B-6B18170B2562}">
    <text>Comes from tool 08</text>
  </threadedComment>
  <threadedComment ref="C50" dT="2023-08-07T19:02:06.06" personId="{CD2DD0E4-A624-4247-9B82-603BEBE69A31}" id="{543D96D9-8A58-4CAE-A668-36AEBF40A4DD}">
    <text>Eq 5 in tool 08</text>
  </threadedComment>
  <threadedComment ref="C51" dT="2023-08-07T18:58:57.06" personId="{CD2DD0E4-A624-4247-9B82-603BEBE69A31}" id="{55B56EC8-7980-45BD-AF3D-17CCD78924E9}">
    <text>Comes from tool 08</text>
  </threadedComment>
  <threadedComment ref="C54" dT="2023-08-07T20:32:58.24" personId="{CD2DD0E4-A624-4247-9B82-603BEBE69A31}" id="{A4C71141-B6BA-45A3-8EED-37FCD92D5BB6}">
    <text>Eq 3</text>
  </threadedComment>
  <threadedComment ref="C56" dT="2023-08-07T19:07:00.47" personId="{CD2DD0E4-A624-4247-9B82-603BEBE69A31}" id="{0B71AD26-F051-405D-8D1F-53D5C4EC8B29}">
    <text>Eq 4</text>
  </threadedComment>
  <threadedComment ref="C57" dT="2023-08-07T19:07:25.43" personId="{CD2DD0E4-A624-4247-9B82-603BEBE69A31}" id="{D7FBC321-5D04-4214-AA50-D0674D39F29F}">
    <text>Eq 8</text>
  </threadedComment>
  <threadedComment ref="C58" dT="2023-08-07T19:08:12.17" personId="{CD2DD0E4-A624-4247-9B82-603BEBE69A31}" id="{03947D1E-3CBF-48A2-926D-F2F6C653D41C}">
    <text>Eq 9</text>
  </threadedComment>
  <threadedComment ref="C59" dT="2023-08-07T19:08:57.03" personId="{CD2DD0E4-A624-4247-9B82-603BEBE69A31}" id="{0E47C676-D66A-4861-9793-48C9B6D73EC9}">
    <text>Eq 10</text>
  </threadedComment>
  <threadedComment ref="C60" dT="2023-08-07T19:09:14.09" personId="{CD2DD0E4-A624-4247-9B82-603BEBE69A31}" id="{3FDFCABC-701F-41E6-9CB5-2FFA94C69FD9}">
    <text>Eq 11</text>
  </threadedComment>
  <threadedComment ref="C61" dT="2023-08-07T19:09:51.89" personId="{CD2DD0E4-A624-4247-9B82-603BEBE69A31}" id="{F5EDD6E5-2030-445E-A9FB-AC6EEC8A3619}">
    <text>Eq 12</text>
  </threadedComment>
  <threadedComment ref="C62" dT="2023-08-07T19:10:10.48" personId="{CD2DD0E4-A624-4247-9B82-603BEBE69A31}" id="{7873754D-5CAF-459B-A3CA-0BE0E11B6004}">
    <text>Eq 13</text>
  </threadedComment>
  <threadedComment ref="C64" dT="2023-08-07T19:19:04.14" personId="{CD2DD0E4-A624-4247-9B82-603BEBE69A31}" id="{59AD7B8E-A6C7-469C-A556-AD1535CDF3CF}">
    <text>Eq 14</text>
  </threadedComment>
  <threadedComment ref="C65" dT="2023-08-07T19:19:12.89" personId="{CD2DD0E4-A624-4247-9B82-603BEBE69A31}" id="{3638C23D-02A9-4D27-8035-656CBE5DECF6}">
    <text>Eq 14</text>
  </threadedComment>
  <threadedComment ref="C66" dT="2023-08-07T19:19:19.16" personId="{CD2DD0E4-A624-4247-9B82-603BEBE69A31}" id="{C9E40553-EC7D-4F87-984C-A5D12B7B0ECF}">
    <text>Eq 14</text>
  </threadedComment>
  <threadedComment ref="C67" dT="2023-08-07T19:19:27.70" personId="{CD2DD0E4-A624-4247-9B82-603BEBE69A31}" id="{67CED3BB-D0D4-4B99-8781-1235D76B50BB}">
    <text>Eq 14</text>
  </threadedComment>
  <threadedComment ref="C69" dT="2023-08-07T21:12:45.72" personId="{CD2DD0E4-A624-4247-9B82-603BEBE69A31}" id="{C7E20A55-80AD-4FD7-BA2E-6798336D1F4C}">
    <text>Eq 15</text>
  </threadedComment>
</ThreadedComments>
</file>

<file path=xl/threadedComments/threadedComment9.xml><?xml version="1.0" encoding="utf-8"?>
<ThreadedComments xmlns="http://schemas.microsoft.com/office/spreadsheetml/2018/threadedcomments" xmlns:x="http://schemas.openxmlformats.org/spreadsheetml/2006/main">
  <threadedComment ref="C17" dT="2023-10-13T17:52:32.27" personId="{CD2DD0E4-A624-4247-9B82-603BEBE69A31}" id="{8FE0794B-E688-45A4-AC86-B2D1AF9D2E8C}">
    <text>Tool 03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JD@gmail.com" TargetMode="Externa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7FD40-D866-4073-B40C-A29DDA266EC4}">
  <dimension ref="A1:I187"/>
  <sheetViews>
    <sheetView tabSelected="1" zoomScaleNormal="100" workbookViewId="0">
      <selection activeCell="G6" sqref="G6"/>
    </sheetView>
  </sheetViews>
  <sheetFormatPr defaultRowHeight="15" x14ac:dyDescent="0.25"/>
  <cols>
    <col min="1" max="2" width="13.42578125" customWidth="1"/>
    <col min="3" max="3" width="11.42578125" customWidth="1"/>
    <col min="4" max="4" width="14.5703125" bestFit="1" customWidth="1"/>
    <col min="5" max="5" width="35.42578125" customWidth="1"/>
    <col min="6" max="6" width="19.7109375" customWidth="1"/>
    <col min="7" max="7" width="60" customWidth="1"/>
    <col min="8" max="8" width="64.28515625" customWidth="1"/>
    <col min="9" max="9" width="45.85546875" customWidth="1"/>
  </cols>
  <sheetData>
    <row r="1" spans="1:9" ht="56.25" x14ac:dyDescent="0.3">
      <c r="A1" s="1" t="s">
        <v>0</v>
      </c>
      <c r="B1" s="1" t="s">
        <v>135</v>
      </c>
      <c r="C1" s="1" t="s">
        <v>1</v>
      </c>
      <c r="D1" s="1" t="s">
        <v>2</v>
      </c>
      <c r="E1" s="1" t="s">
        <v>134</v>
      </c>
      <c r="F1" s="2" t="s">
        <v>3</v>
      </c>
      <c r="G1" s="2" t="s">
        <v>4</v>
      </c>
      <c r="H1" s="2" t="s">
        <v>5</v>
      </c>
      <c r="I1" s="2" t="s">
        <v>6</v>
      </c>
    </row>
    <row r="2" spans="1:9" ht="18.75" x14ac:dyDescent="0.3">
      <c r="A2" s="35" t="s">
        <v>7</v>
      </c>
      <c r="B2" s="35"/>
      <c r="C2" s="35"/>
      <c r="D2" s="35"/>
      <c r="E2" s="35"/>
      <c r="F2" s="35"/>
      <c r="G2" s="35"/>
      <c r="H2" s="35"/>
      <c r="I2" s="35"/>
    </row>
    <row r="3" spans="1:9" ht="90" x14ac:dyDescent="0.25">
      <c r="A3" s="3" t="s">
        <v>8</v>
      </c>
      <c r="B3" s="3"/>
      <c r="C3" s="3" t="s">
        <v>9</v>
      </c>
      <c r="D3" s="3" t="s">
        <v>10</v>
      </c>
      <c r="E3" s="3"/>
      <c r="F3" s="3" t="s">
        <v>35</v>
      </c>
      <c r="G3" s="3" t="s">
        <v>11</v>
      </c>
      <c r="H3" s="4" t="s">
        <v>1993</v>
      </c>
      <c r="I3" s="3"/>
    </row>
    <row r="4" spans="1:9" x14ac:dyDescent="0.25">
      <c r="A4" s="3" t="s">
        <v>8</v>
      </c>
      <c r="B4" s="3"/>
      <c r="C4" s="3" t="s">
        <v>8</v>
      </c>
      <c r="D4" s="3" t="s">
        <v>10</v>
      </c>
      <c r="E4" s="3" t="s">
        <v>1248</v>
      </c>
      <c r="F4" s="3" t="s">
        <v>35</v>
      </c>
      <c r="G4" s="3" t="s">
        <v>12</v>
      </c>
      <c r="H4" s="5" t="s">
        <v>13</v>
      </c>
      <c r="I4" s="3"/>
    </row>
    <row r="5" spans="1:9" ht="30" x14ac:dyDescent="0.25">
      <c r="A5" s="3" t="s">
        <v>8</v>
      </c>
      <c r="B5" s="3"/>
      <c r="C5" s="3" t="s">
        <v>8</v>
      </c>
      <c r="D5" s="3" t="s">
        <v>10</v>
      </c>
      <c r="E5" s="3" t="s">
        <v>1250</v>
      </c>
      <c r="F5" s="3" t="s">
        <v>35</v>
      </c>
      <c r="G5" t="s">
        <v>14</v>
      </c>
      <c r="H5" s="4" t="s">
        <v>15</v>
      </c>
      <c r="I5" s="3"/>
    </row>
    <row r="6" spans="1:9" ht="90" x14ac:dyDescent="0.25">
      <c r="A6" s="3" t="s">
        <v>8</v>
      </c>
      <c r="B6" s="3"/>
      <c r="C6" s="3" t="s">
        <v>8</v>
      </c>
      <c r="D6" s="3" t="s">
        <v>10</v>
      </c>
      <c r="E6" s="3"/>
      <c r="F6" s="3" t="s">
        <v>35</v>
      </c>
      <c r="G6" s="3" t="s">
        <v>16</v>
      </c>
      <c r="H6" s="4" t="s">
        <v>1993</v>
      </c>
      <c r="I6" s="3"/>
    </row>
    <row r="7" spans="1:9" x14ac:dyDescent="0.25">
      <c r="A7" s="3" t="s">
        <v>8</v>
      </c>
      <c r="B7" s="3"/>
      <c r="C7" s="3" t="s">
        <v>8</v>
      </c>
      <c r="D7" s="3" t="s">
        <v>10</v>
      </c>
      <c r="E7" s="3" t="s">
        <v>1252</v>
      </c>
      <c r="F7" s="3" t="s">
        <v>35</v>
      </c>
      <c r="G7" s="3" t="s">
        <v>1970</v>
      </c>
      <c r="H7" s="4" t="s">
        <v>1974</v>
      </c>
      <c r="I7" s="3"/>
    </row>
    <row r="8" spans="1:9" ht="30" x14ac:dyDescent="0.25">
      <c r="A8" s="3" t="s">
        <v>8</v>
      </c>
      <c r="B8" s="3"/>
      <c r="C8" s="3" t="s">
        <v>8</v>
      </c>
      <c r="D8" s="3" t="s">
        <v>10</v>
      </c>
      <c r="E8" s="162" t="s">
        <v>1286</v>
      </c>
      <c r="F8" s="3" t="s">
        <v>35</v>
      </c>
      <c r="G8" s="3" t="s">
        <v>1971</v>
      </c>
      <c r="H8" t="s">
        <v>1990</v>
      </c>
      <c r="I8" s="3"/>
    </row>
    <row r="9" spans="1:9" ht="30" x14ac:dyDescent="0.25">
      <c r="A9" s="3" t="s">
        <v>8</v>
      </c>
      <c r="B9" s="3"/>
      <c r="C9" s="3" t="s">
        <v>8</v>
      </c>
      <c r="D9" s="3" t="s">
        <v>10</v>
      </c>
      <c r="E9" s="162" t="s">
        <v>1284</v>
      </c>
      <c r="F9" s="3" t="s">
        <v>35</v>
      </c>
      <c r="G9" s="3" t="s">
        <v>1972</v>
      </c>
      <c r="H9" t="s">
        <v>1989</v>
      </c>
      <c r="I9" s="3"/>
    </row>
    <row r="10" spans="1:9" ht="45" x14ac:dyDescent="0.25">
      <c r="A10" s="3" t="s">
        <v>8</v>
      </c>
      <c r="B10" s="3"/>
      <c r="C10" s="3" t="s">
        <v>8</v>
      </c>
      <c r="D10" s="3" t="s">
        <v>17</v>
      </c>
      <c r="E10" s="162" t="s">
        <v>1288</v>
      </c>
      <c r="F10" s="3" t="s">
        <v>35</v>
      </c>
      <c r="G10" s="162" t="s">
        <v>1973</v>
      </c>
      <c r="H10" t="s">
        <v>18</v>
      </c>
      <c r="I10" s="3"/>
    </row>
    <row r="11" spans="1:9" ht="75" x14ac:dyDescent="0.25">
      <c r="A11" s="3" t="s">
        <v>8</v>
      </c>
      <c r="B11" s="3"/>
      <c r="C11" s="3" t="s">
        <v>8</v>
      </c>
      <c r="D11" s="3" t="s">
        <v>10</v>
      </c>
      <c r="E11" s="3"/>
      <c r="F11" s="3" t="s">
        <v>35</v>
      </c>
      <c r="G11" s="3" t="s">
        <v>19</v>
      </c>
      <c r="H11" s="4" t="s">
        <v>1980</v>
      </c>
      <c r="I11" s="3"/>
    </row>
    <row r="12" spans="1:9" ht="30" x14ac:dyDescent="0.25">
      <c r="A12" s="3" t="s">
        <v>8</v>
      </c>
      <c r="B12" s="3"/>
      <c r="C12" s="3" t="s">
        <v>8</v>
      </c>
      <c r="D12" s="3" t="s">
        <v>10</v>
      </c>
      <c r="E12" s="162" t="s">
        <v>1216</v>
      </c>
      <c r="F12" s="3" t="s">
        <v>35</v>
      </c>
      <c r="G12" s="3" t="s">
        <v>20</v>
      </c>
      <c r="H12" s="5" t="s">
        <v>1983</v>
      </c>
      <c r="I12" s="3"/>
    </row>
    <row r="13" spans="1:9" x14ac:dyDescent="0.25">
      <c r="A13" s="3" t="s">
        <v>8</v>
      </c>
      <c r="B13" s="3"/>
      <c r="C13" s="3" t="s">
        <v>8</v>
      </c>
      <c r="D13" s="3" t="s">
        <v>21</v>
      </c>
      <c r="E13" s="3"/>
      <c r="F13" s="3" t="s">
        <v>35</v>
      </c>
      <c r="G13" s="3" t="s">
        <v>22</v>
      </c>
      <c r="H13" s="5" t="s">
        <v>23</v>
      </c>
      <c r="I13" s="3"/>
    </row>
    <row r="14" spans="1:9" x14ac:dyDescent="0.25">
      <c r="A14" s="3" t="s">
        <v>8</v>
      </c>
      <c r="B14" s="3"/>
      <c r="C14" s="3" t="s">
        <v>8</v>
      </c>
      <c r="D14" s="3" t="s">
        <v>10</v>
      </c>
      <c r="E14" s="3"/>
      <c r="F14" s="3" t="s">
        <v>35</v>
      </c>
      <c r="G14" s="3" t="s">
        <v>24</v>
      </c>
      <c r="H14" s="5" t="s">
        <v>1981</v>
      </c>
      <c r="I14" s="3"/>
    </row>
    <row r="15" spans="1:9" ht="30" x14ac:dyDescent="0.25">
      <c r="A15" s="3" t="s">
        <v>8</v>
      </c>
      <c r="B15" s="3"/>
      <c r="C15" s="3" t="s">
        <v>8</v>
      </c>
      <c r="D15" s="3" t="s">
        <v>25</v>
      </c>
      <c r="E15" s="162" t="s">
        <v>1220</v>
      </c>
      <c r="F15" s="3" t="s">
        <v>35</v>
      </c>
      <c r="G15" s="3" t="s">
        <v>26</v>
      </c>
      <c r="H15" s="5" t="s">
        <v>1982</v>
      </c>
      <c r="I15" s="3"/>
    </row>
    <row r="16" spans="1:9" x14ac:dyDescent="0.25">
      <c r="A16" s="3" t="s">
        <v>8</v>
      </c>
      <c r="B16" s="3"/>
      <c r="C16" s="3" t="s">
        <v>8</v>
      </c>
      <c r="D16" s="3" t="s">
        <v>27</v>
      </c>
      <c r="E16" s="3"/>
      <c r="F16" s="3" t="s">
        <v>35</v>
      </c>
      <c r="G16" s="3" t="s">
        <v>28</v>
      </c>
      <c r="H16" s="5" t="s">
        <v>29</v>
      </c>
      <c r="I16" s="3"/>
    </row>
    <row r="17" spans="1:9" x14ac:dyDescent="0.25">
      <c r="A17" s="3" t="s">
        <v>8</v>
      </c>
      <c r="B17" s="3"/>
      <c r="C17" s="3" t="s">
        <v>8</v>
      </c>
      <c r="D17" s="3" t="s">
        <v>30</v>
      </c>
      <c r="E17" s="3"/>
      <c r="F17" s="3" t="s">
        <v>35</v>
      </c>
      <c r="G17" s="3" t="s">
        <v>31</v>
      </c>
      <c r="H17" s="7" t="s">
        <v>32</v>
      </c>
      <c r="I17" s="3"/>
    </row>
    <row r="18" spans="1:9" ht="30" x14ac:dyDescent="0.25">
      <c r="A18" s="3" t="s">
        <v>8</v>
      </c>
      <c r="B18" s="3"/>
      <c r="C18" s="3" t="s">
        <v>8</v>
      </c>
      <c r="D18" s="3" t="s">
        <v>10</v>
      </c>
      <c r="E18" s="162" t="s">
        <v>1222</v>
      </c>
      <c r="F18" s="3" t="s">
        <v>35</v>
      </c>
      <c r="G18" t="s">
        <v>33</v>
      </c>
      <c r="H18" s="4" t="s">
        <v>1984</v>
      </c>
      <c r="I18" s="3"/>
    </row>
    <row r="19" spans="1:9" x14ac:dyDescent="0.25">
      <c r="A19" s="3"/>
      <c r="B19" s="3"/>
      <c r="C19" s="3" t="s">
        <v>8</v>
      </c>
      <c r="D19" s="3" t="s">
        <v>10</v>
      </c>
      <c r="E19" s="3"/>
      <c r="F19" s="3" t="s">
        <v>35</v>
      </c>
      <c r="G19" t="s">
        <v>34</v>
      </c>
      <c r="H19" s="5" t="s">
        <v>35</v>
      </c>
      <c r="I19" s="3"/>
    </row>
    <row r="20" spans="1:9" x14ac:dyDescent="0.25">
      <c r="A20" s="3" t="s">
        <v>8</v>
      </c>
      <c r="B20" s="3"/>
      <c r="C20" s="3" t="s">
        <v>8</v>
      </c>
      <c r="D20" s="3" t="s">
        <v>10</v>
      </c>
      <c r="E20" s="3"/>
      <c r="F20" s="3" t="s">
        <v>35</v>
      </c>
      <c r="G20" s="3" t="s">
        <v>36</v>
      </c>
      <c r="H20" s="5" t="s">
        <v>9</v>
      </c>
      <c r="I20" s="3"/>
    </row>
    <row r="21" spans="1:9" x14ac:dyDescent="0.25">
      <c r="A21" s="3" t="s">
        <v>8</v>
      </c>
      <c r="B21" s="3"/>
      <c r="C21" s="3" t="s">
        <v>8</v>
      </c>
      <c r="D21" s="3" t="s">
        <v>10</v>
      </c>
      <c r="E21" s="3"/>
      <c r="F21" s="3" t="s">
        <v>35</v>
      </c>
      <c r="G21" s="3" t="s">
        <v>37</v>
      </c>
      <c r="H21" s="5" t="s">
        <v>9</v>
      </c>
      <c r="I21" s="3"/>
    </row>
    <row r="22" spans="1:9" ht="30" x14ac:dyDescent="0.25">
      <c r="A22" s="3" t="s">
        <v>8</v>
      </c>
      <c r="B22" s="3"/>
      <c r="C22" s="3" t="s">
        <v>8</v>
      </c>
      <c r="D22" s="3" t="s">
        <v>10</v>
      </c>
      <c r="E22" s="3"/>
      <c r="F22" s="3" t="s">
        <v>35</v>
      </c>
      <c r="G22" t="s">
        <v>38</v>
      </c>
      <c r="H22" s="4" t="s">
        <v>39</v>
      </c>
      <c r="I22" s="3"/>
    </row>
    <row r="23" spans="1:9" ht="30" x14ac:dyDescent="0.25">
      <c r="A23" s="3" t="s">
        <v>8</v>
      </c>
      <c r="B23" s="3"/>
      <c r="C23" s="3" t="s">
        <v>8</v>
      </c>
      <c r="D23" s="3" t="s">
        <v>10</v>
      </c>
      <c r="E23" s="162" t="s">
        <v>1606</v>
      </c>
      <c r="F23" s="3" t="s">
        <v>35</v>
      </c>
      <c r="G23" s="3" t="s">
        <v>40</v>
      </c>
      <c r="H23" t="s">
        <v>1839</v>
      </c>
      <c r="I23" s="3"/>
    </row>
    <row r="24" spans="1:9" x14ac:dyDescent="0.25">
      <c r="A24" s="3" t="s">
        <v>8</v>
      </c>
      <c r="B24" s="3"/>
      <c r="C24" s="3" t="s">
        <v>8</v>
      </c>
      <c r="D24" s="3" t="s">
        <v>45</v>
      </c>
      <c r="E24" s="3" t="s">
        <v>1278</v>
      </c>
      <c r="F24" s="3" t="s">
        <v>35</v>
      </c>
      <c r="G24" t="s">
        <v>46</v>
      </c>
      <c r="H24" s="8">
        <v>45215</v>
      </c>
      <c r="I24" s="3"/>
    </row>
    <row r="25" spans="1:9" ht="30" x14ac:dyDescent="0.25">
      <c r="A25" s="3" t="s">
        <v>8</v>
      </c>
      <c r="B25" s="3"/>
      <c r="C25" s="5" t="s">
        <v>8</v>
      </c>
      <c r="D25" s="3" t="s">
        <v>47</v>
      </c>
      <c r="E25" s="162" t="s">
        <v>1280</v>
      </c>
      <c r="F25" s="3" t="s">
        <v>35</v>
      </c>
      <c r="G25" t="s">
        <v>48</v>
      </c>
      <c r="H25" s="5" t="s">
        <v>1985</v>
      </c>
      <c r="I25" s="3"/>
    </row>
    <row r="26" spans="1:9" ht="30" x14ac:dyDescent="0.25">
      <c r="A26" s="3" t="s">
        <v>8</v>
      </c>
      <c r="B26" s="3"/>
      <c r="C26" s="5" t="s">
        <v>8</v>
      </c>
      <c r="D26" s="3" t="s">
        <v>47</v>
      </c>
      <c r="E26" s="162" t="s">
        <v>1282</v>
      </c>
      <c r="F26" s="3" t="s">
        <v>35</v>
      </c>
      <c r="G26" s="5" t="s">
        <v>49</v>
      </c>
      <c r="H26" s="5" t="s">
        <v>1986</v>
      </c>
      <c r="I26" s="3"/>
    </row>
    <row r="27" spans="1:9" x14ac:dyDescent="0.25">
      <c r="A27" s="3" t="s">
        <v>8</v>
      </c>
      <c r="B27" s="3"/>
      <c r="C27" s="5" t="s">
        <v>9</v>
      </c>
      <c r="D27" s="3" t="s">
        <v>10</v>
      </c>
      <c r="E27" s="3"/>
      <c r="F27" s="3" t="s">
        <v>35</v>
      </c>
      <c r="G27" s="5" t="s">
        <v>50</v>
      </c>
      <c r="H27" s="5" t="s">
        <v>1987</v>
      </c>
      <c r="I27" s="3"/>
    </row>
    <row r="28" spans="1:9" x14ac:dyDescent="0.25">
      <c r="A28" s="3" t="s">
        <v>8</v>
      </c>
      <c r="B28" s="3"/>
      <c r="C28" s="5" t="s">
        <v>8</v>
      </c>
      <c r="D28" s="3" t="s">
        <v>10</v>
      </c>
      <c r="E28" s="3"/>
      <c r="F28" s="3" t="s">
        <v>35</v>
      </c>
      <c r="G28" t="s">
        <v>51</v>
      </c>
      <c r="H28" t="s">
        <v>1988</v>
      </c>
      <c r="I28" s="3"/>
    </row>
    <row r="29" spans="1:9" ht="45" x14ac:dyDescent="0.25">
      <c r="A29" s="3" t="s">
        <v>8</v>
      </c>
      <c r="B29" s="3"/>
      <c r="C29" s="5" t="s">
        <v>8</v>
      </c>
      <c r="D29" s="3" t="s">
        <v>10</v>
      </c>
      <c r="E29" s="3"/>
      <c r="F29" s="3" t="s">
        <v>35</v>
      </c>
      <c r="G29" t="s">
        <v>52</v>
      </c>
      <c r="H29" s="4" t="s">
        <v>1992</v>
      </c>
      <c r="I29" s="3"/>
    </row>
    <row r="30" spans="1:9" ht="30" x14ac:dyDescent="0.25">
      <c r="A30" s="3" t="s">
        <v>8</v>
      </c>
      <c r="B30" s="3"/>
      <c r="C30" s="5" t="s">
        <v>8</v>
      </c>
      <c r="D30" s="3" t="s">
        <v>10</v>
      </c>
      <c r="E30" s="3" t="s">
        <v>1384</v>
      </c>
      <c r="F30" s="3" t="s">
        <v>35</v>
      </c>
      <c r="G30" t="s">
        <v>53</v>
      </c>
      <c r="H30" s="4" t="s">
        <v>1991</v>
      </c>
      <c r="I30" s="3"/>
    </row>
    <row r="31" spans="1:9" x14ac:dyDescent="0.25">
      <c r="A31" s="3" t="s">
        <v>8</v>
      </c>
      <c r="B31" s="3"/>
      <c r="C31" s="5" t="s">
        <v>8</v>
      </c>
      <c r="D31" s="3" t="s">
        <v>10</v>
      </c>
      <c r="E31" s="3"/>
      <c r="F31" s="3" t="s">
        <v>35</v>
      </c>
      <c r="G31" t="s">
        <v>54</v>
      </c>
      <c r="H31" t="s">
        <v>55</v>
      </c>
      <c r="I31" s="3"/>
    </row>
    <row r="32" spans="1:9" ht="18.75" x14ac:dyDescent="0.3">
      <c r="A32" s="35" t="s">
        <v>56</v>
      </c>
      <c r="B32" s="35"/>
      <c r="C32" s="35"/>
      <c r="D32" s="35"/>
      <c r="E32" s="35"/>
      <c r="F32" s="35"/>
      <c r="G32" s="35"/>
      <c r="H32" s="35"/>
      <c r="I32" s="35"/>
    </row>
    <row r="33" spans="1:9" x14ac:dyDescent="0.25">
      <c r="A33" s="9" t="s">
        <v>9</v>
      </c>
      <c r="B33" s="9"/>
      <c r="C33" s="9" t="s">
        <v>9</v>
      </c>
      <c r="D33" s="9" t="s">
        <v>842</v>
      </c>
      <c r="E33" s="163" t="s">
        <v>1502</v>
      </c>
      <c r="F33" s="9" t="s">
        <v>58</v>
      </c>
      <c r="G33" s="9" t="s">
        <v>57</v>
      </c>
      <c r="H33" s="9">
        <f>0</f>
        <v>0</v>
      </c>
      <c r="I33" s="9"/>
    </row>
    <row r="34" spans="1:9" x14ac:dyDescent="0.25">
      <c r="A34" s="9" t="s">
        <v>9</v>
      </c>
      <c r="B34" s="9"/>
      <c r="C34" s="9" t="s">
        <v>9</v>
      </c>
      <c r="D34" s="9" t="s">
        <v>842</v>
      </c>
      <c r="E34" s="9"/>
      <c r="F34" s="9" t="s">
        <v>64</v>
      </c>
      <c r="G34" s="9" t="s">
        <v>59</v>
      </c>
      <c r="H34" s="9">
        <f>0</f>
        <v>0</v>
      </c>
      <c r="I34" s="9"/>
    </row>
    <row r="35" spans="1:9" x14ac:dyDescent="0.25">
      <c r="A35" s="9" t="s">
        <v>9</v>
      </c>
      <c r="B35" s="9"/>
      <c r="C35" s="9" t="s">
        <v>9</v>
      </c>
      <c r="D35" s="9" t="s">
        <v>842</v>
      </c>
      <c r="E35" s="9"/>
      <c r="F35" s="9" t="s">
        <v>65</v>
      </c>
      <c r="G35" s="9" t="s">
        <v>60</v>
      </c>
      <c r="H35" s="9">
        <f>0</f>
        <v>0</v>
      </c>
      <c r="I35" s="9"/>
    </row>
    <row r="36" spans="1:9" x14ac:dyDescent="0.25">
      <c r="A36" s="9" t="s">
        <v>9</v>
      </c>
      <c r="B36" s="9"/>
      <c r="C36" s="9" t="s">
        <v>9</v>
      </c>
      <c r="D36" s="9" t="s">
        <v>842</v>
      </c>
      <c r="E36" s="9"/>
      <c r="F36" s="9" t="s">
        <v>66</v>
      </c>
      <c r="G36" s="9" t="s">
        <v>61</v>
      </c>
      <c r="H36" s="9">
        <f>0</f>
        <v>0</v>
      </c>
      <c r="I36" s="9"/>
    </row>
    <row r="37" spans="1:9" ht="18.75" x14ac:dyDescent="0.3">
      <c r="A37" s="35" t="s">
        <v>1975</v>
      </c>
      <c r="B37" s="35"/>
      <c r="C37" s="35"/>
      <c r="D37" s="35"/>
      <c r="E37" s="35"/>
      <c r="F37" s="35"/>
      <c r="G37" s="35"/>
      <c r="H37" s="35"/>
      <c r="I37" s="35"/>
    </row>
    <row r="38" spans="1:9" ht="30" x14ac:dyDescent="0.25">
      <c r="A38" s="9" t="s">
        <v>9</v>
      </c>
      <c r="B38" s="9"/>
      <c r="C38" s="9" t="s">
        <v>9</v>
      </c>
      <c r="D38" s="9" t="s">
        <v>842</v>
      </c>
      <c r="E38" s="163" t="s">
        <v>1504</v>
      </c>
      <c r="F38" s="9" t="s">
        <v>1978</v>
      </c>
      <c r="G38" s="12" t="s">
        <v>1976</v>
      </c>
      <c r="H38" s="9">
        <f>H40+H42</f>
        <v>300.27333333333331</v>
      </c>
      <c r="I38" s="9"/>
    </row>
    <row r="39" spans="1:9" ht="18.75" x14ac:dyDescent="0.3">
      <c r="A39" s="35" t="s">
        <v>62</v>
      </c>
      <c r="B39" s="35"/>
      <c r="C39" s="35"/>
      <c r="D39" s="35"/>
      <c r="E39" s="35"/>
      <c r="F39" s="35"/>
      <c r="G39" s="35"/>
      <c r="H39" s="35"/>
      <c r="I39" s="35"/>
    </row>
    <row r="40" spans="1:9" x14ac:dyDescent="0.25">
      <c r="A40" s="9" t="s">
        <v>9</v>
      </c>
      <c r="B40" s="9"/>
      <c r="C40" s="9" t="s">
        <v>9</v>
      </c>
      <c r="D40" s="9" t="s">
        <v>842</v>
      </c>
      <c r="E40" s="9"/>
      <c r="F40" s="9" t="s">
        <v>63</v>
      </c>
      <c r="G40" s="9" t="s">
        <v>1977</v>
      </c>
      <c r="H40" s="9">
        <f>0</f>
        <v>0</v>
      </c>
      <c r="I40" s="9"/>
    </row>
    <row r="41" spans="1:9" ht="18.75" x14ac:dyDescent="0.3">
      <c r="A41" s="35" t="s">
        <v>107</v>
      </c>
      <c r="B41" s="35"/>
      <c r="C41" s="35"/>
      <c r="D41" s="35"/>
      <c r="E41" s="35"/>
      <c r="F41" s="35"/>
      <c r="G41" s="35"/>
      <c r="H41" s="35"/>
      <c r="I41" s="35"/>
    </row>
    <row r="42" spans="1:9" x14ac:dyDescent="0.25">
      <c r="A42" s="9" t="s">
        <v>9</v>
      </c>
      <c r="B42" s="9"/>
      <c r="C42" s="9" t="s">
        <v>9</v>
      </c>
      <c r="D42" s="9" t="s">
        <v>842</v>
      </c>
      <c r="E42" s="9"/>
      <c r="F42" s="9" t="s">
        <v>109</v>
      </c>
      <c r="G42" s="9" t="s">
        <v>108</v>
      </c>
      <c r="H42" s="9">
        <f>IF(AND(H45="Option P.1"),SUM((H64+H65),(H74+H75),(H96+H97),(H106+H107)),IF(AND(H45="Option P.2"),SUM((H128+H129),(H139+H140),(H161+H162),(H172+H173))))</f>
        <v>300.27333333333331</v>
      </c>
      <c r="I42" s="9"/>
    </row>
    <row r="43" spans="1:9" x14ac:dyDescent="0.25">
      <c r="A43" s="9" t="s">
        <v>8</v>
      </c>
      <c r="B43" s="9"/>
      <c r="C43" s="9" t="s">
        <v>8</v>
      </c>
      <c r="D43" s="9" t="s">
        <v>842</v>
      </c>
      <c r="E43" s="9"/>
      <c r="F43" s="9" t="s">
        <v>131</v>
      </c>
      <c r="G43" s="9" t="s">
        <v>68</v>
      </c>
      <c r="H43" s="9">
        <f>44/12</f>
        <v>3.6666666666666665</v>
      </c>
      <c r="I43" s="9"/>
    </row>
    <row r="44" spans="1:9" x14ac:dyDescent="0.25">
      <c r="A44" s="9" t="s">
        <v>9</v>
      </c>
      <c r="B44" s="9"/>
      <c r="C44" s="9" t="s">
        <v>9</v>
      </c>
      <c r="D44" s="9" t="s">
        <v>842</v>
      </c>
      <c r="E44" s="9"/>
      <c r="F44" s="9" t="s">
        <v>104</v>
      </c>
      <c r="G44" s="9" t="s">
        <v>103</v>
      </c>
      <c r="H44" s="9">
        <f>28</f>
        <v>28</v>
      </c>
      <c r="I44" s="9"/>
    </row>
    <row r="45" spans="1:9" ht="45" x14ac:dyDescent="0.25">
      <c r="A45" s="10" t="s">
        <v>8</v>
      </c>
      <c r="B45" s="10"/>
      <c r="C45" s="10"/>
      <c r="D45" s="10" t="s">
        <v>750</v>
      </c>
      <c r="E45" s="10"/>
      <c r="F45" s="10" t="s">
        <v>4</v>
      </c>
      <c r="G45" s="11" t="s">
        <v>96</v>
      </c>
      <c r="H45" s="10" t="s">
        <v>1202</v>
      </c>
      <c r="I45" s="10"/>
    </row>
    <row r="46" spans="1:9" ht="18.75" x14ac:dyDescent="0.3">
      <c r="A46" s="35" t="s">
        <v>97</v>
      </c>
      <c r="B46" s="35"/>
      <c r="C46" s="35"/>
      <c r="D46" s="35"/>
      <c r="E46" s="35"/>
      <c r="F46" s="35"/>
      <c r="G46" s="35"/>
      <c r="H46" s="35"/>
      <c r="I46" s="35"/>
    </row>
    <row r="47" spans="1:9" ht="18.75" x14ac:dyDescent="0.3">
      <c r="A47" s="35" t="s">
        <v>69</v>
      </c>
      <c r="B47" s="35"/>
      <c r="C47" s="35"/>
      <c r="D47" s="35"/>
      <c r="E47" s="35"/>
      <c r="F47" s="35"/>
      <c r="G47" s="35"/>
      <c r="H47" s="35"/>
      <c r="I47" s="35"/>
    </row>
    <row r="48" spans="1:9" ht="30" x14ac:dyDescent="0.25">
      <c r="A48" s="9" t="s">
        <v>9</v>
      </c>
      <c r="B48" s="9"/>
      <c r="C48" s="9" t="s">
        <v>9</v>
      </c>
      <c r="D48" s="9" t="s">
        <v>842</v>
      </c>
      <c r="E48" s="9"/>
      <c r="F48" s="9" t="s">
        <v>78</v>
      </c>
      <c r="G48" s="12" t="s">
        <v>73</v>
      </c>
      <c r="H48" s="9">
        <f>(H49+H52+H54)*SUM(H60,H70)/H57</f>
        <v>148.13666666666666</v>
      </c>
      <c r="I48" s="9"/>
    </row>
    <row r="49" spans="1:9" ht="30" x14ac:dyDescent="0.25">
      <c r="A49" s="9" t="s">
        <v>9</v>
      </c>
      <c r="B49" s="9"/>
      <c r="C49" s="9" t="s">
        <v>9</v>
      </c>
      <c r="D49" s="9" t="s">
        <v>842</v>
      </c>
      <c r="E49" s="9"/>
      <c r="F49" s="9" t="s">
        <v>79</v>
      </c>
      <c r="G49" s="12" t="s">
        <v>74</v>
      </c>
      <c r="H49" s="9">
        <f>H50+H51</f>
        <v>74.068333333333328</v>
      </c>
      <c r="I49" s="9"/>
    </row>
    <row r="50" spans="1:9" ht="45" x14ac:dyDescent="0.25">
      <c r="A50" s="9" t="s">
        <v>9</v>
      </c>
      <c r="B50" s="9"/>
      <c r="C50" s="9" t="s">
        <v>9</v>
      </c>
      <c r="D50" s="9" t="s">
        <v>842</v>
      </c>
      <c r="E50" s="9"/>
      <c r="F50" s="9" t="s">
        <v>88</v>
      </c>
      <c r="G50" s="12" t="s">
        <v>90</v>
      </c>
      <c r="H50" s="9">
        <f>'Tool 05.1'!G6</f>
        <v>0.73499999999999999</v>
      </c>
      <c r="I50" s="9" t="s">
        <v>43</v>
      </c>
    </row>
    <row r="51" spans="1:9" ht="45" x14ac:dyDescent="0.25">
      <c r="A51" s="9" t="s">
        <v>9</v>
      </c>
      <c r="B51" s="9"/>
      <c r="C51" s="9" t="s">
        <v>9</v>
      </c>
      <c r="D51" s="9" t="s">
        <v>842</v>
      </c>
      <c r="E51" s="9"/>
      <c r="F51" s="9" t="s">
        <v>89</v>
      </c>
      <c r="G51" s="12" t="s">
        <v>91</v>
      </c>
      <c r="H51" s="9">
        <f>'Tool 03'!G3</f>
        <v>73.333333333333329</v>
      </c>
      <c r="I51" s="9" t="s">
        <v>41</v>
      </c>
    </row>
    <row r="52" spans="1:9" ht="30" x14ac:dyDescent="0.25">
      <c r="A52" s="9" t="s">
        <v>9</v>
      </c>
      <c r="B52" s="9"/>
      <c r="C52" s="9" t="s">
        <v>9</v>
      </c>
      <c r="D52" s="9" t="s">
        <v>842</v>
      </c>
      <c r="E52" s="9"/>
      <c r="F52" s="9" t="s">
        <v>80</v>
      </c>
      <c r="G52" s="12" t="s">
        <v>75</v>
      </c>
      <c r="H52" s="9">
        <f>0</f>
        <v>0</v>
      </c>
      <c r="I52" s="9"/>
    </row>
    <row r="53" spans="1:9" x14ac:dyDescent="0.25">
      <c r="A53" s="10" t="s">
        <v>8</v>
      </c>
      <c r="B53" s="10"/>
      <c r="C53" s="10"/>
      <c r="D53" s="10" t="s">
        <v>750</v>
      </c>
      <c r="E53" s="10"/>
      <c r="F53" s="10" t="s">
        <v>4</v>
      </c>
      <c r="G53" s="10" t="s">
        <v>92</v>
      </c>
      <c r="H53" s="10" t="s">
        <v>8</v>
      </c>
      <c r="I53" s="10"/>
    </row>
    <row r="54" spans="1:9" ht="30" x14ac:dyDescent="0.25">
      <c r="A54" s="9" t="s">
        <v>9</v>
      </c>
      <c r="B54" s="9"/>
      <c r="C54" s="9" t="s">
        <v>9</v>
      </c>
      <c r="D54" s="9" t="s">
        <v>842</v>
      </c>
      <c r="E54" s="9"/>
      <c r="F54" s="9" t="s">
        <v>81</v>
      </c>
      <c r="G54" s="12" t="s">
        <v>76</v>
      </c>
      <c r="H54" s="9">
        <f>H55+H56</f>
        <v>74.068333333333328</v>
      </c>
      <c r="I54" s="9"/>
    </row>
    <row r="55" spans="1:9" ht="31.5" customHeight="1" x14ac:dyDescent="0.25">
      <c r="A55" s="9" t="s">
        <v>9</v>
      </c>
      <c r="B55" s="9"/>
      <c r="C55" s="9" t="s">
        <v>9</v>
      </c>
      <c r="D55" s="9" t="s">
        <v>842</v>
      </c>
      <c r="E55" s="9"/>
      <c r="F55" s="9" t="s">
        <v>95</v>
      </c>
      <c r="G55" s="12" t="s">
        <v>93</v>
      </c>
      <c r="H55" s="9">
        <f>'Tool 05.1'!G6</f>
        <v>0.73499999999999999</v>
      </c>
      <c r="I55" s="9" t="s">
        <v>43</v>
      </c>
    </row>
    <row r="56" spans="1:9" ht="30" x14ac:dyDescent="0.25">
      <c r="A56" s="9" t="s">
        <v>9</v>
      </c>
      <c r="B56" s="9"/>
      <c r="C56" s="9" t="s">
        <v>9</v>
      </c>
      <c r="D56" s="9" t="s">
        <v>842</v>
      </c>
      <c r="E56" s="9"/>
      <c r="F56" s="9" t="s">
        <v>1203</v>
      </c>
      <c r="G56" s="12" t="s">
        <v>94</v>
      </c>
      <c r="H56" s="9">
        <f>'Tool 03'!G3</f>
        <v>73.333333333333329</v>
      </c>
      <c r="I56" s="9" t="s">
        <v>41</v>
      </c>
    </row>
    <row r="57" spans="1:9" ht="30" x14ac:dyDescent="0.25">
      <c r="A57" s="156" t="s">
        <v>8</v>
      </c>
      <c r="C57" s="156" t="s">
        <v>8</v>
      </c>
      <c r="D57" s="156" t="s">
        <v>159</v>
      </c>
      <c r="F57" t="s">
        <v>82</v>
      </c>
      <c r="G57" s="4" t="s">
        <v>77</v>
      </c>
      <c r="H57">
        <v>200</v>
      </c>
    </row>
    <row r="58" spans="1:9" ht="18.75" x14ac:dyDescent="0.3">
      <c r="A58" s="35" t="s">
        <v>87</v>
      </c>
      <c r="B58" s="35"/>
      <c r="C58" s="35"/>
      <c r="D58" s="35"/>
      <c r="E58" s="35"/>
      <c r="F58" s="35"/>
      <c r="G58" s="35"/>
      <c r="H58" s="35"/>
      <c r="I58" s="35"/>
    </row>
    <row r="59" spans="1:9" ht="30" x14ac:dyDescent="0.25">
      <c r="A59" s="9" t="s">
        <v>9</v>
      </c>
      <c r="B59" s="9"/>
      <c r="C59" s="9" t="s">
        <v>9</v>
      </c>
      <c r="D59" s="9" t="s">
        <v>842</v>
      </c>
      <c r="E59" s="9"/>
      <c r="F59" s="9" t="s">
        <v>83</v>
      </c>
      <c r="G59" s="12" t="s">
        <v>70</v>
      </c>
      <c r="H59" s="9">
        <f>H60*H61*H63</f>
        <v>89</v>
      </c>
      <c r="I59" s="9"/>
    </row>
    <row r="60" spans="1:9" ht="30" x14ac:dyDescent="0.25">
      <c r="A60" s="156" t="s">
        <v>8</v>
      </c>
      <c r="C60" s="156" t="s">
        <v>8</v>
      </c>
      <c r="D60" s="156" t="s">
        <v>159</v>
      </c>
      <c r="F60" t="s">
        <v>84</v>
      </c>
      <c r="G60" s="4" t="s">
        <v>1979</v>
      </c>
      <c r="H60">
        <v>100</v>
      </c>
    </row>
    <row r="61" spans="1:9" ht="60" x14ac:dyDescent="0.25">
      <c r="A61" s="156" t="s">
        <v>8</v>
      </c>
      <c r="C61" s="156" t="s">
        <v>8</v>
      </c>
      <c r="D61" s="156" t="s">
        <v>159</v>
      </c>
      <c r="F61" t="s">
        <v>85</v>
      </c>
      <c r="G61" s="4" t="s">
        <v>71</v>
      </c>
      <c r="H61">
        <v>1</v>
      </c>
    </row>
    <row r="62" spans="1:9" ht="75" x14ac:dyDescent="0.25">
      <c r="A62" s="10" t="s">
        <v>8</v>
      </c>
      <c r="B62" s="10"/>
      <c r="C62" s="10"/>
      <c r="D62" s="10" t="s">
        <v>750</v>
      </c>
      <c r="E62" s="10"/>
      <c r="F62" s="10" t="s">
        <v>4</v>
      </c>
      <c r="G62" s="11" t="s">
        <v>132</v>
      </c>
      <c r="H62" s="155" t="s">
        <v>133</v>
      </c>
      <c r="I62" s="10"/>
    </row>
    <row r="63" spans="1:9" ht="30" x14ac:dyDescent="0.25">
      <c r="A63" s="9" t="s">
        <v>9</v>
      </c>
      <c r="B63" s="9"/>
      <c r="C63" s="9" t="s">
        <v>9</v>
      </c>
      <c r="D63" s="9" t="s">
        <v>842</v>
      </c>
      <c r="E63" s="9"/>
      <c r="F63" s="9" t="s">
        <v>86</v>
      </c>
      <c r="G63" s="12" t="s">
        <v>72</v>
      </c>
      <c r="H63" s="9">
        <f>IF(AND(H62="High Temperature"),0.89,IF(AND(H62="Medium Temperature"),0.8,IF(AND(H62="Low Temperature"),0.65)))</f>
        <v>0.89</v>
      </c>
      <c r="I63" s="9"/>
    </row>
    <row r="64" spans="1:9" ht="30" x14ac:dyDescent="0.25">
      <c r="A64" s="9" t="s">
        <v>9</v>
      </c>
      <c r="B64" s="9"/>
      <c r="C64" s="9" t="s">
        <v>9</v>
      </c>
      <c r="D64" s="9" t="s">
        <v>842</v>
      </c>
      <c r="E64" s="9"/>
      <c r="F64" s="9" t="s">
        <v>113</v>
      </c>
      <c r="G64" s="12" t="s">
        <v>111</v>
      </c>
      <c r="H64" s="9">
        <f>H66+H67</f>
        <v>74.068333333333328</v>
      </c>
      <c r="I64" s="9"/>
    </row>
    <row r="65" spans="1:9" ht="30" x14ac:dyDescent="0.25">
      <c r="A65" s="156" t="s">
        <v>8</v>
      </c>
      <c r="C65" s="156" t="s">
        <v>8</v>
      </c>
      <c r="D65" s="156" t="s">
        <v>159</v>
      </c>
      <c r="F65" t="s">
        <v>114</v>
      </c>
      <c r="G65" s="4" t="s">
        <v>112</v>
      </c>
      <c r="H65">
        <v>1</v>
      </c>
    </row>
    <row r="66" spans="1:9" ht="30" x14ac:dyDescent="0.25">
      <c r="A66" s="9" t="s">
        <v>9</v>
      </c>
      <c r="B66" s="9"/>
      <c r="C66" s="9" t="s">
        <v>9</v>
      </c>
      <c r="D66" s="9" t="s">
        <v>842</v>
      </c>
      <c r="E66" s="9"/>
      <c r="F66" s="9" t="s">
        <v>115</v>
      </c>
      <c r="G66" s="12" t="s">
        <v>117</v>
      </c>
      <c r="H66" s="9">
        <f>'Tool 05.1'!G6</f>
        <v>0.73499999999999999</v>
      </c>
      <c r="I66" s="9" t="s">
        <v>43</v>
      </c>
    </row>
    <row r="67" spans="1:9" ht="30" x14ac:dyDescent="0.25">
      <c r="A67" s="9" t="s">
        <v>9</v>
      </c>
      <c r="B67" s="9"/>
      <c r="C67" s="9" t="s">
        <v>9</v>
      </c>
      <c r="D67" s="9" t="s">
        <v>842</v>
      </c>
      <c r="E67" s="9"/>
      <c r="F67" s="9" t="s">
        <v>118</v>
      </c>
      <c r="G67" s="12" t="s">
        <v>116</v>
      </c>
      <c r="H67" s="9">
        <f>'Tool 03'!G3</f>
        <v>73.333333333333329</v>
      </c>
      <c r="I67" s="9" t="s">
        <v>41</v>
      </c>
    </row>
    <row r="68" spans="1:9" ht="18.75" x14ac:dyDescent="0.3">
      <c r="A68" s="35" t="s">
        <v>87</v>
      </c>
      <c r="B68" s="35"/>
      <c r="C68" s="35"/>
      <c r="D68" s="35"/>
      <c r="E68" s="35"/>
      <c r="F68" s="35"/>
      <c r="G68" s="35"/>
      <c r="H68" s="35"/>
      <c r="I68" s="35"/>
    </row>
    <row r="69" spans="1:9" ht="30" x14ac:dyDescent="0.25">
      <c r="A69" s="9" t="s">
        <v>9</v>
      </c>
      <c r="B69" s="9"/>
      <c r="C69" s="9" t="s">
        <v>9</v>
      </c>
      <c r="D69" s="9" t="s">
        <v>842</v>
      </c>
      <c r="E69" s="9"/>
      <c r="F69" s="9" t="s">
        <v>83</v>
      </c>
      <c r="G69" s="12" t="s">
        <v>70</v>
      </c>
      <c r="H69" s="9">
        <f>H70*H71*H73</f>
        <v>89</v>
      </c>
      <c r="I69" s="9"/>
    </row>
    <row r="70" spans="1:9" ht="30" x14ac:dyDescent="0.25">
      <c r="A70" s="156" t="s">
        <v>8</v>
      </c>
      <c r="C70" s="156" t="s">
        <v>8</v>
      </c>
      <c r="D70" s="156" t="s">
        <v>159</v>
      </c>
      <c r="F70" t="s">
        <v>84</v>
      </c>
      <c r="G70" s="4" t="s">
        <v>1979</v>
      </c>
      <c r="H70">
        <v>100</v>
      </c>
    </row>
    <row r="71" spans="1:9" ht="60" x14ac:dyDescent="0.25">
      <c r="A71" s="156" t="s">
        <v>8</v>
      </c>
      <c r="C71" s="156" t="s">
        <v>8</v>
      </c>
      <c r="D71" s="156" t="s">
        <v>159</v>
      </c>
      <c r="F71" t="s">
        <v>85</v>
      </c>
      <c r="G71" s="4" t="s">
        <v>71</v>
      </c>
      <c r="H71">
        <v>1</v>
      </c>
    </row>
    <row r="72" spans="1:9" ht="75" x14ac:dyDescent="0.25">
      <c r="A72" s="10" t="s">
        <v>8</v>
      </c>
      <c r="B72" s="10"/>
      <c r="C72" s="10"/>
      <c r="D72" s="10" t="s">
        <v>750</v>
      </c>
      <c r="E72" s="10"/>
      <c r="F72" s="10" t="s">
        <v>4</v>
      </c>
      <c r="G72" s="11" t="s">
        <v>132</v>
      </c>
      <c r="H72" s="155" t="s">
        <v>133</v>
      </c>
      <c r="I72" s="10"/>
    </row>
    <row r="73" spans="1:9" ht="30" x14ac:dyDescent="0.25">
      <c r="A73" s="9" t="s">
        <v>9</v>
      </c>
      <c r="B73" s="9"/>
      <c r="C73" s="9" t="s">
        <v>9</v>
      </c>
      <c r="D73" s="9" t="s">
        <v>842</v>
      </c>
      <c r="E73" s="9"/>
      <c r="F73" s="9" t="s">
        <v>86</v>
      </c>
      <c r="G73" s="12" t="s">
        <v>72</v>
      </c>
      <c r="H73" s="9">
        <f>IF(AND(H72="High Temperature"),0.89,IF(AND(H72="Medium Temperature"),0.8,IF(AND(H72="Low Temperature"),0.65)))</f>
        <v>0.89</v>
      </c>
      <c r="I73" s="9"/>
    </row>
    <row r="74" spans="1:9" ht="30" x14ac:dyDescent="0.25">
      <c r="A74" s="9" t="s">
        <v>9</v>
      </c>
      <c r="B74" s="9"/>
      <c r="C74" s="9" t="s">
        <v>9</v>
      </c>
      <c r="D74" s="9" t="s">
        <v>842</v>
      </c>
      <c r="E74" s="9"/>
      <c r="F74" s="9" t="s">
        <v>113</v>
      </c>
      <c r="G74" s="12" t="s">
        <v>111</v>
      </c>
      <c r="H74" s="9">
        <f>H76+H77</f>
        <v>74.068333333333328</v>
      </c>
      <c r="I74" s="9"/>
    </row>
    <row r="75" spans="1:9" ht="30" x14ac:dyDescent="0.25">
      <c r="A75" s="156" t="s">
        <v>8</v>
      </c>
      <c r="C75" s="156" t="s">
        <v>8</v>
      </c>
      <c r="D75" s="156" t="s">
        <v>159</v>
      </c>
      <c r="F75" t="s">
        <v>114</v>
      </c>
      <c r="G75" s="4" t="s">
        <v>112</v>
      </c>
      <c r="H75">
        <v>1</v>
      </c>
    </row>
    <row r="76" spans="1:9" ht="30" x14ac:dyDescent="0.25">
      <c r="A76" s="9" t="s">
        <v>9</v>
      </c>
      <c r="B76" s="9"/>
      <c r="C76" s="9" t="s">
        <v>9</v>
      </c>
      <c r="D76" s="9" t="s">
        <v>842</v>
      </c>
      <c r="E76" s="9"/>
      <c r="F76" s="9" t="s">
        <v>115</v>
      </c>
      <c r="G76" s="12" t="s">
        <v>117</v>
      </c>
      <c r="H76" s="9">
        <f>'Tool 05.1'!G6</f>
        <v>0.73499999999999999</v>
      </c>
      <c r="I76" s="9" t="s">
        <v>43</v>
      </c>
    </row>
    <row r="77" spans="1:9" ht="30" x14ac:dyDescent="0.25">
      <c r="A77" s="9" t="s">
        <v>9</v>
      </c>
      <c r="B77" s="9"/>
      <c r="C77" s="9" t="s">
        <v>9</v>
      </c>
      <c r="D77" s="9" t="s">
        <v>842</v>
      </c>
      <c r="E77" s="9"/>
      <c r="F77" s="9" t="s">
        <v>118</v>
      </c>
      <c r="G77" s="12" t="s">
        <v>116</v>
      </c>
      <c r="H77" s="9">
        <f>'Tool 03'!G3</f>
        <v>73.333333333333329</v>
      </c>
      <c r="I77" s="9" t="s">
        <v>41</v>
      </c>
    </row>
    <row r="78" spans="1:9" ht="18.75" x14ac:dyDescent="0.3">
      <c r="A78" s="35" t="s">
        <v>97</v>
      </c>
      <c r="B78" s="35"/>
      <c r="C78" s="35"/>
      <c r="D78" s="35"/>
      <c r="E78" s="35"/>
      <c r="F78" s="35"/>
      <c r="G78" s="35"/>
      <c r="H78" s="35"/>
      <c r="I78" s="35"/>
    </row>
    <row r="79" spans="1:9" ht="18.75" x14ac:dyDescent="0.3">
      <c r="A79" s="35" t="s">
        <v>69</v>
      </c>
      <c r="B79" s="35"/>
      <c r="C79" s="35"/>
      <c r="D79" s="35"/>
      <c r="E79" s="35"/>
      <c r="F79" s="35"/>
      <c r="G79" s="35"/>
      <c r="H79" s="35"/>
      <c r="I79" s="35"/>
    </row>
    <row r="80" spans="1:9" ht="30" x14ac:dyDescent="0.25">
      <c r="A80" s="9" t="s">
        <v>9</v>
      </c>
      <c r="B80" s="9"/>
      <c r="C80" s="9" t="s">
        <v>9</v>
      </c>
      <c r="D80" s="9" t="s">
        <v>842</v>
      </c>
      <c r="E80" s="9"/>
      <c r="F80" s="9" t="s">
        <v>78</v>
      </c>
      <c r="G80" s="12" t="s">
        <v>73</v>
      </c>
      <c r="H80" s="9">
        <f>(H81+H84+H86)*SUM(H92,H102)/H89</f>
        <v>148.13666666666666</v>
      </c>
      <c r="I80" s="9"/>
    </row>
    <row r="81" spans="1:9" ht="30" x14ac:dyDescent="0.25">
      <c r="A81" s="9" t="s">
        <v>9</v>
      </c>
      <c r="B81" s="9"/>
      <c r="C81" s="9" t="s">
        <v>9</v>
      </c>
      <c r="D81" s="9" t="s">
        <v>842</v>
      </c>
      <c r="E81" s="9"/>
      <c r="F81" s="9" t="s">
        <v>79</v>
      </c>
      <c r="G81" s="12" t="s">
        <v>74</v>
      </c>
      <c r="H81" s="9">
        <f>H82+H83</f>
        <v>74.068333333333328</v>
      </c>
      <c r="I81" s="9"/>
    </row>
    <row r="82" spans="1:9" ht="45" x14ac:dyDescent="0.25">
      <c r="A82" s="9" t="s">
        <v>9</v>
      </c>
      <c r="B82" s="9"/>
      <c r="C82" s="9" t="s">
        <v>9</v>
      </c>
      <c r="D82" s="9" t="s">
        <v>842</v>
      </c>
      <c r="E82" s="9"/>
      <c r="F82" s="9" t="s">
        <v>88</v>
      </c>
      <c r="G82" s="12" t="s">
        <v>90</v>
      </c>
      <c r="H82" s="9">
        <f>'Tool 05.1'!G6</f>
        <v>0.73499999999999999</v>
      </c>
      <c r="I82" s="9" t="s">
        <v>43</v>
      </c>
    </row>
    <row r="83" spans="1:9" ht="45" x14ac:dyDescent="0.25">
      <c r="A83" s="9" t="s">
        <v>9</v>
      </c>
      <c r="B83" s="9"/>
      <c r="C83" s="9" t="s">
        <v>9</v>
      </c>
      <c r="D83" s="9" t="s">
        <v>842</v>
      </c>
      <c r="E83" s="9"/>
      <c r="F83" s="9" t="s">
        <v>89</v>
      </c>
      <c r="G83" s="12" t="s">
        <v>91</v>
      </c>
      <c r="H83" s="9">
        <f>'Tool 03'!G3</f>
        <v>73.333333333333329</v>
      </c>
      <c r="I83" s="9" t="s">
        <v>41</v>
      </c>
    </row>
    <row r="84" spans="1:9" ht="30" x14ac:dyDescent="0.25">
      <c r="A84" s="9" t="s">
        <v>9</v>
      </c>
      <c r="B84" s="9"/>
      <c r="C84" s="9" t="s">
        <v>9</v>
      </c>
      <c r="D84" s="9" t="s">
        <v>842</v>
      </c>
      <c r="E84" s="9"/>
      <c r="F84" s="9" t="s">
        <v>80</v>
      </c>
      <c r="G84" s="12" t="s">
        <v>75</v>
      </c>
      <c r="H84" s="9">
        <f>0</f>
        <v>0</v>
      </c>
      <c r="I84" s="9"/>
    </row>
    <row r="85" spans="1:9" x14ac:dyDescent="0.25">
      <c r="A85" s="10" t="s">
        <v>8</v>
      </c>
      <c r="B85" s="10"/>
      <c r="C85" s="10"/>
      <c r="D85" s="10" t="s">
        <v>750</v>
      </c>
      <c r="E85" s="10"/>
      <c r="F85" s="10" t="s">
        <v>4</v>
      </c>
      <c r="G85" s="10" t="s">
        <v>92</v>
      </c>
      <c r="H85" s="155" t="s">
        <v>8</v>
      </c>
      <c r="I85" s="10"/>
    </row>
    <row r="86" spans="1:9" ht="30" x14ac:dyDescent="0.25">
      <c r="A86" s="9" t="s">
        <v>9</v>
      </c>
      <c r="B86" s="9"/>
      <c r="C86" s="9" t="s">
        <v>9</v>
      </c>
      <c r="D86" s="9" t="s">
        <v>842</v>
      </c>
      <c r="E86" s="9"/>
      <c r="F86" s="9" t="s">
        <v>81</v>
      </c>
      <c r="G86" s="12" t="s">
        <v>76</v>
      </c>
      <c r="H86" s="9">
        <f>H87+H88</f>
        <v>74.068333333333328</v>
      </c>
      <c r="I86" s="9"/>
    </row>
    <row r="87" spans="1:9" ht="31.5" customHeight="1" x14ac:dyDescent="0.25">
      <c r="A87" s="9" t="s">
        <v>9</v>
      </c>
      <c r="B87" s="9"/>
      <c r="C87" s="9" t="s">
        <v>9</v>
      </c>
      <c r="D87" s="9" t="s">
        <v>842</v>
      </c>
      <c r="E87" s="9"/>
      <c r="F87" s="9" t="s">
        <v>95</v>
      </c>
      <c r="G87" s="12" t="s">
        <v>93</v>
      </c>
      <c r="H87" s="9">
        <f>'Tool 05.1'!G6</f>
        <v>0.73499999999999999</v>
      </c>
      <c r="I87" s="9" t="s">
        <v>43</v>
      </c>
    </row>
    <row r="88" spans="1:9" ht="30" x14ac:dyDescent="0.25">
      <c r="A88" s="9" t="s">
        <v>9</v>
      </c>
      <c r="B88" s="9"/>
      <c r="C88" s="9" t="s">
        <v>9</v>
      </c>
      <c r="D88" s="9" t="s">
        <v>842</v>
      </c>
      <c r="E88" s="9"/>
      <c r="F88" s="9" t="s">
        <v>1203</v>
      </c>
      <c r="G88" s="12" t="s">
        <v>94</v>
      </c>
      <c r="H88" s="9">
        <f>'Tool 03'!G3</f>
        <v>73.333333333333329</v>
      </c>
      <c r="I88" s="9" t="s">
        <v>41</v>
      </c>
    </row>
    <row r="89" spans="1:9" ht="30" x14ac:dyDescent="0.25">
      <c r="A89" s="156" t="s">
        <v>8</v>
      </c>
      <c r="C89" s="156" t="s">
        <v>8</v>
      </c>
      <c r="D89" s="156" t="s">
        <v>159</v>
      </c>
      <c r="F89" t="s">
        <v>82</v>
      </c>
      <c r="G89" s="4" t="s">
        <v>77</v>
      </c>
      <c r="H89">
        <v>200</v>
      </c>
    </row>
    <row r="90" spans="1:9" ht="18.75" x14ac:dyDescent="0.3">
      <c r="A90" s="35" t="s">
        <v>87</v>
      </c>
      <c r="B90" s="35"/>
      <c r="C90" s="35"/>
      <c r="D90" s="35"/>
      <c r="E90" s="35"/>
      <c r="F90" s="35"/>
      <c r="G90" s="35"/>
      <c r="H90" s="35"/>
      <c r="I90" s="35"/>
    </row>
    <row r="91" spans="1:9" ht="30" x14ac:dyDescent="0.25">
      <c r="A91" s="9" t="s">
        <v>9</v>
      </c>
      <c r="B91" s="9"/>
      <c r="C91" s="9" t="s">
        <v>9</v>
      </c>
      <c r="D91" s="9" t="s">
        <v>842</v>
      </c>
      <c r="E91" s="9"/>
      <c r="F91" s="9" t="s">
        <v>83</v>
      </c>
      <c r="G91" s="12" t="s">
        <v>70</v>
      </c>
      <c r="H91" s="9">
        <f>H92*H93*H95</f>
        <v>89</v>
      </c>
      <c r="I91" s="9"/>
    </row>
    <row r="92" spans="1:9" ht="30" x14ac:dyDescent="0.25">
      <c r="A92" s="156" t="s">
        <v>8</v>
      </c>
      <c r="C92" s="156" t="s">
        <v>8</v>
      </c>
      <c r="D92" s="156" t="s">
        <v>159</v>
      </c>
      <c r="F92" t="s">
        <v>84</v>
      </c>
      <c r="G92" s="4" t="s">
        <v>1979</v>
      </c>
      <c r="H92">
        <v>100</v>
      </c>
    </row>
    <row r="93" spans="1:9" ht="60" x14ac:dyDescent="0.25">
      <c r="A93" s="156" t="s">
        <v>8</v>
      </c>
      <c r="C93" s="156" t="s">
        <v>8</v>
      </c>
      <c r="D93" s="156" t="s">
        <v>159</v>
      </c>
      <c r="F93" t="s">
        <v>85</v>
      </c>
      <c r="G93" s="4" t="s">
        <v>71</v>
      </c>
      <c r="H93">
        <v>1</v>
      </c>
    </row>
    <row r="94" spans="1:9" ht="75" x14ac:dyDescent="0.25">
      <c r="A94" s="10" t="s">
        <v>8</v>
      </c>
      <c r="B94" s="10"/>
      <c r="C94" s="10"/>
      <c r="D94" s="10" t="s">
        <v>750</v>
      </c>
      <c r="E94" s="10"/>
      <c r="F94" s="10" t="s">
        <v>4</v>
      </c>
      <c r="G94" s="11" t="s">
        <v>132</v>
      </c>
      <c r="H94" s="155" t="s">
        <v>133</v>
      </c>
      <c r="I94" s="10"/>
    </row>
    <row r="95" spans="1:9" ht="30" x14ac:dyDescent="0.25">
      <c r="A95" s="9" t="s">
        <v>9</v>
      </c>
      <c r="B95" s="9"/>
      <c r="C95" s="9" t="s">
        <v>9</v>
      </c>
      <c r="D95" s="9" t="s">
        <v>842</v>
      </c>
      <c r="E95" s="9"/>
      <c r="F95" s="9" t="s">
        <v>86</v>
      </c>
      <c r="G95" s="12" t="s">
        <v>72</v>
      </c>
      <c r="H95" s="9">
        <f>IF(AND(H94="High Temperature"),0.89,IF(AND(H94="Medium Temperature"),0.8,IF(AND(H94="Low Temperature"),0.65)))</f>
        <v>0.89</v>
      </c>
      <c r="I95" s="9"/>
    </row>
    <row r="96" spans="1:9" ht="30" x14ac:dyDescent="0.25">
      <c r="A96" s="9" t="s">
        <v>9</v>
      </c>
      <c r="B96" s="9"/>
      <c r="C96" s="9" t="s">
        <v>9</v>
      </c>
      <c r="D96" s="9" t="s">
        <v>842</v>
      </c>
      <c r="E96" s="9"/>
      <c r="F96" s="9" t="s">
        <v>113</v>
      </c>
      <c r="G96" s="12" t="s">
        <v>111</v>
      </c>
      <c r="H96" s="9">
        <f>H98+H99</f>
        <v>74.068333333333328</v>
      </c>
      <c r="I96" s="9"/>
    </row>
    <row r="97" spans="1:9" ht="30" x14ac:dyDescent="0.25">
      <c r="A97" s="156" t="s">
        <v>8</v>
      </c>
      <c r="C97" s="156" t="s">
        <v>8</v>
      </c>
      <c r="D97" s="156" t="s">
        <v>159</v>
      </c>
      <c r="F97" t="s">
        <v>114</v>
      </c>
      <c r="G97" s="4" t="s">
        <v>112</v>
      </c>
      <c r="H97">
        <v>1</v>
      </c>
    </row>
    <row r="98" spans="1:9" ht="30" x14ac:dyDescent="0.25">
      <c r="A98" s="9" t="s">
        <v>9</v>
      </c>
      <c r="B98" s="9"/>
      <c r="C98" s="9" t="s">
        <v>9</v>
      </c>
      <c r="D98" s="9" t="s">
        <v>842</v>
      </c>
      <c r="E98" s="9"/>
      <c r="F98" s="9" t="s">
        <v>115</v>
      </c>
      <c r="G98" s="12" t="s">
        <v>117</v>
      </c>
      <c r="H98" s="9">
        <f>'Tool 05.1'!G6</f>
        <v>0.73499999999999999</v>
      </c>
      <c r="I98" s="9" t="s">
        <v>43</v>
      </c>
    </row>
    <row r="99" spans="1:9" ht="30" x14ac:dyDescent="0.25">
      <c r="A99" s="9" t="s">
        <v>9</v>
      </c>
      <c r="B99" s="9"/>
      <c r="C99" s="9" t="s">
        <v>9</v>
      </c>
      <c r="D99" s="9" t="s">
        <v>842</v>
      </c>
      <c r="E99" s="9"/>
      <c r="F99" s="9" t="s">
        <v>118</v>
      </c>
      <c r="G99" s="12" t="s">
        <v>116</v>
      </c>
      <c r="H99" s="9">
        <f>'Tool 03'!G3</f>
        <v>73.333333333333329</v>
      </c>
      <c r="I99" s="9" t="s">
        <v>41</v>
      </c>
    </row>
    <row r="100" spans="1:9" ht="18.75" x14ac:dyDescent="0.3">
      <c r="A100" s="35" t="s">
        <v>87</v>
      </c>
      <c r="B100" s="35"/>
      <c r="C100" s="35"/>
      <c r="D100" s="35"/>
      <c r="E100" s="35"/>
      <c r="F100" s="35"/>
      <c r="G100" s="35"/>
      <c r="H100" s="35"/>
      <c r="I100" s="35"/>
    </row>
    <row r="101" spans="1:9" ht="30" x14ac:dyDescent="0.25">
      <c r="A101" s="9" t="s">
        <v>9</v>
      </c>
      <c r="B101" s="9"/>
      <c r="C101" s="9" t="s">
        <v>9</v>
      </c>
      <c r="D101" s="9" t="s">
        <v>842</v>
      </c>
      <c r="E101" s="9"/>
      <c r="F101" s="9" t="s">
        <v>83</v>
      </c>
      <c r="G101" s="12" t="s">
        <v>70</v>
      </c>
      <c r="H101" s="9">
        <f>H102*H103*H105</f>
        <v>89</v>
      </c>
      <c r="I101" s="9"/>
    </row>
    <row r="102" spans="1:9" ht="30" x14ac:dyDescent="0.25">
      <c r="A102" s="156" t="s">
        <v>8</v>
      </c>
      <c r="C102" s="156" t="s">
        <v>8</v>
      </c>
      <c r="D102" s="156" t="s">
        <v>159</v>
      </c>
      <c r="F102" t="s">
        <v>84</v>
      </c>
      <c r="G102" s="4" t="s">
        <v>1979</v>
      </c>
      <c r="H102">
        <v>100</v>
      </c>
    </row>
    <row r="103" spans="1:9" ht="60" x14ac:dyDescent="0.25">
      <c r="A103" s="156" t="s">
        <v>8</v>
      </c>
      <c r="C103" s="156" t="s">
        <v>8</v>
      </c>
      <c r="D103" s="156" t="s">
        <v>159</v>
      </c>
      <c r="F103" t="s">
        <v>85</v>
      </c>
      <c r="G103" s="4" t="s">
        <v>71</v>
      </c>
      <c r="H103">
        <v>1</v>
      </c>
    </row>
    <row r="104" spans="1:9" ht="75" x14ac:dyDescent="0.25">
      <c r="A104" s="10" t="s">
        <v>8</v>
      </c>
      <c r="B104" s="10"/>
      <c r="C104" s="10"/>
      <c r="D104" s="10" t="s">
        <v>750</v>
      </c>
      <c r="E104" s="10"/>
      <c r="F104" s="10" t="s">
        <v>4</v>
      </c>
      <c r="G104" s="11" t="s">
        <v>132</v>
      </c>
      <c r="H104" s="155" t="s">
        <v>133</v>
      </c>
      <c r="I104" s="10"/>
    </row>
    <row r="105" spans="1:9" ht="30" x14ac:dyDescent="0.25">
      <c r="A105" s="9" t="s">
        <v>9</v>
      </c>
      <c r="B105" s="9"/>
      <c r="C105" s="9" t="s">
        <v>9</v>
      </c>
      <c r="D105" s="9" t="s">
        <v>842</v>
      </c>
      <c r="E105" s="9"/>
      <c r="F105" s="9" t="s">
        <v>86</v>
      </c>
      <c r="G105" s="12" t="s">
        <v>72</v>
      </c>
      <c r="H105" s="9">
        <f>IF(AND(H104="High Temperature"),0.89,IF(AND(H104="Medium Temperature"),0.8,IF(AND(H104="Low Temperature"),0.65)))</f>
        <v>0.89</v>
      </c>
      <c r="I105" s="9"/>
    </row>
    <row r="106" spans="1:9" ht="30" x14ac:dyDescent="0.25">
      <c r="A106" s="9" t="s">
        <v>9</v>
      </c>
      <c r="B106" s="9"/>
      <c r="C106" s="9" t="s">
        <v>9</v>
      </c>
      <c r="D106" s="9" t="s">
        <v>842</v>
      </c>
      <c r="E106" s="9"/>
      <c r="F106" s="9" t="s">
        <v>1206</v>
      </c>
      <c r="G106" s="12" t="s">
        <v>111</v>
      </c>
      <c r="H106" s="9">
        <f>H108+H109</f>
        <v>74.068333333333328</v>
      </c>
      <c r="I106" s="9"/>
    </row>
    <row r="107" spans="1:9" ht="30" x14ac:dyDescent="0.25">
      <c r="A107" s="156" t="s">
        <v>8</v>
      </c>
      <c r="C107" s="156" t="s">
        <v>8</v>
      </c>
      <c r="D107" s="156" t="s">
        <v>159</v>
      </c>
      <c r="F107" t="s">
        <v>114</v>
      </c>
      <c r="G107" s="4" t="s">
        <v>112</v>
      </c>
      <c r="H107">
        <v>1</v>
      </c>
    </row>
    <row r="108" spans="1:9" ht="30" x14ac:dyDescent="0.25">
      <c r="A108" s="9" t="s">
        <v>9</v>
      </c>
      <c r="B108" s="9"/>
      <c r="C108" s="9" t="s">
        <v>9</v>
      </c>
      <c r="D108" s="9" t="s">
        <v>842</v>
      </c>
      <c r="E108" s="9"/>
      <c r="F108" s="9" t="s">
        <v>115</v>
      </c>
      <c r="G108" s="12" t="s">
        <v>117</v>
      </c>
      <c r="H108" s="9">
        <f>'Tool 05.1'!G6</f>
        <v>0.73499999999999999</v>
      </c>
      <c r="I108" s="9" t="s">
        <v>43</v>
      </c>
    </row>
    <row r="109" spans="1:9" ht="30" x14ac:dyDescent="0.25">
      <c r="A109" s="9" t="s">
        <v>9</v>
      </c>
      <c r="B109" s="9"/>
      <c r="C109" s="9" t="s">
        <v>9</v>
      </c>
      <c r="D109" s="9" t="s">
        <v>842</v>
      </c>
      <c r="E109" s="9"/>
      <c r="F109" s="9" t="s">
        <v>118</v>
      </c>
      <c r="G109" s="12" t="s">
        <v>116</v>
      </c>
      <c r="H109" s="9">
        <f>'Tool 03'!G3</f>
        <v>73.333333333333329</v>
      </c>
      <c r="I109" s="9" t="s">
        <v>41</v>
      </c>
    </row>
    <row r="110" spans="1:9" ht="18.75" x14ac:dyDescent="0.3">
      <c r="A110" s="35" t="s">
        <v>110</v>
      </c>
      <c r="B110" s="35"/>
      <c r="C110" s="35"/>
      <c r="D110" s="35"/>
      <c r="E110" s="35"/>
      <c r="F110" s="35"/>
      <c r="G110" s="35"/>
      <c r="H110" s="35"/>
      <c r="I110" s="35"/>
    </row>
    <row r="111" spans="1:9" ht="18.75" x14ac:dyDescent="0.3">
      <c r="A111" s="35" t="s">
        <v>69</v>
      </c>
      <c r="B111" s="35"/>
      <c r="C111" s="35"/>
      <c r="D111" s="35"/>
      <c r="E111" s="35"/>
      <c r="F111" s="35"/>
      <c r="G111" s="35"/>
      <c r="H111" s="35"/>
      <c r="I111" s="35"/>
    </row>
    <row r="112" spans="1:9" ht="30" x14ac:dyDescent="0.25">
      <c r="A112" s="9" t="s">
        <v>9</v>
      </c>
      <c r="B112" s="9"/>
      <c r="C112" s="9" t="s">
        <v>9</v>
      </c>
      <c r="D112" s="9" t="s">
        <v>842</v>
      </c>
      <c r="E112" s="9"/>
      <c r="F112" s="9" t="s">
        <v>78</v>
      </c>
      <c r="G112" s="12" t="s">
        <v>99</v>
      </c>
      <c r="H112" s="9">
        <f>(H113+H114+H115)*SUM(H123,H134)/H120</f>
        <v>422.53666666666669</v>
      </c>
      <c r="I112" s="9"/>
    </row>
    <row r="113" spans="1:9" ht="30" x14ac:dyDescent="0.25">
      <c r="A113" s="9" t="s">
        <v>9</v>
      </c>
      <c r="B113" s="9"/>
      <c r="C113" s="9" t="s">
        <v>9</v>
      </c>
      <c r="D113" s="9" t="s">
        <v>842</v>
      </c>
      <c r="E113" s="9"/>
      <c r="F113" s="9" t="s">
        <v>79</v>
      </c>
      <c r="G113" s="12" t="s">
        <v>74</v>
      </c>
      <c r="H113" s="9">
        <f>H116+H117</f>
        <v>74.068333333333328</v>
      </c>
      <c r="I113" s="9"/>
    </row>
    <row r="114" spans="1:9" ht="30" x14ac:dyDescent="0.25">
      <c r="A114" s="9" t="s">
        <v>9</v>
      </c>
      <c r="B114" s="9"/>
      <c r="C114" s="9" t="s">
        <v>9</v>
      </c>
      <c r="D114" s="9" t="s">
        <v>842</v>
      </c>
      <c r="E114" s="9"/>
      <c r="F114" s="9" t="s">
        <v>80</v>
      </c>
      <c r="G114" s="12" t="s">
        <v>75</v>
      </c>
      <c r="H114" s="9">
        <f>SUM((H127*H44*H123),(H138*H44*H134))</f>
        <v>274.40000000000003</v>
      </c>
      <c r="I114" s="9"/>
    </row>
    <row r="115" spans="1:9" ht="30" x14ac:dyDescent="0.25">
      <c r="A115" s="9" t="s">
        <v>9</v>
      </c>
      <c r="B115" s="9"/>
      <c r="C115" s="9" t="s">
        <v>9</v>
      </c>
      <c r="D115" s="9" t="s">
        <v>842</v>
      </c>
      <c r="E115" s="9"/>
      <c r="F115" s="9" t="s">
        <v>81</v>
      </c>
      <c r="G115" s="12" t="s">
        <v>76</v>
      </c>
      <c r="H115" s="9">
        <f>H118+H119</f>
        <v>74.068333333333328</v>
      </c>
      <c r="I115" s="9"/>
    </row>
    <row r="116" spans="1:9" ht="45" x14ac:dyDescent="0.25">
      <c r="A116" s="9" t="s">
        <v>9</v>
      </c>
      <c r="B116" s="9"/>
      <c r="C116" s="9" t="s">
        <v>9</v>
      </c>
      <c r="D116" s="9" t="s">
        <v>842</v>
      </c>
      <c r="E116" s="9"/>
      <c r="F116" s="9" t="s">
        <v>88</v>
      </c>
      <c r="G116" s="12" t="s">
        <v>100</v>
      </c>
      <c r="H116" s="9">
        <f>'Tool 05.1'!G6</f>
        <v>0.73499999999999999</v>
      </c>
      <c r="I116" s="9" t="s">
        <v>43</v>
      </c>
    </row>
    <row r="117" spans="1:9" ht="45" x14ac:dyDescent="0.25">
      <c r="A117" s="9" t="s">
        <v>9</v>
      </c>
      <c r="B117" s="9"/>
      <c r="C117" s="9" t="s">
        <v>9</v>
      </c>
      <c r="D117" s="9" t="s">
        <v>842</v>
      </c>
      <c r="E117" s="9"/>
      <c r="F117" s="9" t="s">
        <v>89</v>
      </c>
      <c r="G117" s="12" t="s">
        <v>101</v>
      </c>
      <c r="H117" s="9">
        <f>'Tool 03'!G3</f>
        <v>73.333333333333329</v>
      </c>
      <c r="I117" s="9" t="s">
        <v>41</v>
      </c>
    </row>
    <row r="118" spans="1:9" ht="45" x14ac:dyDescent="0.25">
      <c r="A118" s="9" t="s">
        <v>9</v>
      </c>
      <c r="B118" s="9"/>
      <c r="C118" s="9" t="s">
        <v>9</v>
      </c>
      <c r="D118" s="9" t="s">
        <v>842</v>
      </c>
      <c r="E118" s="9"/>
      <c r="F118" s="9" t="s">
        <v>95</v>
      </c>
      <c r="G118" s="12" t="s">
        <v>106</v>
      </c>
      <c r="H118" s="9">
        <f>'Tool 05.1'!G6</f>
        <v>0.73499999999999999</v>
      </c>
      <c r="I118" s="9" t="s">
        <v>43</v>
      </c>
    </row>
    <row r="119" spans="1:9" ht="30" x14ac:dyDescent="0.25">
      <c r="A119" s="9" t="s">
        <v>9</v>
      </c>
      <c r="B119" s="9"/>
      <c r="C119" s="9" t="s">
        <v>9</v>
      </c>
      <c r="D119" s="9" t="s">
        <v>842</v>
      </c>
      <c r="E119" s="9"/>
      <c r="F119" s="9" t="s">
        <v>1203</v>
      </c>
      <c r="G119" s="12" t="s">
        <v>94</v>
      </c>
      <c r="H119" s="9">
        <f>'Tool 03'!G3</f>
        <v>73.333333333333329</v>
      </c>
      <c r="I119" s="9" t="s">
        <v>41</v>
      </c>
    </row>
    <row r="120" spans="1:9" ht="30" x14ac:dyDescent="0.25">
      <c r="A120" s="156" t="s">
        <v>8</v>
      </c>
      <c r="C120" s="156" t="s">
        <v>8</v>
      </c>
      <c r="D120" s="156" t="s">
        <v>159</v>
      </c>
      <c r="F120" t="s">
        <v>82</v>
      </c>
      <c r="G120" s="4" t="s">
        <v>77</v>
      </c>
      <c r="H120">
        <v>200</v>
      </c>
    </row>
    <row r="121" spans="1:9" ht="18.75" x14ac:dyDescent="0.3">
      <c r="A121" s="35" t="s">
        <v>87</v>
      </c>
      <c r="B121" s="35"/>
      <c r="C121" s="35"/>
      <c r="D121" s="35"/>
      <c r="E121" s="35"/>
      <c r="F121" s="35"/>
      <c r="G121" s="35"/>
      <c r="H121" s="35"/>
      <c r="I121" s="35"/>
    </row>
    <row r="122" spans="1:9" ht="30" x14ac:dyDescent="0.25">
      <c r="A122" s="9" t="s">
        <v>9</v>
      </c>
      <c r="B122" s="9"/>
      <c r="C122" s="9" t="s">
        <v>9</v>
      </c>
      <c r="D122" s="9" t="s">
        <v>842</v>
      </c>
      <c r="E122" s="9"/>
      <c r="F122" s="9" t="s">
        <v>83</v>
      </c>
      <c r="G122" s="12" t="s">
        <v>70</v>
      </c>
      <c r="H122" s="9">
        <f>H123*H125*H126</f>
        <v>21.28</v>
      </c>
      <c r="I122" s="9"/>
    </row>
    <row r="123" spans="1:9" ht="30" x14ac:dyDescent="0.25">
      <c r="A123" s="156" t="s">
        <v>8</v>
      </c>
      <c r="C123" s="156" t="s">
        <v>8</v>
      </c>
      <c r="D123" s="156" t="s">
        <v>159</v>
      </c>
      <c r="F123" t="s">
        <v>84</v>
      </c>
      <c r="G123" s="4" t="s">
        <v>1979</v>
      </c>
      <c r="H123">
        <v>100</v>
      </c>
    </row>
    <row r="124" spans="1:9" ht="225" x14ac:dyDescent="0.25">
      <c r="A124" s="10" t="s">
        <v>8</v>
      </c>
      <c r="B124" s="10"/>
      <c r="C124" s="10"/>
      <c r="D124" s="10" t="s">
        <v>750</v>
      </c>
      <c r="E124" s="10"/>
      <c r="F124" s="10" t="s">
        <v>4</v>
      </c>
      <c r="G124" s="11" t="s">
        <v>1204</v>
      </c>
      <c r="H124" s="155" t="s">
        <v>847</v>
      </c>
      <c r="I124" s="10" t="s">
        <v>1205</v>
      </c>
    </row>
    <row r="125" spans="1:9" ht="75" x14ac:dyDescent="0.25">
      <c r="A125" s="9" t="s">
        <v>9</v>
      </c>
      <c r="B125" s="9"/>
      <c r="C125" s="9" t="s">
        <v>9</v>
      </c>
      <c r="D125" s="9" t="s">
        <v>842</v>
      </c>
      <c r="E125" s="9"/>
      <c r="F125" s="9" t="s">
        <v>85</v>
      </c>
      <c r="G125" s="12" t="s">
        <v>98</v>
      </c>
      <c r="H125" s="9">
        <f>IF(AND(H124="Option 1"),0.38,IF(AND(H124="Option 2"),0.09,IF(AND(H124="Option 3"),0.77,IF(AND(H124="Option 4"),0.52,IF(AND(H124="Option 5"),0.65,IF(AND(H124="Option 6"),0.28,IF(AND(H124="Option 7"),0.49,IF(AND(H124="Option 8"),0.13,IF(AND(H124="Option 9"),0.74,IF(AND(H124="Option 10"),0.4,IF(AND(H124="Option 11"),0.35,IF(AND(H124="Option 12"),0.07))))))))))))</f>
        <v>0.38</v>
      </c>
      <c r="I125" s="9"/>
    </row>
    <row r="126" spans="1:9" ht="30" x14ac:dyDescent="0.25">
      <c r="A126" s="9" t="s">
        <v>9</v>
      </c>
      <c r="B126" s="9"/>
      <c r="C126" s="9" t="s">
        <v>9</v>
      </c>
      <c r="D126" s="9" t="s">
        <v>842</v>
      </c>
      <c r="E126" s="9"/>
      <c r="F126" s="9" t="s">
        <v>86</v>
      </c>
      <c r="G126" s="12" t="s">
        <v>72</v>
      </c>
      <c r="H126" s="9">
        <f>0.56</f>
        <v>0.56000000000000005</v>
      </c>
      <c r="I126" s="9"/>
    </row>
    <row r="127" spans="1:9" ht="30" x14ac:dyDescent="0.25">
      <c r="A127" s="9" t="s">
        <v>9</v>
      </c>
      <c r="B127" s="9"/>
      <c r="C127" s="9" t="s">
        <v>9</v>
      </c>
      <c r="D127" s="9" t="s">
        <v>842</v>
      </c>
      <c r="E127" s="9"/>
      <c r="F127" s="9" t="s">
        <v>105</v>
      </c>
      <c r="G127" s="12" t="s">
        <v>102</v>
      </c>
      <c r="H127" s="9">
        <f>0.049</f>
        <v>4.9000000000000002E-2</v>
      </c>
      <c r="I127" s="9"/>
    </row>
    <row r="128" spans="1:9" ht="30" x14ac:dyDescent="0.25">
      <c r="A128" s="9" t="s">
        <v>9</v>
      </c>
      <c r="B128" s="9"/>
      <c r="C128" s="9" t="s">
        <v>9</v>
      </c>
      <c r="D128" s="9" t="s">
        <v>842</v>
      </c>
      <c r="E128" s="9"/>
      <c r="F128" s="9" t="s">
        <v>1206</v>
      </c>
      <c r="G128" s="12" t="s">
        <v>111</v>
      </c>
      <c r="H128" s="9">
        <f>H130+H131</f>
        <v>74.068333333333328</v>
      </c>
      <c r="I128" s="9"/>
    </row>
    <row r="129" spans="1:9" ht="30" x14ac:dyDescent="0.25">
      <c r="A129" s="156" t="s">
        <v>8</v>
      </c>
      <c r="C129" s="156" t="s">
        <v>8</v>
      </c>
      <c r="D129" s="156" t="s">
        <v>159</v>
      </c>
      <c r="F129" t="s">
        <v>114</v>
      </c>
      <c r="G129" s="4" t="s">
        <v>112</v>
      </c>
      <c r="H129">
        <v>1</v>
      </c>
    </row>
    <row r="130" spans="1:9" ht="30" x14ac:dyDescent="0.25">
      <c r="A130" s="9" t="s">
        <v>9</v>
      </c>
      <c r="B130" s="9"/>
      <c r="C130" s="9" t="s">
        <v>9</v>
      </c>
      <c r="D130" s="9" t="s">
        <v>842</v>
      </c>
      <c r="E130" s="9"/>
      <c r="F130" s="9" t="s">
        <v>115</v>
      </c>
      <c r="G130" s="12" t="s">
        <v>117</v>
      </c>
      <c r="H130" s="9">
        <f>'Tool 05.1'!G6</f>
        <v>0.73499999999999999</v>
      </c>
      <c r="I130" s="9" t="s">
        <v>43</v>
      </c>
    </row>
    <row r="131" spans="1:9" ht="30" x14ac:dyDescent="0.25">
      <c r="A131" s="9" t="s">
        <v>9</v>
      </c>
      <c r="B131" s="9"/>
      <c r="C131" s="9" t="s">
        <v>9</v>
      </c>
      <c r="D131" s="9" t="s">
        <v>842</v>
      </c>
      <c r="E131" s="9"/>
      <c r="F131" s="9" t="s">
        <v>118</v>
      </c>
      <c r="G131" s="12" t="s">
        <v>116</v>
      </c>
      <c r="H131" s="9">
        <f>'Tool 03'!G3</f>
        <v>73.333333333333329</v>
      </c>
      <c r="I131" s="9" t="s">
        <v>41</v>
      </c>
    </row>
    <row r="132" spans="1:9" ht="18.75" x14ac:dyDescent="0.3">
      <c r="A132" s="35" t="s">
        <v>87</v>
      </c>
      <c r="B132" s="35"/>
      <c r="C132" s="35"/>
      <c r="D132" s="35"/>
      <c r="E132" s="35"/>
      <c r="F132" s="35"/>
      <c r="G132" s="35"/>
      <c r="H132" s="35"/>
      <c r="I132" s="35"/>
    </row>
    <row r="133" spans="1:9" ht="30" x14ac:dyDescent="0.25">
      <c r="A133" s="9" t="s">
        <v>9</v>
      </c>
      <c r="B133" s="9"/>
      <c r="C133" s="9" t="s">
        <v>9</v>
      </c>
      <c r="D133" s="9" t="s">
        <v>842</v>
      </c>
      <c r="E133" s="9"/>
      <c r="F133" s="9" t="s">
        <v>83</v>
      </c>
      <c r="G133" s="12" t="s">
        <v>70</v>
      </c>
      <c r="H133" s="9">
        <f>H134*H136*H137</f>
        <v>21.28</v>
      </c>
      <c r="I133" s="9"/>
    </row>
    <row r="134" spans="1:9" ht="30" x14ac:dyDescent="0.25">
      <c r="A134" s="156" t="s">
        <v>8</v>
      </c>
      <c r="C134" s="156" t="s">
        <v>8</v>
      </c>
      <c r="D134" s="156" t="s">
        <v>159</v>
      </c>
      <c r="F134" t="s">
        <v>84</v>
      </c>
      <c r="G134" s="4" t="s">
        <v>1979</v>
      </c>
      <c r="H134">
        <v>100</v>
      </c>
    </row>
    <row r="135" spans="1:9" ht="225" x14ac:dyDescent="0.25">
      <c r="A135" s="10" t="s">
        <v>8</v>
      </c>
      <c r="B135" s="10"/>
      <c r="C135" s="10"/>
      <c r="D135" s="10" t="s">
        <v>750</v>
      </c>
      <c r="E135" s="10"/>
      <c r="F135" s="10" t="s">
        <v>4</v>
      </c>
      <c r="G135" s="11" t="s">
        <v>1204</v>
      </c>
      <c r="H135" s="155" t="s">
        <v>847</v>
      </c>
      <c r="I135" s="10" t="s">
        <v>1205</v>
      </c>
    </row>
    <row r="136" spans="1:9" ht="75" x14ac:dyDescent="0.25">
      <c r="A136" s="9" t="s">
        <v>9</v>
      </c>
      <c r="B136" s="9"/>
      <c r="C136" s="9" t="s">
        <v>9</v>
      </c>
      <c r="D136" s="9" t="s">
        <v>842</v>
      </c>
      <c r="E136" s="9"/>
      <c r="F136" s="9" t="s">
        <v>85</v>
      </c>
      <c r="G136" s="12" t="s">
        <v>98</v>
      </c>
      <c r="H136" s="9">
        <f>IF(AND(H135="Option 1"),0.38,IF(AND(H135="Option 2"),0.09,IF(AND(H135="Option 3"),0.77,IF(AND(H135="Option 4"),0.52,IF(AND(H135="Option 5"),0.65,IF(AND(H135="Option 6"),0.28,IF(AND(H135="Option 7"),0.49,IF(AND(H135="Option 8"),0.13,IF(AND(H135="Option 9"),0.74,IF(AND(H135="Option 10"),0.4,IF(AND(H135="Option 11"),0.35,IF(AND(H135="Option 12"),0.07))))))))))))</f>
        <v>0.38</v>
      </c>
      <c r="I136" s="9"/>
    </row>
    <row r="137" spans="1:9" ht="30" x14ac:dyDescent="0.25">
      <c r="A137" s="9" t="s">
        <v>9</v>
      </c>
      <c r="B137" s="9"/>
      <c r="C137" s="9" t="s">
        <v>9</v>
      </c>
      <c r="D137" s="9" t="s">
        <v>842</v>
      </c>
      <c r="E137" s="9"/>
      <c r="F137" s="9" t="s">
        <v>86</v>
      </c>
      <c r="G137" s="12" t="s">
        <v>72</v>
      </c>
      <c r="H137" s="9">
        <f>0.56</f>
        <v>0.56000000000000005</v>
      </c>
      <c r="I137" s="9"/>
    </row>
    <row r="138" spans="1:9" ht="30" x14ac:dyDescent="0.25">
      <c r="A138" s="9" t="s">
        <v>9</v>
      </c>
      <c r="B138" s="9"/>
      <c r="C138" s="9" t="s">
        <v>9</v>
      </c>
      <c r="D138" s="9" t="s">
        <v>842</v>
      </c>
      <c r="E138" s="9"/>
      <c r="F138" s="9" t="s">
        <v>105</v>
      </c>
      <c r="G138" s="12" t="s">
        <v>102</v>
      </c>
      <c r="H138" s="9">
        <f>0.049</f>
        <v>4.9000000000000002E-2</v>
      </c>
      <c r="I138" s="9"/>
    </row>
    <row r="139" spans="1:9" ht="30" x14ac:dyDescent="0.25">
      <c r="A139" s="9" t="s">
        <v>9</v>
      </c>
      <c r="B139" s="9"/>
      <c r="C139" s="9" t="s">
        <v>9</v>
      </c>
      <c r="D139" s="9" t="s">
        <v>842</v>
      </c>
      <c r="E139" s="9"/>
      <c r="F139" s="9" t="s">
        <v>1206</v>
      </c>
      <c r="G139" s="12" t="s">
        <v>111</v>
      </c>
      <c r="H139" s="9">
        <f>H141+H142</f>
        <v>74.068333333333328</v>
      </c>
      <c r="I139" s="9"/>
    </row>
    <row r="140" spans="1:9" ht="30" x14ac:dyDescent="0.25">
      <c r="A140" s="156" t="s">
        <v>8</v>
      </c>
      <c r="C140" s="156" t="s">
        <v>8</v>
      </c>
      <c r="D140" s="156" t="s">
        <v>159</v>
      </c>
      <c r="F140" t="s">
        <v>114</v>
      </c>
      <c r="G140" s="4" t="s">
        <v>112</v>
      </c>
      <c r="H140">
        <v>1</v>
      </c>
    </row>
    <row r="141" spans="1:9" ht="30" x14ac:dyDescent="0.25">
      <c r="A141" s="9" t="s">
        <v>9</v>
      </c>
      <c r="B141" s="9"/>
      <c r="C141" s="9" t="s">
        <v>9</v>
      </c>
      <c r="D141" s="9" t="s">
        <v>842</v>
      </c>
      <c r="E141" s="9"/>
      <c r="F141" s="9" t="s">
        <v>115</v>
      </c>
      <c r="G141" s="12" t="s">
        <v>117</v>
      </c>
      <c r="H141" s="9">
        <f>'Tool 05.1'!G6</f>
        <v>0.73499999999999999</v>
      </c>
      <c r="I141" s="9" t="s">
        <v>43</v>
      </c>
    </row>
    <row r="142" spans="1:9" ht="30" x14ac:dyDescent="0.25">
      <c r="A142" s="9" t="s">
        <v>9</v>
      </c>
      <c r="B142" s="9"/>
      <c r="C142" s="9" t="s">
        <v>9</v>
      </c>
      <c r="D142" s="9" t="s">
        <v>842</v>
      </c>
      <c r="E142" s="9"/>
      <c r="F142" s="9" t="s">
        <v>118</v>
      </c>
      <c r="G142" s="12" t="s">
        <v>116</v>
      </c>
      <c r="H142" s="9">
        <f>'Tool 03'!G3</f>
        <v>73.333333333333329</v>
      </c>
      <c r="I142" s="9" t="s">
        <v>41</v>
      </c>
    </row>
    <row r="143" spans="1:9" ht="18.75" x14ac:dyDescent="0.3">
      <c r="A143" s="35" t="s">
        <v>110</v>
      </c>
      <c r="B143" s="35"/>
      <c r="C143" s="35"/>
      <c r="D143" s="35"/>
      <c r="E143" s="35"/>
      <c r="F143" s="35"/>
      <c r="G143" s="35"/>
      <c r="H143" s="35"/>
      <c r="I143" s="35"/>
    </row>
    <row r="144" spans="1:9" ht="18.75" x14ac:dyDescent="0.3">
      <c r="A144" s="35" t="s">
        <v>69</v>
      </c>
      <c r="B144" s="35"/>
      <c r="C144" s="35"/>
      <c r="D144" s="35"/>
      <c r="E144" s="35"/>
      <c r="F144" s="35"/>
      <c r="G144" s="35"/>
      <c r="H144" s="35"/>
      <c r="I144" s="35"/>
    </row>
    <row r="145" spans="1:9" ht="30" x14ac:dyDescent="0.25">
      <c r="A145" s="9" t="s">
        <v>9</v>
      </c>
      <c r="B145" s="9"/>
      <c r="C145" s="9" t="s">
        <v>9</v>
      </c>
      <c r="D145" s="9" t="s">
        <v>842</v>
      </c>
      <c r="E145" s="9"/>
      <c r="F145" s="9" t="s">
        <v>78</v>
      </c>
      <c r="G145" s="12" t="s">
        <v>99</v>
      </c>
      <c r="H145" s="9">
        <f>(H146+H147+H148)*SUM(H156,H167)/H153</f>
        <v>422.53666666666669</v>
      </c>
      <c r="I145" s="9"/>
    </row>
    <row r="146" spans="1:9" ht="30" x14ac:dyDescent="0.25">
      <c r="A146" s="9" t="s">
        <v>9</v>
      </c>
      <c r="B146" s="9"/>
      <c r="C146" s="9" t="s">
        <v>9</v>
      </c>
      <c r="D146" s="9" t="s">
        <v>842</v>
      </c>
      <c r="E146" s="9"/>
      <c r="F146" s="9" t="s">
        <v>79</v>
      </c>
      <c r="G146" s="12" t="s">
        <v>74</v>
      </c>
      <c r="H146" s="9">
        <f>H149+H150</f>
        <v>74.068333333333328</v>
      </c>
      <c r="I146" s="9"/>
    </row>
    <row r="147" spans="1:9" ht="30" x14ac:dyDescent="0.25">
      <c r="A147" s="9" t="s">
        <v>9</v>
      </c>
      <c r="B147" s="9"/>
      <c r="C147" s="9" t="s">
        <v>9</v>
      </c>
      <c r="D147" s="9" t="s">
        <v>842</v>
      </c>
      <c r="E147" s="9"/>
      <c r="F147" s="9" t="s">
        <v>80</v>
      </c>
      <c r="G147" s="12" t="s">
        <v>75</v>
      </c>
      <c r="H147" s="9">
        <f>SUM((H160*H44*H156),(H171*H44*H167))</f>
        <v>274.40000000000003</v>
      </c>
      <c r="I147" s="9"/>
    </row>
    <row r="148" spans="1:9" ht="30" x14ac:dyDescent="0.25">
      <c r="A148" s="9" t="s">
        <v>9</v>
      </c>
      <c r="B148" s="9"/>
      <c r="C148" s="9" t="s">
        <v>9</v>
      </c>
      <c r="D148" s="9" t="s">
        <v>842</v>
      </c>
      <c r="E148" s="9"/>
      <c r="F148" s="9" t="s">
        <v>81</v>
      </c>
      <c r="G148" s="12" t="s">
        <v>76</v>
      </c>
      <c r="H148" s="9">
        <f>H151+H152</f>
        <v>74.068333333333328</v>
      </c>
      <c r="I148" s="9"/>
    </row>
    <row r="149" spans="1:9" ht="45" x14ac:dyDescent="0.25">
      <c r="A149" s="9" t="s">
        <v>9</v>
      </c>
      <c r="B149" s="9"/>
      <c r="C149" s="9" t="s">
        <v>9</v>
      </c>
      <c r="D149" s="9" t="s">
        <v>842</v>
      </c>
      <c r="E149" s="9"/>
      <c r="F149" s="9" t="s">
        <v>88</v>
      </c>
      <c r="G149" s="12" t="s">
        <v>100</v>
      </c>
      <c r="H149" s="9">
        <f>'Tool 05.1'!G6</f>
        <v>0.73499999999999999</v>
      </c>
      <c r="I149" s="9" t="s">
        <v>43</v>
      </c>
    </row>
    <row r="150" spans="1:9" ht="45" x14ac:dyDescent="0.25">
      <c r="A150" s="9" t="s">
        <v>9</v>
      </c>
      <c r="B150" s="9"/>
      <c r="C150" s="9" t="s">
        <v>9</v>
      </c>
      <c r="D150" s="9" t="s">
        <v>842</v>
      </c>
      <c r="E150" s="9"/>
      <c r="F150" s="9" t="s">
        <v>89</v>
      </c>
      <c r="G150" s="12" t="s">
        <v>101</v>
      </c>
      <c r="H150" s="9">
        <f>'Tool 03'!G3</f>
        <v>73.333333333333329</v>
      </c>
      <c r="I150" s="9" t="s">
        <v>41</v>
      </c>
    </row>
    <row r="151" spans="1:9" ht="45" x14ac:dyDescent="0.25">
      <c r="A151" s="9" t="s">
        <v>9</v>
      </c>
      <c r="B151" s="9"/>
      <c r="C151" s="9" t="s">
        <v>9</v>
      </c>
      <c r="D151" s="9" t="s">
        <v>842</v>
      </c>
      <c r="E151" s="9"/>
      <c r="F151" s="9" t="s">
        <v>95</v>
      </c>
      <c r="G151" s="12" t="s">
        <v>106</v>
      </c>
      <c r="H151" s="9">
        <f>'Tool 05.1'!G6</f>
        <v>0.73499999999999999</v>
      </c>
      <c r="I151" s="9" t="s">
        <v>43</v>
      </c>
    </row>
    <row r="152" spans="1:9" ht="30" x14ac:dyDescent="0.25">
      <c r="A152" s="9" t="s">
        <v>9</v>
      </c>
      <c r="B152" s="9"/>
      <c r="C152" s="9" t="s">
        <v>9</v>
      </c>
      <c r="D152" s="9" t="s">
        <v>842</v>
      </c>
      <c r="E152" s="9"/>
      <c r="F152" s="9" t="s">
        <v>1203</v>
      </c>
      <c r="G152" s="12" t="s">
        <v>94</v>
      </c>
      <c r="H152" s="9">
        <f>'Tool 03'!G3</f>
        <v>73.333333333333329</v>
      </c>
      <c r="I152" s="9" t="s">
        <v>41</v>
      </c>
    </row>
    <row r="153" spans="1:9" ht="30" x14ac:dyDescent="0.25">
      <c r="A153" s="156" t="s">
        <v>8</v>
      </c>
      <c r="C153" s="156" t="s">
        <v>8</v>
      </c>
      <c r="D153" s="156" t="s">
        <v>159</v>
      </c>
      <c r="F153" t="s">
        <v>82</v>
      </c>
      <c r="G153" s="4" t="s">
        <v>77</v>
      </c>
      <c r="H153">
        <v>200</v>
      </c>
    </row>
    <row r="154" spans="1:9" ht="18.75" x14ac:dyDescent="0.3">
      <c r="A154" s="35" t="s">
        <v>87</v>
      </c>
      <c r="B154" s="35"/>
      <c r="C154" s="35"/>
      <c r="D154" s="35"/>
      <c r="E154" s="35"/>
      <c r="F154" s="35"/>
      <c r="G154" s="35"/>
      <c r="H154" s="35"/>
      <c r="I154" s="35"/>
    </row>
    <row r="155" spans="1:9" ht="30" x14ac:dyDescent="0.25">
      <c r="A155" s="9" t="s">
        <v>9</v>
      </c>
      <c r="B155" s="9"/>
      <c r="C155" s="9" t="s">
        <v>9</v>
      </c>
      <c r="D155" s="9" t="s">
        <v>842</v>
      </c>
      <c r="E155" s="9"/>
      <c r="F155" s="9" t="s">
        <v>83</v>
      </c>
      <c r="G155" s="12" t="s">
        <v>70</v>
      </c>
      <c r="H155" s="9">
        <f>H156*H158*H159</f>
        <v>21.28</v>
      </c>
      <c r="I155" s="9"/>
    </row>
    <row r="156" spans="1:9" ht="30" x14ac:dyDescent="0.25">
      <c r="A156" s="156" t="s">
        <v>8</v>
      </c>
      <c r="C156" s="156" t="s">
        <v>8</v>
      </c>
      <c r="D156" s="156" t="s">
        <v>159</v>
      </c>
      <c r="F156" t="s">
        <v>84</v>
      </c>
      <c r="G156" s="4" t="s">
        <v>1979</v>
      </c>
      <c r="H156">
        <v>100</v>
      </c>
    </row>
    <row r="157" spans="1:9" ht="225" x14ac:dyDescent="0.25">
      <c r="A157" s="10" t="s">
        <v>8</v>
      </c>
      <c r="B157" s="10"/>
      <c r="C157" s="10"/>
      <c r="D157" s="10" t="s">
        <v>750</v>
      </c>
      <c r="E157" s="10"/>
      <c r="F157" s="10" t="s">
        <v>4</v>
      </c>
      <c r="G157" s="11" t="s">
        <v>1204</v>
      </c>
      <c r="H157" s="155" t="s">
        <v>847</v>
      </c>
      <c r="I157" s="10" t="s">
        <v>1205</v>
      </c>
    </row>
    <row r="158" spans="1:9" ht="75" x14ac:dyDescent="0.25">
      <c r="A158" s="9" t="s">
        <v>9</v>
      </c>
      <c r="B158" s="9"/>
      <c r="C158" s="9" t="s">
        <v>9</v>
      </c>
      <c r="D158" s="9" t="s">
        <v>842</v>
      </c>
      <c r="E158" s="9"/>
      <c r="F158" s="9" t="s">
        <v>85</v>
      </c>
      <c r="G158" s="12" t="s">
        <v>98</v>
      </c>
      <c r="H158" s="9">
        <f>IF(AND(H157="Option 1"),0.38,IF(AND(H157="Option 2"),0.09,IF(AND(H157="Option 3"),0.77,IF(AND(H157="Option 4"),0.52,IF(AND(H157="Option 5"),0.65,IF(AND(H157="Option 6"),0.28,IF(AND(H157="Option 7"),0.49,IF(AND(H157="Option 8"),0.13,IF(AND(H157="Option 9"),0.74,IF(AND(H157="Option 10"),0.4,IF(AND(H157="Option 11"),0.35,IF(AND(H157="Option 12"),0.07))))))))))))</f>
        <v>0.38</v>
      </c>
      <c r="I158" s="9"/>
    </row>
    <row r="159" spans="1:9" ht="30" x14ac:dyDescent="0.25">
      <c r="A159" s="9" t="s">
        <v>9</v>
      </c>
      <c r="B159" s="9"/>
      <c r="C159" s="9" t="s">
        <v>9</v>
      </c>
      <c r="D159" s="9" t="s">
        <v>842</v>
      </c>
      <c r="E159" s="9"/>
      <c r="F159" s="9" t="s">
        <v>86</v>
      </c>
      <c r="G159" s="12" t="s">
        <v>72</v>
      </c>
      <c r="H159" s="9">
        <f>0.56</f>
        <v>0.56000000000000005</v>
      </c>
      <c r="I159" s="9"/>
    </row>
    <row r="160" spans="1:9" ht="30" x14ac:dyDescent="0.25">
      <c r="A160" s="9" t="s">
        <v>9</v>
      </c>
      <c r="B160" s="9"/>
      <c r="C160" s="9" t="s">
        <v>9</v>
      </c>
      <c r="D160" s="9" t="s">
        <v>842</v>
      </c>
      <c r="E160" s="9"/>
      <c r="F160" s="9" t="s">
        <v>105</v>
      </c>
      <c r="G160" s="12" t="s">
        <v>102</v>
      </c>
      <c r="H160" s="9">
        <f>0.049</f>
        <v>4.9000000000000002E-2</v>
      </c>
      <c r="I160" s="9"/>
    </row>
    <row r="161" spans="1:9" ht="30" x14ac:dyDescent="0.25">
      <c r="A161" s="9" t="s">
        <v>9</v>
      </c>
      <c r="B161" s="9"/>
      <c r="C161" s="9" t="s">
        <v>9</v>
      </c>
      <c r="D161" s="9" t="s">
        <v>842</v>
      </c>
      <c r="E161" s="9"/>
      <c r="F161" s="9" t="s">
        <v>1206</v>
      </c>
      <c r="G161" s="12" t="s">
        <v>111</v>
      </c>
      <c r="H161" s="9">
        <f>H163+H164</f>
        <v>74.068333333333328</v>
      </c>
      <c r="I161" s="9"/>
    </row>
    <row r="162" spans="1:9" ht="30" x14ac:dyDescent="0.25">
      <c r="A162" s="156" t="s">
        <v>8</v>
      </c>
      <c r="C162" s="156" t="s">
        <v>8</v>
      </c>
      <c r="D162" s="156" t="s">
        <v>159</v>
      </c>
      <c r="F162" t="s">
        <v>114</v>
      </c>
      <c r="G162" s="4" t="s">
        <v>112</v>
      </c>
      <c r="H162">
        <v>1</v>
      </c>
    </row>
    <row r="163" spans="1:9" ht="30" x14ac:dyDescent="0.25">
      <c r="A163" s="9" t="s">
        <v>9</v>
      </c>
      <c r="B163" s="9"/>
      <c r="C163" s="9" t="s">
        <v>9</v>
      </c>
      <c r="D163" s="9" t="s">
        <v>842</v>
      </c>
      <c r="E163" s="9"/>
      <c r="F163" s="9" t="s">
        <v>115</v>
      </c>
      <c r="G163" s="12" t="s">
        <v>117</v>
      </c>
      <c r="H163" s="9">
        <f>'Tool 05.1'!G6</f>
        <v>0.73499999999999999</v>
      </c>
      <c r="I163" s="9" t="s">
        <v>43</v>
      </c>
    </row>
    <row r="164" spans="1:9" ht="30" x14ac:dyDescent="0.25">
      <c r="A164" s="9" t="s">
        <v>9</v>
      </c>
      <c r="B164" s="9"/>
      <c r="C164" s="9" t="s">
        <v>9</v>
      </c>
      <c r="D164" s="9" t="s">
        <v>842</v>
      </c>
      <c r="E164" s="9"/>
      <c r="F164" s="9" t="s">
        <v>118</v>
      </c>
      <c r="G164" s="12" t="s">
        <v>116</v>
      </c>
      <c r="H164" s="9">
        <f>'Tool 03'!G3</f>
        <v>73.333333333333329</v>
      </c>
      <c r="I164" s="9" t="s">
        <v>41</v>
      </c>
    </row>
    <row r="165" spans="1:9" ht="18.75" x14ac:dyDescent="0.3">
      <c r="A165" s="35" t="s">
        <v>87</v>
      </c>
      <c r="B165" s="35"/>
      <c r="C165" s="35"/>
      <c r="D165" s="35"/>
      <c r="E165" s="35"/>
      <c r="F165" s="35"/>
      <c r="G165" s="35"/>
      <c r="H165" s="35"/>
      <c r="I165" s="35"/>
    </row>
    <row r="166" spans="1:9" ht="30" x14ac:dyDescent="0.25">
      <c r="A166" s="9" t="s">
        <v>9</v>
      </c>
      <c r="B166" s="9"/>
      <c r="C166" s="9" t="s">
        <v>9</v>
      </c>
      <c r="D166" s="9" t="s">
        <v>842</v>
      </c>
      <c r="E166" s="9"/>
      <c r="F166" s="9" t="s">
        <v>83</v>
      </c>
      <c r="G166" s="12" t="s">
        <v>70</v>
      </c>
      <c r="H166" s="9">
        <f>H167*H169*H170</f>
        <v>21.28</v>
      </c>
      <c r="I166" s="9"/>
    </row>
    <row r="167" spans="1:9" ht="30" x14ac:dyDescent="0.25">
      <c r="A167" s="156" t="s">
        <v>8</v>
      </c>
      <c r="C167" s="156" t="s">
        <v>8</v>
      </c>
      <c r="D167" s="156" t="s">
        <v>159</v>
      </c>
      <c r="F167" t="s">
        <v>84</v>
      </c>
      <c r="G167" s="4" t="s">
        <v>1979</v>
      </c>
      <c r="H167">
        <v>100</v>
      </c>
    </row>
    <row r="168" spans="1:9" ht="225" x14ac:dyDescent="0.25">
      <c r="A168" s="10" t="s">
        <v>8</v>
      </c>
      <c r="B168" s="10"/>
      <c r="C168" s="10"/>
      <c r="D168" s="10" t="s">
        <v>750</v>
      </c>
      <c r="E168" s="10"/>
      <c r="F168" s="10" t="s">
        <v>4</v>
      </c>
      <c r="G168" s="11" t="s">
        <v>1204</v>
      </c>
      <c r="H168" s="155" t="s">
        <v>847</v>
      </c>
      <c r="I168" s="10" t="s">
        <v>1205</v>
      </c>
    </row>
    <row r="169" spans="1:9" ht="75" x14ac:dyDescent="0.25">
      <c r="A169" s="9" t="s">
        <v>9</v>
      </c>
      <c r="B169" s="9"/>
      <c r="C169" s="9" t="s">
        <v>9</v>
      </c>
      <c r="D169" s="9" t="s">
        <v>842</v>
      </c>
      <c r="E169" s="9"/>
      <c r="F169" s="9" t="s">
        <v>85</v>
      </c>
      <c r="G169" s="12" t="s">
        <v>98</v>
      </c>
      <c r="H169" s="9">
        <f>IF(AND(H168="Option 1"),0.38,IF(AND(H168="Option 2"),0.09,IF(AND(H168="Option 3"),0.77,IF(AND(H168="Option 4"),0.52,IF(AND(H168="Option 5"),0.65,IF(AND(H168="Option 6"),0.28,IF(AND(H168="Option 7"),0.49,IF(AND(H168="Option 8"),0.13,IF(AND(H168="Option 9"),0.74,IF(AND(H168="Option 10"),0.4,IF(AND(H168="Option 11"),0.35,IF(AND(H168="Option 12"),0.07))))))))))))</f>
        <v>0.38</v>
      </c>
      <c r="I169" s="9"/>
    </row>
    <row r="170" spans="1:9" ht="30" x14ac:dyDescent="0.25">
      <c r="A170" s="9" t="s">
        <v>9</v>
      </c>
      <c r="B170" s="9"/>
      <c r="C170" s="9" t="s">
        <v>9</v>
      </c>
      <c r="D170" s="9" t="s">
        <v>842</v>
      </c>
      <c r="E170" s="9"/>
      <c r="F170" s="9" t="s">
        <v>86</v>
      </c>
      <c r="G170" s="12" t="s">
        <v>72</v>
      </c>
      <c r="H170" s="9">
        <f>0.56</f>
        <v>0.56000000000000005</v>
      </c>
      <c r="I170" s="9"/>
    </row>
    <row r="171" spans="1:9" ht="30" x14ac:dyDescent="0.25">
      <c r="A171" s="9" t="s">
        <v>9</v>
      </c>
      <c r="B171" s="9"/>
      <c r="C171" s="9" t="s">
        <v>9</v>
      </c>
      <c r="D171" s="9" t="s">
        <v>842</v>
      </c>
      <c r="E171" s="9"/>
      <c r="F171" s="9" t="s">
        <v>105</v>
      </c>
      <c r="G171" s="12" t="s">
        <v>102</v>
      </c>
      <c r="H171" s="9">
        <f>0.049</f>
        <v>4.9000000000000002E-2</v>
      </c>
      <c r="I171" s="9"/>
    </row>
    <row r="172" spans="1:9" ht="30" x14ac:dyDescent="0.25">
      <c r="A172" s="9" t="s">
        <v>9</v>
      </c>
      <c r="B172" s="9"/>
      <c r="C172" s="9" t="s">
        <v>9</v>
      </c>
      <c r="D172" s="9" t="s">
        <v>842</v>
      </c>
      <c r="E172" s="9"/>
      <c r="F172" s="9" t="s">
        <v>113</v>
      </c>
      <c r="G172" s="12" t="s">
        <v>111</v>
      </c>
      <c r="H172" s="9">
        <f>H174+H175</f>
        <v>74.068333333333328</v>
      </c>
      <c r="I172" s="9"/>
    </row>
    <row r="173" spans="1:9" ht="30" x14ac:dyDescent="0.25">
      <c r="A173" s="156" t="s">
        <v>8</v>
      </c>
      <c r="B173" s="156"/>
      <c r="C173" s="156" t="s">
        <v>8</v>
      </c>
      <c r="D173" s="156" t="s">
        <v>159</v>
      </c>
      <c r="E173" s="156"/>
      <c r="F173" s="156" t="s">
        <v>114</v>
      </c>
      <c r="G173" s="157" t="s">
        <v>112</v>
      </c>
      <c r="H173" s="156">
        <v>1</v>
      </c>
      <c r="I173" s="156"/>
    </row>
    <row r="174" spans="1:9" ht="30" x14ac:dyDescent="0.25">
      <c r="A174" s="9" t="s">
        <v>9</v>
      </c>
      <c r="B174" s="9"/>
      <c r="C174" s="9" t="s">
        <v>9</v>
      </c>
      <c r="D174" s="9" t="s">
        <v>842</v>
      </c>
      <c r="E174" s="9"/>
      <c r="F174" s="9" t="s">
        <v>115</v>
      </c>
      <c r="G174" s="12" t="s">
        <v>117</v>
      </c>
      <c r="H174" s="9">
        <f>'Tool 05.1'!G6</f>
        <v>0.73499999999999999</v>
      </c>
      <c r="I174" s="9" t="s">
        <v>43</v>
      </c>
    </row>
    <row r="175" spans="1:9" ht="30" x14ac:dyDescent="0.25">
      <c r="A175" s="9" t="s">
        <v>9</v>
      </c>
      <c r="B175" s="9"/>
      <c r="C175" s="9" t="s">
        <v>9</v>
      </c>
      <c r="D175" s="9" t="s">
        <v>842</v>
      </c>
      <c r="E175" s="9"/>
      <c r="F175" s="9" t="s">
        <v>118</v>
      </c>
      <c r="G175" s="12" t="s">
        <v>116</v>
      </c>
      <c r="H175" s="9">
        <f>'Tool 03'!G3</f>
        <v>73.333333333333329</v>
      </c>
      <c r="I175" s="9" t="s">
        <v>41</v>
      </c>
    </row>
    <row r="176" spans="1:9" ht="18.75" x14ac:dyDescent="0.3">
      <c r="A176" s="35" t="s">
        <v>119</v>
      </c>
      <c r="B176" s="35"/>
      <c r="C176" s="35"/>
      <c r="D176" s="35"/>
      <c r="E176" s="35"/>
      <c r="F176" s="35"/>
      <c r="G176" s="35"/>
      <c r="H176" s="35"/>
      <c r="I176" s="35"/>
    </row>
    <row r="177" spans="1:9" x14ac:dyDescent="0.25">
      <c r="A177" s="9"/>
      <c r="B177" s="9"/>
      <c r="C177" s="9"/>
      <c r="D177" s="9"/>
      <c r="E177" s="9"/>
      <c r="F177" s="9" t="s">
        <v>125</v>
      </c>
      <c r="G177" s="9" t="s">
        <v>120</v>
      </c>
      <c r="H177" s="9">
        <f>H178+H179+H181+H183</f>
        <v>2.58E-2</v>
      </c>
      <c r="I177" s="9"/>
    </row>
    <row r="178" spans="1:9" x14ac:dyDescent="0.25">
      <c r="A178" s="156" t="s">
        <v>8</v>
      </c>
      <c r="C178" s="156" t="s">
        <v>8</v>
      </c>
      <c r="D178" s="156" t="s">
        <v>159</v>
      </c>
      <c r="F178" t="s">
        <v>126</v>
      </c>
      <c r="G178" t="s">
        <v>121</v>
      </c>
      <c r="H178">
        <v>0</v>
      </c>
    </row>
    <row r="179" spans="1:9" x14ac:dyDescent="0.25">
      <c r="A179" s="156" t="s">
        <v>8</v>
      </c>
      <c r="C179" s="156" t="s">
        <v>8</v>
      </c>
      <c r="D179" s="156" t="s">
        <v>159</v>
      </c>
      <c r="F179" t="s">
        <v>127</v>
      </c>
      <c r="G179" t="s">
        <v>122</v>
      </c>
      <c r="H179">
        <v>0</v>
      </c>
    </row>
    <row r="180" spans="1:9" s="156" customFormat="1" ht="30" x14ac:dyDescent="0.25">
      <c r="A180" s="10" t="s">
        <v>8</v>
      </c>
      <c r="B180" s="10"/>
      <c r="C180" s="10"/>
      <c r="D180" s="10" t="s">
        <v>750</v>
      </c>
      <c r="E180" s="10"/>
      <c r="F180" s="10" t="s">
        <v>4</v>
      </c>
      <c r="G180" s="11" t="s">
        <v>1200</v>
      </c>
      <c r="H180" s="155" t="s">
        <v>8</v>
      </c>
      <c r="I180" s="10"/>
    </row>
    <row r="181" spans="1:9" ht="30" x14ac:dyDescent="0.25">
      <c r="A181" s="9" t="s">
        <v>9</v>
      </c>
      <c r="B181" s="9"/>
      <c r="C181" s="9" t="s">
        <v>9</v>
      </c>
      <c r="D181" s="9" t="s">
        <v>842</v>
      </c>
      <c r="E181" s="9"/>
      <c r="F181" s="9" t="s">
        <v>128</v>
      </c>
      <c r="G181" s="12" t="s">
        <v>123</v>
      </c>
      <c r="H181" s="9">
        <f>IF(AND(H180="Yes"),'Tool 12 - Freight Trains'!C21,IF(AND(H180="No"),0))</f>
        <v>2.58E-2</v>
      </c>
      <c r="I181" s="9"/>
    </row>
    <row r="182" spans="1:9" s="156" customFormat="1" ht="30" x14ac:dyDescent="0.25">
      <c r="A182" s="10" t="s">
        <v>8</v>
      </c>
      <c r="B182" s="10"/>
      <c r="C182" s="10"/>
      <c r="D182" s="10" t="s">
        <v>750</v>
      </c>
      <c r="E182" s="10"/>
      <c r="F182" s="10" t="s">
        <v>4</v>
      </c>
      <c r="G182" s="11" t="s">
        <v>1201</v>
      </c>
      <c r="H182" s="158" t="s">
        <v>9</v>
      </c>
      <c r="I182" s="10"/>
    </row>
    <row r="183" spans="1:9" ht="30" customHeight="1" x14ac:dyDescent="0.25">
      <c r="A183" s="9" t="s">
        <v>9</v>
      </c>
      <c r="B183" s="9"/>
      <c r="C183" s="9" t="s">
        <v>9</v>
      </c>
      <c r="D183" s="9" t="s">
        <v>842</v>
      </c>
      <c r="E183" s="9"/>
      <c r="F183" s="9" t="s">
        <v>129</v>
      </c>
      <c r="G183" s="12" t="s">
        <v>124</v>
      </c>
      <c r="H183" s="9">
        <f>IF(AND(H182="Yes"),'Tool 12 - Freight Trains'!C21,IF(AND(H182="No"),0))</f>
        <v>0</v>
      </c>
      <c r="I183" s="9"/>
    </row>
    <row r="184" spans="1:9" ht="18.75" x14ac:dyDescent="0.3">
      <c r="A184" s="35" t="s">
        <v>1207</v>
      </c>
      <c r="B184" s="35"/>
      <c r="C184" s="35"/>
      <c r="D184" s="35"/>
      <c r="E184" s="35"/>
      <c r="F184" s="35"/>
      <c r="G184" s="35"/>
      <c r="H184" s="35"/>
      <c r="I184" s="35"/>
    </row>
    <row r="185" spans="1:9" x14ac:dyDescent="0.25">
      <c r="A185" s="9" t="s">
        <v>9</v>
      </c>
      <c r="B185" s="9"/>
      <c r="C185" s="9" t="s">
        <v>9</v>
      </c>
      <c r="D185" s="9" t="s">
        <v>842</v>
      </c>
      <c r="E185" s="9"/>
      <c r="F185" s="9" t="s">
        <v>1209</v>
      </c>
      <c r="G185" s="9" t="s">
        <v>1208</v>
      </c>
      <c r="H185" s="9">
        <f>H34-H40</f>
        <v>0</v>
      </c>
      <c r="I185" s="9"/>
    </row>
    <row r="186" spans="1:9" x14ac:dyDescent="0.25">
      <c r="A186" s="9" t="s">
        <v>9</v>
      </c>
      <c r="B186" s="9"/>
      <c r="C186" s="9" t="s">
        <v>9</v>
      </c>
      <c r="D186" s="9" t="s">
        <v>842</v>
      </c>
      <c r="E186" s="9"/>
      <c r="F186" s="9" t="s">
        <v>130</v>
      </c>
      <c r="G186" s="9" t="s">
        <v>67</v>
      </c>
      <c r="H186" s="9">
        <f>IF(AND(H45="Option P.1"),(SUM(H59,H69,H91,H101)*H43)-SUM(H48,H80),IF(AND(H45="Option P.2"),(SUM(H122,H133,H155,H166)*H43)-SUM(H112,H145)))</f>
        <v>1009.06</v>
      </c>
      <c r="I186" s="9"/>
    </row>
    <row r="187" spans="1:9" x14ac:dyDescent="0.25">
      <c r="A187" s="9" t="s">
        <v>9</v>
      </c>
      <c r="B187" s="9"/>
      <c r="C187" s="9" t="s">
        <v>9</v>
      </c>
      <c r="D187" s="9" t="s">
        <v>842</v>
      </c>
      <c r="E187" s="163" t="s">
        <v>1484</v>
      </c>
      <c r="F187" s="9" t="s">
        <v>1211</v>
      </c>
      <c r="G187" s="9" t="s">
        <v>1210</v>
      </c>
      <c r="H187" s="9">
        <f>H185+H186-H42-H177</f>
        <v>708.76086666666663</v>
      </c>
      <c r="I187" s="9"/>
    </row>
  </sheetData>
  <mergeCells count="23">
    <mergeCell ref="A165:I165"/>
    <mergeCell ref="A184:I184"/>
    <mergeCell ref="A37:I37"/>
    <mergeCell ref="A176:I176"/>
    <mergeCell ref="A58:I58"/>
    <mergeCell ref="A46:I46"/>
    <mergeCell ref="A110:I110"/>
    <mergeCell ref="A111:I111"/>
    <mergeCell ref="A121:I121"/>
    <mergeCell ref="A47:I47"/>
    <mergeCell ref="A78:I78"/>
    <mergeCell ref="A79:I79"/>
    <mergeCell ref="A90:I90"/>
    <mergeCell ref="A143:I143"/>
    <mergeCell ref="A144:I144"/>
    <mergeCell ref="A154:I154"/>
    <mergeCell ref="A68:I68"/>
    <mergeCell ref="A100:I100"/>
    <mergeCell ref="A132:I132"/>
    <mergeCell ref="A2:I2"/>
    <mergeCell ref="A32:I32"/>
    <mergeCell ref="A39:I39"/>
    <mergeCell ref="A41:I41"/>
  </mergeCells>
  <phoneticPr fontId="35" type="noConversion"/>
  <dataValidations count="4">
    <dataValidation type="list" allowBlank="1" showInputMessage="1" showErrorMessage="1" sqref="H53 H180 H182 H85" xr:uid="{F87F066D-6B28-4CE2-8101-0B416FA5BB69}">
      <formula1>"Yes,No"</formula1>
    </dataValidation>
    <dataValidation type="list" allowBlank="1" showInputMessage="1" showErrorMessage="1" sqref="H45" xr:uid="{828FDC71-749C-41B2-A343-7FE0EAB8A843}">
      <formula1>"Option P.1,Option P.2"</formula1>
    </dataValidation>
    <dataValidation type="list" allowBlank="1" showInputMessage="1" showErrorMessage="1" sqref="H62 H94 H72 H104" xr:uid="{DB2ECC66-24A4-4711-AE54-61EC0A35F400}">
      <formula1>"High Temperature,Medium Temperature,Low Temperature"</formula1>
    </dataValidation>
    <dataValidation type="list" allowBlank="1" showInputMessage="1" showErrorMessage="1" sqref="H135 H124 H157 H168" xr:uid="{18BE3E7B-AE52-4C9A-A503-68FD915396AB}">
      <formula1>"Option 1,Option 2,Option 3,Option 4,Option 5,Option 6,Option 7,Option 8,Option 9,Option 10,Option 11,Option 12"</formula1>
    </dataValidation>
  </dataValidations>
  <hyperlinks>
    <hyperlink ref="H17" r:id="rId1" xr:uid="{32A8653D-BCAC-4B19-808D-3EC3A085B6EC}"/>
  </hyperlinks>
  <pageMargins left="0.7" right="0.7" top="0.75" bottom="0.75" header="0.3" footer="0.3"/>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C559FFFA-D587-4292-BADF-446B8436C146}">
          <x14:formula1>
            <xm:f>'IWA Properties'!$A$2:$A$277</xm:f>
          </x14:formula1>
          <xm:sqref>E3:E31 E187 E38 E33</xm:sqref>
        </x14:dataValidation>
        <x14:dataValidation type="list" allowBlank="1" showInputMessage="1" showErrorMessage="1" xr:uid="{071D63C5-CF93-40BD-89DD-95C12D755E12}">
          <x14:formula1>
            <xm:f>'IWA Properties'!$B$2:$B$481</xm:f>
          </x14:formula1>
          <xm:sqref>H23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57329-9FBB-4AFA-85D0-EB7395565FFB}">
  <dimension ref="A1:H24"/>
  <sheetViews>
    <sheetView topLeftCell="A5" workbookViewId="0">
      <selection activeCell="C12" sqref="C12"/>
    </sheetView>
  </sheetViews>
  <sheetFormatPr defaultColWidth="8.85546875" defaultRowHeight="15" x14ac:dyDescent="0.25"/>
  <cols>
    <col min="1" max="1" width="12.140625" customWidth="1"/>
    <col min="2" max="2" width="65.7109375" style="4" customWidth="1"/>
    <col min="3" max="3" width="39.7109375" style="13" customWidth="1"/>
    <col min="4" max="4" width="31.140625" customWidth="1"/>
    <col min="5" max="5" width="20.140625" customWidth="1"/>
    <col min="7" max="7" width="17.85546875" customWidth="1"/>
    <col min="8" max="8" width="21" customWidth="1"/>
  </cols>
  <sheetData>
    <row r="1" spans="1:8" x14ac:dyDescent="0.25">
      <c r="A1" t="s">
        <v>3</v>
      </c>
      <c r="B1" s="4" t="s">
        <v>136</v>
      </c>
      <c r="C1" s="13" t="s">
        <v>137</v>
      </c>
      <c r="D1" t="s">
        <v>138</v>
      </c>
      <c r="E1" t="s">
        <v>2</v>
      </c>
      <c r="F1" t="s">
        <v>6</v>
      </c>
      <c r="G1" t="s">
        <v>139</v>
      </c>
      <c r="H1" t="s">
        <v>140</v>
      </c>
    </row>
    <row r="2" spans="1:8" s="14" customFormat="1" x14ac:dyDescent="0.25">
      <c r="B2" s="15" t="s">
        <v>141</v>
      </c>
      <c r="C2" s="16"/>
    </row>
    <row r="3" spans="1:8" x14ac:dyDescent="0.25">
      <c r="B3" s="4" t="s">
        <v>142</v>
      </c>
      <c r="C3" s="13" t="s">
        <v>143</v>
      </c>
      <c r="D3" t="s">
        <v>8</v>
      </c>
      <c r="E3" t="s">
        <v>144</v>
      </c>
      <c r="G3" t="s">
        <v>9</v>
      </c>
    </row>
    <row r="4" spans="1:8" ht="30" x14ac:dyDescent="0.25">
      <c r="B4" s="4" t="s">
        <v>145</v>
      </c>
      <c r="C4" s="13" t="s">
        <v>146</v>
      </c>
      <c r="D4" t="s">
        <v>8</v>
      </c>
      <c r="E4" t="s">
        <v>144</v>
      </c>
      <c r="G4" t="s">
        <v>9</v>
      </c>
    </row>
    <row r="5" spans="1:8" ht="30" x14ac:dyDescent="0.25">
      <c r="A5" t="s">
        <v>147</v>
      </c>
      <c r="B5" s="4" t="s">
        <v>148</v>
      </c>
      <c r="C5" s="13" t="s">
        <v>149</v>
      </c>
      <c r="D5" t="s">
        <v>8</v>
      </c>
      <c r="E5" t="s">
        <v>10</v>
      </c>
      <c r="G5" t="s">
        <v>9</v>
      </c>
    </row>
    <row r="6" spans="1:8" x14ac:dyDescent="0.25">
      <c r="B6" s="36" t="s">
        <v>150</v>
      </c>
      <c r="C6" s="36"/>
      <c r="D6" s="36"/>
      <c r="E6" s="17"/>
      <c r="F6" t="s">
        <v>151</v>
      </c>
    </row>
    <row r="7" spans="1:8" ht="30" x14ac:dyDescent="0.25">
      <c r="B7" s="4" t="s">
        <v>152</v>
      </c>
      <c r="C7" s="13" t="s">
        <v>153</v>
      </c>
      <c r="D7" t="s">
        <v>8</v>
      </c>
      <c r="E7" t="s">
        <v>10</v>
      </c>
      <c r="G7" t="s">
        <v>9</v>
      </c>
    </row>
    <row r="8" spans="1:8" ht="30" x14ac:dyDescent="0.25">
      <c r="B8" s="4" t="s">
        <v>154</v>
      </c>
      <c r="C8" s="13" t="s">
        <v>155</v>
      </c>
      <c r="D8" t="s">
        <v>8</v>
      </c>
      <c r="E8" t="s">
        <v>10</v>
      </c>
      <c r="G8" t="s">
        <v>9</v>
      </c>
    </row>
    <row r="9" spans="1:8" ht="30" x14ac:dyDescent="0.25">
      <c r="B9" s="4" t="s">
        <v>156</v>
      </c>
      <c r="C9" s="13" t="s">
        <v>157</v>
      </c>
      <c r="D9" t="s">
        <v>8</v>
      </c>
      <c r="E9" t="s">
        <v>10</v>
      </c>
      <c r="G9" t="s">
        <v>9</v>
      </c>
    </row>
    <row r="10" spans="1:8" ht="30" x14ac:dyDescent="0.25">
      <c r="B10" s="4" t="s">
        <v>158</v>
      </c>
      <c r="C10" s="13">
        <v>1</v>
      </c>
      <c r="D10" t="s">
        <v>8</v>
      </c>
      <c r="E10" t="s">
        <v>159</v>
      </c>
      <c r="G10" t="s">
        <v>9</v>
      </c>
    </row>
    <row r="11" spans="1:8" ht="30" x14ac:dyDescent="0.25">
      <c r="A11" t="s">
        <v>160</v>
      </c>
      <c r="B11" s="4" t="s">
        <v>161</v>
      </c>
      <c r="C11" s="13">
        <v>2</v>
      </c>
      <c r="D11" t="s">
        <v>8</v>
      </c>
      <c r="E11" t="s">
        <v>159</v>
      </c>
      <c r="F11" t="s">
        <v>162</v>
      </c>
      <c r="G11" t="s">
        <v>9</v>
      </c>
    </row>
    <row r="12" spans="1:8" ht="45" x14ac:dyDescent="0.25">
      <c r="B12" s="4" t="s">
        <v>163</v>
      </c>
      <c r="C12" s="13" t="s">
        <v>175</v>
      </c>
      <c r="D12" t="s">
        <v>8</v>
      </c>
      <c r="E12" t="s">
        <v>144</v>
      </c>
      <c r="G12" t="s">
        <v>9</v>
      </c>
    </row>
    <row r="13" spans="1:8" ht="29.1" customHeight="1" x14ac:dyDescent="0.25">
      <c r="B13" s="4" t="s">
        <v>165</v>
      </c>
      <c r="C13" s="13" t="s">
        <v>166</v>
      </c>
      <c r="D13" t="s">
        <v>8</v>
      </c>
      <c r="E13" t="s">
        <v>144</v>
      </c>
      <c r="G13" t="s">
        <v>9</v>
      </c>
    </row>
    <row r="14" spans="1:8" x14ac:dyDescent="0.25">
      <c r="B14" s="4" t="s">
        <v>167</v>
      </c>
      <c r="C14" s="13" t="s">
        <v>168</v>
      </c>
      <c r="D14" t="str">
        <f>IF(C13="Road Vehicle","Yes","No")</f>
        <v>Yes</v>
      </c>
      <c r="E14" t="s">
        <v>144</v>
      </c>
      <c r="G14" t="s">
        <v>9</v>
      </c>
    </row>
    <row r="15" spans="1:8" s="14" customFormat="1" x14ac:dyDescent="0.25">
      <c r="B15" s="15" t="s">
        <v>164</v>
      </c>
      <c r="C15" s="16"/>
      <c r="D15" s="14" t="str">
        <f>IF(C3="Yes","NA",IF(C13="Rail","NA",IF(C12="Option A: Monitoring fuel consumption","Yes","NA")))</f>
        <v>NA</v>
      </c>
    </row>
    <row r="16" spans="1:8" ht="30" x14ac:dyDescent="0.25">
      <c r="B16" s="4" t="s">
        <v>169</v>
      </c>
      <c r="D16" t="str">
        <f>IF(C3="Yes","NA",IF(C13="Rail","NA",IF(C12="Option A: Monitoring fuel consumption","Yes","NA")))</f>
        <v>NA</v>
      </c>
      <c r="E16" t="s">
        <v>10</v>
      </c>
      <c r="F16" t="s">
        <v>170</v>
      </c>
    </row>
    <row r="17" spans="1:7" ht="45" x14ac:dyDescent="0.25">
      <c r="A17" t="s">
        <v>171</v>
      </c>
      <c r="B17" s="4" t="s">
        <v>172</v>
      </c>
      <c r="C17" s="18">
        <f>'Tool 03'!G10</f>
        <v>36.666666666666664</v>
      </c>
      <c r="D17" t="str">
        <f>IF(C3="Yes","NA",IF(C13="Rail","NA",IF(C12="Option A: Monitoring fuel consumption","Yes","NA")))</f>
        <v>NA</v>
      </c>
      <c r="E17" t="s">
        <v>173</v>
      </c>
      <c r="F17" t="s">
        <v>174</v>
      </c>
      <c r="G17" t="s">
        <v>9</v>
      </c>
    </row>
    <row r="18" spans="1:7" s="14" customFormat="1" x14ac:dyDescent="0.25">
      <c r="B18" s="15" t="s">
        <v>175</v>
      </c>
      <c r="C18" s="16"/>
      <c r="D18" s="14" t="str">
        <f>IF(C3="Yes","NA",IF(OR(C12="Option B: Using conservative default values",C13="Rail"),"Yes","NA"))</f>
        <v>Yes</v>
      </c>
    </row>
    <row r="19" spans="1:7" x14ac:dyDescent="0.25">
      <c r="A19" t="s">
        <v>176</v>
      </c>
      <c r="B19" s="4" t="s">
        <v>177</v>
      </c>
      <c r="C19" s="13">
        <v>100</v>
      </c>
      <c r="D19" t="str">
        <f>IF(C3="Yes","NA",IF(OR(C12="Option B: Using conservative default values",C13="Rail"),"Yes","NA"))</f>
        <v>Yes</v>
      </c>
      <c r="E19" t="s">
        <v>159</v>
      </c>
      <c r="F19" t="s">
        <v>178</v>
      </c>
      <c r="G19" t="s">
        <v>9</v>
      </c>
    </row>
    <row r="20" spans="1:7" ht="30" x14ac:dyDescent="0.25">
      <c r="A20" t="s">
        <v>179</v>
      </c>
      <c r="B20" s="4" t="s">
        <v>180</v>
      </c>
      <c r="C20" s="18" t="str">
        <f>IF(OR(C14="Heavy",C13="Rail"),"129","245")</f>
        <v>129</v>
      </c>
      <c r="D20" t="str">
        <f>IF(C3="Yes","NA",IF(OR(C12="Option B: Using conservative default values",C13="Rail"),"Yes","NA"))</f>
        <v>Yes</v>
      </c>
      <c r="E20" t="s">
        <v>181</v>
      </c>
      <c r="G20" t="s">
        <v>9</v>
      </c>
    </row>
    <row r="21" spans="1:7" ht="45" x14ac:dyDescent="0.25">
      <c r="A21" t="s">
        <v>171</v>
      </c>
      <c r="B21" s="4" t="s">
        <v>182</v>
      </c>
      <c r="C21" s="18">
        <f>C19*C11*C20*(10^-6)</f>
        <v>2.58E-2</v>
      </c>
      <c r="D21" t="str">
        <f>IF(C3="Yes","NA",IF(OR(C12="Option B: Using conservative default values",C13="Rail"),"Yes","NA"))</f>
        <v>Yes</v>
      </c>
      <c r="E21" t="s">
        <v>181</v>
      </c>
      <c r="G21" t="s">
        <v>9</v>
      </c>
    </row>
    <row r="24" spans="1:7" x14ac:dyDescent="0.25">
      <c r="C24" s="19"/>
    </row>
  </sheetData>
  <mergeCells count="1">
    <mergeCell ref="B6:D6"/>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50D3EB07-D4DC-4762-9C70-FDA8DD12D3E7}">
          <x14:formula1>
            <xm:f>'Dropdown Items (Tool 12)'!$E$2:$E$3</xm:f>
          </x14:formula1>
          <xm:sqref>C4</xm:sqref>
        </x14:dataValidation>
        <x14:dataValidation type="list" allowBlank="1" showInputMessage="1" showErrorMessage="1" xr:uid="{7BC5E744-3E41-483D-B7D2-C2C4434815F8}">
          <x14:formula1>
            <xm:f>'Dropdown Items (Tool 12)'!$D$2:$D$3</xm:f>
          </x14:formula1>
          <xm:sqref>C14</xm:sqref>
        </x14:dataValidation>
        <x14:dataValidation type="list" allowBlank="1" showInputMessage="1" showErrorMessage="1" xr:uid="{CC1F09EA-777A-4D69-92A8-068D919B4059}">
          <x14:formula1>
            <xm:f>'Dropdown Items (Tool 12)'!$C$2:$C$3</xm:f>
          </x14:formula1>
          <xm:sqref>C13</xm:sqref>
        </x14:dataValidation>
        <x14:dataValidation type="list" allowBlank="1" showInputMessage="1" showErrorMessage="1" xr:uid="{E0DD88C8-5F41-4627-A1BD-F8D3C6DA0798}">
          <x14:formula1>
            <xm:f>'Dropdown Items (Tool 12)'!$A$2:$A$3</xm:f>
          </x14:formula1>
          <xm:sqref>C12</xm:sqref>
        </x14:dataValidation>
        <x14:dataValidation type="list" allowBlank="1" showInputMessage="1" showErrorMessage="1" xr:uid="{36CD0908-122D-41AC-819E-920602348352}">
          <x14:formula1>
            <xm:f>'Dropdown Items (Tool 12)'!$B$2:$B$3</xm:f>
          </x14:formula1>
          <xm:sqref>C3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42C53-9552-46A9-9481-9964708830A2}">
  <dimension ref="A1:I17"/>
  <sheetViews>
    <sheetView workbookViewId="0">
      <selection activeCell="B25" sqref="B25"/>
    </sheetView>
  </sheetViews>
  <sheetFormatPr defaultColWidth="8.85546875" defaultRowHeight="15" x14ac:dyDescent="0.25"/>
  <cols>
    <col min="1" max="1" width="10.28515625" style="13" customWidth="1"/>
    <col min="2" max="2" width="16.7109375" customWidth="1"/>
    <col min="3" max="3" width="10.28515625" customWidth="1"/>
    <col min="4" max="4" width="8.28515625" customWidth="1"/>
    <col min="5" max="5" width="11.42578125" customWidth="1"/>
    <col min="6" max="6" width="17.7109375" customWidth="1"/>
    <col min="7" max="7" width="20.28515625" customWidth="1"/>
    <col min="8" max="8" width="12.7109375" customWidth="1"/>
  </cols>
  <sheetData>
    <row r="1" spans="1:9" s="21" customFormat="1" ht="19.5" thickBot="1" x14ac:dyDescent="0.35">
      <c r="A1" s="37" t="s">
        <v>183</v>
      </c>
      <c r="B1" s="38"/>
      <c r="C1" s="38"/>
      <c r="D1" s="38"/>
      <c r="E1" s="38"/>
      <c r="F1" s="38"/>
      <c r="G1" s="38"/>
      <c r="H1" s="38"/>
      <c r="I1" s="39"/>
    </row>
    <row r="2" spans="1:9" s="23" customFormat="1" x14ac:dyDescent="0.25">
      <c r="A2" s="22" t="s">
        <v>184</v>
      </c>
      <c r="B2" s="23" t="s">
        <v>185</v>
      </c>
      <c r="C2" s="23" t="s">
        <v>186</v>
      </c>
      <c r="D2" s="23" t="s">
        <v>187</v>
      </c>
      <c r="E2" s="23" t="s">
        <v>188</v>
      </c>
      <c r="F2" s="23" t="s">
        <v>189</v>
      </c>
      <c r="G2" s="23" t="s">
        <v>190</v>
      </c>
      <c r="H2" s="23" t="s">
        <v>191</v>
      </c>
      <c r="I2" s="24" t="s">
        <v>192</v>
      </c>
    </row>
    <row r="3" spans="1:9" x14ac:dyDescent="0.25">
      <c r="A3" s="25" t="str">
        <f>IF('Tool 12 - Freight Trains'!C4="Project emissions (PEtr,m)",'Tool 12 - Freight Trains'!C5)</f>
        <v>Activity 1</v>
      </c>
      <c r="B3" s="9" t="str">
        <f>IF('Tool 12 - Freight Trains'!C4="Project emissions (PEtr,m)",'Tool 12 - Freight Trains'!C9)</f>
        <v>Sugar cane bagasse</v>
      </c>
      <c r="C3" s="9">
        <f>IF('Tool 12 - Freight Trains'!C4="Project emissions (PEtr,m)",'Tool 12 - Freight Trains'!C11)</f>
        <v>2</v>
      </c>
      <c r="D3" s="9" t="str">
        <f>IF('Tool 12 - Freight Trains'!C4="Project emissions (PEtr,m)",'Tool 12 - Freight Trains'!C7)</f>
        <v>Source 1</v>
      </c>
      <c r="E3" s="9" t="str">
        <f>IF('Tool 12 - Freight Trains'!C4="Project emissions (PEtr,m)",'Tool 12 - Freight Trains'!C8)</f>
        <v>Facility 1</v>
      </c>
      <c r="F3" s="9">
        <f>IF(AND('Tool 12 - Freight Trains'!C4="Project emissions (PEtr,m)",'Tool 12 - Freight Trains'!C12="Option B: Using conservative default values"),'Tool 12 - Freight Trains'!C19)</f>
        <v>100</v>
      </c>
      <c r="G3" s="9" t="str">
        <f>IF('Tool 12 - Freight Trains'!C4="Project emissions (PEtr,m)",'Tool 12 - Freight Trains'!C13)</f>
        <v>Road Vehicle</v>
      </c>
      <c r="H3" s="9" t="str">
        <f>IF('Tool 12 - Freight Trains'!C4="Project emissions (PEtr,m)",'Tool 12 - Freight Trains'!C14)</f>
        <v>Heavy</v>
      </c>
      <c r="I3" s="26">
        <f>IF(AND('Tool 12 - Freight Trains'!C4="Project emissions (PEtr,m)",'Tool 12 - Freight Trains'!C12="Option B: Using conservative default values"),'Tool 12 - Freight Trains'!C21,IF(AND('Tool 12 - Freight Trains'!C4="Project emissions (PEtr,m)",'Tool 12 - Freight Trains'!C12="Option A: Monitoring fuel consumption"),'Tool 12 - Freight Trains'!C17))</f>
        <v>2.58E-2</v>
      </c>
    </row>
    <row r="4" spans="1:9" x14ac:dyDescent="0.25">
      <c r="A4" s="27">
        <v>2</v>
      </c>
      <c r="I4" s="28"/>
    </row>
    <row r="5" spans="1:9" x14ac:dyDescent="0.25">
      <c r="A5" s="27">
        <v>3</v>
      </c>
      <c r="I5" s="28"/>
    </row>
    <row r="6" spans="1:9" ht="15.75" thickBot="1" x14ac:dyDescent="0.3">
      <c r="A6" s="27">
        <v>4</v>
      </c>
      <c r="I6" s="28"/>
    </row>
    <row r="7" spans="1:9" s="23" customFormat="1" ht="15.75" thickBot="1" x14ac:dyDescent="0.3">
      <c r="A7" s="29" t="s">
        <v>193</v>
      </c>
      <c r="B7" s="30"/>
      <c r="C7" s="30"/>
      <c r="D7" s="30"/>
      <c r="E7" s="30"/>
      <c r="F7" s="30"/>
      <c r="G7" s="30"/>
      <c r="H7" s="30"/>
      <c r="I7" s="31">
        <f>SUM(I3:I6)</f>
        <v>2.58E-2</v>
      </c>
    </row>
    <row r="10" spans="1:9" ht="15.75" thickBot="1" x14ac:dyDescent="0.3"/>
    <row r="11" spans="1:9" ht="19.5" thickBot="1" x14ac:dyDescent="0.35">
      <c r="A11" s="37" t="s">
        <v>194</v>
      </c>
      <c r="B11" s="38"/>
      <c r="C11" s="38"/>
      <c r="D11" s="38"/>
      <c r="E11" s="38"/>
      <c r="F11" s="38"/>
      <c r="G11" s="38"/>
      <c r="H11" s="38"/>
      <c r="I11" s="39"/>
    </row>
    <row r="12" spans="1:9" x14ac:dyDescent="0.25">
      <c r="A12" s="22" t="s">
        <v>184</v>
      </c>
      <c r="B12" s="23" t="s">
        <v>185</v>
      </c>
      <c r="C12" s="23" t="s">
        <v>186</v>
      </c>
      <c r="D12" s="23" t="s">
        <v>187</v>
      </c>
      <c r="E12" s="23" t="s">
        <v>188</v>
      </c>
      <c r="F12" s="23" t="s">
        <v>189</v>
      </c>
      <c r="G12" s="23" t="s">
        <v>190</v>
      </c>
      <c r="H12" s="23" t="s">
        <v>191</v>
      </c>
      <c r="I12" s="24" t="s">
        <v>192</v>
      </c>
    </row>
    <row r="13" spans="1:9" x14ac:dyDescent="0.25">
      <c r="A13" s="27">
        <v>1</v>
      </c>
      <c r="B13" s="9" t="b">
        <f>IF('Tool 12 - Freight Trains'!C4="Leakage emissions (LEtr,m)",'Tool 12 - Freight Trains'!C9)</f>
        <v>0</v>
      </c>
      <c r="C13" s="9" t="b">
        <f>IF('Tool 12 - Freight Trains'!C4="Leakage emissions (LEtr,m)",'Tool 12 - Freight Trains'!C11)</f>
        <v>0</v>
      </c>
      <c r="D13" s="9" t="b">
        <f>IF('Tool 12 - Freight Trains'!C4="Leakage emissions (LEtr,m)",'Tool 12 - Freight Trains'!C7)</f>
        <v>0</v>
      </c>
      <c r="E13" s="9" t="b">
        <f>IF('Tool 12 - Freight Trains'!C4="Leakage emissions (LEtr,m)",'Tool 12 - Freight Trains'!C8)</f>
        <v>0</v>
      </c>
      <c r="F13" s="9" t="b">
        <f>IF(AND('Tool 12 - Freight Trains'!C4="Leakage emissions (LEtr,m)",'Tool 12 - Freight Trains'!C12="Option B: Using conservative default values"),'Tool 12 - Freight Trains'!C19)</f>
        <v>0</v>
      </c>
      <c r="G13" s="9" t="b">
        <f>IF('Tool 12 - Freight Trains'!C4="Leakage emissions (LEtr,m)",'Tool 12 - Freight Trains'!C13)</f>
        <v>0</v>
      </c>
      <c r="H13" s="9" t="b">
        <f>IF('Tool 12 - Freight Trains'!C4="Leakage emissions (LEtr,m)",'Tool 12 - Freight Trains'!C14)</f>
        <v>0</v>
      </c>
      <c r="I13" s="26" t="b">
        <f>IF(AND('Tool 12 - Freight Trains'!C4="Leakage emissions (LEtr,m)",'Tool 12 - Freight Trains'!C12="Option B: Using conservative default values"),'Tool 12 - Freight Trains'!C21,IF(AND('Tool 12 - Freight Trains'!C4="Leakage emissions (LEtr,m)",'Tool 12 - Freight Trains'!C12="Option A: Monitoring fuel consumption"),'Tool 12 - Freight Trains'!C17))</f>
        <v>0</v>
      </c>
    </row>
    <row r="14" spans="1:9" x14ac:dyDescent="0.25">
      <c r="A14" s="27">
        <v>2</v>
      </c>
      <c r="I14" s="28"/>
    </row>
    <row r="15" spans="1:9" x14ac:dyDescent="0.25">
      <c r="A15" s="27">
        <v>3</v>
      </c>
      <c r="I15" s="28"/>
    </row>
    <row r="16" spans="1:9" x14ac:dyDescent="0.25">
      <c r="A16" s="27">
        <v>4</v>
      </c>
      <c r="I16" s="28"/>
    </row>
    <row r="17" spans="1:9" ht="15.75" thickBot="1" x14ac:dyDescent="0.3">
      <c r="A17" s="32" t="s">
        <v>193</v>
      </c>
      <c r="B17" s="33"/>
      <c r="C17" s="33"/>
      <c r="D17" s="33"/>
      <c r="E17" s="33"/>
      <c r="F17" s="33"/>
      <c r="G17" s="33"/>
      <c r="H17" s="33"/>
      <c r="I17" s="34">
        <f>SUM(I13:I16)</f>
        <v>0</v>
      </c>
    </row>
  </sheetData>
  <mergeCells count="2">
    <mergeCell ref="A1:I1"/>
    <mergeCell ref="A11:I1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301AD-9F32-4724-9A30-742BEF6334F2}">
  <dimension ref="A1:E3"/>
  <sheetViews>
    <sheetView workbookViewId="0">
      <selection activeCell="B25" sqref="B25"/>
    </sheetView>
  </sheetViews>
  <sheetFormatPr defaultColWidth="8.85546875" defaultRowHeight="15" x14ac:dyDescent="0.25"/>
  <cols>
    <col min="1" max="1" width="38.28515625" customWidth="1"/>
    <col min="2" max="2" width="13.85546875" customWidth="1"/>
    <col min="3" max="3" width="23.140625" customWidth="1"/>
    <col min="4" max="4" width="18.140625" customWidth="1"/>
  </cols>
  <sheetData>
    <row r="1" spans="1:5" s="23" customFormat="1" x14ac:dyDescent="0.25">
      <c r="A1" s="23" t="s">
        <v>195</v>
      </c>
      <c r="B1" s="23" t="s">
        <v>196</v>
      </c>
      <c r="C1" s="23" t="s">
        <v>197</v>
      </c>
      <c r="D1" s="23" t="s">
        <v>191</v>
      </c>
      <c r="E1" s="23" t="s">
        <v>198</v>
      </c>
    </row>
    <row r="2" spans="1:5" x14ac:dyDescent="0.25">
      <c r="A2" t="s">
        <v>164</v>
      </c>
      <c r="B2" t="s">
        <v>8</v>
      </c>
      <c r="C2" t="s">
        <v>199</v>
      </c>
      <c r="D2" t="s">
        <v>200</v>
      </c>
      <c r="E2" t="s">
        <v>146</v>
      </c>
    </row>
    <row r="3" spans="1:5" x14ac:dyDescent="0.25">
      <c r="A3" t="s">
        <v>175</v>
      </c>
      <c r="B3" t="s">
        <v>143</v>
      </c>
      <c r="C3" t="s">
        <v>166</v>
      </c>
      <c r="D3" t="s">
        <v>168</v>
      </c>
      <c r="E3" t="s">
        <v>201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B03BC-8031-4CAF-9B38-CCE2080FD58F}">
  <dimension ref="A1:I65"/>
  <sheetViews>
    <sheetView workbookViewId="0">
      <selection activeCell="F70" sqref="F70"/>
    </sheetView>
  </sheetViews>
  <sheetFormatPr defaultRowHeight="15" x14ac:dyDescent="0.25"/>
  <cols>
    <col min="1" max="1" width="13.140625" customWidth="1"/>
    <col min="2" max="2" width="13.7109375" customWidth="1"/>
    <col min="3" max="3" width="12.140625" customWidth="1"/>
    <col min="4" max="4" width="15.28515625" customWidth="1"/>
    <col min="5" max="5" width="17.85546875" bestFit="1" customWidth="1"/>
    <col min="6" max="6" width="69.85546875" customWidth="1"/>
    <col min="7" max="7" width="45.7109375" customWidth="1"/>
    <col min="8" max="8" width="46" customWidth="1"/>
  </cols>
  <sheetData>
    <row r="1" spans="1:9" ht="37.5" x14ac:dyDescent="0.3">
      <c r="A1" s="64" t="s">
        <v>0</v>
      </c>
      <c r="B1" s="64" t="s">
        <v>135</v>
      </c>
      <c r="C1" s="65" t="s">
        <v>202</v>
      </c>
      <c r="D1" s="65" t="s">
        <v>2</v>
      </c>
      <c r="E1" s="64" t="s">
        <v>3</v>
      </c>
      <c r="F1" s="66" t="s">
        <v>4</v>
      </c>
      <c r="G1" s="66" t="s">
        <v>5</v>
      </c>
      <c r="H1" s="65" t="s">
        <v>6</v>
      </c>
      <c r="I1" s="3"/>
    </row>
    <row r="2" spans="1:9" ht="21" x14ac:dyDescent="0.25">
      <c r="A2" s="67" t="s">
        <v>841</v>
      </c>
      <c r="B2" s="67"/>
      <c r="C2" s="67"/>
      <c r="D2" s="67"/>
      <c r="E2" s="67"/>
      <c r="F2" s="67"/>
      <c r="G2" s="67"/>
      <c r="H2" s="67"/>
      <c r="I2" s="3"/>
    </row>
    <row r="3" spans="1:9" ht="18.75" x14ac:dyDescent="0.3">
      <c r="A3" s="121" t="s">
        <v>9</v>
      </c>
      <c r="B3" s="122"/>
      <c r="C3" s="123" t="s">
        <v>9</v>
      </c>
      <c r="D3" s="123" t="s">
        <v>842</v>
      </c>
      <c r="E3" s="121" t="s">
        <v>843</v>
      </c>
      <c r="F3" s="9" t="s">
        <v>844</v>
      </c>
      <c r="G3" s="124">
        <f>G16+(IF(AND(G18="Option 1"),G20,IF(AND(G18="Option 2"),G22)))+G27+G43+G49</f>
        <v>95.130333333333326</v>
      </c>
      <c r="H3" s="125"/>
      <c r="I3" s="3"/>
    </row>
    <row r="4" spans="1:9" ht="21" x14ac:dyDescent="0.25">
      <c r="A4" s="67" t="s">
        <v>845</v>
      </c>
      <c r="B4" s="67"/>
      <c r="C4" s="67"/>
      <c r="D4" s="67"/>
      <c r="E4" s="67"/>
      <c r="F4" s="67"/>
      <c r="G4" s="67"/>
      <c r="H4" s="67"/>
      <c r="I4" s="5"/>
    </row>
    <row r="5" spans="1:9" ht="60" x14ac:dyDescent="0.25">
      <c r="A5" t="s">
        <v>8</v>
      </c>
      <c r="C5" t="s">
        <v>8</v>
      </c>
      <c r="D5" t="s">
        <v>750</v>
      </c>
      <c r="E5" t="s">
        <v>4</v>
      </c>
      <c r="F5" s="4" t="s">
        <v>846</v>
      </c>
      <c r="G5" t="s">
        <v>847</v>
      </c>
    </row>
    <row r="6" spans="1:9" ht="21" x14ac:dyDescent="0.25">
      <c r="A6" s="67" t="s">
        <v>848</v>
      </c>
      <c r="B6" s="67"/>
      <c r="C6" s="67"/>
      <c r="D6" s="67"/>
      <c r="E6" s="67"/>
      <c r="F6" s="67"/>
      <c r="G6" s="67"/>
      <c r="H6" s="67"/>
      <c r="I6" s="5"/>
    </row>
    <row r="7" spans="1:9" x14ac:dyDescent="0.25">
      <c r="A7" t="s">
        <v>8</v>
      </c>
      <c r="C7" t="s">
        <v>8</v>
      </c>
      <c r="D7" t="s">
        <v>159</v>
      </c>
      <c r="E7" t="s">
        <v>849</v>
      </c>
      <c r="F7" t="s">
        <v>850</v>
      </c>
      <c r="G7">
        <v>1</v>
      </c>
    </row>
    <row r="8" spans="1:9" ht="21" x14ac:dyDescent="0.25">
      <c r="A8" s="67" t="s">
        <v>851</v>
      </c>
      <c r="B8" s="67"/>
      <c r="C8" s="67"/>
      <c r="D8" s="67"/>
      <c r="E8" s="67"/>
      <c r="F8" s="67"/>
      <c r="G8" s="67"/>
      <c r="H8" s="67"/>
      <c r="I8" s="5"/>
    </row>
    <row r="9" spans="1:9" x14ac:dyDescent="0.25">
      <c r="A9" s="121" t="s">
        <v>9</v>
      </c>
      <c r="B9" s="9"/>
      <c r="C9" s="9" t="s">
        <v>9</v>
      </c>
      <c r="D9" s="123" t="s">
        <v>842</v>
      </c>
      <c r="E9" s="9" t="s">
        <v>849</v>
      </c>
      <c r="F9" s="9" t="s">
        <v>850</v>
      </c>
      <c r="G9" s="9">
        <f>SUM(G11,G13)</f>
        <v>2</v>
      </c>
      <c r="H9" s="9"/>
    </row>
    <row r="10" spans="1:9" ht="29.25" customHeight="1" x14ac:dyDescent="0.25">
      <c r="A10" s="126" t="s">
        <v>852</v>
      </c>
      <c r="B10" s="126"/>
      <c r="C10" s="126"/>
      <c r="D10" s="126"/>
      <c r="E10" s="126"/>
      <c r="F10" s="126"/>
      <c r="G10" s="126"/>
      <c r="H10" s="126"/>
      <c r="I10" s="5"/>
    </row>
    <row r="11" spans="1:9" ht="29.25" customHeight="1" x14ac:dyDescent="0.25">
      <c r="A11" t="s">
        <v>8</v>
      </c>
      <c r="C11" t="s">
        <v>8</v>
      </c>
      <c r="D11" t="s">
        <v>159</v>
      </c>
      <c r="E11" t="s">
        <v>853</v>
      </c>
      <c r="F11" s="4" t="s">
        <v>854</v>
      </c>
      <c r="G11">
        <v>1</v>
      </c>
    </row>
    <row r="12" spans="1:9" ht="29.25" customHeight="1" x14ac:dyDescent="0.25">
      <c r="A12" s="126" t="s">
        <v>852</v>
      </c>
      <c r="B12" s="126"/>
      <c r="C12" s="126"/>
      <c r="D12" s="126"/>
      <c r="E12" s="126"/>
      <c r="F12" s="126"/>
      <c r="G12" s="126"/>
      <c r="H12" s="126"/>
      <c r="I12" s="5"/>
    </row>
    <row r="13" spans="1:9" ht="29.25" customHeight="1" x14ac:dyDescent="0.25">
      <c r="A13" t="s">
        <v>8</v>
      </c>
      <c r="C13" t="s">
        <v>8</v>
      </c>
      <c r="D13" t="s">
        <v>159</v>
      </c>
      <c r="E13" t="s">
        <v>853</v>
      </c>
      <c r="F13" s="4" t="s">
        <v>854</v>
      </c>
      <c r="G13">
        <v>1</v>
      </c>
    </row>
    <row r="14" spans="1:9" ht="21" x14ac:dyDescent="0.25">
      <c r="A14" s="67" t="s">
        <v>855</v>
      </c>
      <c r="B14" s="67"/>
      <c r="C14" s="67"/>
      <c r="D14" s="67"/>
      <c r="E14" s="67"/>
      <c r="F14" s="67"/>
      <c r="G14" s="67"/>
      <c r="H14" s="67"/>
    </row>
    <row r="15" spans="1:9" ht="90" x14ac:dyDescent="0.25">
      <c r="A15" t="s">
        <v>8</v>
      </c>
      <c r="C15" t="s">
        <v>8</v>
      </c>
      <c r="D15" t="s">
        <v>750</v>
      </c>
      <c r="E15" t="s">
        <v>4</v>
      </c>
      <c r="F15" s="4" t="s">
        <v>856</v>
      </c>
      <c r="G15" t="s">
        <v>8</v>
      </c>
    </row>
    <row r="16" spans="1:9" ht="30" x14ac:dyDescent="0.25">
      <c r="A16" s="121" t="s">
        <v>9</v>
      </c>
      <c r="B16" s="9"/>
      <c r="C16" s="9" t="s">
        <v>9</v>
      </c>
      <c r="D16" s="123" t="s">
        <v>842</v>
      </c>
      <c r="E16" s="9" t="s">
        <v>857</v>
      </c>
      <c r="F16" s="12" t="s">
        <v>858</v>
      </c>
      <c r="G16" s="9">
        <f>'Tool 05.1'!G6</f>
        <v>0.73499999999999999</v>
      </c>
      <c r="H16" s="9"/>
    </row>
    <row r="17" spans="1:8" ht="21" x14ac:dyDescent="0.25">
      <c r="A17" s="67" t="s">
        <v>859</v>
      </c>
      <c r="B17" s="67"/>
      <c r="C17" s="67"/>
      <c r="D17" s="67"/>
      <c r="E17" s="67"/>
      <c r="F17" s="67"/>
      <c r="G17" s="67"/>
      <c r="H17" s="67"/>
    </row>
    <row r="18" spans="1:8" ht="60" x14ac:dyDescent="0.25">
      <c r="A18" t="s">
        <v>8</v>
      </c>
      <c r="C18" t="s">
        <v>8</v>
      </c>
      <c r="D18" t="s">
        <v>750</v>
      </c>
      <c r="E18" t="s">
        <v>4</v>
      </c>
      <c r="F18" s="4" t="s">
        <v>860</v>
      </c>
      <c r="G18" t="s">
        <v>847</v>
      </c>
    </row>
    <row r="19" spans="1:8" ht="21" x14ac:dyDescent="0.25">
      <c r="A19" s="67" t="s">
        <v>861</v>
      </c>
      <c r="B19" s="67"/>
      <c r="C19" s="67"/>
      <c r="D19" s="67"/>
      <c r="E19" s="67"/>
      <c r="F19" s="67"/>
      <c r="G19" s="67"/>
      <c r="H19" s="67"/>
    </row>
    <row r="20" spans="1:8" ht="30" x14ac:dyDescent="0.25">
      <c r="A20" s="121" t="s">
        <v>9</v>
      </c>
      <c r="B20" s="9"/>
      <c r="C20" s="9" t="s">
        <v>9</v>
      </c>
      <c r="D20" s="123" t="s">
        <v>842</v>
      </c>
      <c r="E20" s="9" t="s">
        <v>862</v>
      </c>
      <c r="F20" s="12" t="s">
        <v>863</v>
      </c>
      <c r="G20" s="9">
        <f>'Tool 03'!G3</f>
        <v>73.333333333333329</v>
      </c>
      <c r="H20" s="9"/>
    </row>
    <row r="21" spans="1:8" ht="21" x14ac:dyDescent="0.25">
      <c r="A21" s="67" t="s">
        <v>864</v>
      </c>
      <c r="B21" s="67"/>
      <c r="C21" s="67"/>
      <c r="D21" s="67"/>
      <c r="E21" s="67"/>
      <c r="F21" s="67"/>
      <c r="G21" s="67"/>
      <c r="H21" s="67"/>
    </row>
    <row r="22" spans="1:8" ht="30" x14ac:dyDescent="0.25">
      <c r="A22" s="121" t="s">
        <v>9</v>
      </c>
      <c r="B22" s="9"/>
      <c r="C22" s="9" t="s">
        <v>9</v>
      </c>
      <c r="D22" s="123" t="s">
        <v>842</v>
      </c>
      <c r="E22" s="9" t="s">
        <v>862</v>
      </c>
      <c r="F22" s="12" t="s">
        <v>863</v>
      </c>
      <c r="G22" s="9">
        <f>G23*G24</f>
        <v>2.07E-2</v>
      </c>
      <c r="H22" s="9"/>
    </row>
    <row r="23" spans="1:8" x14ac:dyDescent="0.25">
      <c r="A23" t="s">
        <v>8</v>
      </c>
      <c r="C23" t="s">
        <v>8</v>
      </c>
      <c r="D23" t="s">
        <v>159</v>
      </c>
      <c r="E23" t="s">
        <v>849</v>
      </c>
      <c r="F23" t="s">
        <v>865</v>
      </c>
      <c r="G23">
        <v>1</v>
      </c>
    </row>
    <row r="24" spans="1:8" ht="30" x14ac:dyDescent="0.25">
      <c r="A24" s="121" t="s">
        <v>9</v>
      </c>
      <c r="B24" s="9"/>
      <c r="C24" s="9" t="s">
        <v>9</v>
      </c>
      <c r="D24" s="123" t="s">
        <v>842</v>
      </c>
      <c r="E24" s="9" t="s">
        <v>866</v>
      </c>
      <c r="F24" s="12" t="s">
        <v>867</v>
      </c>
      <c r="G24" s="9">
        <f>0.0207</f>
        <v>2.07E-2</v>
      </c>
      <c r="H24" s="9"/>
    </row>
    <row r="25" spans="1:8" ht="21" x14ac:dyDescent="0.25">
      <c r="A25" s="67" t="s">
        <v>868</v>
      </c>
      <c r="B25" s="67"/>
      <c r="C25" s="67"/>
      <c r="D25" s="67"/>
      <c r="E25" s="67"/>
      <c r="F25" s="67"/>
      <c r="G25" s="67"/>
      <c r="H25" s="67"/>
    </row>
    <row r="26" spans="1:8" ht="60" x14ac:dyDescent="0.25">
      <c r="A26" t="s">
        <v>8</v>
      </c>
      <c r="C26" t="s">
        <v>8</v>
      </c>
      <c r="D26" t="s">
        <v>750</v>
      </c>
      <c r="E26" t="s">
        <v>4</v>
      </c>
      <c r="F26" s="4" t="s">
        <v>869</v>
      </c>
      <c r="G26" s="127" t="s">
        <v>847</v>
      </c>
    </row>
    <row r="27" spans="1:8" ht="30" x14ac:dyDescent="0.25">
      <c r="A27" s="121" t="s">
        <v>9</v>
      </c>
      <c r="B27" s="9"/>
      <c r="C27" s="9" t="s">
        <v>9</v>
      </c>
      <c r="D27" s="123" t="s">
        <v>842</v>
      </c>
      <c r="E27" s="9" t="s">
        <v>870</v>
      </c>
      <c r="F27" s="12" t="s">
        <v>871</v>
      </c>
      <c r="G27" s="128">
        <f>(IF(AND(G5="Option 1"),G7,IF(AND(G5="Option 2"),G9)))*G28*G55</f>
        <v>21</v>
      </c>
      <c r="H27" s="9"/>
    </row>
    <row r="28" spans="1:8" ht="30" x14ac:dyDescent="0.25">
      <c r="A28" s="121" t="s">
        <v>9</v>
      </c>
      <c r="B28" s="9"/>
      <c r="C28" s="9" t="s">
        <v>9</v>
      </c>
      <c r="D28" s="123" t="s">
        <v>842</v>
      </c>
      <c r="E28" s="9" t="s">
        <v>872</v>
      </c>
      <c r="F28" s="12" t="s">
        <v>873</v>
      </c>
      <c r="G28" s="128">
        <f>IF(AND(G26="Option 1"),(SUM((G33/G35),(G38/G40))/G30),IF(AND(G26="Option 2"),0.002))</f>
        <v>1</v>
      </c>
      <c r="H28" s="9"/>
    </row>
    <row r="29" spans="1:8" ht="21" x14ac:dyDescent="0.25">
      <c r="A29" s="67" t="s">
        <v>874</v>
      </c>
      <c r="B29" s="67"/>
      <c r="C29" s="67"/>
      <c r="D29" s="67"/>
      <c r="E29" s="67"/>
      <c r="F29" s="67"/>
      <c r="G29" s="67"/>
      <c r="H29" s="67"/>
    </row>
    <row r="30" spans="1:8" ht="30" x14ac:dyDescent="0.25">
      <c r="A30" t="s">
        <v>8</v>
      </c>
      <c r="C30" t="s">
        <v>8</v>
      </c>
      <c r="D30" t="s">
        <v>159</v>
      </c>
      <c r="E30" t="s">
        <v>875</v>
      </c>
      <c r="F30" s="4" t="s">
        <v>876</v>
      </c>
      <c r="G30">
        <v>2</v>
      </c>
    </row>
    <row r="31" spans="1:8" ht="21" x14ac:dyDescent="0.25">
      <c r="A31" s="126" t="s">
        <v>877</v>
      </c>
      <c r="B31" s="126"/>
      <c r="C31" s="126"/>
      <c r="D31" s="126"/>
      <c r="E31" s="126"/>
      <c r="F31" s="126"/>
      <c r="G31" s="126"/>
      <c r="H31" s="126"/>
    </row>
    <row r="32" spans="1:8" x14ac:dyDescent="0.25">
      <c r="A32" t="s">
        <v>8</v>
      </c>
      <c r="C32" t="s">
        <v>8</v>
      </c>
      <c r="E32" t="s">
        <v>878</v>
      </c>
      <c r="F32" t="s">
        <v>879</v>
      </c>
      <c r="G32" s="127" t="s">
        <v>880</v>
      </c>
    </row>
    <row r="33" spans="1:8" x14ac:dyDescent="0.25">
      <c r="A33" t="s">
        <v>8</v>
      </c>
      <c r="C33" t="s">
        <v>8</v>
      </c>
      <c r="D33" t="s">
        <v>159</v>
      </c>
      <c r="E33" t="s">
        <v>881</v>
      </c>
      <c r="F33" t="s">
        <v>882</v>
      </c>
      <c r="G33">
        <v>1</v>
      </c>
    </row>
    <row r="34" spans="1:8" ht="30" x14ac:dyDescent="0.25">
      <c r="A34" t="s">
        <v>8</v>
      </c>
      <c r="C34" t="s">
        <v>8</v>
      </c>
      <c r="D34" t="s">
        <v>159</v>
      </c>
      <c r="E34" t="s">
        <v>883</v>
      </c>
      <c r="F34" s="4" t="s">
        <v>884</v>
      </c>
      <c r="G34">
        <v>1</v>
      </c>
    </row>
    <row r="35" spans="1:8" x14ac:dyDescent="0.25">
      <c r="A35" t="s">
        <v>8</v>
      </c>
      <c r="C35" t="s">
        <v>8</v>
      </c>
      <c r="D35" t="s">
        <v>159</v>
      </c>
      <c r="E35" t="s">
        <v>885</v>
      </c>
      <c r="F35" t="s">
        <v>886</v>
      </c>
      <c r="G35">
        <v>1</v>
      </c>
    </row>
    <row r="36" spans="1:8" ht="21" x14ac:dyDescent="0.25">
      <c r="A36" s="126" t="s">
        <v>877</v>
      </c>
      <c r="B36" s="126"/>
      <c r="C36" s="126"/>
      <c r="D36" s="126"/>
      <c r="E36" s="126"/>
      <c r="F36" s="126"/>
      <c r="G36" s="126"/>
      <c r="H36" s="126"/>
    </row>
    <row r="37" spans="1:8" x14ac:dyDescent="0.25">
      <c r="A37" t="s">
        <v>8</v>
      </c>
      <c r="C37" t="s">
        <v>8</v>
      </c>
      <c r="E37" t="s">
        <v>887</v>
      </c>
      <c r="F37" t="s">
        <v>879</v>
      </c>
      <c r="G37" s="127" t="s">
        <v>888</v>
      </c>
    </row>
    <row r="38" spans="1:8" x14ac:dyDescent="0.25">
      <c r="A38" t="s">
        <v>8</v>
      </c>
      <c r="C38" t="s">
        <v>8</v>
      </c>
      <c r="D38" t="s">
        <v>159</v>
      </c>
      <c r="E38" t="s">
        <v>881</v>
      </c>
      <c r="F38" t="s">
        <v>882</v>
      </c>
      <c r="G38">
        <v>1</v>
      </c>
    </row>
    <row r="39" spans="1:8" ht="30" x14ac:dyDescent="0.25">
      <c r="A39" t="s">
        <v>8</v>
      </c>
      <c r="C39" t="s">
        <v>8</v>
      </c>
      <c r="D39" t="s">
        <v>159</v>
      </c>
      <c r="E39" t="s">
        <v>883</v>
      </c>
      <c r="F39" s="4" t="s">
        <v>884</v>
      </c>
      <c r="G39">
        <v>1</v>
      </c>
    </row>
    <row r="40" spans="1:8" x14ac:dyDescent="0.25">
      <c r="A40" t="s">
        <v>8</v>
      </c>
      <c r="C40" t="s">
        <v>8</v>
      </c>
      <c r="D40" t="s">
        <v>159</v>
      </c>
      <c r="E40" t="s">
        <v>885</v>
      </c>
      <c r="F40" t="s">
        <v>886</v>
      </c>
      <c r="G40">
        <v>1</v>
      </c>
    </row>
    <row r="41" spans="1:8" ht="21" x14ac:dyDescent="0.25">
      <c r="A41" s="67" t="s">
        <v>889</v>
      </c>
      <c r="B41" s="67"/>
      <c r="C41" s="67"/>
      <c r="D41" s="67"/>
      <c r="E41" s="67"/>
      <c r="F41" s="67"/>
      <c r="G41" s="67"/>
      <c r="H41" s="67"/>
    </row>
    <row r="42" spans="1:8" ht="60" x14ac:dyDescent="0.25">
      <c r="A42" t="s">
        <v>8</v>
      </c>
      <c r="C42" t="s">
        <v>8</v>
      </c>
      <c r="D42" t="s">
        <v>750</v>
      </c>
      <c r="E42" t="s">
        <v>4</v>
      </c>
      <c r="F42" s="4" t="s">
        <v>890</v>
      </c>
      <c r="G42" s="127" t="s">
        <v>891</v>
      </c>
    </row>
    <row r="43" spans="1:8" x14ac:dyDescent="0.25">
      <c r="A43" s="121" t="s">
        <v>9</v>
      </c>
      <c r="B43" s="9"/>
      <c r="C43" s="9" t="s">
        <v>9</v>
      </c>
      <c r="D43" s="123" t="s">
        <v>842</v>
      </c>
      <c r="E43" s="9" t="s">
        <v>892</v>
      </c>
      <c r="F43" s="9" t="s">
        <v>893</v>
      </c>
      <c r="G43" s="128">
        <f>(IF(AND(G5="Option 1"),G7,IF(AND(G5="Option 2"),G9)))*G44*G45</f>
        <v>6.2E-2</v>
      </c>
      <c r="H43" s="9"/>
    </row>
    <row r="44" spans="1:8" ht="30" x14ac:dyDescent="0.25">
      <c r="A44" s="121" t="s">
        <v>9</v>
      </c>
      <c r="B44" s="9"/>
      <c r="C44" s="9" t="s">
        <v>9</v>
      </c>
      <c r="D44" s="123" t="s">
        <v>842</v>
      </c>
      <c r="E44" s="9" t="s">
        <v>894</v>
      </c>
      <c r="F44" s="12" t="s">
        <v>895</v>
      </c>
      <c r="G44" s="128">
        <f>IF(AND(G42="Option 1"),(SUM((G34/G35),(G39/G40))/G30),IF(AND(G42="Option 2"),0.0002))</f>
        <v>2.0000000000000001E-4</v>
      </c>
      <c r="H44" s="9"/>
    </row>
    <row r="45" spans="1:8" x14ac:dyDescent="0.25">
      <c r="A45" s="121" t="s">
        <v>9</v>
      </c>
      <c r="B45" s="9"/>
      <c r="C45" s="9" t="s">
        <v>9</v>
      </c>
      <c r="D45" s="123" t="s">
        <v>842</v>
      </c>
      <c r="E45" s="9" t="s">
        <v>896</v>
      </c>
      <c r="F45" s="9" t="s">
        <v>897</v>
      </c>
      <c r="G45" s="128">
        <v>310</v>
      </c>
      <c r="H45" s="9"/>
    </row>
    <row r="46" spans="1:8" ht="21" customHeight="1" x14ac:dyDescent="0.25">
      <c r="A46" s="67" t="s">
        <v>898</v>
      </c>
      <c r="B46" s="67"/>
      <c r="C46" s="67"/>
      <c r="D46" s="67"/>
      <c r="E46" s="67"/>
      <c r="F46" s="67"/>
      <c r="G46" s="67"/>
      <c r="H46" s="67"/>
    </row>
    <row r="47" spans="1:8" x14ac:dyDescent="0.25">
      <c r="A47" t="s">
        <v>8</v>
      </c>
      <c r="C47" t="s">
        <v>8</v>
      </c>
      <c r="D47" t="s">
        <v>750</v>
      </c>
      <c r="E47" t="s">
        <v>4</v>
      </c>
      <c r="F47" t="s">
        <v>899</v>
      </c>
      <c r="G47" s="127" t="s">
        <v>8</v>
      </c>
    </row>
    <row r="48" spans="1:8" ht="165" x14ac:dyDescent="0.25">
      <c r="A48" t="s">
        <v>8</v>
      </c>
      <c r="C48" t="s">
        <v>8</v>
      </c>
      <c r="D48" t="s">
        <v>750</v>
      </c>
      <c r="E48" t="s">
        <v>4</v>
      </c>
      <c r="F48" s="4" t="s">
        <v>900</v>
      </c>
      <c r="G48" s="127" t="s">
        <v>847</v>
      </c>
    </row>
    <row r="49" spans="1:8" ht="30" x14ac:dyDescent="0.25">
      <c r="A49" s="121" t="s">
        <v>9</v>
      </c>
      <c r="B49" s="9"/>
      <c r="C49" s="9" t="s">
        <v>9</v>
      </c>
      <c r="D49" s="123" t="s">
        <v>842</v>
      </c>
      <c r="E49" s="9" t="s">
        <v>901</v>
      </c>
      <c r="F49" s="12" t="s">
        <v>902</v>
      </c>
      <c r="G49" s="128">
        <f>IF(AND(G47="Yes"),0,IF(AND(G47="No"),G50*G51*G53*G54*G55))</f>
        <v>0</v>
      </c>
      <c r="H49" s="9"/>
    </row>
    <row r="50" spans="1:8" ht="30" x14ac:dyDescent="0.25">
      <c r="A50" s="121" t="s">
        <v>9</v>
      </c>
      <c r="B50" s="9"/>
      <c r="C50" s="9" t="s">
        <v>9</v>
      </c>
      <c r="D50" s="123" t="s">
        <v>842</v>
      </c>
      <c r="E50" s="9" t="s">
        <v>903</v>
      </c>
      <c r="F50" s="12" t="s">
        <v>904</v>
      </c>
      <c r="G50" s="9">
        <f>IF(AND(G48="Option 1"),G57*G58,IF(AND(G48="Option 2"),G60*G61*G62))</f>
        <v>1</v>
      </c>
      <c r="H50" s="9"/>
    </row>
    <row r="51" spans="1:8" x14ac:dyDescent="0.25">
      <c r="A51" s="121" t="s">
        <v>9</v>
      </c>
      <c r="B51" s="9"/>
      <c r="C51" s="9" t="s">
        <v>9</v>
      </c>
      <c r="D51" s="123" t="s">
        <v>842</v>
      </c>
      <c r="E51" s="9" t="s">
        <v>905</v>
      </c>
      <c r="F51" s="9" t="s">
        <v>906</v>
      </c>
      <c r="G51" s="9">
        <f>0.25</f>
        <v>0.25</v>
      </c>
      <c r="H51" s="9"/>
    </row>
    <row r="52" spans="1:8" ht="30" x14ac:dyDescent="0.25">
      <c r="A52" t="s">
        <v>8</v>
      </c>
      <c r="C52" t="s">
        <v>8</v>
      </c>
      <c r="D52" t="s">
        <v>750</v>
      </c>
      <c r="E52" t="s">
        <v>144</v>
      </c>
      <c r="F52" s="4" t="s">
        <v>907</v>
      </c>
      <c r="G52" s="4" t="s">
        <v>908</v>
      </c>
    </row>
    <row r="53" spans="1:8" ht="30" x14ac:dyDescent="0.25">
      <c r="A53" s="121" t="s">
        <v>9</v>
      </c>
      <c r="B53" s="9"/>
      <c r="C53" s="9" t="s">
        <v>9</v>
      </c>
      <c r="D53" s="123" t="s">
        <v>842</v>
      </c>
      <c r="E53" s="9" t="s">
        <v>909</v>
      </c>
      <c r="F53" s="12" t="s">
        <v>910</v>
      </c>
      <c r="G53" s="9">
        <f>IF(G52="","",VLOOKUP(G52,'MCF Defaults (Tool 13)'!B3:C10,2,FALSE))</f>
        <v>0.2</v>
      </c>
      <c r="H53" s="9"/>
    </row>
    <row r="54" spans="1:8" ht="30" x14ac:dyDescent="0.25">
      <c r="A54" s="121" t="s">
        <v>9</v>
      </c>
      <c r="B54" s="9"/>
      <c r="C54" s="9" t="s">
        <v>9</v>
      </c>
      <c r="D54" s="123" t="s">
        <v>842</v>
      </c>
      <c r="E54" s="9"/>
      <c r="F54" s="12" t="s">
        <v>911</v>
      </c>
      <c r="G54" s="9">
        <f>1.12</f>
        <v>1.1200000000000001</v>
      </c>
      <c r="H54" s="9"/>
    </row>
    <row r="55" spans="1:8" x14ac:dyDescent="0.25">
      <c r="A55" s="121" t="s">
        <v>9</v>
      </c>
      <c r="B55" s="9"/>
      <c r="C55" s="9" t="s">
        <v>9</v>
      </c>
      <c r="D55" s="123" t="s">
        <v>842</v>
      </c>
      <c r="E55" s="9" t="s">
        <v>104</v>
      </c>
      <c r="F55" s="9" t="s">
        <v>912</v>
      </c>
      <c r="G55" s="9">
        <f>21</f>
        <v>21</v>
      </c>
      <c r="H55" s="9"/>
    </row>
    <row r="56" spans="1:8" ht="21" x14ac:dyDescent="0.25">
      <c r="A56" s="67" t="s">
        <v>913</v>
      </c>
      <c r="B56" s="67"/>
      <c r="C56" s="67"/>
      <c r="D56" s="67"/>
      <c r="E56" s="67"/>
      <c r="F56" s="67"/>
      <c r="G56" s="67"/>
      <c r="H56" s="67"/>
    </row>
    <row r="57" spans="1:8" ht="30" x14ac:dyDescent="0.25">
      <c r="A57" t="s">
        <v>8</v>
      </c>
      <c r="C57" t="s">
        <v>8</v>
      </c>
      <c r="D57" s="6" t="s">
        <v>159</v>
      </c>
      <c r="E57" t="s">
        <v>914</v>
      </c>
      <c r="F57" s="4" t="s">
        <v>915</v>
      </c>
      <c r="G57">
        <v>1</v>
      </c>
    </row>
    <row r="58" spans="1:8" ht="30" x14ac:dyDescent="0.25">
      <c r="A58" t="s">
        <v>8</v>
      </c>
      <c r="C58" t="s">
        <v>8</v>
      </c>
      <c r="D58" s="6" t="s">
        <v>159</v>
      </c>
      <c r="E58" t="s">
        <v>916</v>
      </c>
      <c r="F58" s="4" t="s">
        <v>917</v>
      </c>
      <c r="G58">
        <v>1</v>
      </c>
    </row>
    <row r="59" spans="1:8" ht="21" x14ac:dyDescent="0.25">
      <c r="A59" s="67" t="s">
        <v>918</v>
      </c>
      <c r="B59" s="67"/>
      <c r="C59" s="67"/>
      <c r="D59" s="67"/>
      <c r="E59" s="67"/>
      <c r="F59" s="67"/>
      <c r="G59" s="67"/>
      <c r="H59" s="67"/>
    </row>
    <row r="60" spans="1:8" x14ac:dyDescent="0.25">
      <c r="A60" t="s">
        <v>8</v>
      </c>
      <c r="C60" t="s">
        <v>8</v>
      </c>
      <c r="D60" s="6" t="s">
        <v>159</v>
      </c>
      <c r="E60" t="s">
        <v>919</v>
      </c>
      <c r="F60" t="s">
        <v>920</v>
      </c>
      <c r="G60">
        <v>1</v>
      </c>
    </row>
    <row r="61" spans="1:8" x14ac:dyDescent="0.25">
      <c r="A61" t="s">
        <v>8</v>
      </c>
      <c r="C61" t="s">
        <v>8</v>
      </c>
      <c r="D61" s="6" t="s">
        <v>159</v>
      </c>
      <c r="E61" t="s">
        <v>921</v>
      </c>
      <c r="F61" t="s">
        <v>922</v>
      </c>
      <c r="G61">
        <v>1</v>
      </c>
    </row>
    <row r="62" spans="1:8" ht="30" x14ac:dyDescent="0.25">
      <c r="A62" s="121" t="s">
        <v>9</v>
      </c>
      <c r="B62" s="9"/>
      <c r="C62" s="9" t="s">
        <v>9</v>
      </c>
      <c r="D62" s="123" t="s">
        <v>842</v>
      </c>
      <c r="E62" s="9" t="s">
        <v>923</v>
      </c>
      <c r="F62" s="12" t="s">
        <v>924</v>
      </c>
      <c r="G62" s="9">
        <f>0.02</f>
        <v>0.02</v>
      </c>
      <c r="H62" s="9"/>
    </row>
    <row r="63" spans="1:8" ht="21" x14ac:dyDescent="0.25">
      <c r="A63" s="67" t="s">
        <v>119</v>
      </c>
      <c r="B63" s="67"/>
      <c r="C63" s="67"/>
      <c r="D63" s="67"/>
      <c r="E63" s="67"/>
      <c r="F63" s="67"/>
      <c r="G63" s="67"/>
      <c r="H63" s="67"/>
    </row>
    <row r="64" spans="1:8" ht="45" x14ac:dyDescent="0.25">
      <c r="A64" t="s">
        <v>8</v>
      </c>
      <c r="C64" t="s">
        <v>8</v>
      </c>
      <c r="D64" t="s">
        <v>750</v>
      </c>
      <c r="E64" t="s">
        <v>4</v>
      </c>
      <c r="F64" s="4" t="s">
        <v>925</v>
      </c>
      <c r="G64" s="127" t="s">
        <v>8</v>
      </c>
    </row>
    <row r="65" spans="1:8" x14ac:dyDescent="0.25">
      <c r="A65" s="121" t="s">
        <v>9</v>
      </c>
      <c r="B65" s="9"/>
      <c r="C65" s="9" t="s">
        <v>9</v>
      </c>
      <c r="D65" s="123" t="s">
        <v>842</v>
      </c>
      <c r="E65" s="9" t="s">
        <v>926</v>
      </c>
      <c r="F65" s="9" t="s">
        <v>927</v>
      </c>
      <c r="G65" s="9" t="e">
        <f>IF(AND(G64="No"),0,IF(AND(G64="Yes"),'Tool 04-SWDS-Yearly'!C86))</f>
        <v>#DIV/0!</v>
      </c>
      <c r="H65" s="9"/>
    </row>
  </sheetData>
  <mergeCells count="19">
    <mergeCell ref="A63:H63"/>
    <mergeCell ref="A31:H31"/>
    <mergeCell ref="A36:H36"/>
    <mergeCell ref="A41:H41"/>
    <mergeCell ref="A46:H46"/>
    <mergeCell ref="A56:H56"/>
    <mergeCell ref="A59:H59"/>
    <mergeCell ref="A14:H14"/>
    <mergeCell ref="A17:H17"/>
    <mergeCell ref="A19:H19"/>
    <mergeCell ref="A21:H21"/>
    <mergeCell ref="A25:H25"/>
    <mergeCell ref="A29:H29"/>
    <mergeCell ref="A2:H2"/>
    <mergeCell ref="A4:H4"/>
    <mergeCell ref="A6:H6"/>
    <mergeCell ref="A8:H8"/>
    <mergeCell ref="A10:H10"/>
    <mergeCell ref="A12:H12"/>
  </mergeCells>
  <dataValidations count="3">
    <dataValidation type="list" allowBlank="1" showInputMessage="1" showErrorMessage="1" sqref="G18 G48 G26 G42" xr:uid="{17F42577-01F2-4E8A-BA8C-0A79F1BC0B6F}">
      <formula1>"Option 1,Option 2"</formula1>
    </dataValidation>
    <dataValidation type="list" allowBlank="1" showInputMessage="1" showErrorMessage="1" sqref="G5" xr:uid="{7F92E30F-29D1-49EF-9AFB-AB8C56030A96}">
      <formula1>"Option 1, Option 2"</formula1>
    </dataValidation>
    <dataValidation type="list" allowBlank="1" showInputMessage="1" showErrorMessage="1" sqref="G15 G47 G64" xr:uid="{66D20C4A-5D04-41BF-AE75-73F100259B54}">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163AE30-6DF5-4960-B606-B3CC682BD1E7}">
          <x14:formula1>
            <xm:f>'MCF Defaults (Tool 13)'!$B$3:$B$10</xm:f>
          </x14:formula1>
          <xm:sqref>G52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83689-F0C1-4F2F-9E05-E6ED4C1DBF74}">
  <dimension ref="A1:G10"/>
  <sheetViews>
    <sheetView workbookViewId="0">
      <selection activeCell="G3" sqref="G3"/>
    </sheetView>
  </sheetViews>
  <sheetFormatPr defaultRowHeight="15" x14ac:dyDescent="0.25"/>
  <cols>
    <col min="1" max="1" width="9.28515625" customWidth="1"/>
    <col min="2" max="2" width="50.140625" customWidth="1"/>
    <col min="3" max="3" width="15.5703125" customWidth="1"/>
  </cols>
  <sheetData>
    <row r="1" spans="1:7" ht="21.75" customHeight="1" thickBot="1" x14ac:dyDescent="0.3">
      <c r="A1" s="129"/>
      <c r="B1" s="130" t="s">
        <v>928</v>
      </c>
      <c r="C1" s="130"/>
      <c r="D1" s="129"/>
      <c r="E1" s="129"/>
      <c r="F1" s="129"/>
      <c r="G1" s="129"/>
    </row>
    <row r="2" spans="1:7" ht="38.25" thickBot="1" x14ac:dyDescent="0.35">
      <c r="B2" s="131" t="s">
        <v>929</v>
      </c>
      <c r="C2" s="20" t="s">
        <v>930</v>
      </c>
    </row>
    <row r="3" spans="1:7" x14ac:dyDescent="0.25">
      <c r="B3" s="132" t="s">
        <v>931</v>
      </c>
      <c r="C3" s="133">
        <v>0.1</v>
      </c>
    </row>
    <row r="4" spans="1:7" x14ac:dyDescent="0.25">
      <c r="B4" s="114" t="s">
        <v>932</v>
      </c>
      <c r="C4" s="134">
        <v>0</v>
      </c>
    </row>
    <row r="5" spans="1:7" x14ac:dyDescent="0.25">
      <c r="B5" s="117" t="s">
        <v>933</v>
      </c>
      <c r="C5" s="134">
        <v>0.3</v>
      </c>
    </row>
    <row r="6" spans="1:7" ht="30" x14ac:dyDescent="0.25">
      <c r="B6" s="117" t="s">
        <v>934</v>
      </c>
      <c r="C6" s="134">
        <v>0.8</v>
      </c>
    </row>
    <row r="7" spans="1:7" x14ac:dyDescent="0.25">
      <c r="B7" s="117" t="s">
        <v>935</v>
      </c>
      <c r="C7" s="134">
        <v>0.8</v>
      </c>
    </row>
    <row r="8" spans="1:7" x14ac:dyDescent="0.25">
      <c r="B8" s="117" t="s">
        <v>908</v>
      </c>
      <c r="C8" s="134">
        <v>0.2</v>
      </c>
    </row>
    <row r="9" spans="1:7" x14ac:dyDescent="0.25">
      <c r="B9" s="117" t="s">
        <v>936</v>
      </c>
      <c r="C9" s="134">
        <v>0.8</v>
      </c>
    </row>
    <row r="10" spans="1:7" ht="15.75" thickBot="1" x14ac:dyDescent="0.3">
      <c r="B10" s="118" t="s">
        <v>937</v>
      </c>
      <c r="C10" s="135">
        <v>0.5</v>
      </c>
    </row>
  </sheetData>
  <mergeCells count="1">
    <mergeCell ref="B1:C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DA7D3-905C-4E81-8115-49FDD34B24DC}">
  <dimension ref="A1:G89"/>
  <sheetViews>
    <sheetView workbookViewId="0">
      <selection activeCell="F90" sqref="F90"/>
    </sheetView>
  </sheetViews>
  <sheetFormatPr defaultRowHeight="15" x14ac:dyDescent="0.25"/>
  <cols>
    <col min="1" max="1" width="12.42578125" customWidth="1"/>
    <col min="2" max="2" width="11.140625" bestFit="1" customWidth="1"/>
    <col min="3" max="3" width="16.140625" bestFit="1" customWidth="1"/>
    <col min="4" max="4" width="16.140625" customWidth="1"/>
    <col min="5" max="5" width="54.28515625" customWidth="1"/>
    <col min="6" max="6" width="83" customWidth="1"/>
    <col min="7" max="7" width="59.140625" customWidth="1"/>
  </cols>
  <sheetData>
    <row r="1" spans="1:7" ht="75" x14ac:dyDescent="0.3">
      <c r="A1" s="64" t="s">
        <v>0</v>
      </c>
      <c r="B1" s="65" t="s">
        <v>1</v>
      </c>
      <c r="C1" s="136" t="s">
        <v>2</v>
      </c>
      <c r="D1" s="136" t="s">
        <v>3</v>
      </c>
      <c r="E1" s="66" t="s">
        <v>4</v>
      </c>
      <c r="F1" s="136" t="s">
        <v>5</v>
      </c>
      <c r="G1" s="136" t="s">
        <v>6</v>
      </c>
    </row>
    <row r="2" spans="1:7" s="14" customFormat="1" ht="18.75" x14ac:dyDescent="0.3">
      <c r="A2" s="137"/>
      <c r="B2" s="138"/>
      <c r="C2" s="138"/>
      <c r="D2" s="138"/>
      <c r="E2" s="137" t="s">
        <v>938</v>
      </c>
      <c r="F2" s="138"/>
    </row>
    <row r="3" spans="1:7" s="10" customFormat="1" ht="45.75" x14ac:dyDescent="0.3">
      <c r="A3" s="139" t="s">
        <v>8</v>
      </c>
      <c r="B3" s="140" t="s">
        <v>9</v>
      </c>
      <c r="C3" s="139" t="s">
        <v>750</v>
      </c>
      <c r="D3" s="141"/>
      <c r="E3" s="142" t="s">
        <v>939</v>
      </c>
      <c r="F3" s="143" t="s">
        <v>940</v>
      </c>
      <c r="G3" s="143" t="s">
        <v>941</v>
      </c>
    </row>
    <row r="4" spans="1:7" s="10" customFormat="1" ht="45.75" x14ac:dyDescent="0.3">
      <c r="A4" s="139" t="s">
        <v>8</v>
      </c>
      <c r="B4" s="140" t="s">
        <v>9</v>
      </c>
      <c r="C4" s="139" t="s">
        <v>515</v>
      </c>
      <c r="D4" s="141"/>
      <c r="E4" s="142" t="s">
        <v>942</v>
      </c>
      <c r="F4" s="143" t="s">
        <v>943</v>
      </c>
      <c r="G4" s="143" t="s">
        <v>944</v>
      </c>
    </row>
    <row r="5" spans="1:7" s="14" customFormat="1" ht="18.75" x14ac:dyDescent="0.3">
      <c r="A5" s="137"/>
      <c r="B5" s="138"/>
      <c r="C5" s="138"/>
      <c r="D5" s="138"/>
      <c r="E5" s="137" t="s">
        <v>855</v>
      </c>
      <c r="F5" s="138"/>
    </row>
    <row r="6" spans="1:7" s="10" customFormat="1" ht="45.75" x14ac:dyDescent="0.3">
      <c r="A6" s="139" t="s">
        <v>8</v>
      </c>
      <c r="B6" s="140" t="s">
        <v>9</v>
      </c>
      <c r="C6" s="139" t="s">
        <v>750</v>
      </c>
      <c r="D6" s="141"/>
      <c r="E6" s="142" t="s">
        <v>945</v>
      </c>
      <c r="F6" s="143" t="s">
        <v>8</v>
      </c>
      <c r="G6" s="143" t="s">
        <v>946</v>
      </c>
    </row>
    <row r="7" spans="1:7" s="10" customFormat="1" ht="45.75" x14ac:dyDescent="0.3">
      <c r="A7" s="139" t="s">
        <v>8</v>
      </c>
      <c r="B7" s="140" t="s">
        <v>9</v>
      </c>
      <c r="C7" s="139" t="s">
        <v>750</v>
      </c>
      <c r="D7" s="141"/>
      <c r="E7" s="142" t="s">
        <v>947</v>
      </c>
      <c r="F7" s="143" t="s">
        <v>8</v>
      </c>
      <c r="G7" s="143" t="s">
        <v>948</v>
      </c>
    </row>
    <row r="8" spans="1:7" s="10" customFormat="1" ht="45.75" x14ac:dyDescent="0.3">
      <c r="A8" s="139" t="s">
        <v>8</v>
      </c>
      <c r="B8" s="140" t="s">
        <v>9</v>
      </c>
      <c r="C8" s="139" t="s">
        <v>515</v>
      </c>
      <c r="D8" s="141"/>
      <c r="E8" s="142" t="s">
        <v>949</v>
      </c>
      <c r="F8" s="143" t="s">
        <v>943</v>
      </c>
      <c r="G8" s="143" t="s">
        <v>950</v>
      </c>
    </row>
    <row r="9" spans="1:7" s="14" customFormat="1" ht="18.75" x14ac:dyDescent="0.3">
      <c r="A9" s="137"/>
      <c r="B9" s="138"/>
      <c r="C9" s="138"/>
      <c r="D9" s="138"/>
      <c r="E9" s="137" t="s">
        <v>951</v>
      </c>
      <c r="F9" s="138"/>
    </row>
    <row r="10" spans="1:7" s="10" customFormat="1" ht="105.75" x14ac:dyDescent="0.3">
      <c r="A10" s="139" t="s">
        <v>8</v>
      </c>
      <c r="B10" s="140" t="s">
        <v>9</v>
      </c>
      <c r="C10" s="139" t="s">
        <v>515</v>
      </c>
      <c r="D10" s="141"/>
      <c r="E10" s="142" t="s">
        <v>952</v>
      </c>
      <c r="F10" s="143" t="s">
        <v>953</v>
      </c>
      <c r="G10" s="143" t="s">
        <v>954</v>
      </c>
    </row>
    <row r="11" spans="1:7" s="10" customFormat="1" ht="45.75" x14ac:dyDescent="0.3">
      <c r="A11" s="139" t="s">
        <v>8</v>
      </c>
      <c r="B11" s="140" t="s">
        <v>9</v>
      </c>
      <c r="C11" s="139" t="s">
        <v>515</v>
      </c>
      <c r="D11" s="141"/>
      <c r="E11" s="142" t="s">
        <v>955</v>
      </c>
      <c r="F11" s="144" t="s">
        <v>943</v>
      </c>
      <c r="G11" s="144" t="s">
        <v>956</v>
      </c>
    </row>
    <row r="12" spans="1:7" s="14" customFormat="1" ht="18.75" x14ac:dyDescent="0.3">
      <c r="A12" s="137"/>
      <c r="B12" s="138"/>
      <c r="C12" s="138"/>
      <c r="D12" s="138"/>
      <c r="E12" s="137" t="s">
        <v>957</v>
      </c>
      <c r="F12" s="138"/>
    </row>
    <row r="13" spans="1:7" s="9" customFormat="1" ht="30" x14ac:dyDescent="0.25">
      <c r="A13" s="9" t="s">
        <v>9</v>
      </c>
      <c r="B13" s="12" t="s">
        <v>9</v>
      </c>
      <c r="C13" s="9" t="s">
        <v>842</v>
      </c>
      <c r="D13" s="9" t="s">
        <v>958</v>
      </c>
      <c r="E13" s="12" t="s">
        <v>959</v>
      </c>
      <c r="F13" s="70">
        <f>IF(AND(F7="Yes"),0,F14+F15+F16+F17)</f>
        <v>0</v>
      </c>
    </row>
    <row r="14" spans="1:7" s="9" customFormat="1" ht="30" x14ac:dyDescent="0.25">
      <c r="A14" s="9" t="s">
        <v>9</v>
      </c>
      <c r="B14" s="12" t="s">
        <v>9</v>
      </c>
      <c r="C14" s="9" t="s">
        <v>750</v>
      </c>
      <c r="D14" s="9" t="s">
        <v>960</v>
      </c>
      <c r="E14" s="12" t="s">
        <v>961</v>
      </c>
      <c r="F14" s="70">
        <f>IF(AND(F8="Default Values"),F49,IF(AND(F8="Monitored Values"),F47))</f>
        <v>0</v>
      </c>
      <c r="G14" s="102" t="s">
        <v>962</v>
      </c>
    </row>
    <row r="15" spans="1:7" s="9" customFormat="1" ht="30" x14ac:dyDescent="0.25">
      <c r="A15" s="9" t="s">
        <v>9</v>
      </c>
      <c r="B15" s="12" t="s">
        <v>9</v>
      </c>
      <c r="C15" s="9" t="s">
        <v>842</v>
      </c>
      <c r="D15" s="9" t="s">
        <v>862</v>
      </c>
      <c r="E15" s="12" t="s">
        <v>963</v>
      </c>
      <c r="F15" s="70">
        <f>F55</f>
        <v>73.333333333333329</v>
      </c>
      <c r="G15" s="70"/>
    </row>
    <row r="16" spans="1:7" s="9" customFormat="1" ht="30" x14ac:dyDescent="0.25">
      <c r="A16" s="9" t="s">
        <v>9</v>
      </c>
      <c r="B16" s="12" t="s">
        <v>9</v>
      </c>
      <c r="C16" s="9" t="s">
        <v>842</v>
      </c>
      <c r="D16" s="9" t="s">
        <v>870</v>
      </c>
      <c r="E16" s="12" t="s">
        <v>964</v>
      </c>
      <c r="F16" s="70">
        <f>F57</f>
        <v>0</v>
      </c>
    </row>
    <row r="17" spans="1:7" s="9" customFormat="1" x14ac:dyDescent="0.25">
      <c r="A17" s="9" t="s">
        <v>9</v>
      </c>
      <c r="B17" s="12" t="s">
        <v>9</v>
      </c>
      <c r="C17" s="9" t="s">
        <v>842</v>
      </c>
      <c r="D17" s="9" t="s">
        <v>965</v>
      </c>
      <c r="E17" s="12" t="s">
        <v>966</v>
      </c>
      <c r="F17" s="70">
        <f>F63</f>
        <v>20523.291091650441</v>
      </c>
      <c r="G17" s="70"/>
    </row>
    <row r="18" spans="1:7" s="14" customFormat="1" ht="18.75" x14ac:dyDescent="0.3">
      <c r="A18" s="137"/>
      <c r="B18" s="138"/>
      <c r="C18" s="138"/>
      <c r="D18" s="138"/>
      <c r="E18" s="137" t="s">
        <v>967</v>
      </c>
      <c r="F18" s="138"/>
    </row>
    <row r="19" spans="1:7" s="9" customFormat="1" ht="30" x14ac:dyDescent="0.25">
      <c r="A19" s="9" t="s">
        <v>9</v>
      </c>
      <c r="B19" s="9" t="s">
        <v>9</v>
      </c>
      <c r="C19" s="9" t="s">
        <v>842</v>
      </c>
      <c r="D19" s="9" t="s">
        <v>968</v>
      </c>
      <c r="E19" s="12" t="s">
        <v>969</v>
      </c>
      <c r="F19" s="70">
        <f>(F20*F23)/((F22-F20)*F24)</f>
        <v>1.123142144638404</v>
      </c>
    </row>
    <row r="20" spans="1:7" ht="30" x14ac:dyDescent="0.25">
      <c r="A20" t="s">
        <v>8</v>
      </c>
      <c r="B20" s="4" t="s">
        <v>8</v>
      </c>
      <c r="C20" t="s">
        <v>159</v>
      </c>
      <c r="D20" t="s">
        <v>970</v>
      </c>
      <c r="E20" s="4" t="s">
        <v>971</v>
      </c>
      <c r="F20" s="13">
        <v>1</v>
      </c>
    </row>
    <row r="21" spans="1:7" x14ac:dyDescent="0.25">
      <c r="A21" t="s">
        <v>8</v>
      </c>
      <c r="B21" s="4" t="s">
        <v>8</v>
      </c>
      <c r="C21" t="s">
        <v>159</v>
      </c>
      <c r="D21" t="s">
        <v>972</v>
      </c>
      <c r="E21" s="4" t="s">
        <v>973</v>
      </c>
      <c r="F21" s="13">
        <v>1</v>
      </c>
    </row>
    <row r="22" spans="1:7" ht="30" x14ac:dyDescent="0.25">
      <c r="A22" t="s">
        <v>8</v>
      </c>
      <c r="B22" s="4" t="s">
        <v>8</v>
      </c>
      <c r="C22" t="s">
        <v>159</v>
      </c>
      <c r="D22" t="s">
        <v>974</v>
      </c>
      <c r="E22" s="4" t="s">
        <v>975</v>
      </c>
      <c r="F22" s="13">
        <v>2</v>
      </c>
    </row>
    <row r="23" spans="1:7" s="9" customFormat="1" x14ac:dyDescent="0.25">
      <c r="A23" s="9" t="s">
        <v>9</v>
      </c>
      <c r="B23" s="9" t="s">
        <v>9</v>
      </c>
      <c r="C23" s="9" t="s">
        <v>842</v>
      </c>
      <c r="D23" s="9" t="s">
        <v>976</v>
      </c>
      <c r="E23" s="12" t="s">
        <v>977</v>
      </c>
      <c r="F23" s="70">
        <f>18.0152</f>
        <v>18.0152</v>
      </c>
    </row>
    <row r="24" spans="1:7" s="9" customFormat="1" ht="30" x14ac:dyDescent="0.25">
      <c r="A24" s="9" t="s">
        <v>9</v>
      </c>
      <c r="B24" s="9" t="s">
        <v>9</v>
      </c>
      <c r="C24" s="9" t="s">
        <v>842</v>
      </c>
      <c r="D24" s="9" t="s">
        <v>978</v>
      </c>
      <c r="E24" s="12" t="s">
        <v>979</v>
      </c>
      <c r="F24" s="70">
        <f>SUM(F25*F26)</f>
        <v>16.04</v>
      </c>
    </row>
    <row r="25" spans="1:7" ht="30" x14ac:dyDescent="0.25">
      <c r="A25" t="s">
        <v>8</v>
      </c>
      <c r="B25" s="4" t="s">
        <v>8</v>
      </c>
      <c r="C25" t="s">
        <v>159</v>
      </c>
      <c r="D25" t="s">
        <v>980</v>
      </c>
      <c r="E25" s="4" t="s">
        <v>981</v>
      </c>
      <c r="F25" s="13">
        <v>1</v>
      </c>
    </row>
    <row r="26" spans="1:7" s="9" customFormat="1" x14ac:dyDescent="0.25">
      <c r="A26" s="9" t="s">
        <v>9</v>
      </c>
      <c r="B26" s="9" t="s">
        <v>9</v>
      </c>
      <c r="C26" s="9" t="s">
        <v>842</v>
      </c>
      <c r="D26" s="9" t="s">
        <v>982</v>
      </c>
      <c r="E26" s="9" t="s">
        <v>983</v>
      </c>
      <c r="F26" s="70">
        <f>16.04</f>
        <v>16.04</v>
      </c>
    </row>
    <row r="27" spans="1:7" s="9" customFormat="1" x14ac:dyDescent="0.25">
      <c r="A27" s="9" t="s">
        <v>9</v>
      </c>
      <c r="B27" s="9" t="s">
        <v>9</v>
      </c>
      <c r="C27" s="9" t="s">
        <v>842</v>
      </c>
      <c r="D27" s="9" t="s">
        <v>984</v>
      </c>
      <c r="E27" s="12" t="s">
        <v>985</v>
      </c>
      <c r="F27" s="9" t="s">
        <v>986</v>
      </c>
    </row>
    <row r="28" spans="1:7" s="9" customFormat="1" ht="30" x14ac:dyDescent="0.25">
      <c r="A28" s="9" t="s">
        <v>9</v>
      </c>
      <c r="B28" s="9" t="s">
        <v>9</v>
      </c>
      <c r="C28" s="9" t="s">
        <v>842</v>
      </c>
      <c r="D28" s="9" t="s">
        <v>987</v>
      </c>
      <c r="E28" s="12" t="s">
        <v>988</v>
      </c>
      <c r="F28" s="70">
        <f>F29*F30*F31</f>
        <v>16.040000000000003</v>
      </c>
    </row>
    <row r="29" spans="1:7" s="9" customFormat="1" ht="30" x14ac:dyDescent="0.25">
      <c r="A29" s="9" t="s">
        <v>9</v>
      </c>
      <c r="B29" s="9" t="s">
        <v>9</v>
      </c>
      <c r="C29" s="9" t="s">
        <v>842</v>
      </c>
      <c r="D29" s="9" t="s">
        <v>989</v>
      </c>
      <c r="E29" s="12" t="s">
        <v>990</v>
      </c>
      <c r="F29" s="70">
        <f>F36/F37</f>
        <v>22.412722427831234</v>
      </c>
    </row>
    <row r="30" spans="1:7" ht="45" x14ac:dyDescent="0.25">
      <c r="A30" t="s">
        <v>8</v>
      </c>
      <c r="B30" t="s">
        <v>8</v>
      </c>
      <c r="C30" t="s">
        <v>159</v>
      </c>
      <c r="D30" t="s">
        <v>991</v>
      </c>
      <c r="E30" s="4" t="s">
        <v>992</v>
      </c>
      <c r="F30" s="13">
        <v>1</v>
      </c>
    </row>
    <row r="31" spans="1:7" s="9" customFormat="1" ht="45" x14ac:dyDescent="0.25">
      <c r="A31" s="9" t="s">
        <v>9</v>
      </c>
      <c r="B31" s="9" t="s">
        <v>9</v>
      </c>
      <c r="C31" s="9" t="s">
        <v>842</v>
      </c>
      <c r="D31" s="9" t="s">
        <v>993</v>
      </c>
      <c r="E31" s="12" t="s">
        <v>994</v>
      </c>
      <c r="F31" s="70">
        <f>(F32*F34)/(F35*F33)</f>
        <v>0.71566495554695142</v>
      </c>
    </row>
    <row r="32" spans="1:7" s="9" customFormat="1" x14ac:dyDescent="0.25">
      <c r="A32" s="9" t="s">
        <v>9</v>
      </c>
      <c r="B32" s="9" t="s">
        <v>9</v>
      </c>
      <c r="C32" s="9" t="s">
        <v>842</v>
      </c>
      <c r="E32" s="12" t="s">
        <v>995</v>
      </c>
      <c r="F32" s="70">
        <f>101325</f>
        <v>101325</v>
      </c>
    </row>
    <row r="33" spans="1:7" s="9" customFormat="1" x14ac:dyDescent="0.25">
      <c r="A33" s="9" t="s">
        <v>9</v>
      </c>
      <c r="B33" s="9" t="s">
        <v>9</v>
      </c>
      <c r="C33" s="9" t="s">
        <v>842</v>
      </c>
      <c r="D33" s="9" t="s">
        <v>996</v>
      </c>
      <c r="E33" s="12" t="s">
        <v>997</v>
      </c>
      <c r="F33" s="70">
        <f>273.15</f>
        <v>273.14999999999998</v>
      </c>
    </row>
    <row r="34" spans="1:7" s="9" customFormat="1" x14ac:dyDescent="0.25">
      <c r="A34" s="9" t="s">
        <v>9</v>
      </c>
      <c r="B34" s="9" t="s">
        <v>9</v>
      </c>
      <c r="C34" s="9" t="s">
        <v>842</v>
      </c>
      <c r="D34" s="9" t="s">
        <v>998</v>
      </c>
      <c r="E34" s="12" t="s">
        <v>999</v>
      </c>
      <c r="F34" s="70">
        <f>16.04</f>
        <v>16.04</v>
      </c>
    </row>
    <row r="35" spans="1:7" s="9" customFormat="1" x14ac:dyDescent="0.25">
      <c r="A35" s="9" t="s">
        <v>9</v>
      </c>
      <c r="B35" s="9" t="s">
        <v>9</v>
      </c>
      <c r="C35" s="9" t="s">
        <v>842</v>
      </c>
      <c r="D35" s="9" t="s">
        <v>1000</v>
      </c>
      <c r="E35" s="12" t="s">
        <v>1001</v>
      </c>
      <c r="F35" s="70">
        <f>8314</f>
        <v>8314</v>
      </c>
    </row>
    <row r="36" spans="1:7" ht="30" x14ac:dyDescent="0.25">
      <c r="A36" t="s">
        <v>8</v>
      </c>
      <c r="B36" t="s">
        <v>8</v>
      </c>
      <c r="C36" t="s">
        <v>159</v>
      </c>
      <c r="D36" t="s">
        <v>1002</v>
      </c>
      <c r="E36" s="4" t="s">
        <v>1003</v>
      </c>
      <c r="F36" s="13">
        <v>1</v>
      </c>
    </row>
    <row r="37" spans="1:7" s="9" customFormat="1" ht="30" x14ac:dyDescent="0.25">
      <c r="A37" s="9" t="s">
        <v>9</v>
      </c>
      <c r="B37" s="9" t="s">
        <v>9</v>
      </c>
      <c r="C37" s="9" t="s">
        <v>842</v>
      </c>
      <c r="D37" s="9" t="s">
        <v>1004</v>
      </c>
      <c r="E37" s="12" t="s">
        <v>1005</v>
      </c>
      <c r="F37" s="70">
        <f>(F32*F38)/(F35*F33)</f>
        <v>4.4617515931854826E-2</v>
      </c>
    </row>
    <row r="38" spans="1:7" ht="45" x14ac:dyDescent="0.25">
      <c r="A38" t="s">
        <v>8</v>
      </c>
      <c r="B38" t="s">
        <v>8</v>
      </c>
      <c r="C38" t="s">
        <v>159</v>
      </c>
      <c r="D38" t="s">
        <v>1006</v>
      </c>
      <c r="E38" s="4" t="s">
        <v>1007</v>
      </c>
      <c r="F38" s="13">
        <v>1</v>
      </c>
    </row>
    <row r="39" spans="1:7" ht="30" x14ac:dyDescent="0.25">
      <c r="A39" t="s">
        <v>8</v>
      </c>
      <c r="B39" t="s">
        <v>8</v>
      </c>
      <c r="C39" t="s">
        <v>159</v>
      </c>
      <c r="D39" t="s">
        <v>1008</v>
      </c>
      <c r="E39" s="4" t="s">
        <v>1009</v>
      </c>
      <c r="F39" s="13">
        <v>1</v>
      </c>
    </row>
    <row r="40" spans="1:7" x14ac:dyDescent="0.25">
      <c r="A40" t="s">
        <v>8</v>
      </c>
      <c r="B40" t="s">
        <v>8</v>
      </c>
      <c r="C40" t="s">
        <v>10</v>
      </c>
      <c r="D40" t="s">
        <v>1010</v>
      </c>
      <c r="E40" s="4" t="s">
        <v>1011</v>
      </c>
      <c r="F40" t="s">
        <v>1012</v>
      </c>
    </row>
    <row r="41" spans="1:7" s="14" customFormat="1" ht="18.75" x14ac:dyDescent="0.3">
      <c r="A41" s="137"/>
      <c r="B41" s="138"/>
      <c r="C41" s="138"/>
      <c r="D41" s="138"/>
      <c r="E41" s="137" t="s">
        <v>1013</v>
      </c>
      <c r="F41" s="138"/>
    </row>
    <row r="42" spans="1:7" s="9" customFormat="1" ht="30" x14ac:dyDescent="0.25">
      <c r="A42" s="9" t="s">
        <v>9</v>
      </c>
      <c r="B42" s="9" t="s">
        <v>9</v>
      </c>
      <c r="C42" s="9" t="s">
        <v>842</v>
      </c>
      <c r="D42" s="9" t="s">
        <v>1014</v>
      </c>
      <c r="E42" s="12" t="s">
        <v>1015</v>
      </c>
      <c r="F42" s="70">
        <f>F43*F44*F45</f>
        <v>0</v>
      </c>
    </row>
    <row r="43" spans="1:7" ht="30" x14ac:dyDescent="0.25">
      <c r="A43" t="s">
        <v>8</v>
      </c>
      <c r="B43" t="s">
        <v>8</v>
      </c>
      <c r="C43" t="s">
        <v>159</v>
      </c>
      <c r="D43" t="s">
        <v>1016</v>
      </c>
      <c r="E43" s="4" t="s">
        <v>1017</v>
      </c>
    </row>
    <row r="44" spans="1:7" s="9" customFormat="1" ht="30" x14ac:dyDescent="0.25">
      <c r="A44" s="9" t="s">
        <v>9</v>
      </c>
      <c r="B44" s="9" t="s">
        <v>9</v>
      </c>
      <c r="C44" s="9" t="s">
        <v>842</v>
      </c>
      <c r="D44" s="9" t="s">
        <v>1018</v>
      </c>
      <c r="E44" s="12" t="s">
        <v>1019</v>
      </c>
      <c r="F44" s="70">
        <v>0.6</v>
      </c>
    </row>
    <row r="45" spans="1:7" s="9" customFormat="1" ht="30" x14ac:dyDescent="0.25">
      <c r="A45" s="9" t="s">
        <v>9</v>
      </c>
      <c r="B45" s="9" t="s">
        <v>9</v>
      </c>
      <c r="C45" s="9" t="s">
        <v>842</v>
      </c>
      <c r="D45" s="9" t="s">
        <v>1020</v>
      </c>
      <c r="E45" s="12" t="s">
        <v>1021</v>
      </c>
      <c r="F45" s="70">
        <v>6.7000000000000002E-4</v>
      </c>
    </row>
    <row r="46" spans="1:7" s="14" customFormat="1" ht="18.75" x14ac:dyDescent="0.3">
      <c r="A46" s="137"/>
      <c r="B46" s="138"/>
      <c r="C46" s="138"/>
      <c r="D46" s="138"/>
      <c r="E46" s="137" t="s">
        <v>1022</v>
      </c>
      <c r="F46" s="138"/>
    </row>
    <row r="47" spans="1:7" s="9" customFormat="1" ht="30" x14ac:dyDescent="0.25">
      <c r="A47" s="9" t="s">
        <v>9</v>
      </c>
      <c r="B47" s="9" t="s">
        <v>9</v>
      </c>
      <c r="C47" s="9" t="s">
        <v>842</v>
      </c>
      <c r="D47" s="9" t="s">
        <v>960</v>
      </c>
      <c r="E47" s="12" t="s">
        <v>670</v>
      </c>
      <c r="F47" s="70">
        <f>'Tool 05.1'!G6</f>
        <v>0.73499999999999999</v>
      </c>
      <c r="G47" s="70" t="s">
        <v>1023</v>
      </c>
    </row>
    <row r="48" spans="1:7" s="14" customFormat="1" ht="18.75" x14ac:dyDescent="0.3">
      <c r="A48" s="137"/>
      <c r="B48" s="138"/>
      <c r="C48" s="138"/>
      <c r="D48" s="138"/>
      <c r="E48" s="137" t="s">
        <v>1024</v>
      </c>
      <c r="F48" s="138"/>
    </row>
    <row r="49" spans="1:7" s="9" customFormat="1" ht="30" x14ac:dyDescent="0.25">
      <c r="A49" s="9" t="s">
        <v>9</v>
      </c>
      <c r="B49" s="9" t="s">
        <v>9</v>
      </c>
      <c r="C49" s="9" t="s">
        <v>842</v>
      </c>
      <c r="D49" s="9" t="s">
        <v>960</v>
      </c>
      <c r="E49" s="12" t="s">
        <v>1025</v>
      </c>
      <c r="F49" s="70">
        <f>F50*F52*F53</f>
        <v>0</v>
      </c>
    </row>
    <row r="50" spans="1:7" ht="30" x14ac:dyDescent="0.25">
      <c r="A50" s="5" t="s">
        <v>8</v>
      </c>
      <c r="B50" s="5" t="s">
        <v>8</v>
      </c>
      <c r="C50" t="s">
        <v>159</v>
      </c>
      <c r="D50" t="s">
        <v>1014</v>
      </c>
      <c r="E50" s="4" t="s">
        <v>1026</v>
      </c>
    </row>
    <row r="51" spans="1:7" s="146" customFormat="1" ht="165" x14ac:dyDescent="0.25">
      <c r="A51" s="145"/>
      <c r="B51" s="145"/>
      <c r="C51" s="146" t="s">
        <v>750</v>
      </c>
      <c r="D51" s="146" t="s">
        <v>4</v>
      </c>
      <c r="E51" s="147" t="s">
        <v>1027</v>
      </c>
      <c r="F51" s="146" t="s">
        <v>516</v>
      </c>
    </row>
    <row r="52" spans="1:7" s="9" customFormat="1" ht="45" x14ac:dyDescent="0.25">
      <c r="A52" s="9" t="s">
        <v>9</v>
      </c>
      <c r="B52" s="9" t="s">
        <v>9</v>
      </c>
      <c r="C52" s="9" t="s">
        <v>842</v>
      </c>
      <c r="D52" s="9" t="s">
        <v>1028</v>
      </c>
      <c r="E52" s="79" t="s">
        <v>1029</v>
      </c>
      <c r="F52" s="102">
        <f>IF(AND(F51="Option A"),0,IF(AND(F51="Option B"),0.01,IF(AND(F51="Option C"),1.02,IF(AND(F51="Option D"),1.54,IF(AND(F51="Option E"),0)))))</f>
        <v>0.01</v>
      </c>
      <c r="G52" s="12" t="s">
        <v>1030</v>
      </c>
    </row>
    <row r="53" spans="1:7" s="9" customFormat="1" ht="30" x14ac:dyDescent="0.25">
      <c r="A53" s="9" t="s">
        <v>9</v>
      </c>
      <c r="B53" s="9" t="s">
        <v>9</v>
      </c>
      <c r="C53" s="9" t="s">
        <v>842</v>
      </c>
      <c r="D53" s="9" t="s">
        <v>1031</v>
      </c>
      <c r="E53" s="12" t="s">
        <v>1032</v>
      </c>
      <c r="F53" s="70">
        <v>1.3</v>
      </c>
    </row>
    <row r="54" spans="1:7" s="14" customFormat="1" ht="18.75" x14ac:dyDescent="0.3">
      <c r="A54" s="137"/>
      <c r="B54" s="138"/>
      <c r="C54" s="138"/>
      <c r="D54" s="138"/>
      <c r="E54" s="137" t="s">
        <v>1033</v>
      </c>
      <c r="F54" s="138"/>
    </row>
    <row r="55" spans="1:7" s="9" customFormat="1" ht="30" x14ac:dyDescent="0.25">
      <c r="A55" s="9" t="s">
        <v>9</v>
      </c>
      <c r="B55" s="9" t="s">
        <v>9</v>
      </c>
      <c r="C55" s="9" t="s">
        <v>842</v>
      </c>
      <c r="D55" s="9" t="s">
        <v>862</v>
      </c>
      <c r="E55" s="12" t="s">
        <v>670</v>
      </c>
      <c r="F55" s="70">
        <f>'Tool 03'!G3</f>
        <v>73.333333333333329</v>
      </c>
      <c r="G55" s="70" t="s">
        <v>1034</v>
      </c>
    </row>
    <row r="56" spans="1:7" s="14" customFormat="1" ht="18.75" x14ac:dyDescent="0.3">
      <c r="A56" s="137"/>
      <c r="B56" s="138"/>
      <c r="C56" s="138"/>
      <c r="D56" s="138"/>
      <c r="E56" s="137" t="s">
        <v>1035</v>
      </c>
      <c r="F56" s="138"/>
    </row>
    <row r="57" spans="1:7" s="9" customFormat="1" ht="30" x14ac:dyDescent="0.25">
      <c r="A57" s="9" t="s">
        <v>9</v>
      </c>
      <c r="B57" s="9" t="s">
        <v>9</v>
      </c>
      <c r="C57" s="9" t="s">
        <v>842</v>
      </c>
      <c r="D57" s="9" t="s">
        <v>1036</v>
      </c>
      <c r="E57" s="12" t="s">
        <v>964</v>
      </c>
      <c r="F57" s="70">
        <f>F58*F60*F61</f>
        <v>0</v>
      </c>
    </row>
    <row r="58" spans="1:7" ht="30" x14ac:dyDescent="0.25">
      <c r="A58" s="5" t="s">
        <v>8</v>
      </c>
      <c r="B58" s="5" t="s">
        <v>8</v>
      </c>
      <c r="C58" t="s">
        <v>159</v>
      </c>
      <c r="D58" t="s">
        <v>1014</v>
      </c>
      <c r="E58" s="4" t="s">
        <v>1026</v>
      </c>
    </row>
    <row r="59" spans="1:7" s="146" customFormat="1" ht="180" x14ac:dyDescent="0.25">
      <c r="A59" s="145"/>
      <c r="B59" s="145"/>
      <c r="E59" s="147" t="s">
        <v>1037</v>
      </c>
      <c r="F59" s="146" t="s">
        <v>487</v>
      </c>
    </row>
    <row r="60" spans="1:7" s="9" customFormat="1" ht="30" x14ac:dyDescent="0.25">
      <c r="A60" s="9" t="s">
        <v>9</v>
      </c>
      <c r="B60" s="9" t="s">
        <v>9</v>
      </c>
      <c r="C60" s="9" t="s">
        <v>842</v>
      </c>
      <c r="D60" s="9" t="s">
        <v>1038</v>
      </c>
      <c r="E60" s="12" t="s">
        <v>1039</v>
      </c>
      <c r="F60" s="102">
        <f>IF(AND(F59="Option A"),0.028,IF(AND(F59="Option B"),0.05,IF(AND(F59="Option C"),0.1,IF(AND(F59="Option D"),0.01))))</f>
        <v>2.8000000000000001E-2</v>
      </c>
      <c r="G60" s="12" t="s">
        <v>1040</v>
      </c>
    </row>
    <row r="61" spans="1:7" s="9" customFormat="1" x14ac:dyDescent="0.25">
      <c r="A61" s="9" t="s">
        <v>9</v>
      </c>
      <c r="B61" s="9" t="s">
        <v>9</v>
      </c>
      <c r="C61" s="9" t="s">
        <v>842</v>
      </c>
      <c r="D61" s="9" t="s">
        <v>1041</v>
      </c>
      <c r="E61" s="12" t="s">
        <v>1042</v>
      </c>
      <c r="F61" s="70">
        <v>21</v>
      </c>
    </row>
    <row r="62" spans="1:7" s="14" customFormat="1" ht="18.75" x14ac:dyDescent="0.3">
      <c r="A62" s="137"/>
      <c r="B62" s="138"/>
      <c r="C62" s="138"/>
      <c r="D62" s="138"/>
      <c r="E62" s="137" t="s">
        <v>1043</v>
      </c>
      <c r="F62" s="138"/>
    </row>
    <row r="63" spans="1:7" s="9" customFormat="1" ht="30" x14ac:dyDescent="0.25">
      <c r="A63" s="9" t="s">
        <v>9</v>
      </c>
      <c r="B63" s="9" t="s">
        <v>9</v>
      </c>
      <c r="C63" s="9" t="s">
        <v>842</v>
      </c>
      <c r="D63" s="9" t="s">
        <v>1044</v>
      </c>
      <c r="E63" s="12" t="s">
        <v>1045</v>
      </c>
      <c r="F63" s="70">
        <f>'Tool 06'!F69</f>
        <v>20523.291091650441</v>
      </c>
      <c r="G63" s="70" t="s">
        <v>1046</v>
      </c>
    </row>
    <row r="64" spans="1:7" s="14" customFormat="1" ht="18.75" x14ac:dyDescent="0.3">
      <c r="A64" s="137"/>
      <c r="B64" s="138"/>
      <c r="C64" s="138"/>
      <c r="D64" s="138"/>
      <c r="E64" s="137" t="s">
        <v>1047</v>
      </c>
      <c r="F64" s="138"/>
    </row>
    <row r="65" spans="1:7" s="9" customFormat="1" ht="30" x14ac:dyDescent="0.25">
      <c r="A65" s="9" t="s">
        <v>9</v>
      </c>
      <c r="B65" s="9" t="s">
        <v>9</v>
      </c>
      <c r="C65" s="9" t="s">
        <v>842</v>
      </c>
      <c r="D65" s="9" t="s">
        <v>1048</v>
      </c>
      <c r="E65" s="12" t="s">
        <v>1049</v>
      </c>
      <c r="F65" s="70">
        <f>F66+F67</f>
        <v>95.130333333333326</v>
      </c>
    </row>
    <row r="66" spans="1:7" s="9" customFormat="1" ht="30" x14ac:dyDescent="0.25">
      <c r="A66" s="9" t="s">
        <v>9</v>
      </c>
      <c r="B66" s="9" t="s">
        <v>9</v>
      </c>
      <c r="C66" s="9" t="s">
        <v>842</v>
      </c>
      <c r="D66" s="9" t="s">
        <v>1050</v>
      </c>
      <c r="E66" s="12" t="s">
        <v>1051</v>
      </c>
      <c r="F66" s="148">
        <f>IF(AND(F10="Option 3"),0,IF(AND(F10="Option 1",F11="Monitored Data"),F69,IF(AND(F11="Default Values",F10="Option 1"),F77,IF(AND(F11="Default Values",F10="Option 2"),F83,IF(AND(F10="Option 2",F11="Monitored Data"),F89)))))</f>
        <v>0</v>
      </c>
      <c r="G66" s="149"/>
    </row>
    <row r="67" spans="1:7" s="9" customFormat="1" ht="30" x14ac:dyDescent="0.25">
      <c r="A67" s="9" t="s">
        <v>9</v>
      </c>
      <c r="B67" s="9" t="s">
        <v>9</v>
      </c>
      <c r="C67" s="9" t="s">
        <v>842</v>
      </c>
      <c r="D67" s="9" t="s">
        <v>1052</v>
      </c>
      <c r="E67" s="12" t="s">
        <v>1053</v>
      </c>
      <c r="F67" s="102">
        <f>'Tool 13'!G3</f>
        <v>95.130333333333326</v>
      </c>
      <c r="G67" s="9" t="s">
        <v>44</v>
      </c>
    </row>
    <row r="68" spans="1:7" s="14" customFormat="1" ht="18.75" x14ac:dyDescent="0.3">
      <c r="A68" s="137"/>
      <c r="B68" s="138"/>
      <c r="C68" s="138"/>
      <c r="D68" s="138"/>
      <c r="E68" s="137" t="s">
        <v>1054</v>
      </c>
      <c r="F68" s="138"/>
    </row>
    <row r="69" spans="1:7" s="9" customFormat="1" ht="30" x14ac:dyDescent="0.25">
      <c r="A69" s="9" t="s">
        <v>9</v>
      </c>
      <c r="B69" s="9" t="s">
        <v>9</v>
      </c>
      <c r="C69" s="9" t="s">
        <v>842</v>
      </c>
      <c r="D69" s="9" t="s">
        <v>1050</v>
      </c>
      <c r="E69" s="12" t="s">
        <v>1051</v>
      </c>
      <c r="F69" s="70">
        <f>F70*F71*F72*F74*F75</f>
        <v>4.2</v>
      </c>
    </row>
    <row r="70" spans="1:7" ht="30" x14ac:dyDescent="0.25">
      <c r="A70" t="s">
        <v>8</v>
      </c>
      <c r="B70" t="s">
        <v>8</v>
      </c>
      <c r="C70" t="s">
        <v>159</v>
      </c>
      <c r="D70" t="s">
        <v>1055</v>
      </c>
      <c r="E70" s="4" t="s">
        <v>1056</v>
      </c>
      <c r="F70" s="13">
        <v>1</v>
      </c>
    </row>
    <row r="71" spans="1:7" ht="30" x14ac:dyDescent="0.25">
      <c r="A71" t="s">
        <v>8</v>
      </c>
      <c r="B71" t="s">
        <v>8</v>
      </c>
      <c r="C71" t="s">
        <v>159</v>
      </c>
      <c r="D71" t="s">
        <v>1057</v>
      </c>
      <c r="E71" s="4" t="s">
        <v>1058</v>
      </c>
      <c r="F71" s="13">
        <v>1</v>
      </c>
    </row>
    <row r="72" spans="1:7" s="9" customFormat="1" ht="30" x14ac:dyDescent="0.25">
      <c r="A72" s="9" t="s">
        <v>143</v>
      </c>
      <c r="B72" s="9" t="s">
        <v>9</v>
      </c>
      <c r="C72" s="9" t="s">
        <v>842</v>
      </c>
      <c r="D72" s="9" t="s">
        <v>1059</v>
      </c>
      <c r="E72" s="12" t="s">
        <v>1060</v>
      </c>
      <c r="F72" s="70">
        <f>0.25</f>
        <v>0.25</v>
      </c>
    </row>
    <row r="73" spans="1:7" s="10" customFormat="1" ht="30" x14ac:dyDescent="0.25">
      <c r="A73" s="10" t="s">
        <v>8</v>
      </c>
      <c r="B73" s="10" t="s">
        <v>9</v>
      </c>
      <c r="C73" s="10" t="s">
        <v>515</v>
      </c>
      <c r="D73" s="10" t="s">
        <v>1061</v>
      </c>
      <c r="E73" s="11" t="s">
        <v>1062</v>
      </c>
      <c r="F73" s="11" t="s">
        <v>1063</v>
      </c>
      <c r="G73" s="11"/>
    </row>
    <row r="74" spans="1:7" s="9" customFormat="1" x14ac:dyDescent="0.25">
      <c r="A74" s="9" t="s">
        <v>9</v>
      </c>
      <c r="B74" s="9" t="s">
        <v>9</v>
      </c>
      <c r="C74" s="9" t="s">
        <v>842</v>
      </c>
      <c r="D74" s="9" t="s">
        <v>1061</v>
      </c>
      <c r="E74" s="12" t="s">
        <v>1064</v>
      </c>
      <c r="F74" s="102">
        <f>IF(AND(F73="≥ 2 m"),0.8,IF(AND(F73="&lt; 2 m and ≥ 1 m"),0.2,IF(AND(F73="&lt; 1 m"),0)))</f>
        <v>0.8</v>
      </c>
      <c r="G74" s="12" t="s">
        <v>1065</v>
      </c>
    </row>
    <row r="75" spans="1:7" s="9" customFormat="1" x14ac:dyDescent="0.25">
      <c r="A75" s="9" t="s">
        <v>9</v>
      </c>
      <c r="B75" s="9" t="s">
        <v>9</v>
      </c>
      <c r="C75" s="9" t="s">
        <v>842</v>
      </c>
      <c r="D75" s="9" t="s">
        <v>1041</v>
      </c>
      <c r="E75" s="12" t="s">
        <v>1042</v>
      </c>
      <c r="F75" s="70">
        <f>21</f>
        <v>21</v>
      </c>
    </row>
    <row r="76" spans="1:7" s="14" customFormat="1" ht="18.75" x14ac:dyDescent="0.3">
      <c r="A76" s="137"/>
      <c r="B76" s="138"/>
      <c r="C76" s="138"/>
      <c r="D76" s="138"/>
      <c r="E76" s="137" t="s">
        <v>1066</v>
      </c>
      <c r="F76" s="138"/>
    </row>
    <row r="77" spans="1:7" s="9" customFormat="1" ht="30" x14ac:dyDescent="0.25">
      <c r="A77" s="9" t="s">
        <v>9</v>
      </c>
      <c r="B77" s="9" t="s">
        <v>9</v>
      </c>
      <c r="C77" s="9" t="s">
        <v>842</v>
      </c>
      <c r="D77" s="9" t="s">
        <v>1050</v>
      </c>
      <c r="E77" s="12" t="s">
        <v>1051</v>
      </c>
      <c r="F77" s="70">
        <f>F79*F80*F81</f>
        <v>0</v>
      </c>
    </row>
    <row r="78" spans="1:7" s="10" customFormat="1" ht="120" x14ac:dyDescent="0.25">
      <c r="E78" s="11" t="s">
        <v>1067</v>
      </c>
      <c r="F78" s="150" t="s">
        <v>891</v>
      </c>
    </row>
    <row r="79" spans="1:7" s="9" customFormat="1" ht="30" x14ac:dyDescent="0.25">
      <c r="A79" s="9" t="s">
        <v>8</v>
      </c>
      <c r="B79" s="9" t="s">
        <v>9</v>
      </c>
      <c r="C79" s="9" t="s">
        <v>515</v>
      </c>
      <c r="D79" s="9" t="s">
        <v>1068</v>
      </c>
      <c r="E79" s="12" t="s">
        <v>1069</v>
      </c>
      <c r="F79" s="102">
        <f>IF(AND(F78="Option 1"),0.1,IF(AND(F78="Option 2"),0.15,IF(AND(F78="Option 3"),0.2,IF(AND(F78="Option 4"),0.05))))</f>
        <v>0.15</v>
      </c>
      <c r="G79" s="12" t="s">
        <v>1070</v>
      </c>
    </row>
    <row r="80" spans="1:7" ht="30" x14ac:dyDescent="0.25">
      <c r="A80" t="s">
        <v>8</v>
      </c>
      <c r="B80" t="s">
        <v>8</v>
      </c>
      <c r="C80" t="s">
        <v>159</v>
      </c>
      <c r="D80" t="s">
        <v>1014</v>
      </c>
      <c r="E80" s="4" t="s">
        <v>1015</v>
      </c>
    </row>
    <row r="81" spans="1:7" s="9" customFormat="1" x14ac:dyDescent="0.25">
      <c r="A81" s="9" t="s">
        <v>9</v>
      </c>
      <c r="B81" s="9" t="s">
        <v>9</v>
      </c>
      <c r="C81" s="9" t="s">
        <v>842</v>
      </c>
      <c r="D81" s="9" t="s">
        <v>1041</v>
      </c>
      <c r="E81" s="12" t="s">
        <v>1042</v>
      </c>
      <c r="F81" s="70">
        <v>21</v>
      </c>
    </row>
    <row r="82" spans="1:7" s="14" customFormat="1" ht="18.75" x14ac:dyDescent="0.3">
      <c r="A82" s="137"/>
      <c r="B82" s="138"/>
      <c r="C82" s="138"/>
      <c r="D82" s="138"/>
      <c r="E82" s="137" t="s">
        <v>1071</v>
      </c>
    </row>
    <row r="83" spans="1:7" s="9" customFormat="1" ht="30" x14ac:dyDescent="0.25">
      <c r="A83" s="9" t="s">
        <v>9</v>
      </c>
      <c r="B83" s="9" t="s">
        <v>9</v>
      </c>
      <c r="C83" s="9" t="s">
        <v>842</v>
      </c>
      <c r="D83" s="9" t="s">
        <v>1050</v>
      </c>
      <c r="E83" s="12" t="s">
        <v>1051</v>
      </c>
      <c r="F83" s="70">
        <f>F85*F86*F87</f>
        <v>0</v>
      </c>
    </row>
    <row r="84" spans="1:7" s="10" customFormat="1" ht="75" x14ac:dyDescent="0.25">
      <c r="E84" s="11" t="s">
        <v>1072</v>
      </c>
      <c r="F84" s="150" t="s">
        <v>847</v>
      </c>
    </row>
    <row r="85" spans="1:7" s="9" customFormat="1" ht="30" x14ac:dyDescent="0.25">
      <c r="A85" s="9" t="s">
        <v>8</v>
      </c>
      <c r="B85" s="9" t="s">
        <v>9</v>
      </c>
      <c r="C85" s="9" t="s">
        <v>515</v>
      </c>
      <c r="D85" s="9" t="s">
        <v>1073</v>
      </c>
      <c r="E85" s="12" t="s">
        <v>1074</v>
      </c>
      <c r="F85" s="102">
        <f>IF(AND(F84="Option 1"),0.15,IF(AND(F84="Option 2"),0.35))</f>
        <v>0.15</v>
      </c>
      <c r="G85" s="12" t="s">
        <v>1075</v>
      </c>
    </row>
    <row r="86" spans="1:7" ht="30" x14ac:dyDescent="0.25">
      <c r="A86" t="s">
        <v>8</v>
      </c>
      <c r="B86" t="s">
        <v>8</v>
      </c>
      <c r="C86" t="s">
        <v>159</v>
      </c>
      <c r="D86" t="s">
        <v>1014</v>
      </c>
      <c r="E86" s="4" t="s">
        <v>1026</v>
      </c>
    </row>
    <row r="87" spans="1:7" s="9" customFormat="1" x14ac:dyDescent="0.25">
      <c r="A87" s="9" t="s">
        <v>9</v>
      </c>
      <c r="B87" s="9" t="s">
        <v>9</v>
      </c>
      <c r="C87" s="9" t="s">
        <v>842</v>
      </c>
      <c r="D87" s="9" t="s">
        <v>1041</v>
      </c>
      <c r="E87" s="12" t="s">
        <v>1076</v>
      </c>
      <c r="F87" s="70">
        <f>21</f>
        <v>21</v>
      </c>
    </row>
    <row r="88" spans="1:7" s="14" customFormat="1" ht="18.75" x14ac:dyDescent="0.3">
      <c r="A88" s="137"/>
      <c r="B88" s="138"/>
      <c r="C88" s="138"/>
      <c r="D88" s="138"/>
      <c r="E88" s="137" t="s">
        <v>1077</v>
      </c>
    </row>
    <row r="89" spans="1:7" s="9" customFormat="1" ht="30" x14ac:dyDescent="0.25">
      <c r="A89" s="9" t="s">
        <v>9</v>
      </c>
      <c r="B89" s="9" t="s">
        <v>9</v>
      </c>
      <c r="C89" s="9" t="s">
        <v>842</v>
      </c>
      <c r="D89" s="9" t="s">
        <v>1050</v>
      </c>
      <c r="E89" s="12" t="s">
        <v>1051</v>
      </c>
      <c r="F89" s="70" t="e">
        <f>'Tool 04-SWDS-Yearly'!C86</f>
        <v>#DIV/0!</v>
      </c>
      <c r="G89" s="9" t="s">
        <v>42</v>
      </c>
    </row>
  </sheetData>
  <dataValidations count="9">
    <dataValidation type="list" allowBlank="1" showInputMessage="1" showErrorMessage="1" sqref="F84" xr:uid="{3C64B4D2-FD46-4069-9B83-39B5396D3EF3}">
      <formula1>"Option 1,Option 2"</formula1>
    </dataValidation>
    <dataValidation type="list" allowBlank="1" showInputMessage="1" showErrorMessage="1" sqref="F78" xr:uid="{083D2270-D006-4C25-8801-C6CD4A0E8539}">
      <formula1>"Option 1,Option 2,Option 3,Option 4"</formula1>
    </dataValidation>
    <dataValidation type="list" allowBlank="1" showInputMessage="1" showErrorMessage="1" sqref="F73" xr:uid="{69D90FCF-0B2F-4965-8028-38EFA636A1F6}">
      <formula1>"≥ 2 m, &lt; 2 m and ≥ 1 m, &lt; 1 m"</formula1>
    </dataValidation>
    <dataValidation type="list" allowBlank="1" showInputMessage="1" showErrorMessage="1" sqref="F59" xr:uid="{6F666E72-2C9F-4AAA-AF98-5A686E80B22B}">
      <formula1>"Option A,Option B,Option C,Option D"</formula1>
    </dataValidation>
    <dataValidation type="list" allowBlank="1" showInputMessage="1" showErrorMessage="1" sqref="F51" xr:uid="{8F4447C5-064D-4921-A82D-006A605DAA9E}">
      <formula1>"Option A,Option B,Option C,Option D,Option E"</formula1>
    </dataValidation>
    <dataValidation type="list" allowBlank="1" showInputMessage="1" showErrorMessage="1" sqref="F10" xr:uid="{703E2FD1-58E6-4938-8730-5383341710AD}">
      <formula1>"Option 1,Option 2,Option 3"</formula1>
    </dataValidation>
    <dataValidation type="list" allowBlank="1" showInputMessage="1" showErrorMessage="1" sqref="F6:F7" xr:uid="{17508B86-B65C-4F53-921C-CCD521B2DAF5}">
      <formula1>"Yes,No"</formula1>
    </dataValidation>
    <dataValidation type="list" allowBlank="1" showInputMessage="1" showErrorMessage="1" sqref="F4 F8 F11" xr:uid="{C95B2A12-EA54-4AD3-859B-E1EE502B2820}">
      <formula1>"Default Values,Monitored Data"</formula1>
    </dataValidation>
    <dataValidation type="list" allowBlank="1" showInputMessage="1" showErrorMessage="1" sqref="F3" xr:uid="{E8A6E2E3-BA2F-498B-9964-9CEAC3A52184}">
      <formula1>"Small-scale,Large-scale"</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8E7DE-4C79-4E5D-AB6A-E82D39E6F7BC}">
  <dimension ref="A1:H137"/>
  <sheetViews>
    <sheetView topLeftCell="A109" workbookViewId="0">
      <selection activeCell="C119" sqref="C119"/>
    </sheetView>
  </sheetViews>
  <sheetFormatPr defaultRowHeight="15" x14ac:dyDescent="0.25"/>
  <cols>
    <col min="1" max="1" width="28.140625" customWidth="1"/>
    <col min="2" max="2" width="91.5703125" style="4" customWidth="1"/>
    <col min="3" max="3" width="36.85546875" customWidth="1"/>
    <col min="5" max="5" width="11.7109375" customWidth="1"/>
    <col min="6" max="6" width="8.85546875" customWidth="1"/>
    <col min="7" max="7" width="14.7109375" customWidth="1"/>
  </cols>
  <sheetData>
    <row r="1" spans="2:8" x14ac:dyDescent="0.25">
      <c r="C1" t="s">
        <v>5</v>
      </c>
      <c r="D1" t="s">
        <v>138</v>
      </c>
      <c r="E1" t="s">
        <v>2</v>
      </c>
      <c r="F1" t="s">
        <v>6</v>
      </c>
      <c r="G1" t="s">
        <v>202</v>
      </c>
      <c r="H1" t="s">
        <v>135</v>
      </c>
    </row>
    <row r="2" spans="2:8" s="14" customFormat="1" ht="18.75" x14ac:dyDescent="0.3">
      <c r="B2" s="40" t="s">
        <v>141</v>
      </c>
    </row>
    <row r="3" spans="2:8" x14ac:dyDescent="0.25">
      <c r="B3" s="4" t="s">
        <v>203</v>
      </c>
      <c r="C3" t="s">
        <v>204</v>
      </c>
      <c r="D3" t="s">
        <v>8</v>
      </c>
      <c r="E3" t="s">
        <v>205</v>
      </c>
      <c r="G3" t="s">
        <v>143</v>
      </c>
    </row>
    <row r="4" spans="2:8" ht="30" x14ac:dyDescent="0.25">
      <c r="B4" s="4" t="s">
        <v>206</v>
      </c>
      <c r="C4" t="s">
        <v>8</v>
      </c>
      <c r="D4" t="s">
        <v>8</v>
      </c>
      <c r="E4" t="s">
        <v>205</v>
      </c>
      <c r="G4" t="s">
        <v>143</v>
      </c>
    </row>
    <row r="5" spans="2:8" x14ac:dyDescent="0.25">
      <c r="B5" s="4" t="s">
        <v>207</v>
      </c>
      <c r="C5" t="s">
        <v>8</v>
      </c>
      <c r="D5" t="s">
        <v>8</v>
      </c>
      <c r="E5" t="s">
        <v>205</v>
      </c>
      <c r="G5" t="s">
        <v>143</v>
      </c>
    </row>
    <row r="6" spans="2:8" x14ac:dyDescent="0.25">
      <c r="B6" s="4" t="s">
        <v>208</v>
      </c>
      <c r="C6" t="s">
        <v>9</v>
      </c>
      <c r="D6" t="str">
        <f>IF(C5="Yes","Yes","NA")</f>
        <v>Yes</v>
      </c>
      <c r="E6" t="s">
        <v>205</v>
      </c>
      <c r="G6" t="s">
        <v>143</v>
      </c>
    </row>
    <row r="7" spans="2:8" x14ac:dyDescent="0.25">
      <c r="B7" s="4" t="s">
        <v>209</v>
      </c>
      <c r="C7" t="s">
        <v>9</v>
      </c>
      <c r="D7" t="str">
        <f>IF(C5="Yes","Yes","NA")</f>
        <v>Yes</v>
      </c>
      <c r="E7" t="s">
        <v>205</v>
      </c>
      <c r="G7" t="s">
        <v>143</v>
      </c>
    </row>
    <row r="8" spans="2:8" x14ac:dyDescent="0.25">
      <c r="B8" s="4" t="s">
        <v>210</v>
      </c>
      <c r="C8" t="s">
        <v>9</v>
      </c>
      <c r="D8" t="str">
        <f>IF(C5="Yes","Yes","NA")</f>
        <v>Yes</v>
      </c>
      <c r="E8" t="s">
        <v>205</v>
      </c>
      <c r="G8" t="s">
        <v>143</v>
      </c>
    </row>
    <row r="9" spans="2:8" ht="30" x14ac:dyDescent="0.25">
      <c r="B9" s="4" t="s">
        <v>211</v>
      </c>
      <c r="C9" t="s">
        <v>9</v>
      </c>
      <c r="D9" t="str">
        <f>IF(C5="Yes","Yes","NA")</f>
        <v>Yes</v>
      </c>
      <c r="E9" t="s">
        <v>205</v>
      </c>
      <c r="G9" t="s">
        <v>143</v>
      </c>
    </row>
    <row r="10" spans="2:8" x14ac:dyDescent="0.25">
      <c r="B10" s="4" t="s">
        <v>212</v>
      </c>
      <c r="C10" t="s">
        <v>9</v>
      </c>
      <c r="D10" t="str">
        <f>IF(C5="Yes","Yes","NA")</f>
        <v>Yes</v>
      </c>
      <c r="E10" t="s">
        <v>205</v>
      </c>
      <c r="G10" t="s">
        <v>143</v>
      </c>
    </row>
    <row r="11" spans="2:8" x14ac:dyDescent="0.25">
      <c r="B11" s="4" t="s">
        <v>213</v>
      </c>
      <c r="C11" t="s">
        <v>8</v>
      </c>
      <c r="D11" t="str">
        <f>IF(C5="Yes","Yes","NA")</f>
        <v>Yes</v>
      </c>
      <c r="E11" t="s">
        <v>205</v>
      </c>
      <c r="G11" t="s">
        <v>143</v>
      </c>
    </row>
    <row r="12" spans="2:8" ht="30" x14ac:dyDescent="0.25">
      <c r="B12" s="4" t="s">
        <v>214</v>
      </c>
      <c r="C12" t="s">
        <v>8</v>
      </c>
      <c r="D12" t="str">
        <f>IF(AND(C5="Yes",C11="Yes"),"Yes","NA")</f>
        <v>Yes</v>
      </c>
      <c r="E12" t="s">
        <v>205</v>
      </c>
      <c r="G12" t="s">
        <v>143</v>
      </c>
    </row>
    <row r="13" spans="2:8" ht="30" x14ac:dyDescent="0.25">
      <c r="B13" s="4" t="s">
        <v>215</v>
      </c>
      <c r="D13" t="str">
        <f>IF(AND(C5="Yes",C11="Yes"),"Yes","NA")</f>
        <v>Yes</v>
      </c>
      <c r="E13" t="s">
        <v>216</v>
      </c>
      <c r="G13" t="s">
        <v>143</v>
      </c>
    </row>
    <row r="14" spans="2:8" ht="60" x14ac:dyDescent="0.25">
      <c r="B14" s="4" t="s">
        <v>217</v>
      </c>
      <c r="C14" s="9" t="s">
        <v>218</v>
      </c>
      <c r="D14" t="str">
        <f>IF(AND(C5="Yes",C11="Yes"),"Yes","NA")</f>
        <v>Yes</v>
      </c>
      <c r="E14" t="s">
        <v>173</v>
      </c>
      <c r="G14" t="s">
        <v>143</v>
      </c>
    </row>
    <row r="15" spans="2:8" ht="45" x14ac:dyDescent="0.25">
      <c r="B15" s="4" t="s">
        <v>219</v>
      </c>
      <c r="C15" t="s">
        <v>8</v>
      </c>
      <c r="D15" t="str">
        <f>IF(AND(C5="Yes",C11="Yes"),"Yes","NA")</f>
        <v>Yes</v>
      </c>
      <c r="E15" t="s">
        <v>205</v>
      </c>
      <c r="G15" t="s">
        <v>143</v>
      </c>
    </row>
    <row r="16" spans="2:8" ht="30.75" thickBot="1" x14ac:dyDescent="0.3">
      <c r="B16" s="4" t="s">
        <v>220</v>
      </c>
      <c r="D16" t="str">
        <f>IF(AND(C5="Yes",C11="Yes"),"Yes","NA")</f>
        <v>Yes</v>
      </c>
      <c r="E16" t="s">
        <v>221</v>
      </c>
      <c r="G16" t="s">
        <v>8</v>
      </c>
    </row>
    <row r="17" spans="2:7" s="43" customFormat="1" ht="16.5" thickTop="1" thickBot="1" x14ac:dyDescent="0.3">
      <c r="B17" s="41" t="s">
        <v>222</v>
      </c>
      <c r="C17" s="42" t="str">
        <f>IF(AND(C4="No",C5="No"),"NA",IF(OR(C6="Yes",C7="Yes",C8="Yes",C9="Yes",C10="Yes",C12="No",C15="No"),"NA","Applicable"))</f>
        <v>Applicable</v>
      </c>
      <c r="E17" s="43" t="s">
        <v>223</v>
      </c>
    </row>
    <row r="18" spans="2:7" s="45" customFormat="1" ht="15.75" thickTop="1" x14ac:dyDescent="0.25">
      <c r="B18" s="44" t="s">
        <v>224</v>
      </c>
      <c r="C18" s="45" t="s">
        <v>225</v>
      </c>
      <c r="D18" s="45" t="s">
        <v>8</v>
      </c>
      <c r="E18" s="45" t="s">
        <v>205</v>
      </c>
      <c r="G18" s="45" t="s">
        <v>9</v>
      </c>
    </row>
    <row r="19" spans="2:7" x14ac:dyDescent="0.25">
      <c r="B19" s="4" t="s">
        <v>226</v>
      </c>
      <c r="C19" t="s">
        <v>227</v>
      </c>
      <c r="D19" t="str">
        <f>IF(C18="Project Emissions (PE)","Yes","NA")</f>
        <v>Yes</v>
      </c>
      <c r="E19" t="s">
        <v>205</v>
      </c>
      <c r="G19" t="s">
        <v>9</v>
      </c>
    </row>
    <row r="20" spans="2:7" ht="15" customHeight="1" x14ac:dyDescent="0.25">
      <c r="B20" s="4" t="s">
        <v>228</v>
      </c>
      <c r="C20" t="s">
        <v>229</v>
      </c>
      <c r="D20" t="str">
        <f>IF(AND(C18="Project Emissions (PE)",C19="Included"),"Yes","NA")</f>
        <v>Yes</v>
      </c>
      <c r="E20" t="s">
        <v>205</v>
      </c>
      <c r="G20" t="s">
        <v>9</v>
      </c>
    </row>
    <row r="21" spans="2:7" ht="30" x14ac:dyDescent="0.25">
      <c r="B21" s="4" t="s">
        <v>230</v>
      </c>
      <c r="C21" t="s">
        <v>227</v>
      </c>
      <c r="D21" t="str">
        <f>IF(C18="Project Emissions (PE)","Yes","NA")</f>
        <v>Yes</v>
      </c>
      <c r="E21" t="s">
        <v>205</v>
      </c>
      <c r="F21" t="s">
        <v>231</v>
      </c>
      <c r="G21" t="s">
        <v>9</v>
      </c>
    </row>
    <row r="22" spans="2:7" x14ac:dyDescent="0.25">
      <c r="B22" s="4" t="s">
        <v>232</v>
      </c>
      <c r="C22" t="s">
        <v>227</v>
      </c>
      <c r="D22" t="str">
        <f>IF(C18="Project Emissions (PE)","Yes","NA")</f>
        <v>Yes</v>
      </c>
      <c r="E22" t="s">
        <v>205</v>
      </c>
      <c r="G22" t="s">
        <v>9</v>
      </c>
    </row>
    <row r="23" spans="2:7" ht="30" x14ac:dyDescent="0.25">
      <c r="B23" s="4" t="s">
        <v>233</v>
      </c>
      <c r="C23" t="s">
        <v>227</v>
      </c>
      <c r="D23" t="str">
        <f>IF(C18="Project Emissions (PE)","Yes","NA")</f>
        <v>Yes</v>
      </c>
      <c r="E23" t="s">
        <v>205</v>
      </c>
      <c r="G23" t="s">
        <v>9</v>
      </c>
    </row>
    <row r="24" spans="2:7" x14ac:dyDescent="0.25">
      <c r="B24" s="4" t="s">
        <v>234</v>
      </c>
      <c r="C24" t="s">
        <v>227</v>
      </c>
      <c r="D24" t="str">
        <f>IF(C18="Project Emissions (PE)","Yes","NA")</f>
        <v>Yes</v>
      </c>
      <c r="E24" t="s">
        <v>205</v>
      </c>
      <c r="G24" t="s">
        <v>9</v>
      </c>
    </row>
    <row r="25" spans="2:7" ht="30" x14ac:dyDescent="0.25">
      <c r="B25" s="4" t="s">
        <v>235</v>
      </c>
      <c r="C25" t="s">
        <v>227</v>
      </c>
      <c r="D25" t="str">
        <f>IF(C18="Project Emissions (PE)","Yes","NA")</f>
        <v>Yes</v>
      </c>
      <c r="E25" t="s">
        <v>205</v>
      </c>
      <c r="G25" t="s">
        <v>9</v>
      </c>
    </row>
    <row r="26" spans="2:7" ht="45" customHeight="1" x14ac:dyDescent="0.25">
      <c r="B26" s="4" t="s">
        <v>236</v>
      </c>
      <c r="C26" t="s">
        <v>8</v>
      </c>
      <c r="D26" t="str">
        <f>IF(OR(C24="Included",C25="Included"),"Yes","NA")</f>
        <v>Yes</v>
      </c>
      <c r="E26" t="s">
        <v>205</v>
      </c>
      <c r="G26" t="s">
        <v>9</v>
      </c>
    </row>
    <row r="27" spans="2:7" ht="30" x14ac:dyDescent="0.25">
      <c r="B27" s="4" t="s">
        <v>237</v>
      </c>
      <c r="C27" t="s">
        <v>238</v>
      </c>
      <c r="D27" t="str">
        <f>IF(C18="Leakage Emissions (LE)","Yes","NA")</f>
        <v>NA</v>
      </c>
      <c r="E27" t="s">
        <v>205</v>
      </c>
      <c r="G27" t="s">
        <v>9</v>
      </c>
    </row>
    <row r="28" spans="2:7" ht="30.6" customHeight="1" x14ac:dyDescent="0.25">
      <c r="B28" s="4" t="s">
        <v>239</v>
      </c>
      <c r="C28" t="s">
        <v>9</v>
      </c>
      <c r="D28" t="str">
        <f>IF(C27="Included","Yes","NA")</f>
        <v>NA</v>
      </c>
      <c r="E28" t="s">
        <v>205</v>
      </c>
      <c r="G28" t="s">
        <v>9</v>
      </c>
    </row>
    <row r="29" spans="2:7" ht="43.9" customHeight="1" x14ac:dyDescent="0.25">
      <c r="B29" s="4" t="s">
        <v>240</v>
      </c>
      <c r="C29" t="s">
        <v>9</v>
      </c>
      <c r="D29" t="str">
        <f>IF(C27="Included","Yes","NA")</f>
        <v>NA</v>
      </c>
      <c r="E29" t="s">
        <v>205</v>
      </c>
      <c r="F29" t="s">
        <v>241</v>
      </c>
      <c r="G29" t="s">
        <v>9</v>
      </c>
    </row>
    <row r="30" spans="2:7" ht="30" x14ac:dyDescent="0.25">
      <c r="B30" s="4" t="s">
        <v>242</v>
      </c>
      <c r="C30" t="s">
        <v>238</v>
      </c>
      <c r="D30" t="str">
        <f>IF(C18="Leakage Emissions (LE)","Yes","NA")</f>
        <v>NA</v>
      </c>
      <c r="E30" t="s">
        <v>205</v>
      </c>
      <c r="G30" t="s">
        <v>9</v>
      </c>
    </row>
    <row r="31" spans="2:7" x14ac:dyDescent="0.25">
      <c r="B31" s="4" t="s">
        <v>243</v>
      </c>
      <c r="C31" t="s">
        <v>244</v>
      </c>
      <c r="D31" t="str">
        <f>IF(C30="Included","Yes","NA")</f>
        <v>NA</v>
      </c>
      <c r="E31" t="s">
        <v>205</v>
      </c>
      <c r="G31" t="s">
        <v>9</v>
      </c>
    </row>
    <row r="32" spans="2:7" ht="30" x14ac:dyDescent="0.25">
      <c r="B32" s="4" t="s">
        <v>245</v>
      </c>
      <c r="C32" t="s">
        <v>238</v>
      </c>
      <c r="D32" t="str">
        <f>IF(C18="Leakage Emissions (LE)","Yes","NA")</f>
        <v>NA</v>
      </c>
      <c r="E32" t="s">
        <v>205</v>
      </c>
      <c r="G32" t="s">
        <v>9</v>
      </c>
    </row>
    <row r="33" spans="1:7" ht="30" x14ac:dyDescent="0.25">
      <c r="B33" s="4" t="s">
        <v>246</v>
      </c>
      <c r="C33" t="s">
        <v>238</v>
      </c>
      <c r="D33" t="str">
        <f>IF(C18="Leakage Emissions (LE)","Yes","NA")</f>
        <v>NA</v>
      </c>
      <c r="E33" t="s">
        <v>205</v>
      </c>
      <c r="G33" t="s">
        <v>9</v>
      </c>
    </row>
    <row r="34" spans="1:7" s="46" customFormat="1" ht="37.5" x14ac:dyDescent="0.3">
      <c r="A34" s="46" t="s">
        <v>247</v>
      </c>
      <c r="B34" s="40" t="s">
        <v>248</v>
      </c>
      <c r="D34" s="46" t="str">
        <f>IF(AND(C18="Project Emissions (PE)",C19="Included"),"Yes","NA")</f>
        <v>Yes</v>
      </c>
    </row>
    <row r="35" spans="1:7" ht="15" customHeight="1" x14ac:dyDescent="0.25">
      <c r="A35" t="s">
        <v>249</v>
      </c>
      <c r="B35" s="4" t="s">
        <v>250</v>
      </c>
      <c r="D35" t="str">
        <f>IF(AND(C18="Project Emissions (PE)",C19="Included"),"Yes","NA")</f>
        <v>Yes</v>
      </c>
      <c r="E35" t="s">
        <v>159</v>
      </c>
      <c r="G35" t="s">
        <v>143</v>
      </c>
    </row>
    <row r="36" spans="1:7" ht="15" customHeight="1" x14ac:dyDescent="0.25">
      <c r="A36" t="s">
        <v>251</v>
      </c>
      <c r="B36" s="4" t="s">
        <v>252</v>
      </c>
      <c r="D36" t="str">
        <f>IF(AND(C18="Project Emissions (PE)",C19="Included"),"Yes","NA")</f>
        <v>Yes</v>
      </c>
      <c r="E36" t="s">
        <v>159</v>
      </c>
      <c r="G36" t="s">
        <v>143</v>
      </c>
    </row>
    <row r="37" spans="1:7" ht="26.45" customHeight="1" x14ac:dyDescent="0.25">
      <c r="A37" t="s">
        <v>253</v>
      </c>
      <c r="B37" s="4" t="s">
        <v>254</v>
      </c>
      <c r="D37" t="str">
        <f>IF(AND(C18="Project Emissions (PE)",C19="Included"),"Yes","NA")</f>
        <v>Yes</v>
      </c>
      <c r="E37" t="s">
        <v>159</v>
      </c>
      <c r="G37" t="s">
        <v>143</v>
      </c>
    </row>
    <row r="38" spans="1:7" x14ac:dyDescent="0.25">
      <c r="A38" t="s">
        <v>255</v>
      </c>
      <c r="B38" s="4" t="s">
        <v>256</v>
      </c>
      <c r="C38" s="9">
        <f>((44/12)*0.47*C35*C36*(1.06+C37))+SUM(C39)</f>
        <v>0</v>
      </c>
      <c r="D38" t="str">
        <f>IF(AND(C18="Project Emissions (PE)",C19="Included"),"Yes","NA")</f>
        <v>Yes</v>
      </c>
      <c r="E38" t="s">
        <v>223</v>
      </c>
      <c r="G38" t="s">
        <v>143</v>
      </c>
    </row>
    <row r="39" spans="1:7" x14ac:dyDescent="0.25">
      <c r="B39" s="47" t="s">
        <v>257</v>
      </c>
      <c r="F39" t="s">
        <v>258</v>
      </c>
      <c r="G39" t="s">
        <v>8</v>
      </c>
    </row>
    <row r="40" spans="1:7" s="48" customFormat="1" ht="28.9" customHeight="1" x14ac:dyDescent="0.25">
      <c r="A40" s="48" t="s">
        <v>259</v>
      </c>
      <c r="B40" s="49" t="s">
        <v>260</v>
      </c>
      <c r="D40" s="48" t="str">
        <f>IF(AND(C18="Project Emissions (PE)",C19="Included",C21="Included"),"Yes","NA")</f>
        <v>Yes</v>
      </c>
    </row>
    <row r="41" spans="1:7" ht="30.6" customHeight="1" x14ac:dyDescent="0.25">
      <c r="A41" t="s">
        <v>261</v>
      </c>
      <c r="B41" s="4" t="s">
        <v>262</v>
      </c>
      <c r="C41" s="9">
        <f>'Tool 05.1'!G6</f>
        <v>0.73499999999999999</v>
      </c>
      <c r="D41" t="str">
        <f>IF(AND(C18="Project Emissions (PE)",C19="Included",C21="Included"),"Yes","NA")</f>
        <v>Yes</v>
      </c>
      <c r="E41" t="s">
        <v>263</v>
      </c>
      <c r="G41" t="s">
        <v>143</v>
      </c>
    </row>
    <row r="42" spans="1:7" ht="29.45" customHeight="1" x14ac:dyDescent="0.25">
      <c r="A42" t="s">
        <v>264</v>
      </c>
      <c r="B42" s="4" t="s">
        <v>265</v>
      </c>
      <c r="C42" s="9">
        <f>'Tool 03'!G3</f>
        <v>73.333333333333329</v>
      </c>
      <c r="D42" t="str">
        <f>IF(AND(C18="Project Emissions (PE)",C19="Included",C21="Included"),"Yes","NA")</f>
        <v>Yes</v>
      </c>
      <c r="E42" t="s">
        <v>263</v>
      </c>
      <c r="G42" t="s">
        <v>143</v>
      </c>
    </row>
    <row r="43" spans="1:7" ht="30" x14ac:dyDescent="0.25">
      <c r="A43" t="s">
        <v>259</v>
      </c>
      <c r="B43" s="4" t="s">
        <v>260</v>
      </c>
      <c r="C43" s="9">
        <f>C41+C42</f>
        <v>74.068333333333328</v>
      </c>
      <c r="D43" t="str">
        <f>IF(AND(C18="Project Emissions (PE)",C19="Included",C21="Included"),"Yes","NA")</f>
        <v>Yes</v>
      </c>
      <c r="E43" t="s">
        <v>223</v>
      </c>
      <c r="G43" t="s">
        <v>143</v>
      </c>
    </row>
    <row r="44" spans="1:7" s="48" customFormat="1" ht="15" customHeight="1" x14ac:dyDescent="0.25">
      <c r="A44" s="48" t="s">
        <v>266</v>
      </c>
      <c r="B44" s="49" t="s">
        <v>267</v>
      </c>
      <c r="D44" s="48" t="str">
        <f>IF(AND(C18="Project Emissions (PE)",C19="Included"),"Yes","NA")</f>
        <v>Yes</v>
      </c>
    </row>
    <row r="45" spans="1:7" ht="15" customHeight="1" x14ac:dyDescent="0.25">
      <c r="A45" t="s">
        <v>268</v>
      </c>
      <c r="B45" s="4" t="s">
        <v>269</v>
      </c>
      <c r="D45" t="str">
        <f>IF(AND(C18="Project Emissions (PE)",C19="Included"),"Yes","NA")</f>
        <v>Yes</v>
      </c>
      <c r="E45" t="s">
        <v>159</v>
      </c>
      <c r="G45" t="s">
        <v>143</v>
      </c>
    </row>
    <row r="46" spans="1:7" ht="15" customHeight="1" x14ac:dyDescent="0.25">
      <c r="A46" t="s">
        <v>270</v>
      </c>
      <c r="B46" s="4" t="s">
        <v>271</v>
      </c>
      <c r="D46" t="str">
        <f>IF(AND(C18="Project Emissions (PE)",C19="Included"),"Yes","NA")</f>
        <v>Yes</v>
      </c>
      <c r="E46" t="s">
        <v>159</v>
      </c>
      <c r="G46" t="s">
        <v>143</v>
      </c>
    </row>
    <row r="47" spans="1:7" ht="30.6" customHeight="1" x14ac:dyDescent="0.25">
      <c r="A47" t="s">
        <v>272</v>
      </c>
      <c r="B47" s="4" t="s">
        <v>273</v>
      </c>
      <c r="C47" s="9">
        <f>IF(C20="Limestone",0.12,IF(C20="Dolomite",0.13,IF(C20="Urea",0.2)))</f>
        <v>0.2</v>
      </c>
      <c r="D47" t="str">
        <f>IF(AND(C18="Project Emissions (PE)",C19="Included"),"Yes","NA")</f>
        <v>Yes</v>
      </c>
      <c r="E47" t="s">
        <v>223</v>
      </c>
      <c r="F47" t="s">
        <v>274</v>
      </c>
      <c r="G47" t="s">
        <v>143</v>
      </c>
    </row>
    <row r="48" spans="1:7" x14ac:dyDescent="0.25">
      <c r="A48" t="s">
        <v>266</v>
      </c>
      <c r="B48" s="4" t="s">
        <v>267</v>
      </c>
      <c r="C48" s="9">
        <f>(C45*C46*C47)+SUM(C49)</f>
        <v>0</v>
      </c>
      <c r="D48" t="str">
        <f>IF(AND(C18="Project Emissions (PE)",C19="Included"),"Yes","NA")</f>
        <v>Yes</v>
      </c>
      <c r="E48" t="s">
        <v>223</v>
      </c>
      <c r="G48" t="s">
        <v>143</v>
      </c>
    </row>
    <row r="49" spans="1:7" x14ac:dyDescent="0.25">
      <c r="B49" s="47" t="s">
        <v>257</v>
      </c>
      <c r="F49" t="s">
        <v>275</v>
      </c>
      <c r="G49" t="s">
        <v>8</v>
      </c>
    </row>
    <row r="50" spans="1:7" s="14" customFormat="1" ht="15" customHeight="1" x14ac:dyDescent="0.25">
      <c r="A50" s="48" t="s">
        <v>276</v>
      </c>
      <c r="B50" s="49" t="s">
        <v>277</v>
      </c>
      <c r="D50" s="14" t="str">
        <f>IF(C20="NA","No",IF(AND(C18="Project Emissions (PE)",C19="Included"),"Yes","NA"))</f>
        <v>Yes</v>
      </c>
    </row>
    <row r="51" spans="1:7" ht="15" customHeight="1" x14ac:dyDescent="0.25">
      <c r="A51" t="s">
        <v>278</v>
      </c>
      <c r="B51" s="4" t="s">
        <v>279</v>
      </c>
      <c r="D51" t="str">
        <f>IF(C20="NA","No",IF(AND(C18="Project Emissions (PE)",C19="Included"),"Yes","NA"))</f>
        <v>Yes</v>
      </c>
      <c r="E51" t="s">
        <v>159</v>
      </c>
      <c r="G51" t="s">
        <v>143</v>
      </c>
    </row>
    <row r="52" spans="1:7" ht="15" customHeight="1" thickBot="1" x14ac:dyDescent="0.3">
      <c r="A52" t="s">
        <v>280</v>
      </c>
      <c r="B52" s="4" t="s">
        <v>281</v>
      </c>
      <c r="D52" t="str">
        <f>IF(C20="NA","No",IF(AND(C18="Project Emissions (PE)",C19="Included"),"Yes","NA"))</f>
        <v>Yes</v>
      </c>
      <c r="E52" t="s">
        <v>159</v>
      </c>
      <c r="G52" t="s">
        <v>143</v>
      </c>
    </row>
    <row r="53" spans="1:7" ht="28.9" customHeight="1" thickBot="1" x14ac:dyDescent="0.3">
      <c r="A53" t="s">
        <v>282</v>
      </c>
      <c r="B53" s="4" t="s">
        <v>283</v>
      </c>
      <c r="C53" s="50">
        <v>11.29</v>
      </c>
      <c r="D53" t="str">
        <f>IF(C20="NA","No",IF(AND(C18="Project Emissions (PE)",C19="Included"),"Yes","NA"))</f>
        <v>Yes</v>
      </c>
      <c r="E53" t="s">
        <v>284</v>
      </c>
      <c r="F53" t="s">
        <v>285</v>
      </c>
      <c r="G53" t="s">
        <v>143</v>
      </c>
    </row>
    <row r="54" spans="1:7" x14ac:dyDescent="0.25">
      <c r="A54" t="s">
        <v>276</v>
      </c>
      <c r="B54" s="4" t="s">
        <v>277</v>
      </c>
      <c r="C54" s="9">
        <f>C51*C52*C53</f>
        <v>0</v>
      </c>
      <c r="D54" t="str">
        <f>IF(C20="NA","No",IF(AND(C18="Project Emissions (PE)",C19="Included"),"Yes","NA"))</f>
        <v>Yes</v>
      </c>
      <c r="E54" t="s">
        <v>223</v>
      </c>
      <c r="G54" t="s">
        <v>143</v>
      </c>
    </row>
    <row r="55" spans="1:7" s="48" customFormat="1" x14ac:dyDescent="0.25">
      <c r="A55" s="48" t="s">
        <v>286</v>
      </c>
      <c r="B55" s="49" t="s">
        <v>287</v>
      </c>
      <c r="D55" s="48" t="str">
        <f>IF(AND(C18="Project Emissions (PE)",C19="Included"),"Yes","NA")</f>
        <v>Yes</v>
      </c>
    </row>
    <row r="56" spans="1:7" x14ac:dyDescent="0.25">
      <c r="A56" t="s">
        <v>286</v>
      </c>
      <c r="B56" s="4" t="s">
        <v>288</v>
      </c>
      <c r="C56" s="9">
        <f>C54+C48</f>
        <v>0</v>
      </c>
      <c r="D56" t="str">
        <f>IF(AND(C18="Project Emissions (PE)",C19="Included"),"Yes","NA")</f>
        <v>Yes</v>
      </c>
      <c r="E56" t="s">
        <v>223</v>
      </c>
      <c r="G56" t="s">
        <v>9</v>
      </c>
    </row>
    <row r="57" spans="1:7" s="48" customFormat="1" x14ac:dyDescent="0.25">
      <c r="A57" s="48" t="s">
        <v>289</v>
      </c>
      <c r="B57" s="49" t="s">
        <v>290</v>
      </c>
      <c r="D57" s="48" t="str">
        <f>IF(AND(C18="Project Emissions (PE)",C19="Included"),"Yes","NA")</f>
        <v>Yes</v>
      </c>
    </row>
    <row r="58" spans="1:7" x14ac:dyDescent="0.25">
      <c r="A58" t="s">
        <v>291</v>
      </c>
      <c r="B58" s="4" t="s">
        <v>292</v>
      </c>
      <c r="D58" t="str">
        <f>IF(AND(C18="Project Emissions (PE)",C19="Included"),"Yes","NA")</f>
        <v>Yes</v>
      </c>
      <c r="E58" t="s">
        <v>159</v>
      </c>
      <c r="G58" t="s">
        <v>143</v>
      </c>
    </row>
    <row r="59" spans="1:7" x14ac:dyDescent="0.25">
      <c r="A59" t="s">
        <v>293</v>
      </c>
      <c r="B59" s="4" t="s">
        <v>294</v>
      </c>
      <c r="D59" t="str">
        <f>IF(AND(C18="Project Emissions (PE)",C19="Included"),"Yes","NA")</f>
        <v>Yes</v>
      </c>
      <c r="E59" t="s">
        <v>159</v>
      </c>
      <c r="F59" t="s">
        <v>295</v>
      </c>
      <c r="G59" t="s">
        <v>143</v>
      </c>
    </row>
    <row r="60" spans="1:7" x14ac:dyDescent="0.25">
      <c r="A60" t="s">
        <v>296</v>
      </c>
      <c r="B60" s="4" t="s">
        <v>297</v>
      </c>
      <c r="D60" t="str">
        <f>IF(AND(C18="Project Emissions (PE)",C19="Included"),"Yes","NA")</f>
        <v>Yes</v>
      </c>
      <c r="E60" t="s">
        <v>159</v>
      </c>
      <c r="F60" t="s">
        <v>298</v>
      </c>
      <c r="G60" t="s">
        <v>143</v>
      </c>
    </row>
    <row r="61" spans="1:7" x14ac:dyDescent="0.25">
      <c r="A61" t="s">
        <v>299</v>
      </c>
      <c r="B61" s="4" t="s">
        <v>300</v>
      </c>
      <c r="D61" t="str">
        <f>IF(AND(C18="Project Emissions (PE)",C19="Included"),"Yes","NA")</f>
        <v>Yes</v>
      </c>
      <c r="E61" t="s">
        <v>159</v>
      </c>
      <c r="F61" t="s">
        <v>301</v>
      </c>
      <c r="G61" t="s">
        <v>143</v>
      </c>
    </row>
    <row r="62" spans="1:7" x14ac:dyDescent="0.25">
      <c r="A62" t="s">
        <v>302</v>
      </c>
      <c r="B62" s="4" t="s">
        <v>303</v>
      </c>
      <c r="D62" t="str">
        <f>IF(AND(C18="Project Emissions (PE)",C19="Included"),"Yes","NA")</f>
        <v>Yes</v>
      </c>
      <c r="E62" t="s">
        <v>159</v>
      </c>
      <c r="F62" t="s">
        <v>298</v>
      </c>
      <c r="G62" t="s">
        <v>143</v>
      </c>
    </row>
    <row r="63" spans="1:7" x14ac:dyDescent="0.25">
      <c r="A63" t="s">
        <v>304</v>
      </c>
      <c r="B63" s="4" t="s">
        <v>305</v>
      </c>
      <c r="D63" t="str">
        <f>IF(AND(C18="Project Emissions (PE)",C19="Included"),"Yes","NA")</f>
        <v>Yes</v>
      </c>
      <c r="E63" t="s">
        <v>159</v>
      </c>
      <c r="F63" t="s">
        <v>301</v>
      </c>
      <c r="G63" t="s">
        <v>143</v>
      </c>
    </row>
    <row r="64" spans="1:7" x14ac:dyDescent="0.25">
      <c r="A64" t="s">
        <v>306</v>
      </c>
      <c r="B64" s="4" t="s">
        <v>307</v>
      </c>
      <c r="D64" t="str">
        <f>IF(AND(C18="Project Emissions (PE)",C19="Included"),"Yes","NA")</f>
        <v>Yes</v>
      </c>
      <c r="E64" t="s">
        <v>159</v>
      </c>
      <c r="F64" t="s">
        <v>298</v>
      </c>
      <c r="G64" t="s">
        <v>143</v>
      </c>
    </row>
    <row r="65" spans="1:7" x14ac:dyDescent="0.25">
      <c r="A65" t="s">
        <v>308</v>
      </c>
      <c r="B65" s="4" t="s">
        <v>309</v>
      </c>
      <c r="D65" t="str">
        <f>IF(AND(C18="Project Emissions (PE)",C19="Included"),"Yes","NA")</f>
        <v>Yes</v>
      </c>
      <c r="E65" t="s">
        <v>159</v>
      </c>
      <c r="F65" t="s">
        <v>301</v>
      </c>
      <c r="G65" t="s">
        <v>143</v>
      </c>
    </row>
    <row r="66" spans="1:7" x14ac:dyDescent="0.25">
      <c r="A66" t="s">
        <v>289</v>
      </c>
      <c r="B66" s="4" t="s">
        <v>290</v>
      </c>
      <c r="C66" s="9">
        <f>1.21*C58*C59*(C60*C61*C62-C63*C64*C65)</f>
        <v>0</v>
      </c>
      <c r="D66" t="str">
        <f>IF(AND(C18="Project Emissions (PE)",C19="Included"),"Yes","NA")</f>
        <v>Yes</v>
      </c>
      <c r="E66" t="s">
        <v>223</v>
      </c>
      <c r="F66" t="s">
        <v>310</v>
      </c>
      <c r="G66" t="s">
        <v>143</v>
      </c>
    </row>
    <row r="67" spans="1:7" x14ac:dyDescent="0.25">
      <c r="B67" s="47" t="s">
        <v>257</v>
      </c>
      <c r="F67" t="s">
        <v>311</v>
      </c>
      <c r="G67" t="s">
        <v>8</v>
      </c>
    </row>
    <row r="68" spans="1:7" s="48" customFormat="1" x14ac:dyDescent="0.25">
      <c r="A68" s="48" t="s">
        <v>312</v>
      </c>
      <c r="B68" s="49" t="s">
        <v>313</v>
      </c>
      <c r="D68" s="48" t="str">
        <f>IF(AND(C18="Project Emissions (PE)",C19="Included",C21="Included"),"Yes","NA")</f>
        <v>Yes</v>
      </c>
    </row>
    <row r="69" spans="1:7" x14ac:dyDescent="0.25">
      <c r="A69" t="s">
        <v>314</v>
      </c>
      <c r="B69" s="4" t="s">
        <v>315</v>
      </c>
      <c r="D69" t="str">
        <f>IF(AND(C18="Project Emissions (PE)",C19="Included",C21="Included"),"Yes","NA")</f>
        <v>Yes</v>
      </c>
      <c r="E69" t="s">
        <v>205</v>
      </c>
      <c r="G69" t="s">
        <v>9</v>
      </c>
    </row>
    <row r="70" spans="1:7" ht="15.75" thickBot="1" x14ac:dyDescent="0.3">
      <c r="A70" t="s">
        <v>312</v>
      </c>
      <c r="B70" s="4" t="s">
        <v>313</v>
      </c>
      <c r="C70" s="9" t="e">
        <f>MAX((44/12)*(1.179/C69)*SUM(C66:C67),0)</f>
        <v>#DIV/0!</v>
      </c>
      <c r="D70" t="str">
        <f>IF(AND(C18="Project Emissions (PE)",C19="Included"),"Yes","NA")</f>
        <v>Yes</v>
      </c>
      <c r="E70" t="s">
        <v>223</v>
      </c>
      <c r="F70" t="s">
        <v>316</v>
      </c>
      <c r="G70" t="s">
        <v>9</v>
      </c>
    </row>
    <row r="71" spans="1:7" s="51" customFormat="1" ht="13.9" customHeight="1" thickTop="1" thickBot="1" x14ac:dyDescent="0.3">
      <c r="A71" s="51" t="s">
        <v>247</v>
      </c>
      <c r="B71" s="41" t="s">
        <v>248</v>
      </c>
      <c r="C71" s="52" t="e">
        <f>C70+C56+C43+C38</f>
        <v>#DIV/0!</v>
      </c>
      <c r="D71" s="51" t="str">
        <f>IF(AND(C18="Project Emissions (PE)",C19="Included"),"Yes","NA")</f>
        <v>Yes</v>
      </c>
      <c r="E71" s="51" t="s">
        <v>223</v>
      </c>
      <c r="F71" s="51" t="s">
        <v>317</v>
      </c>
      <c r="G71" s="51" t="s">
        <v>9</v>
      </c>
    </row>
    <row r="72" spans="1:7" s="46" customFormat="1" ht="39" thickTop="1" thickBot="1" x14ac:dyDescent="0.35">
      <c r="A72" s="46" t="s">
        <v>318</v>
      </c>
      <c r="B72" s="40" t="s">
        <v>319</v>
      </c>
      <c r="D72" s="46" t="str">
        <f>IF(OR(C22="Included",C23="Included"),"Yes","NA")</f>
        <v>Yes</v>
      </c>
      <c r="F72" s="46" t="s">
        <v>320</v>
      </c>
    </row>
    <row r="73" spans="1:7" s="51" customFormat="1" ht="16.5" thickTop="1" thickBot="1" x14ac:dyDescent="0.3">
      <c r="A73" s="51" t="s">
        <v>321</v>
      </c>
      <c r="B73" s="41" t="s">
        <v>322</v>
      </c>
      <c r="C73" s="52">
        <f>IF(AND('Tool 12 - Freight Trains'!C12="Option A: Monitoring fuel consumption"),'Tool 12 - Freight Trains'!C17,IF(AND('Tool 12 - Freight Trains'!C12="Option B: Using conservative default values"),'Tool 12 - Freight Trains'!C21))</f>
        <v>2.58E-2</v>
      </c>
      <c r="D73" s="51" t="str">
        <f>IF(C22="Included","Yes","NA")</f>
        <v>Yes</v>
      </c>
      <c r="E73" s="51" t="s">
        <v>263</v>
      </c>
      <c r="F73" s="51" t="s">
        <v>323</v>
      </c>
      <c r="G73" s="51" t="s">
        <v>9</v>
      </c>
    </row>
    <row r="74" spans="1:7" s="51" customFormat="1" ht="16.5" thickTop="1" thickBot="1" x14ac:dyDescent="0.3">
      <c r="A74" s="51" t="s">
        <v>324</v>
      </c>
      <c r="B74" s="41" t="s">
        <v>325</v>
      </c>
      <c r="C74" s="52">
        <f>IF(AND('Tool 12 - Freight Trains'!C12="Option A: Monitoring fuel consumption"),'Tool 12 - Freight Trains'!C17,IF(AND('Tool 12 - Freight Trains'!C12="Option B: Using conservative default values"),'Tool 12 - Freight Trains'!C21))</f>
        <v>2.58E-2</v>
      </c>
      <c r="D74" s="51" t="str">
        <f>IF(C23="Included","Yes","NA")</f>
        <v>Yes</v>
      </c>
      <c r="E74" s="51" t="s">
        <v>263</v>
      </c>
      <c r="F74" s="51" t="s">
        <v>326</v>
      </c>
      <c r="G74" s="51" t="s">
        <v>9</v>
      </c>
    </row>
    <row r="75" spans="1:7" s="46" customFormat="1" ht="38.25" thickTop="1" x14ac:dyDescent="0.3">
      <c r="A75" s="46" t="s">
        <v>327</v>
      </c>
      <c r="B75" s="40" t="s">
        <v>328</v>
      </c>
      <c r="D75" s="46" t="str">
        <f>IF(OR(C24="Included",C25="Included"),"Yes","NA")</f>
        <v>Yes</v>
      </c>
    </row>
    <row r="76" spans="1:7" ht="30" x14ac:dyDescent="0.25">
      <c r="A76" t="s">
        <v>329</v>
      </c>
      <c r="B76" s="4" t="s">
        <v>330</v>
      </c>
      <c r="C76" s="9">
        <f>IF(AND('Tool 12 - Freight Trains'!C12="Option A: Monitoring fuel consumption"),'Tool 12 - Freight Trains'!C17,IF(AND('Tool 12 - Freight Trains'!C12="Option B: Using conservative default values"),'Tool 12 - Freight Trains'!C21))</f>
        <v>2.58E-2</v>
      </c>
      <c r="D76" t="str">
        <f>IF(C24="Included","Yes","NA")</f>
        <v>Yes</v>
      </c>
      <c r="E76" t="s">
        <v>263</v>
      </c>
      <c r="F76" t="s">
        <v>331</v>
      </c>
      <c r="G76" t="s">
        <v>9</v>
      </c>
    </row>
    <row r="77" spans="1:7" ht="30" x14ac:dyDescent="0.25">
      <c r="A77" t="s">
        <v>332</v>
      </c>
      <c r="B77" s="4" t="s">
        <v>333</v>
      </c>
      <c r="C77" s="9">
        <f>'Tool 05.1'!G6</f>
        <v>0.73499999999999999</v>
      </c>
      <c r="D77" t="str">
        <f>IF(C24="Included","Yes","NA")</f>
        <v>Yes</v>
      </c>
      <c r="E77" t="s">
        <v>263</v>
      </c>
      <c r="G77" t="s">
        <v>9</v>
      </c>
    </row>
    <row r="78" spans="1:7" ht="30" x14ac:dyDescent="0.25">
      <c r="A78" t="s">
        <v>334</v>
      </c>
      <c r="B78" s="4" t="s">
        <v>335</v>
      </c>
      <c r="C78" s="9">
        <f>'Tool 03'!G3</f>
        <v>73.333333333333329</v>
      </c>
      <c r="D78" t="str">
        <f>IF(C24="Included","Yes","NA")</f>
        <v>Yes</v>
      </c>
      <c r="E78" t="s">
        <v>263</v>
      </c>
      <c r="G78" t="s">
        <v>9</v>
      </c>
    </row>
    <row r="79" spans="1:7" ht="15.75" thickBot="1" x14ac:dyDescent="0.3">
      <c r="A79" t="s">
        <v>336</v>
      </c>
      <c r="B79" s="4" t="s">
        <v>337</v>
      </c>
      <c r="C79" s="9">
        <f>C76+C77+C78</f>
        <v>74.094133333333332</v>
      </c>
      <c r="D79" t="str">
        <f>IF(C24="Included","Yes","NA")</f>
        <v>Yes</v>
      </c>
      <c r="F79" t="s">
        <v>338</v>
      </c>
      <c r="G79" t="s">
        <v>9</v>
      </c>
    </row>
    <row r="80" spans="1:7" ht="15.75" thickBot="1" x14ac:dyDescent="0.3">
      <c r="A80" t="s">
        <v>339</v>
      </c>
      <c r="B80" s="4" t="s">
        <v>340</v>
      </c>
      <c r="C80" s="50">
        <v>28</v>
      </c>
      <c r="D80" t="str">
        <f>IF(C24="Included","Yes","NA")</f>
        <v>Yes</v>
      </c>
      <c r="E80" t="s">
        <v>341</v>
      </c>
      <c r="G80" t="s">
        <v>9</v>
      </c>
    </row>
    <row r="81" spans="1:7" x14ac:dyDescent="0.25">
      <c r="A81" t="s">
        <v>342</v>
      </c>
      <c r="B81" s="4" t="s">
        <v>343</v>
      </c>
      <c r="D81" t="str">
        <f>IF(C24="Included","Yes","NA")</f>
        <v>Yes</v>
      </c>
      <c r="E81" t="s">
        <v>159</v>
      </c>
      <c r="G81" t="s">
        <v>9</v>
      </c>
    </row>
    <row r="82" spans="1:7" ht="30" x14ac:dyDescent="0.25">
      <c r="A82" t="s">
        <v>344</v>
      </c>
      <c r="B82" s="4" t="s">
        <v>345</v>
      </c>
      <c r="D82" t="str">
        <f>IF(C24="Included","Yes","NA")</f>
        <v>Yes</v>
      </c>
      <c r="E82" t="s">
        <v>159</v>
      </c>
      <c r="G82" t="s">
        <v>9</v>
      </c>
    </row>
    <row r="83" spans="1:7" x14ac:dyDescent="0.25">
      <c r="A83" t="s">
        <v>346</v>
      </c>
      <c r="B83" s="4" t="s">
        <v>347</v>
      </c>
      <c r="D83" t="str">
        <f>IF(C24="Included","Yes","NA")</f>
        <v>Yes</v>
      </c>
      <c r="E83" t="s">
        <v>159</v>
      </c>
      <c r="G83" t="s">
        <v>9</v>
      </c>
    </row>
    <row r="84" spans="1:7" ht="30" x14ac:dyDescent="0.25">
      <c r="A84" t="s">
        <v>348</v>
      </c>
      <c r="B84" s="4" t="s">
        <v>349</v>
      </c>
      <c r="D84" t="str">
        <f>IF(C24="Included","Yes","NA")</f>
        <v>Yes</v>
      </c>
      <c r="E84" t="s">
        <v>159</v>
      </c>
      <c r="G84" t="s">
        <v>9</v>
      </c>
    </row>
    <row r="85" spans="1:7" ht="30" x14ac:dyDescent="0.25">
      <c r="A85" t="s">
        <v>350</v>
      </c>
      <c r="B85" s="4" t="s">
        <v>351</v>
      </c>
      <c r="C85" s="9">
        <f>C80*C81*C82*C83*C84</f>
        <v>0</v>
      </c>
      <c r="D85" t="str">
        <f>IF(C24="Included","Yes","NA")</f>
        <v>Yes</v>
      </c>
      <c r="E85" t="s">
        <v>223</v>
      </c>
      <c r="G85" t="s">
        <v>9</v>
      </c>
    </row>
    <row r="86" spans="1:7" ht="30" x14ac:dyDescent="0.25">
      <c r="A86" t="s">
        <v>352</v>
      </c>
      <c r="B86" s="4" t="s">
        <v>353</v>
      </c>
      <c r="C86" s="9">
        <f>'Tool 05.1'!G6</f>
        <v>0.73499999999999999</v>
      </c>
      <c r="D86" t="str">
        <f>IF(C24="Included","Yes","NA")</f>
        <v>Yes</v>
      </c>
      <c r="E86" t="s">
        <v>263</v>
      </c>
      <c r="G86" t="s">
        <v>9</v>
      </c>
    </row>
    <row r="87" spans="1:7" ht="30" x14ac:dyDescent="0.25">
      <c r="A87" t="s">
        <v>354</v>
      </c>
      <c r="B87" s="4" t="s">
        <v>355</v>
      </c>
      <c r="C87" s="9">
        <f>'Tool 03'!G3</f>
        <v>73.333333333333329</v>
      </c>
      <c r="D87" t="str">
        <f>IF(C24="Included","Yes","NA")</f>
        <v>Yes</v>
      </c>
      <c r="E87" t="s">
        <v>263</v>
      </c>
      <c r="G87" t="s">
        <v>9</v>
      </c>
    </row>
    <row r="88" spans="1:7" ht="30" x14ac:dyDescent="0.25">
      <c r="A88" t="s">
        <v>356</v>
      </c>
      <c r="B88" s="4" t="s">
        <v>357</v>
      </c>
      <c r="C88" s="9" t="e">
        <f>'Tool 04-SWDS-Yearly'!C86</f>
        <v>#DIV/0!</v>
      </c>
      <c r="D88" t="str">
        <f>IF(C24="Included","Yes","NA")</f>
        <v>Yes</v>
      </c>
      <c r="E88" t="s">
        <v>263</v>
      </c>
      <c r="G88" t="s">
        <v>9</v>
      </c>
    </row>
    <row r="89" spans="1:7" ht="30" x14ac:dyDescent="0.25">
      <c r="A89" t="s">
        <v>358</v>
      </c>
      <c r="B89" s="4" t="s">
        <v>359</v>
      </c>
      <c r="C89" s="9">
        <f>'Tool 13'!G3</f>
        <v>95.130333333333326</v>
      </c>
      <c r="D89" t="str">
        <f>IF(C24="Included","Yes","NA")</f>
        <v>Yes</v>
      </c>
      <c r="E89" t="s">
        <v>263</v>
      </c>
      <c r="G89" t="s">
        <v>9</v>
      </c>
    </row>
    <row r="90" spans="1:7" ht="30.75" thickBot="1" x14ac:dyDescent="0.3">
      <c r="A90" t="s">
        <v>360</v>
      </c>
      <c r="B90" s="4" t="s">
        <v>361</v>
      </c>
      <c r="C90" s="9">
        <f>'Tool 14'!F13</f>
        <v>0</v>
      </c>
      <c r="D90" t="str">
        <f>IF(C24="Included","Yes","NA")</f>
        <v>Yes</v>
      </c>
      <c r="E90" t="s">
        <v>263</v>
      </c>
      <c r="G90" t="s">
        <v>9</v>
      </c>
    </row>
    <row r="91" spans="1:7" s="51" customFormat="1" ht="15" customHeight="1" thickTop="1" thickBot="1" x14ac:dyDescent="0.3">
      <c r="A91" s="51" t="s">
        <v>362</v>
      </c>
      <c r="B91" s="41" t="s">
        <v>363</v>
      </c>
      <c r="C91" s="52" t="e">
        <f>C86+C87+C88+C89+C90+C85+C79</f>
        <v>#DIV/0!</v>
      </c>
      <c r="D91" s="51" t="str">
        <f>IF(C24="Included","Yes","NA")</f>
        <v>Yes</v>
      </c>
      <c r="E91" s="51" t="s">
        <v>223</v>
      </c>
      <c r="G91" s="51" t="s">
        <v>9</v>
      </c>
    </row>
    <row r="92" spans="1:7" ht="30.75" thickTop="1" x14ac:dyDescent="0.25">
      <c r="A92" t="s">
        <v>364</v>
      </c>
      <c r="B92" s="4" t="s">
        <v>365</v>
      </c>
      <c r="C92" s="9">
        <f>IF(AND('Tool 12 - Freight Trains'!C12="Option A: Monitoring fuel consumption"),'Tool 12 - Freight Trains'!C17,IF(AND('Tool 12 - Freight Trains'!C12="Option B: Using conservative default values"),'Tool 12 - Freight Trains'!C21))</f>
        <v>2.58E-2</v>
      </c>
      <c r="D92" t="str">
        <f>IF(C25="Included","Yes","NA")</f>
        <v>Yes</v>
      </c>
      <c r="E92" t="s">
        <v>263</v>
      </c>
      <c r="F92" t="s">
        <v>331</v>
      </c>
      <c r="G92" t="s">
        <v>9</v>
      </c>
    </row>
    <row r="93" spans="1:7" ht="30" x14ac:dyDescent="0.25">
      <c r="A93" t="s">
        <v>366</v>
      </c>
      <c r="B93" s="4" t="s">
        <v>367</v>
      </c>
      <c r="C93" s="9">
        <f>'Tool 05.1'!G6</f>
        <v>0.73499999999999999</v>
      </c>
      <c r="D93" t="str">
        <f>IF(C25="Included","Yes","NA")</f>
        <v>Yes</v>
      </c>
      <c r="E93" t="s">
        <v>263</v>
      </c>
      <c r="G93" t="s">
        <v>9</v>
      </c>
    </row>
    <row r="94" spans="1:7" ht="30" x14ac:dyDescent="0.25">
      <c r="A94" t="s">
        <v>368</v>
      </c>
      <c r="B94" s="4" t="s">
        <v>369</v>
      </c>
      <c r="C94" s="9">
        <f>'Tool 03'!G3</f>
        <v>73.333333333333329</v>
      </c>
      <c r="D94" t="str">
        <f>IF(C25="Included","Yes","NA")</f>
        <v>Yes</v>
      </c>
      <c r="E94" t="s">
        <v>263</v>
      </c>
      <c r="G94" t="s">
        <v>9</v>
      </c>
    </row>
    <row r="95" spans="1:7" ht="30.75" thickBot="1" x14ac:dyDescent="0.3">
      <c r="A95" t="s">
        <v>370</v>
      </c>
      <c r="B95" s="4" t="s">
        <v>371</v>
      </c>
      <c r="C95" s="53">
        <f>C92+C93+C94</f>
        <v>74.094133333333332</v>
      </c>
      <c r="D95" t="str">
        <f>IF(C25="Included","Yes","NA")</f>
        <v>Yes</v>
      </c>
      <c r="F95" t="s">
        <v>338</v>
      </c>
      <c r="G95" t="s">
        <v>9</v>
      </c>
    </row>
    <row r="96" spans="1:7" ht="15.75" thickBot="1" x14ac:dyDescent="0.3">
      <c r="A96" t="s">
        <v>339</v>
      </c>
      <c r="B96" s="4" t="s">
        <v>340</v>
      </c>
      <c r="C96" s="50">
        <v>28</v>
      </c>
      <c r="D96" t="str">
        <f>IF(C25="Included","Yes","NA")</f>
        <v>Yes</v>
      </c>
      <c r="E96" t="s">
        <v>341</v>
      </c>
      <c r="G96" t="s">
        <v>9</v>
      </c>
    </row>
    <row r="97" spans="1:7" x14ac:dyDescent="0.25">
      <c r="A97" t="s">
        <v>372</v>
      </c>
      <c r="B97" s="4" t="s">
        <v>373</v>
      </c>
      <c r="D97" t="str">
        <f>IF(C25="Included","Yes","NA")</f>
        <v>Yes</v>
      </c>
      <c r="E97" t="s">
        <v>159</v>
      </c>
      <c r="G97" t="s">
        <v>9</v>
      </c>
    </row>
    <row r="98" spans="1:7" ht="30" x14ac:dyDescent="0.25">
      <c r="A98" t="s">
        <v>374</v>
      </c>
      <c r="B98" s="4" t="s">
        <v>375</v>
      </c>
      <c r="D98" t="str">
        <f>IF(C25="Included","Yes","NA")</f>
        <v>Yes</v>
      </c>
      <c r="E98" t="s">
        <v>159</v>
      </c>
      <c r="G98" t="s">
        <v>9</v>
      </c>
    </row>
    <row r="99" spans="1:7" x14ac:dyDescent="0.25">
      <c r="A99" t="s">
        <v>346</v>
      </c>
      <c r="B99" s="4" t="s">
        <v>347</v>
      </c>
      <c r="D99" t="str">
        <f>IF(C25="Included","Yes","NA")</f>
        <v>Yes</v>
      </c>
      <c r="E99" t="s">
        <v>159</v>
      </c>
      <c r="G99" t="s">
        <v>9</v>
      </c>
    </row>
    <row r="100" spans="1:7" ht="30" x14ac:dyDescent="0.25">
      <c r="A100" t="s">
        <v>376</v>
      </c>
      <c r="B100" s="4" t="s">
        <v>377</v>
      </c>
      <c r="D100" t="str">
        <f>IF(C25="Included","Yes","NA")</f>
        <v>Yes</v>
      </c>
      <c r="E100" t="s">
        <v>159</v>
      </c>
      <c r="G100" t="s">
        <v>9</v>
      </c>
    </row>
    <row r="101" spans="1:7" ht="30" x14ac:dyDescent="0.25">
      <c r="A101" t="s">
        <v>378</v>
      </c>
      <c r="B101" s="4" t="s">
        <v>379</v>
      </c>
      <c r="C101" s="9">
        <f>C96*C97*C98*C99*C100</f>
        <v>0</v>
      </c>
      <c r="D101" t="str">
        <f>IF(C25="Included","Yes","NA")</f>
        <v>Yes</v>
      </c>
      <c r="E101" t="s">
        <v>223</v>
      </c>
      <c r="G101" t="s">
        <v>9</v>
      </c>
    </row>
    <row r="102" spans="1:7" ht="30" x14ac:dyDescent="0.25">
      <c r="A102" t="s">
        <v>380</v>
      </c>
      <c r="B102" s="4" t="s">
        <v>381</v>
      </c>
      <c r="C102" s="9">
        <f>'Tool 05.1'!G6</f>
        <v>0.73499999999999999</v>
      </c>
      <c r="D102" t="str">
        <f>IF(C25="Included","Yes","NA")</f>
        <v>Yes</v>
      </c>
      <c r="E102" t="s">
        <v>263</v>
      </c>
      <c r="G102" t="s">
        <v>9</v>
      </c>
    </row>
    <row r="103" spans="1:7" ht="30" x14ac:dyDescent="0.25">
      <c r="A103" t="s">
        <v>382</v>
      </c>
      <c r="B103" s="4" t="s">
        <v>383</v>
      </c>
      <c r="C103" s="9">
        <f>'Tool 03'!G3</f>
        <v>73.333333333333329</v>
      </c>
      <c r="D103" t="str">
        <f>IF(C25="Included","Yes","NA")</f>
        <v>Yes</v>
      </c>
      <c r="E103" t="s">
        <v>263</v>
      </c>
      <c r="G103" t="s">
        <v>9</v>
      </c>
    </row>
    <row r="104" spans="1:7" ht="30" x14ac:dyDescent="0.25">
      <c r="A104" t="s">
        <v>384</v>
      </c>
      <c r="B104" s="4" t="s">
        <v>385</v>
      </c>
      <c r="C104" s="9" t="e">
        <f>'Tool 04-SWDS-Yearly'!C86</f>
        <v>#DIV/0!</v>
      </c>
      <c r="D104" t="str">
        <f>IF(C25="Included","Yes","NA")</f>
        <v>Yes</v>
      </c>
      <c r="E104" t="s">
        <v>263</v>
      </c>
      <c r="G104" t="s">
        <v>9</v>
      </c>
    </row>
    <row r="105" spans="1:7" ht="30" x14ac:dyDescent="0.25">
      <c r="A105" t="s">
        <v>386</v>
      </c>
      <c r="B105" s="4" t="s">
        <v>387</v>
      </c>
      <c r="C105" s="9">
        <f>'Tool 13'!G3</f>
        <v>95.130333333333326</v>
      </c>
      <c r="D105" t="str">
        <f>IF(C25="Included","Yes","NA")</f>
        <v>Yes</v>
      </c>
      <c r="E105" t="s">
        <v>263</v>
      </c>
      <c r="G105" t="s">
        <v>9</v>
      </c>
    </row>
    <row r="106" spans="1:7" ht="30.75" thickBot="1" x14ac:dyDescent="0.3">
      <c r="A106" t="s">
        <v>388</v>
      </c>
      <c r="B106" s="4" t="s">
        <v>389</v>
      </c>
      <c r="C106" s="9">
        <f>'Tool 14'!F13</f>
        <v>0</v>
      </c>
      <c r="D106" t="str">
        <f>IF(C25="Included","Yes","NA")</f>
        <v>Yes</v>
      </c>
      <c r="E106" t="s">
        <v>263</v>
      </c>
      <c r="G106" t="s">
        <v>9</v>
      </c>
    </row>
    <row r="107" spans="1:7" s="51" customFormat="1" ht="16.5" thickTop="1" thickBot="1" x14ac:dyDescent="0.3">
      <c r="A107" s="51" t="s">
        <v>390</v>
      </c>
      <c r="B107" s="41" t="s">
        <v>391</v>
      </c>
      <c r="C107" s="52" t="e">
        <f>C102+C103+C104+C105+C106+C101+C95</f>
        <v>#DIV/0!</v>
      </c>
      <c r="D107" s="51" t="str">
        <f>IF(C25="Included","Yes","NA")</f>
        <v>Yes</v>
      </c>
      <c r="E107" s="51" t="s">
        <v>223</v>
      </c>
      <c r="G107" s="51" t="s">
        <v>9</v>
      </c>
    </row>
    <row r="108" spans="1:7" s="46" customFormat="1" ht="38.25" thickTop="1" x14ac:dyDescent="0.3">
      <c r="A108" s="46" t="s">
        <v>392</v>
      </c>
      <c r="B108" s="40" t="s">
        <v>393</v>
      </c>
      <c r="D108" s="46" t="str">
        <f>IF(C27="Included","Yes","NA")</f>
        <v>NA</v>
      </c>
    </row>
    <row r="109" spans="1:7" ht="30" x14ac:dyDescent="0.25">
      <c r="B109" s="4" t="s">
        <v>394</v>
      </c>
      <c r="C109" s="54"/>
      <c r="D109" t="str">
        <f>IF(C27="Included","Yes","NA")</f>
        <v>NA</v>
      </c>
      <c r="E109" t="s">
        <v>159</v>
      </c>
      <c r="G109" t="s">
        <v>143</v>
      </c>
    </row>
    <row r="110" spans="1:7" ht="30.75" thickBot="1" x14ac:dyDescent="0.3">
      <c r="B110" s="4" t="s">
        <v>395</v>
      </c>
      <c r="C110" s="54"/>
      <c r="D110" t="str">
        <f>IF(C27="Included","Yes","NA")</f>
        <v>NA</v>
      </c>
      <c r="E110" t="s">
        <v>159</v>
      </c>
      <c r="G110" t="s">
        <v>143</v>
      </c>
    </row>
    <row r="111" spans="1:7" s="43" customFormat="1" ht="31.5" thickTop="1" thickBot="1" x14ac:dyDescent="0.3">
      <c r="A111" s="43" t="s">
        <v>392</v>
      </c>
      <c r="B111" s="55" t="s">
        <v>393</v>
      </c>
      <c r="C111" s="42">
        <f>IF(OR(C28="Yes",C29="Yes"),0,IF(AND(C3="Small or Micro",C109&lt;0.1,C110&lt;0.1),0,IF(C3="Large","No shift of pre-project activities is allowed",IF(OR(C109&gt;0.5,C110&gt;0.5),"Tool NA",IF(OR(C109&gt;0.1,C110&gt;0.1),"=(BE-PE)*.15")))))</f>
        <v>0</v>
      </c>
      <c r="D111" s="43" t="str">
        <f>IF(C27="Included","Yes","NA")</f>
        <v>NA</v>
      </c>
      <c r="E111" s="43" t="s">
        <v>223</v>
      </c>
      <c r="F111" s="43" t="s">
        <v>396</v>
      </c>
      <c r="G111" s="43" t="s">
        <v>143</v>
      </c>
    </row>
    <row r="112" spans="1:7" s="46" customFormat="1" ht="38.25" thickTop="1" x14ac:dyDescent="0.3">
      <c r="A112" s="46" t="s">
        <v>397</v>
      </c>
      <c r="B112" s="40" t="s">
        <v>398</v>
      </c>
      <c r="D112" s="46" t="str">
        <f>IF(C30="Included","Yes","NA")</f>
        <v>NA</v>
      </c>
    </row>
    <row r="113" spans="1:7" x14ac:dyDescent="0.25">
      <c r="A113" t="s">
        <v>399</v>
      </c>
      <c r="B113" s="4" t="s">
        <v>400</v>
      </c>
      <c r="D113" t="str">
        <f>IF(C30="Included","Yes","NA")</f>
        <v>NA</v>
      </c>
      <c r="E113" t="s">
        <v>159</v>
      </c>
      <c r="G113" t="s">
        <v>143</v>
      </c>
    </row>
    <row r="114" spans="1:7" ht="30" x14ac:dyDescent="0.25">
      <c r="A114" t="s">
        <v>401</v>
      </c>
      <c r="B114" s="4" t="s">
        <v>402</v>
      </c>
      <c r="D114" t="str">
        <f>IF(C30="Included","Yes","NA")</f>
        <v>NA</v>
      </c>
      <c r="E114" t="s">
        <v>159</v>
      </c>
      <c r="F114" t="s">
        <v>403</v>
      </c>
      <c r="G114" t="s">
        <v>143</v>
      </c>
    </row>
    <row r="115" spans="1:7" ht="15.75" thickBot="1" x14ac:dyDescent="0.3">
      <c r="A115" t="s">
        <v>404</v>
      </c>
      <c r="B115" s="4" t="s">
        <v>405</v>
      </c>
      <c r="D115" t="str">
        <f>IF(C30="Included","Yes","NA")</f>
        <v>NA</v>
      </c>
      <c r="E115" t="s">
        <v>159</v>
      </c>
      <c r="G115" t="s">
        <v>9</v>
      </c>
    </row>
    <row r="116" spans="1:7" s="45" customFormat="1" ht="15.75" thickTop="1" x14ac:dyDescent="0.25">
      <c r="A116" s="45" t="s">
        <v>397</v>
      </c>
      <c r="B116" s="44" t="s">
        <v>398</v>
      </c>
      <c r="C116" s="56">
        <f>IF(C31="B4: The biomass residues are used for energy or non-energy applications, or the primary source of the biomass residues and/or their fate cannot be clearly identified.",(C113*C114*C115)+SUM(C117),"See Notes")</f>
        <v>0</v>
      </c>
      <c r="D116" s="45" t="str">
        <f>IF(C30="Included","Yes","NA")</f>
        <v>NA</v>
      </c>
      <c r="E116" s="45" t="s">
        <v>223</v>
      </c>
      <c r="F116" s="45" t="s">
        <v>406</v>
      </c>
      <c r="G116" s="45" t="s">
        <v>143</v>
      </c>
    </row>
    <row r="117" spans="1:7" s="57" customFormat="1" ht="15.75" thickBot="1" x14ac:dyDescent="0.3">
      <c r="B117" s="58" t="s">
        <v>407</v>
      </c>
      <c r="D117" s="57" t="str">
        <f>IF(C30="Included","Yes","NA")</f>
        <v>NA</v>
      </c>
      <c r="F117" s="57" t="s">
        <v>408</v>
      </c>
      <c r="G117" s="57" t="s">
        <v>8</v>
      </c>
    </row>
    <row r="118" spans="1:7" s="46" customFormat="1" ht="39" thickTop="1" thickBot="1" x14ac:dyDescent="0.35">
      <c r="A118" s="46" t="s">
        <v>409</v>
      </c>
      <c r="B118" s="40" t="s">
        <v>410</v>
      </c>
      <c r="D118" s="46" t="str">
        <f>IF(C32="Included","Yes","NA")</f>
        <v>NA</v>
      </c>
    </row>
    <row r="119" spans="1:7" s="51" customFormat="1" ht="16.5" thickTop="1" thickBot="1" x14ac:dyDescent="0.3">
      <c r="A119" s="51" t="s">
        <v>409</v>
      </c>
      <c r="B119" s="41" t="s">
        <v>410</v>
      </c>
      <c r="C119" s="52">
        <f>IF(AND('Tool 12 - Freight Trains'!C12="Option A: Monitoring fuel consumption"),'Tool 12 - Freight Trains'!C17,IF(AND('Tool 12 - Freight Trains'!C12="Option B: Using conservative default values"),'Tool 12 - Freight Trains'!C21))</f>
        <v>2.58E-2</v>
      </c>
      <c r="D119" s="51" t="str">
        <f>IF(C32="Included","Yes","NA")</f>
        <v>NA</v>
      </c>
      <c r="E119" s="51" t="s">
        <v>263</v>
      </c>
      <c r="F119" s="51" t="s">
        <v>326</v>
      </c>
      <c r="G119" s="51" t="s">
        <v>9</v>
      </c>
    </row>
    <row r="120" spans="1:7" s="46" customFormat="1" ht="38.25" thickTop="1" x14ac:dyDescent="0.3">
      <c r="A120" s="46" t="s">
        <v>411</v>
      </c>
      <c r="B120" s="40" t="s">
        <v>412</v>
      </c>
      <c r="D120" s="46" t="str">
        <f>IF(C33="Included","Yes","NA")</f>
        <v>NA</v>
      </c>
    </row>
    <row r="121" spans="1:7" x14ac:dyDescent="0.25">
      <c r="A121" t="s">
        <v>413</v>
      </c>
      <c r="B121" t="s">
        <v>414</v>
      </c>
      <c r="C121" s="9">
        <f>IF(AND('Tool 12 - Freight Trains'!C12="Option A: Monitoring fuel consumption"),'Tool 12 - Freight Trains'!C17,IF(AND('Tool 12 - Freight Trains'!C12="Option B: Using conservative default values"),'Tool 12 - Freight Trains'!C21))</f>
        <v>2.58E-2</v>
      </c>
      <c r="D121" t="str">
        <f>IF(C33="Included","Yes","NA")</f>
        <v>NA</v>
      </c>
      <c r="E121" t="s">
        <v>263</v>
      </c>
      <c r="F121" t="s">
        <v>331</v>
      </c>
      <c r="G121" t="s">
        <v>9</v>
      </c>
    </row>
    <row r="122" spans="1:7" x14ac:dyDescent="0.25">
      <c r="A122" t="s">
        <v>415</v>
      </c>
      <c r="B122" t="s">
        <v>416</v>
      </c>
      <c r="C122" s="9">
        <f>'Tool 05.1'!G6</f>
        <v>0.73499999999999999</v>
      </c>
      <c r="D122" t="str">
        <f>IF(C33="Included","Yes","NA")</f>
        <v>NA</v>
      </c>
      <c r="E122" t="s">
        <v>263</v>
      </c>
      <c r="G122" t="s">
        <v>9</v>
      </c>
    </row>
    <row r="123" spans="1:7" x14ac:dyDescent="0.25">
      <c r="A123" t="s">
        <v>417</v>
      </c>
      <c r="B123" t="s">
        <v>418</v>
      </c>
      <c r="C123" s="9">
        <f>'Tool 03'!G3</f>
        <v>73.333333333333329</v>
      </c>
      <c r="D123" t="str">
        <f>IF(C33="Included","Yes","NA")</f>
        <v>NA</v>
      </c>
      <c r="E123" t="s">
        <v>263</v>
      </c>
      <c r="G123" t="s">
        <v>9</v>
      </c>
    </row>
    <row r="124" spans="1:7" ht="15.75" thickBot="1" x14ac:dyDescent="0.3">
      <c r="A124" t="s">
        <v>419</v>
      </c>
      <c r="B124" t="s">
        <v>420</v>
      </c>
      <c r="C124" s="53">
        <f>C121+C122+C123</f>
        <v>74.094133333333332</v>
      </c>
      <c r="D124" t="str">
        <f>IF(C33="Included","Yes","NA")</f>
        <v>NA</v>
      </c>
      <c r="F124" t="s">
        <v>421</v>
      </c>
      <c r="G124" t="s">
        <v>9</v>
      </c>
    </row>
    <row r="125" spans="1:7" ht="15.75" thickBot="1" x14ac:dyDescent="0.3">
      <c r="A125" t="s">
        <v>339</v>
      </c>
      <c r="B125" t="s">
        <v>340</v>
      </c>
      <c r="C125" s="50">
        <v>28</v>
      </c>
      <c r="D125" t="str">
        <f>IF(C33="Included","Yes","NA")</f>
        <v>NA</v>
      </c>
      <c r="E125" t="s">
        <v>341</v>
      </c>
      <c r="G125" t="s">
        <v>9</v>
      </c>
    </row>
    <row r="126" spans="1:7" x14ac:dyDescent="0.25">
      <c r="A126" t="s">
        <v>372</v>
      </c>
      <c r="B126" t="s">
        <v>373</v>
      </c>
      <c r="D126" t="str">
        <f>IF(C33="Included","Yes","NA")</f>
        <v>NA</v>
      </c>
      <c r="E126" t="s">
        <v>159</v>
      </c>
      <c r="G126" t="s">
        <v>9</v>
      </c>
    </row>
    <row r="127" spans="1:7" x14ac:dyDescent="0.25">
      <c r="A127" t="s">
        <v>374</v>
      </c>
      <c r="B127" t="s">
        <v>375</v>
      </c>
      <c r="D127" t="str">
        <f>IF(C33="Included","Yes","NA")</f>
        <v>NA</v>
      </c>
      <c r="E127" t="s">
        <v>159</v>
      </c>
      <c r="G127" t="s">
        <v>9</v>
      </c>
    </row>
    <row r="128" spans="1:7" x14ac:dyDescent="0.25">
      <c r="A128" t="s">
        <v>346</v>
      </c>
      <c r="B128" t="s">
        <v>347</v>
      </c>
      <c r="D128" t="str">
        <f>IF(C33="Included","Yes","NA")</f>
        <v>NA</v>
      </c>
      <c r="E128" t="s">
        <v>159</v>
      </c>
      <c r="G128" t="s">
        <v>9</v>
      </c>
    </row>
    <row r="129" spans="1:7" x14ac:dyDescent="0.25">
      <c r="A129" t="s">
        <v>376</v>
      </c>
      <c r="B129" t="s">
        <v>377</v>
      </c>
      <c r="D129" t="str">
        <f>IF(C33="Included","Yes","NA")</f>
        <v>NA</v>
      </c>
      <c r="E129" t="s">
        <v>159</v>
      </c>
      <c r="G129" t="s">
        <v>9</v>
      </c>
    </row>
    <row r="130" spans="1:7" x14ac:dyDescent="0.25">
      <c r="A130" t="s">
        <v>422</v>
      </c>
      <c r="B130" t="s">
        <v>423</v>
      </c>
      <c r="C130" s="9">
        <f>C125*C126*C127*C128*C129</f>
        <v>0</v>
      </c>
      <c r="D130" t="str">
        <f>IF(C33="Included","Yes","NA")</f>
        <v>NA</v>
      </c>
      <c r="E130" t="s">
        <v>223</v>
      </c>
      <c r="G130" t="s">
        <v>9</v>
      </c>
    </row>
    <row r="131" spans="1:7" x14ac:dyDescent="0.25">
      <c r="A131" t="s">
        <v>424</v>
      </c>
      <c r="B131" t="s">
        <v>425</v>
      </c>
      <c r="C131" s="9">
        <f>'Tool 05.1'!G6</f>
        <v>0.73499999999999999</v>
      </c>
      <c r="D131" t="str">
        <f>IF(C33="Included","Yes","NA")</f>
        <v>NA</v>
      </c>
      <c r="E131" t="s">
        <v>263</v>
      </c>
      <c r="G131" t="s">
        <v>9</v>
      </c>
    </row>
    <row r="132" spans="1:7" x14ac:dyDescent="0.25">
      <c r="A132" t="s">
        <v>426</v>
      </c>
      <c r="B132" t="s">
        <v>427</v>
      </c>
      <c r="C132" s="9">
        <f>'Tool 03'!G3</f>
        <v>73.333333333333329</v>
      </c>
      <c r="D132" t="str">
        <f>IF(C33="Included","Yes","NA")</f>
        <v>NA</v>
      </c>
      <c r="E132" t="s">
        <v>263</v>
      </c>
      <c r="G132" t="s">
        <v>9</v>
      </c>
    </row>
    <row r="133" spans="1:7" x14ac:dyDescent="0.25">
      <c r="A133" t="s">
        <v>428</v>
      </c>
      <c r="B133" t="s">
        <v>429</v>
      </c>
      <c r="C133" s="9" t="e">
        <f>'Tool 04-SWDS-Yearly'!C86</f>
        <v>#DIV/0!</v>
      </c>
      <c r="D133" t="str">
        <f>IF(C33="Included","Yes","NA")</f>
        <v>NA</v>
      </c>
      <c r="E133" t="s">
        <v>263</v>
      </c>
      <c r="G133" t="s">
        <v>9</v>
      </c>
    </row>
    <row r="134" spans="1:7" x14ac:dyDescent="0.25">
      <c r="A134" t="s">
        <v>430</v>
      </c>
      <c r="B134" t="s">
        <v>431</v>
      </c>
      <c r="C134" s="9">
        <f>'Tool 13'!G3</f>
        <v>95.130333333333326</v>
      </c>
      <c r="D134" t="str">
        <f>IF(C33="Included","Yes","NA")</f>
        <v>NA</v>
      </c>
      <c r="E134" t="s">
        <v>263</v>
      </c>
      <c r="G134" t="s">
        <v>9</v>
      </c>
    </row>
    <row r="135" spans="1:7" ht="15.75" thickBot="1" x14ac:dyDescent="0.3">
      <c r="A135" t="s">
        <v>432</v>
      </c>
      <c r="B135" t="s">
        <v>433</v>
      </c>
      <c r="C135" s="9">
        <f>'Tool 14'!F65</f>
        <v>95.130333333333326</v>
      </c>
      <c r="D135" t="str">
        <f>IF(C33="Included","Yes","NA")</f>
        <v>NA</v>
      </c>
      <c r="E135" t="s">
        <v>263</v>
      </c>
      <c r="G135" t="s">
        <v>9</v>
      </c>
    </row>
    <row r="136" spans="1:7" s="51" customFormat="1" ht="16.5" thickTop="1" thickBot="1" x14ac:dyDescent="0.3">
      <c r="A136" s="51" t="s">
        <v>411</v>
      </c>
      <c r="B136" s="51" t="s">
        <v>434</v>
      </c>
      <c r="C136" s="52" t="e">
        <f>C131+C132+C133+C134+C135+C130+C124</f>
        <v>#DIV/0!</v>
      </c>
      <c r="D136" s="51" t="str">
        <f>IF(C33="Included","Yes","NA")</f>
        <v>NA</v>
      </c>
      <c r="E136" s="51" t="s">
        <v>223</v>
      </c>
      <c r="G136" s="51" t="s">
        <v>143</v>
      </c>
    </row>
    <row r="137" spans="1:7" s="21" customFormat="1" ht="37.9" customHeight="1" thickTop="1" x14ac:dyDescent="0.3">
      <c r="B137" s="59" t="s">
        <v>435</v>
      </c>
      <c r="F137" s="21" t="s">
        <v>436</v>
      </c>
    </row>
  </sheetData>
  <dataConsolidate/>
  <pageMargins left="0.7" right="0.7" top="0.75" bottom="0.75" header="0.3" footer="0.3"/>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r:uid="{2226BDFC-11D4-48F1-8142-DBE9B046361E}">
          <x14:formula1>
            <xm:f>'Dropdown Items (Tool 16)'!$K$2:$K$5</xm:f>
          </x14:formula1>
          <xm:sqref>C31</xm:sqref>
        </x14:dataValidation>
        <x14:dataValidation type="list" allowBlank="1" showInputMessage="1" showErrorMessage="1" xr:uid="{510F6496-AD09-461C-AA9A-A7BAA739C100}">
          <x14:formula1>
            <xm:f>'Dropdown Items (Tool 16)'!$I$2:$I$5</xm:f>
          </x14:formula1>
          <xm:sqref>C26 C20</xm:sqref>
        </x14:dataValidation>
        <x14:dataValidation type="list" allowBlank="1" showInputMessage="1" showErrorMessage="1" xr:uid="{DBFE715C-DD65-46C1-BC77-6C8607E68232}">
          <x14:formula1>
            <xm:f>'Dropdown Items (Tool 16)'!$B$2:$B$3</xm:f>
          </x14:formula1>
          <xm:sqref>C32:C33 C19 C21:C30</xm:sqref>
        </x14:dataValidation>
        <x14:dataValidation type="list" allowBlank="1" showInputMessage="1" showErrorMessage="1" xr:uid="{FD3A800D-657F-42BB-96FC-9A63928D8277}">
          <x14:formula1>
            <xm:f>'Dropdown Items (Tool 16)'!$J$2:$J$4</xm:f>
          </x14:formula1>
          <xm:sqref>C3</xm:sqref>
        </x14:dataValidation>
        <x14:dataValidation type="list" allowBlank="1" showInputMessage="1" showErrorMessage="1" xr:uid="{6EA73FD0-F3F1-47B3-B3FA-68A8338C2AC5}">
          <x14:formula1>
            <xm:f>'Dropdown Items (Tool 16)'!$E$2:$E$3</xm:f>
          </x14:formula1>
          <xm:sqref>C69</xm:sqref>
        </x14:dataValidation>
        <x14:dataValidation type="list" allowBlank="1" showInputMessage="1" showErrorMessage="1" xr:uid="{539911C2-5CE4-47DB-8AA3-CFB93E2266B2}">
          <x14:formula1>
            <xm:f>'Dropdown Items (Tool 16)'!$C$2:$C$3</xm:f>
          </x14:formula1>
          <xm:sqref>C4:C12 C15 C26 C28:C29</xm:sqref>
        </x14:dataValidation>
        <x14:dataValidation type="list" allowBlank="1" showInputMessage="1" showErrorMessage="1" xr:uid="{1A2F8F27-1B62-436E-840A-061EE486A967}">
          <x14:formula1>
            <xm:f>'Dropdown Items (Tool 16)'!$A$2:$A$3</xm:f>
          </x14:formula1>
          <xm:sqref>C18</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E6891-779D-4513-99C1-41DB185E4D30}">
  <dimension ref="A1:B13"/>
  <sheetViews>
    <sheetView workbookViewId="0">
      <selection activeCell="B10" sqref="B10"/>
    </sheetView>
  </sheetViews>
  <sheetFormatPr defaultRowHeight="15" x14ac:dyDescent="0.25"/>
  <cols>
    <col min="1" max="1" width="33" customWidth="1"/>
    <col min="2" max="2" width="31.5703125" customWidth="1"/>
    <col min="3" max="3" width="26.28515625" customWidth="1"/>
  </cols>
  <sheetData>
    <row r="1" spans="1:2" s="23" customFormat="1" x14ac:dyDescent="0.25">
      <c r="A1" s="60" t="s">
        <v>437</v>
      </c>
      <c r="B1" s="61"/>
    </row>
    <row r="2" spans="1:2" x14ac:dyDescent="0.25">
      <c r="A2" t="s">
        <v>247</v>
      </c>
      <c r="B2" s="9" t="e">
        <f>'Tool 16'!C71</f>
        <v>#DIV/0!</v>
      </c>
    </row>
    <row r="3" spans="1:2" x14ac:dyDescent="0.25">
      <c r="A3" s="62" t="s">
        <v>321</v>
      </c>
      <c r="B3" s="63">
        <f>'Tool 16'!C73</f>
        <v>2.58E-2</v>
      </c>
    </row>
    <row r="4" spans="1:2" x14ac:dyDescent="0.25">
      <c r="A4" s="62" t="s">
        <v>324</v>
      </c>
      <c r="B4" s="63">
        <f>'Tool 16'!C74</f>
        <v>2.58E-2</v>
      </c>
    </row>
    <row r="5" spans="1:2" x14ac:dyDescent="0.25">
      <c r="A5" s="62" t="s">
        <v>362</v>
      </c>
      <c r="B5" s="63" t="e">
        <f>'Tool 16'!C91</f>
        <v>#DIV/0!</v>
      </c>
    </row>
    <row r="6" spans="1:2" x14ac:dyDescent="0.25">
      <c r="A6" s="62" t="s">
        <v>390</v>
      </c>
      <c r="B6" s="63" t="e">
        <f>'Tool 16'!C107</f>
        <v>#DIV/0!</v>
      </c>
    </row>
    <row r="7" spans="1:2" s="23" customFormat="1" x14ac:dyDescent="0.25">
      <c r="A7" s="23" t="s">
        <v>438</v>
      </c>
      <c r="B7" s="53" t="e">
        <f>SUM(B2:B6)</f>
        <v>#DIV/0!</v>
      </c>
    </row>
    <row r="8" spans="1:2" x14ac:dyDescent="0.25">
      <c r="A8" s="60" t="s">
        <v>439</v>
      </c>
      <c r="B8" s="60"/>
    </row>
    <row r="9" spans="1:2" x14ac:dyDescent="0.25">
      <c r="A9" s="62" t="s">
        <v>392</v>
      </c>
      <c r="B9" s="9">
        <f>'Tool 16'!C111</f>
        <v>0</v>
      </c>
    </row>
    <row r="10" spans="1:2" x14ac:dyDescent="0.25">
      <c r="A10" s="62" t="s">
        <v>397</v>
      </c>
      <c r="B10" s="9">
        <f>'Tool 16'!C116</f>
        <v>0</v>
      </c>
    </row>
    <row r="11" spans="1:2" x14ac:dyDescent="0.25">
      <c r="A11" s="62" t="s">
        <v>409</v>
      </c>
      <c r="B11" s="9">
        <f>'Tool 16'!C119</f>
        <v>2.58E-2</v>
      </c>
    </row>
    <row r="12" spans="1:2" x14ac:dyDescent="0.25">
      <c r="A12" s="62" t="s">
        <v>411</v>
      </c>
      <c r="B12" s="9" t="e">
        <f>'Tool 16'!C136</f>
        <v>#DIV/0!</v>
      </c>
    </row>
    <row r="13" spans="1:2" s="23" customFormat="1" ht="15" customHeight="1" x14ac:dyDescent="0.25">
      <c r="A13" s="23" t="s">
        <v>438</v>
      </c>
      <c r="B13" s="53" t="e">
        <f>SUM(B9:B12)</f>
        <v>#DIV/0!</v>
      </c>
    </row>
  </sheetData>
  <mergeCells count="2">
    <mergeCell ref="A1:B1"/>
    <mergeCell ref="A8:B8"/>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22DF6-9D95-40A6-82CF-AD93109D5BD5}">
  <dimension ref="A1:K7"/>
  <sheetViews>
    <sheetView topLeftCell="I1" workbookViewId="0">
      <selection activeCell="B10" sqref="B10"/>
    </sheetView>
  </sheetViews>
  <sheetFormatPr defaultRowHeight="15" x14ac:dyDescent="0.25"/>
  <cols>
    <col min="1" max="1" width="25.85546875" customWidth="1"/>
    <col min="2" max="2" width="20.7109375" customWidth="1"/>
    <col min="3" max="3" width="13.28515625" customWidth="1"/>
    <col min="4" max="4" width="43.42578125" customWidth="1"/>
    <col min="5" max="5" width="13.7109375" customWidth="1"/>
    <col min="6" max="6" width="41.7109375" customWidth="1"/>
    <col min="7" max="7" width="32.7109375" customWidth="1"/>
    <col min="9" max="9" width="34.7109375" customWidth="1"/>
  </cols>
  <sheetData>
    <row r="1" spans="1:11" s="23" customFormat="1" x14ac:dyDescent="0.25">
      <c r="A1" s="23" t="s">
        <v>198</v>
      </c>
      <c r="B1" s="23" t="s">
        <v>440</v>
      </c>
      <c r="C1" s="23" t="s">
        <v>196</v>
      </c>
      <c r="D1" s="23" t="s">
        <v>441</v>
      </c>
      <c r="E1" s="23" t="s">
        <v>442</v>
      </c>
      <c r="F1" s="23" t="s">
        <v>443</v>
      </c>
      <c r="G1" s="23" t="s">
        <v>444</v>
      </c>
      <c r="H1" s="23" t="s">
        <v>445</v>
      </c>
      <c r="I1" s="23" t="s">
        <v>446</v>
      </c>
      <c r="J1" s="23" t="s">
        <v>447</v>
      </c>
      <c r="K1" s="23" t="s">
        <v>448</v>
      </c>
    </row>
    <row r="2" spans="1:11" x14ac:dyDescent="0.25">
      <c r="A2" t="s">
        <v>225</v>
      </c>
      <c r="B2" t="s">
        <v>227</v>
      </c>
      <c r="C2" t="s">
        <v>8</v>
      </c>
      <c r="D2" t="s">
        <v>449</v>
      </c>
      <c r="E2">
        <v>7</v>
      </c>
      <c r="F2" t="s">
        <v>450</v>
      </c>
      <c r="G2" t="s">
        <v>451</v>
      </c>
      <c r="H2" t="s">
        <v>452</v>
      </c>
      <c r="I2" t="s">
        <v>453</v>
      </c>
      <c r="J2" t="s">
        <v>454</v>
      </c>
      <c r="K2" t="s">
        <v>455</v>
      </c>
    </row>
    <row r="3" spans="1:11" x14ac:dyDescent="0.25">
      <c r="A3" t="s">
        <v>456</v>
      </c>
      <c r="B3" t="s">
        <v>238</v>
      </c>
      <c r="C3" t="s">
        <v>9</v>
      </c>
      <c r="D3" t="s">
        <v>457</v>
      </c>
      <c r="E3">
        <v>10</v>
      </c>
      <c r="F3" t="s">
        <v>458</v>
      </c>
      <c r="G3" t="s">
        <v>459</v>
      </c>
      <c r="H3" t="s">
        <v>460</v>
      </c>
      <c r="I3" t="s">
        <v>461</v>
      </c>
      <c r="J3" t="s">
        <v>204</v>
      </c>
      <c r="K3" t="s">
        <v>462</v>
      </c>
    </row>
    <row r="4" spans="1:11" x14ac:dyDescent="0.25">
      <c r="F4" t="s">
        <v>463</v>
      </c>
      <c r="G4" t="s">
        <v>464</v>
      </c>
      <c r="H4" t="s">
        <v>465</v>
      </c>
      <c r="I4" t="s">
        <v>229</v>
      </c>
      <c r="K4" t="s">
        <v>466</v>
      </c>
    </row>
    <row r="5" spans="1:11" x14ac:dyDescent="0.25">
      <c r="F5" t="s">
        <v>467</v>
      </c>
      <c r="G5" t="s">
        <v>468</v>
      </c>
      <c r="H5" t="s">
        <v>469</v>
      </c>
      <c r="I5" t="s">
        <v>470</v>
      </c>
      <c r="K5" t="s">
        <v>244</v>
      </c>
    </row>
    <row r="6" spans="1:11" x14ac:dyDescent="0.25">
      <c r="F6" t="s">
        <v>471</v>
      </c>
      <c r="G6" t="s">
        <v>472</v>
      </c>
    </row>
    <row r="7" spans="1:11" x14ac:dyDescent="0.25">
      <c r="G7" t="s">
        <v>473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D69D8-C283-49A5-9153-CEED745A34EB}">
  <dimension ref="A1"/>
  <sheetViews>
    <sheetView topLeftCell="A16" workbookViewId="0">
      <selection activeCell="B10" sqref="B10"/>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992D4-5767-4D74-BE93-C2A854733D85}">
  <dimension ref="A1:H39"/>
  <sheetViews>
    <sheetView zoomScale="80" zoomScaleNormal="80" workbookViewId="0">
      <selection activeCell="A4" sqref="A4:H4"/>
    </sheetView>
  </sheetViews>
  <sheetFormatPr defaultRowHeight="15" x14ac:dyDescent="0.25"/>
  <cols>
    <col min="1" max="1" width="12.42578125" bestFit="1" customWidth="1"/>
    <col min="2" max="2" width="12.7109375" customWidth="1"/>
    <col min="3" max="3" width="15" customWidth="1"/>
    <col min="4" max="4" width="17" bestFit="1" customWidth="1"/>
    <col min="5" max="5" width="13.42578125" bestFit="1" customWidth="1"/>
    <col min="6" max="6" width="59" customWidth="1"/>
    <col min="7" max="7" width="25.5703125" customWidth="1"/>
    <col min="8" max="8" width="97.28515625" customWidth="1"/>
  </cols>
  <sheetData>
    <row r="1" spans="1:8" ht="39.75" customHeight="1" x14ac:dyDescent="0.3">
      <c r="A1" s="64" t="s">
        <v>0</v>
      </c>
      <c r="B1" s="64" t="s">
        <v>135</v>
      </c>
      <c r="C1" s="65" t="s">
        <v>202</v>
      </c>
      <c r="D1" s="64" t="s">
        <v>2</v>
      </c>
      <c r="E1" s="64" t="s">
        <v>3</v>
      </c>
      <c r="F1" s="66" t="s">
        <v>4</v>
      </c>
      <c r="G1" s="66" t="s">
        <v>5</v>
      </c>
      <c r="H1" s="65" t="s">
        <v>6</v>
      </c>
    </row>
    <row r="2" spans="1:8" ht="30" customHeight="1" x14ac:dyDescent="0.25">
      <c r="A2" s="67" t="s">
        <v>474</v>
      </c>
      <c r="B2" s="67"/>
      <c r="C2" s="67"/>
      <c r="D2" s="67"/>
      <c r="E2" s="67"/>
      <c r="F2" s="67"/>
      <c r="G2" s="67"/>
      <c r="H2" s="67"/>
    </row>
    <row r="3" spans="1:8" ht="30" x14ac:dyDescent="0.25">
      <c r="A3" s="9" t="s">
        <v>9</v>
      </c>
      <c r="B3" s="9"/>
      <c r="C3" s="9" t="s">
        <v>9</v>
      </c>
      <c r="D3" s="9" t="s">
        <v>475</v>
      </c>
      <c r="E3" s="68" t="s">
        <v>476</v>
      </c>
      <c r="F3" s="69" t="s">
        <v>477</v>
      </c>
      <c r="G3" s="70">
        <f>SUM((G11*G12),(G29*G30))</f>
        <v>73.333333333333329</v>
      </c>
      <c r="H3" s="70" t="s">
        <v>478</v>
      </c>
    </row>
    <row r="4" spans="1:8" ht="46.5" customHeight="1" x14ac:dyDescent="0.25">
      <c r="A4" s="67" t="s">
        <v>479</v>
      </c>
      <c r="B4" s="67"/>
      <c r="C4" s="67"/>
      <c r="D4" s="67"/>
      <c r="E4" s="67"/>
      <c r="F4" s="67"/>
      <c r="G4" s="67"/>
      <c r="H4" s="67"/>
    </row>
    <row r="5" spans="1:8" ht="33" customHeight="1" x14ac:dyDescent="0.35">
      <c r="A5" t="s">
        <v>8</v>
      </c>
      <c r="C5" t="s">
        <v>8</v>
      </c>
      <c r="D5" t="s">
        <v>10</v>
      </c>
      <c r="E5" s="71" t="s">
        <v>480</v>
      </c>
      <c r="F5" s="72" t="s">
        <v>481</v>
      </c>
      <c r="G5" t="s">
        <v>482</v>
      </c>
    </row>
    <row r="6" spans="1:8" x14ac:dyDescent="0.25">
      <c r="A6" t="s">
        <v>8</v>
      </c>
      <c r="C6" t="s">
        <v>8</v>
      </c>
      <c r="D6" t="s">
        <v>10</v>
      </c>
      <c r="F6" s="72" t="s">
        <v>483</v>
      </c>
      <c r="G6" t="s">
        <v>484</v>
      </c>
    </row>
    <row r="7" spans="1:8" ht="75" x14ac:dyDescent="0.25">
      <c r="A7" s="10" t="s">
        <v>8</v>
      </c>
      <c r="B7" s="10"/>
      <c r="C7" s="10" t="s">
        <v>8</v>
      </c>
      <c r="D7" s="10" t="s">
        <v>485</v>
      </c>
      <c r="E7" s="10"/>
      <c r="F7" s="73" t="s">
        <v>486</v>
      </c>
      <c r="G7" s="10" t="s">
        <v>487</v>
      </c>
      <c r="H7" s="74" t="s">
        <v>488</v>
      </c>
    </row>
    <row r="8" spans="1:8" ht="30" x14ac:dyDescent="0.25">
      <c r="A8" s="10" t="s">
        <v>8</v>
      </c>
      <c r="B8" s="10"/>
      <c r="C8" s="10" t="s">
        <v>8</v>
      </c>
      <c r="D8" s="10" t="s">
        <v>485</v>
      </c>
      <c r="E8" s="10"/>
      <c r="F8" s="73" t="s">
        <v>489</v>
      </c>
      <c r="G8" s="10" t="s">
        <v>490</v>
      </c>
      <c r="H8" s="11" t="s">
        <v>491</v>
      </c>
    </row>
    <row r="9" spans="1:8" ht="21" x14ac:dyDescent="0.35">
      <c r="A9" s="75" t="s">
        <v>492</v>
      </c>
      <c r="B9" s="75"/>
      <c r="C9" s="75"/>
      <c r="D9" s="75"/>
      <c r="E9" s="75"/>
      <c r="F9" s="75"/>
      <c r="G9" s="75"/>
      <c r="H9" s="75"/>
    </row>
    <row r="10" spans="1:8" ht="30" x14ac:dyDescent="0.25">
      <c r="A10" s="9" t="s">
        <v>9</v>
      </c>
      <c r="B10" s="9"/>
      <c r="C10" s="9" t="s">
        <v>9</v>
      </c>
      <c r="D10" s="9" t="s">
        <v>475</v>
      </c>
      <c r="E10" s="76" t="s">
        <v>493</v>
      </c>
      <c r="F10" s="69" t="s">
        <v>494</v>
      </c>
      <c r="G10" s="70">
        <f>G11*G12</f>
        <v>36.666666666666664</v>
      </c>
      <c r="H10" s="70"/>
    </row>
    <row r="11" spans="1:8" ht="30" x14ac:dyDescent="0.25">
      <c r="A11" t="s">
        <v>8</v>
      </c>
      <c r="C11" t="s">
        <v>8</v>
      </c>
      <c r="D11" t="s">
        <v>159</v>
      </c>
      <c r="E11" s="77" t="s">
        <v>495</v>
      </c>
      <c r="F11" s="72" t="s">
        <v>496</v>
      </c>
      <c r="G11" s="13">
        <v>20</v>
      </c>
      <c r="H11" s="13"/>
    </row>
    <row r="12" spans="1:8" ht="30" x14ac:dyDescent="0.45">
      <c r="A12" s="9" t="s">
        <v>8</v>
      </c>
      <c r="B12" s="9"/>
      <c r="C12" s="9" t="s">
        <v>9</v>
      </c>
      <c r="D12" s="9" t="s">
        <v>475</v>
      </c>
      <c r="E12" s="78" t="s">
        <v>497</v>
      </c>
      <c r="F12" s="69" t="s">
        <v>498</v>
      </c>
      <c r="G12" s="70">
        <f>G14</f>
        <v>1.8333333333333333</v>
      </c>
      <c r="H12" s="79" t="s">
        <v>499</v>
      </c>
    </row>
    <row r="13" spans="1:8" ht="21" x14ac:dyDescent="0.35">
      <c r="A13" s="75" t="s">
        <v>500</v>
      </c>
      <c r="B13" s="75"/>
      <c r="C13" s="75"/>
      <c r="D13" s="75"/>
      <c r="E13" s="75"/>
      <c r="F13" s="75"/>
      <c r="G13" s="75"/>
      <c r="H13" s="75"/>
    </row>
    <row r="14" spans="1:8" ht="30" x14ac:dyDescent="0.25">
      <c r="A14" s="9" t="s">
        <v>9</v>
      </c>
      <c r="B14" s="9"/>
      <c r="C14" s="9" t="s">
        <v>9</v>
      </c>
      <c r="D14" s="9" t="s">
        <v>475</v>
      </c>
      <c r="E14" s="76" t="s">
        <v>497</v>
      </c>
      <c r="F14" s="69" t="s">
        <v>501</v>
      </c>
      <c r="G14" s="70">
        <f>G16*(44/12)</f>
        <v>1.8333333333333333</v>
      </c>
      <c r="H14" s="70" t="s">
        <v>502</v>
      </c>
    </row>
    <row r="15" spans="1:8" ht="30" x14ac:dyDescent="0.25">
      <c r="A15" s="9" t="s">
        <v>9</v>
      </c>
      <c r="B15" s="9"/>
      <c r="C15" s="9" t="s">
        <v>9</v>
      </c>
      <c r="D15" s="9" t="s">
        <v>475</v>
      </c>
      <c r="E15" s="76" t="s">
        <v>497</v>
      </c>
      <c r="F15" s="69" t="s">
        <v>503</v>
      </c>
      <c r="G15" s="70">
        <f>G16*G17*(44/12)</f>
        <v>3.6666666666666665</v>
      </c>
      <c r="H15" s="70" t="s">
        <v>504</v>
      </c>
    </row>
    <row r="16" spans="1:8" ht="30" x14ac:dyDescent="0.25">
      <c r="A16" t="s">
        <v>8</v>
      </c>
      <c r="C16" t="s">
        <v>8</v>
      </c>
      <c r="D16" t="s">
        <v>159</v>
      </c>
      <c r="E16" s="77" t="s">
        <v>505</v>
      </c>
      <c r="F16" s="72" t="s">
        <v>506</v>
      </c>
      <c r="G16" s="13">
        <v>0.5</v>
      </c>
      <c r="H16" s="13"/>
    </row>
    <row r="17" spans="1:8" ht="30" x14ac:dyDescent="0.25">
      <c r="A17" t="s">
        <v>8</v>
      </c>
      <c r="C17" t="s">
        <v>8</v>
      </c>
      <c r="D17" t="s">
        <v>159</v>
      </c>
      <c r="E17" s="77" t="s">
        <v>507</v>
      </c>
      <c r="F17" s="72" t="s">
        <v>508</v>
      </c>
      <c r="G17" s="13">
        <v>2</v>
      </c>
      <c r="H17" s="13"/>
    </row>
    <row r="18" spans="1:8" ht="21" x14ac:dyDescent="0.35">
      <c r="A18" s="75" t="s">
        <v>509</v>
      </c>
      <c r="B18" s="75"/>
      <c r="C18" s="75"/>
      <c r="D18" s="75"/>
      <c r="E18" s="75"/>
      <c r="F18" s="75"/>
      <c r="G18" s="75"/>
      <c r="H18" s="75"/>
    </row>
    <row r="19" spans="1:8" ht="30" x14ac:dyDescent="0.25">
      <c r="A19" s="9" t="s">
        <v>9</v>
      </c>
      <c r="B19" s="9"/>
      <c r="C19" s="9" t="s">
        <v>9</v>
      </c>
      <c r="D19" s="9" t="s">
        <v>475</v>
      </c>
      <c r="E19" s="76" t="s">
        <v>497</v>
      </c>
      <c r="F19" s="79" t="s">
        <v>498</v>
      </c>
      <c r="G19" s="70">
        <f>G20*G21</f>
        <v>11.15</v>
      </c>
      <c r="H19" s="70"/>
    </row>
    <row r="20" spans="1:8" ht="30" x14ac:dyDescent="0.25">
      <c r="A20" t="s">
        <v>8</v>
      </c>
      <c r="C20" t="s">
        <v>8</v>
      </c>
      <c r="D20" t="s">
        <v>159</v>
      </c>
      <c r="E20" s="77" t="s">
        <v>510</v>
      </c>
      <c r="F20" s="4" t="s">
        <v>511</v>
      </c>
      <c r="G20" s="13">
        <v>0.5</v>
      </c>
      <c r="H20" s="13"/>
    </row>
    <row r="21" spans="1:8" ht="30" x14ac:dyDescent="0.25">
      <c r="A21" t="s">
        <v>8</v>
      </c>
      <c r="C21" t="s">
        <v>8</v>
      </c>
      <c r="D21" t="s">
        <v>159</v>
      </c>
      <c r="E21" s="77" t="s">
        <v>512</v>
      </c>
      <c r="F21" s="4" t="s">
        <v>513</v>
      </c>
      <c r="G21" s="13">
        <v>22.3</v>
      </c>
      <c r="H21" s="13"/>
    </row>
    <row r="22" spans="1:8" ht="46.5" customHeight="1" x14ac:dyDescent="0.25">
      <c r="A22" s="67" t="s">
        <v>514</v>
      </c>
      <c r="B22" s="67"/>
      <c r="C22" s="67"/>
      <c r="D22" s="67"/>
      <c r="E22" s="67"/>
      <c r="F22" s="67"/>
      <c r="G22" s="67"/>
      <c r="H22" s="67"/>
    </row>
    <row r="23" spans="1:8" ht="33" customHeight="1" x14ac:dyDescent="0.25">
      <c r="A23" t="s">
        <v>8</v>
      </c>
      <c r="C23" t="s">
        <v>8</v>
      </c>
      <c r="D23" t="s">
        <v>10</v>
      </c>
      <c r="E23" s="77" t="s">
        <v>480</v>
      </c>
      <c r="F23" s="72" t="s">
        <v>481</v>
      </c>
      <c r="G23" t="s">
        <v>482</v>
      </c>
    </row>
    <row r="24" spans="1:8" x14ac:dyDescent="0.25">
      <c r="A24" t="s">
        <v>8</v>
      </c>
      <c r="C24" t="s">
        <v>8</v>
      </c>
      <c r="D24" t="s">
        <v>10</v>
      </c>
      <c r="E24" s="80"/>
      <c r="F24" s="72" t="s">
        <v>483</v>
      </c>
      <c r="G24" t="s">
        <v>484</v>
      </c>
    </row>
    <row r="25" spans="1:8" ht="75" x14ac:dyDescent="0.25">
      <c r="A25" s="10" t="s">
        <v>8</v>
      </c>
      <c r="B25" s="10"/>
      <c r="C25" s="10" t="s">
        <v>8</v>
      </c>
      <c r="D25" s="10" t="s">
        <v>515</v>
      </c>
      <c r="E25" s="81"/>
      <c r="F25" s="73" t="s">
        <v>486</v>
      </c>
      <c r="G25" s="10" t="s">
        <v>516</v>
      </c>
      <c r="H25" s="74" t="s">
        <v>488</v>
      </c>
    </row>
    <row r="26" spans="1:8" ht="30" x14ac:dyDescent="0.25">
      <c r="A26" s="10" t="s">
        <v>8</v>
      </c>
      <c r="B26" s="10"/>
      <c r="C26" s="10" t="s">
        <v>8</v>
      </c>
      <c r="D26" s="10" t="s">
        <v>515</v>
      </c>
      <c r="E26" s="81"/>
      <c r="F26" s="73" t="s">
        <v>489</v>
      </c>
      <c r="G26" s="10" t="s">
        <v>517</v>
      </c>
      <c r="H26" s="11" t="s">
        <v>491</v>
      </c>
    </row>
    <row r="27" spans="1:8" ht="21" x14ac:dyDescent="0.35">
      <c r="A27" s="75" t="s">
        <v>492</v>
      </c>
      <c r="B27" s="75"/>
      <c r="C27" s="75"/>
      <c r="D27" s="75"/>
      <c r="E27" s="75"/>
      <c r="F27" s="75"/>
      <c r="G27" s="75"/>
      <c r="H27" s="75"/>
    </row>
    <row r="28" spans="1:8" ht="30" x14ac:dyDescent="0.25">
      <c r="A28" s="9" t="s">
        <v>9</v>
      </c>
      <c r="B28" s="9"/>
      <c r="C28" s="9" t="s">
        <v>9</v>
      </c>
      <c r="D28" s="9" t="s">
        <v>475</v>
      </c>
      <c r="E28" s="76" t="s">
        <v>493</v>
      </c>
      <c r="F28" s="69" t="s">
        <v>494</v>
      </c>
      <c r="G28" s="70">
        <f>G29*G30</f>
        <v>36.666666666666664</v>
      </c>
      <c r="H28" s="70"/>
    </row>
    <row r="29" spans="1:8" ht="30" x14ac:dyDescent="0.25">
      <c r="A29" t="s">
        <v>8</v>
      </c>
      <c r="C29" t="s">
        <v>8</v>
      </c>
      <c r="D29" t="s">
        <v>159</v>
      </c>
      <c r="E29" s="77" t="s">
        <v>495</v>
      </c>
      <c r="F29" s="72" t="s">
        <v>496</v>
      </c>
      <c r="G29" s="13">
        <v>10</v>
      </c>
      <c r="H29" s="13"/>
    </row>
    <row r="30" spans="1:8" ht="30" x14ac:dyDescent="0.45">
      <c r="A30" s="9" t="s">
        <v>8</v>
      </c>
      <c r="B30" s="9"/>
      <c r="C30" s="9" t="s">
        <v>8</v>
      </c>
      <c r="D30" s="9" t="s">
        <v>475</v>
      </c>
      <c r="E30" s="78" t="s">
        <v>497</v>
      </c>
      <c r="F30" s="69" t="s">
        <v>498</v>
      </c>
      <c r="G30" s="70">
        <f>G33</f>
        <v>3.6666666666666665</v>
      </c>
      <c r="H30" s="79" t="s">
        <v>518</v>
      </c>
    </row>
    <row r="31" spans="1:8" ht="21" x14ac:dyDescent="0.35">
      <c r="A31" s="75" t="s">
        <v>500</v>
      </c>
      <c r="B31" s="75"/>
      <c r="C31" s="75"/>
      <c r="D31" s="75"/>
      <c r="E31" s="75"/>
      <c r="F31" s="75"/>
      <c r="G31" s="75"/>
      <c r="H31" s="75"/>
    </row>
    <row r="32" spans="1:8" ht="30" x14ac:dyDescent="0.25">
      <c r="A32" s="9" t="s">
        <v>9</v>
      </c>
      <c r="B32" s="9"/>
      <c r="C32" s="9" t="s">
        <v>9</v>
      </c>
      <c r="D32" s="9" t="s">
        <v>475</v>
      </c>
      <c r="E32" s="76" t="s">
        <v>497</v>
      </c>
      <c r="F32" s="69" t="s">
        <v>501</v>
      </c>
      <c r="G32" s="70">
        <f>G34*(44/12)</f>
        <v>1.8333333333333333</v>
      </c>
      <c r="H32" s="70" t="s">
        <v>502</v>
      </c>
    </row>
    <row r="33" spans="1:8" ht="30" x14ac:dyDescent="0.25">
      <c r="A33" s="9" t="s">
        <v>9</v>
      </c>
      <c r="B33" s="9"/>
      <c r="C33" s="9" t="s">
        <v>9</v>
      </c>
      <c r="D33" s="9" t="s">
        <v>475</v>
      </c>
      <c r="E33" s="76" t="s">
        <v>497</v>
      </c>
      <c r="F33" s="69" t="s">
        <v>503</v>
      </c>
      <c r="G33" s="70">
        <f>G34*G35*(44/12)</f>
        <v>3.6666666666666665</v>
      </c>
      <c r="H33" s="70" t="s">
        <v>504</v>
      </c>
    </row>
    <row r="34" spans="1:8" ht="30" x14ac:dyDescent="0.25">
      <c r="A34" t="s">
        <v>8</v>
      </c>
      <c r="C34" t="s">
        <v>8</v>
      </c>
      <c r="D34" t="s">
        <v>159</v>
      </c>
      <c r="E34" s="77" t="s">
        <v>505</v>
      </c>
      <c r="F34" s="72" t="s">
        <v>506</v>
      </c>
      <c r="G34" s="13">
        <v>0.5</v>
      </c>
      <c r="H34" s="13"/>
    </row>
    <row r="35" spans="1:8" ht="30" x14ac:dyDescent="0.25">
      <c r="A35" t="s">
        <v>8</v>
      </c>
      <c r="C35" t="s">
        <v>8</v>
      </c>
      <c r="D35" t="s">
        <v>159</v>
      </c>
      <c r="E35" s="77" t="s">
        <v>507</v>
      </c>
      <c r="F35" s="72" t="s">
        <v>508</v>
      </c>
      <c r="G35" s="13">
        <v>2</v>
      </c>
      <c r="H35" s="13"/>
    </row>
    <row r="36" spans="1:8" ht="21" x14ac:dyDescent="0.35">
      <c r="A36" s="75" t="s">
        <v>509</v>
      </c>
      <c r="B36" s="75"/>
      <c r="C36" s="75"/>
      <c r="D36" s="75"/>
      <c r="E36" s="75"/>
      <c r="F36" s="75"/>
      <c r="G36" s="75"/>
      <c r="H36" s="75"/>
    </row>
    <row r="37" spans="1:8" ht="30" x14ac:dyDescent="0.25">
      <c r="A37" s="9" t="s">
        <v>9</v>
      </c>
      <c r="B37" s="9"/>
      <c r="C37" s="9" t="s">
        <v>9</v>
      </c>
      <c r="D37" s="9" t="s">
        <v>475</v>
      </c>
      <c r="E37" s="76" t="s">
        <v>497</v>
      </c>
      <c r="F37" s="69" t="s">
        <v>498</v>
      </c>
      <c r="G37" s="70">
        <f>G38*G39</f>
        <v>11.15</v>
      </c>
      <c r="H37" s="70"/>
    </row>
    <row r="38" spans="1:8" ht="30" x14ac:dyDescent="0.25">
      <c r="A38" t="s">
        <v>8</v>
      </c>
      <c r="C38" t="s">
        <v>8</v>
      </c>
      <c r="D38" t="s">
        <v>159</v>
      </c>
      <c r="E38" s="77" t="s">
        <v>510</v>
      </c>
      <c r="F38" s="72" t="s">
        <v>511</v>
      </c>
      <c r="G38" s="13">
        <v>0.5</v>
      </c>
      <c r="H38" s="13"/>
    </row>
    <row r="39" spans="1:8" ht="30" x14ac:dyDescent="0.25">
      <c r="A39" t="s">
        <v>8</v>
      </c>
      <c r="C39" t="s">
        <v>8</v>
      </c>
      <c r="D39" t="s">
        <v>159</v>
      </c>
      <c r="E39" s="77" t="s">
        <v>512</v>
      </c>
      <c r="F39" s="72" t="s">
        <v>513</v>
      </c>
      <c r="G39" s="13">
        <v>22.3</v>
      </c>
      <c r="H39" s="13"/>
    </row>
  </sheetData>
  <mergeCells count="9">
    <mergeCell ref="A27:H27"/>
    <mergeCell ref="A31:H31"/>
    <mergeCell ref="A36:H36"/>
    <mergeCell ref="A2:H2"/>
    <mergeCell ref="A4:H4"/>
    <mergeCell ref="A9:H9"/>
    <mergeCell ref="A13:H13"/>
    <mergeCell ref="A18:H18"/>
    <mergeCell ref="A22:H22"/>
  </mergeCells>
  <dataValidations count="2">
    <dataValidation type="list" allowBlank="1" showInputMessage="1" showErrorMessage="1" sqref="G8 G26" xr:uid="{5878E538-124F-44C8-AEAA-B89C9AE06C17}">
      <formula1>"Mass,Volume"</formula1>
    </dataValidation>
    <dataValidation type="list" allowBlank="1" showInputMessage="1" showErrorMessage="1" sqref="G7 G25" xr:uid="{6F71DAA8-47B5-4708-A947-045041C8DACE}">
      <formula1>"Option A,Option B"</formula1>
    </dataValidation>
  </dataValidations>
  <pageMargins left="0.7" right="0.7" top="0.75" bottom="0.75" header="0.3" footer="0.3"/>
  <pageSetup scale="34"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33EDB-F192-4FB9-9EF7-5D7EAC21FF02}">
  <dimension ref="A1:B481"/>
  <sheetViews>
    <sheetView topLeftCell="A475" zoomScale="120" zoomScaleNormal="120" workbookViewId="0">
      <selection activeCell="A41" sqref="A41"/>
    </sheetView>
  </sheetViews>
  <sheetFormatPr defaultColWidth="8.85546875" defaultRowHeight="15" x14ac:dyDescent="0.25"/>
  <cols>
    <col min="1" max="1" width="53.28515625" bestFit="1" customWidth="1"/>
    <col min="2" max="2" width="150.5703125" customWidth="1"/>
  </cols>
  <sheetData>
    <row r="1" spans="1:2" x14ac:dyDescent="0.25">
      <c r="A1" s="159" t="s">
        <v>1212</v>
      </c>
      <c r="B1" s="160" t="s">
        <v>1213</v>
      </c>
    </row>
    <row r="2" spans="1:2" x14ac:dyDescent="0.25">
      <c r="A2" t="s">
        <v>1214</v>
      </c>
      <c r="B2" t="s">
        <v>1215</v>
      </c>
    </row>
    <row r="3" spans="1:2" x14ac:dyDescent="0.25">
      <c r="A3" t="s">
        <v>1216</v>
      </c>
      <c r="B3" t="s">
        <v>1217</v>
      </c>
    </row>
    <row r="4" spans="1:2" x14ac:dyDescent="0.25">
      <c r="A4" t="s">
        <v>1218</v>
      </c>
      <c r="B4" t="s">
        <v>1219</v>
      </c>
    </row>
    <row r="5" spans="1:2" x14ac:dyDescent="0.25">
      <c r="A5" t="s">
        <v>1220</v>
      </c>
      <c r="B5" t="s">
        <v>1221</v>
      </c>
    </row>
    <row r="6" spans="1:2" x14ac:dyDescent="0.25">
      <c r="A6" t="s">
        <v>1222</v>
      </c>
      <c r="B6" t="s">
        <v>1223</v>
      </c>
    </row>
    <row r="7" spans="1:2" x14ac:dyDescent="0.25">
      <c r="A7" t="s">
        <v>1224</v>
      </c>
      <c r="B7" t="s">
        <v>1225</v>
      </c>
    </row>
    <row r="8" spans="1:2" x14ac:dyDescent="0.25">
      <c r="A8" t="s">
        <v>1226</v>
      </c>
      <c r="B8" t="s">
        <v>1227</v>
      </c>
    </row>
    <row r="9" spans="1:2" x14ac:dyDescent="0.25">
      <c r="A9" t="s">
        <v>1228</v>
      </c>
      <c r="B9" t="s">
        <v>1229</v>
      </c>
    </row>
    <row r="10" spans="1:2" x14ac:dyDescent="0.25">
      <c r="A10" t="s">
        <v>1230</v>
      </c>
      <c r="B10" t="s">
        <v>1231</v>
      </c>
    </row>
    <row r="11" spans="1:2" x14ac:dyDescent="0.25">
      <c r="A11" t="s">
        <v>1232</v>
      </c>
      <c r="B11" t="s">
        <v>1233</v>
      </c>
    </row>
    <row r="12" spans="1:2" x14ac:dyDescent="0.25">
      <c r="A12" t="s">
        <v>1234</v>
      </c>
      <c r="B12" t="s">
        <v>1235</v>
      </c>
    </row>
    <row r="13" spans="1:2" x14ac:dyDescent="0.25">
      <c r="A13" t="s">
        <v>1236</v>
      </c>
      <c r="B13" t="s">
        <v>1237</v>
      </c>
    </row>
    <row r="14" spans="1:2" x14ac:dyDescent="0.25">
      <c r="A14" t="s">
        <v>1238</v>
      </c>
      <c r="B14" t="s">
        <v>1239</v>
      </c>
    </row>
    <row r="15" spans="1:2" x14ac:dyDescent="0.25">
      <c r="A15" t="s">
        <v>1240</v>
      </c>
      <c r="B15" t="s">
        <v>1241</v>
      </c>
    </row>
    <row r="16" spans="1:2" x14ac:dyDescent="0.25">
      <c r="A16" t="s">
        <v>1242</v>
      </c>
      <c r="B16" t="s">
        <v>1243</v>
      </c>
    </row>
    <row r="17" spans="1:2" x14ac:dyDescent="0.25">
      <c r="A17" t="s">
        <v>1244</v>
      </c>
      <c r="B17" t="s">
        <v>1245</v>
      </c>
    </row>
    <row r="18" spans="1:2" x14ac:dyDescent="0.25">
      <c r="A18" t="s">
        <v>1246</v>
      </c>
      <c r="B18" t="s">
        <v>1247</v>
      </c>
    </row>
    <row r="19" spans="1:2" x14ac:dyDescent="0.25">
      <c r="A19" t="s">
        <v>1248</v>
      </c>
      <c r="B19" t="s">
        <v>1249</v>
      </c>
    </row>
    <row r="20" spans="1:2" x14ac:dyDescent="0.25">
      <c r="A20" t="s">
        <v>1250</v>
      </c>
      <c r="B20" t="s">
        <v>1251</v>
      </c>
    </row>
    <row r="21" spans="1:2" x14ac:dyDescent="0.25">
      <c r="A21" t="s">
        <v>1252</v>
      </c>
      <c r="B21" t="s">
        <v>1253</v>
      </c>
    </row>
    <row r="22" spans="1:2" x14ac:dyDescent="0.25">
      <c r="A22" t="s">
        <v>1254</v>
      </c>
      <c r="B22" t="s">
        <v>1255</v>
      </c>
    </row>
    <row r="23" spans="1:2" x14ac:dyDescent="0.25">
      <c r="A23" t="s">
        <v>1256</v>
      </c>
      <c r="B23" t="s">
        <v>1257</v>
      </c>
    </row>
    <row r="24" spans="1:2" x14ac:dyDescent="0.25">
      <c r="A24" t="s">
        <v>1258</v>
      </c>
      <c r="B24" t="s">
        <v>1259</v>
      </c>
    </row>
    <row r="25" spans="1:2" x14ac:dyDescent="0.25">
      <c r="A25" t="s">
        <v>1260</v>
      </c>
      <c r="B25" t="s">
        <v>1261</v>
      </c>
    </row>
    <row r="26" spans="1:2" x14ac:dyDescent="0.25">
      <c r="A26" t="s">
        <v>1262</v>
      </c>
      <c r="B26" t="s">
        <v>1263</v>
      </c>
    </row>
    <row r="27" spans="1:2" x14ac:dyDescent="0.25">
      <c r="A27" t="s">
        <v>1264</v>
      </c>
      <c r="B27" t="s">
        <v>1265</v>
      </c>
    </row>
    <row r="28" spans="1:2" x14ac:dyDescent="0.25">
      <c r="A28" t="s">
        <v>1266</v>
      </c>
      <c r="B28" t="s">
        <v>1267</v>
      </c>
    </row>
    <row r="29" spans="1:2" x14ac:dyDescent="0.25">
      <c r="A29" t="s">
        <v>1268</v>
      </c>
      <c r="B29" t="s">
        <v>1269</v>
      </c>
    </row>
    <row r="30" spans="1:2" x14ac:dyDescent="0.25">
      <c r="A30" t="s">
        <v>1270</v>
      </c>
      <c r="B30" t="s">
        <v>1271</v>
      </c>
    </row>
    <row r="31" spans="1:2" x14ac:dyDescent="0.25">
      <c r="A31" t="s">
        <v>1272</v>
      </c>
      <c r="B31" t="s">
        <v>1273</v>
      </c>
    </row>
    <row r="32" spans="1:2" x14ac:dyDescent="0.25">
      <c r="A32" t="s">
        <v>1274</v>
      </c>
      <c r="B32" t="s">
        <v>1275</v>
      </c>
    </row>
    <row r="33" spans="1:2" x14ac:dyDescent="0.25">
      <c r="A33" t="s">
        <v>1276</v>
      </c>
      <c r="B33" t="s">
        <v>1277</v>
      </c>
    </row>
    <row r="34" spans="1:2" x14ac:dyDescent="0.25">
      <c r="A34" s="161" t="s">
        <v>1278</v>
      </c>
      <c r="B34" t="s">
        <v>1279</v>
      </c>
    </row>
    <row r="35" spans="1:2" x14ac:dyDescent="0.25">
      <c r="A35" s="161" t="s">
        <v>1280</v>
      </c>
      <c r="B35" t="s">
        <v>1281</v>
      </c>
    </row>
    <row r="36" spans="1:2" x14ac:dyDescent="0.25">
      <c r="A36" s="161" t="s">
        <v>1282</v>
      </c>
      <c r="B36" t="s">
        <v>1283</v>
      </c>
    </row>
    <row r="37" spans="1:2" x14ac:dyDescent="0.25">
      <c r="A37" s="161" t="s">
        <v>1284</v>
      </c>
      <c r="B37" t="s">
        <v>1285</v>
      </c>
    </row>
    <row r="38" spans="1:2" x14ac:dyDescent="0.25">
      <c r="A38" s="161" t="s">
        <v>1286</v>
      </c>
      <c r="B38" t="s">
        <v>1287</v>
      </c>
    </row>
    <row r="39" spans="1:2" x14ac:dyDescent="0.25">
      <c r="A39" s="161" t="s">
        <v>1288</v>
      </c>
      <c r="B39" t="s">
        <v>1289</v>
      </c>
    </row>
    <row r="40" spans="1:2" x14ac:dyDescent="0.25">
      <c r="A40" t="s">
        <v>1290</v>
      </c>
      <c r="B40" t="s">
        <v>1291</v>
      </c>
    </row>
    <row r="41" spans="1:2" x14ac:dyDescent="0.25">
      <c r="A41" t="s">
        <v>1292</v>
      </c>
      <c r="B41" t="s">
        <v>1293</v>
      </c>
    </row>
    <row r="42" spans="1:2" x14ac:dyDescent="0.25">
      <c r="A42" t="s">
        <v>1294</v>
      </c>
      <c r="B42" t="s">
        <v>1295</v>
      </c>
    </row>
    <row r="43" spans="1:2" x14ac:dyDescent="0.25">
      <c r="A43" t="s">
        <v>1296</v>
      </c>
      <c r="B43" t="s">
        <v>1297</v>
      </c>
    </row>
    <row r="44" spans="1:2" x14ac:dyDescent="0.25">
      <c r="A44" t="s">
        <v>1298</v>
      </c>
      <c r="B44" t="s">
        <v>1299</v>
      </c>
    </row>
    <row r="45" spans="1:2" x14ac:dyDescent="0.25">
      <c r="A45" t="s">
        <v>1300</v>
      </c>
      <c r="B45" t="s">
        <v>1301</v>
      </c>
    </row>
    <row r="46" spans="1:2" x14ac:dyDescent="0.25">
      <c r="A46" t="s">
        <v>1302</v>
      </c>
      <c r="B46" t="s">
        <v>1303</v>
      </c>
    </row>
    <row r="47" spans="1:2" x14ac:dyDescent="0.25">
      <c r="A47" t="s">
        <v>1304</v>
      </c>
      <c r="B47" t="s">
        <v>1305</v>
      </c>
    </row>
    <row r="48" spans="1:2" x14ac:dyDescent="0.25">
      <c r="A48" t="s">
        <v>1306</v>
      </c>
      <c r="B48" t="s">
        <v>1307</v>
      </c>
    </row>
    <row r="49" spans="1:2" x14ac:dyDescent="0.25">
      <c r="A49" t="s">
        <v>1308</v>
      </c>
      <c r="B49" t="s">
        <v>1309</v>
      </c>
    </row>
    <row r="50" spans="1:2" x14ac:dyDescent="0.25">
      <c r="A50" t="s">
        <v>1310</v>
      </c>
      <c r="B50" t="s">
        <v>1311</v>
      </c>
    </row>
    <row r="51" spans="1:2" x14ac:dyDescent="0.25">
      <c r="A51" t="s">
        <v>1312</v>
      </c>
      <c r="B51" t="s">
        <v>1313</v>
      </c>
    </row>
    <row r="52" spans="1:2" x14ac:dyDescent="0.25">
      <c r="A52" t="s">
        <v>1314</v>
      </c>
      <c r="B52" t="s">
        <v>1315</v>
      </c>
    </row>
    <row r="53" spans="1:2" x14ac:dyDescent="0.25">
      <c r="A53" t="s">
        <v>1316</v>
      </c>
      <c r="B53" t="s">
        <v>1317</v>
      </c>
    </row>
    <row r="54" spans="1:2" x14ac:dyDescent="0.25">
      <c r="A54" t="s">
        <v>1318</v>
      </c>
      <c r="B54" t="s">
        <v>1319</v>
      </c>
    </row>
    <row r="55" spans="1:2" x14ac:dyDescent="0.25">
      <c r="A55" t="s">
        <v>1320</v>
      </c>
      <c r="B55" t="s">
        <v>1321</v>
      </c>
    </row>
    <row r="56" spans="1:2" x14ac:dyDescent="0.25">
      <c r="A56" t="s">
        <v>1322</v>
      </c>
      <c r="B56" t="s">
        <v>1323</v>
      </c>
    </row>
    <row r="57" spans="1:2" x14ac:dyDescent="0.25">
      <c r="A57" t="s">
        <v>1324</v>
      </c>
      <c r="B57" t="s">
        <v>1325</v>
      </c>
    </row>
    <row r="58" spans="1:2" x14ac:dyDescent="0.25">
      <c r="A58" t="s">
        <v>1326</v>
      </c>
      <c r="B58" t="s">
        <v>1327</v>
      </c>
    </row>
    <row r="59" spans="1:2" x14ac:dyDescent="0.25">
      <c r="A59" t="s">
        <v>1328</v>
      </c>
      <c r="B59" t="s">
        <v>1329</v>
      </c>
    </row>
    <row r="60" spans="1:2" x14ac:dyDescent="0.25">
      <c r="A60" t="s">
        <v>1330</v>
      </c>
      <c r="B60" t="s">
        <v>1331</v>
      </c>
    </row>
    <row r="61" spans="1:2" x14ac:dyDescent="0.25">
      <c r="A61" t="s">
        <v>1332</v>
      </c>
      <c r="B61" t="s">
        <v>1333</v>
      </c>
    </row>
    <row r="62" spans="1:2" x14ac:dyDescent="0.25">
      <c r="A62" t="s">
        <v>1334</v>
      </c>
      <c r="B62" t="s">
        <v>1335</v>
      </c>
    </row>
    <row r="63" spans="1:2" x14ac:dyDescent="0.25">
      <c r="A63" t="s">
        <v>1336</v>
      </c>
      <c r="B63" t="s">
        <v>1337</v>
      </c>
    </row>
    <row r="64" spans="1:2" x14ac:dyDescent="0.25">
      <c r="A64" t="s">
        <v>1338</v>
      </c>
      <c r="B64" t="s">
        <v>1339</v>
      </c>
    </row>
    <row r="65" spans="1:2" x14ac:dyDescent="0.25">
      <c r="A65" t="s">
        <v>1340</v>
      </c>
      <c r="B65" t="s">
        <v>1341</v>
      </c>
    </row>
    <row r="66" spans="1:2" x14ac:dyDescent="0.25">
      <c r="A66" t="s">
        <v>1342</v>
      </c>
      <c r="B66" t="s">
        <v>1343</v>
      </c>
    </row>
    <row r="67" spans="1:2" x14ac:dyDescent="0.25">
      <c r="A67" t="s">
        <v>1344</v>
      </c>
      <c r="B67" t="s">
        <v>1345</v>
      </c>
    </row>
    <row r="68" spans="1:2" x14ac:dyDescent="0.25">
      <c r="A68" t="s">
        <v>1346</v>
      </c>
      <c r="B68" t="s">
        <v>1347</v>
      </c>
    </row>
    <row r="69" spans="1:2" x14ac:dyDescent="0.25">
      <c r="A69" t="s">
        <v>1348</v>
      </c>
      <c r="B69" t="s">
        <v>1349</v>
      </c>
    </row>
    <row r="70" spans="1:2" x14ac:dyDescent="0.25">
      <c r="A70" t="s">
        <v>1350</v>
      </c>
      <c r="B70" t="s">
        <v>1351</v>
      </c>
    </row>
    <row r="71" spans="1:2" x14ac:dyDescent="0.25">
      <c r="A71" t="s">
        <v>1352</v>
      </c>
      <c r="B71" t="s">
        <v>1353</v>
      </c>
    </row>
    <row r="72" spans="1:2" x14ac:dyDescent="0.25">
      <c r="A72" t="s">
        <v>1354</v>
      </c>
      <c r="B72" t="s">
        <v>1355</v>
      </c>
    </row>
    <row r="73" spans="1:2" x14ac:dyDescent="0.25">
      <c r="A73" t="s">
        <v>1356</v>
      </c>
      <c r="B73" t="s">
        <v>1357</v>
      </c>
    </row>
    <row r="74" spans="1:2" x14ac:dyDescent="0.25">
      <c r="A74" t="s">
        <v>1358</v>
      </c>
      <c r="B74" t="s">
        <v>1359</v>
      </c>
    </row>
    <row r="75" spans="1:2" x14ac:dyDescent="0.25">
      <c r="A75" t="s">
        <v>1360</v>
      </c>
      <c r="B75" t="s">
        <v>1361</v>
      </c>
    </row>
    <row r="76" spans="1:2" x14ac:dyDescent="0.25">
      <c r="A76" t="s">
        <v>1362</v>
      </c>
      <c r="B76" t="s">
        <v>1363</v>
      </c>
    </row>
    <row r="77" spans="1:2" x14ac:dyDescent="0.25">
      <c r="A77" t="s">
        <v>1364</v>
      </c>
      <c r="B77" t="s">
        <v>1365</v>
      </c>
    </row>
    <row r="78" spans="1:2" x14ac:dyDescent="0.25">
      <c r="A78" t="s">
        <v>1366</v>
      </c>
      <c r="B78" t="s">
        <v>1367</v>
      </c>
    </row>
    <row r="79" spans="1:2" x14ac:dyDescent="0.25">
      <c r="A79" t="s">
        <v>1368</v>
      </c>
      <c r="B79" t="s">
        <v>1369</v>
      </c>
    </row>
    <row r="80" spans="1:2" x14ac:dyDescent="0.25">
      <c r="A80" t="s">
        <v>1370</v>
      </c>
      <c r="B80" t="s">
        <v>1371</v>
      </c>
    </row>
    <row r="81" spans="1:2" x14ac:dyDescent="0.25">
      <c r="A81" t="s">
        <v>1372</v>
      </c>
      <c r="B81" t="s">
        <v>1373</v>
      </c>
    </row>
    <row r="82" spans="1:2" x14ac:dyDescent="0.25">
      <c r="A82" t="s">
        <v>1374</v>
      </c>
      <c r="B82" t="s">
        <v>1375</v>
      </c>
    </row>
    <row r="83" spans="1:2" x14ac:dyDescent="0.25">
      <c r="A83" t="s">
        <v>1376</v>
      </c>
      <c r="B83" t="s">
        <v>1377</v>
      </c>
    </row>
    <row r="84" spans="1:2" x14ac:dyDescent="0.25">
      <c r="A84" t="s">
        <v>1378</v>
      </c>
      <c r="B84" t="s">
        <v>1379</v>
      </c>
    </row>
    <row r="85" spans="1:2" x14ac:dyDescent="0.25">
      <c r="A85" t="s">
        <v>1380</v>
      </c>
      <c r="B85" t="s">
        <v>1381</v>
      </c>
    </row>
    <row r="86" spans="1:2" x14ac:dyDescent="0.25">
      <c r="A86" t="s">
        <v>1382</v>
      </c>
      <c r="B86" t="s">
        <v>1383</v>
      </c>
    </row>
    <row r="87" spans="1:2" x14ac:dyDescent="0.25">
      <c r="A87" t="s">
        <v>1384</v>
      </c>
      <c r="B87" t="s">
        <v>1385</v>
      </c>
    </row>
    <row r="88" spans="1:2" x14ac:dyDescent="0.25">
      <c r="A88" t="s">
        <v>1386</v>
      </c>
      <c r="B88" t="s">
        <v>1387</v>
      </c>
    </row>
    <row r="89" spans="1:2" x14ac:dyDescent="0.25">
      <c r="A89" t="s">
        <v>1388</v>
      </c>
      <c r="B89" t="s">
        <v>1389</v>
      </c>
    </row>
    <row r="90" spans="1:2" x14ac:dyDescent="0.25">
      <c r="A90" t="s">
        <v>1390</v>
      </c>
      <c r="B90" t="s">
        <v>1391</v>
      </c>
    </row>
    <row r="91" spans="1:2" x14ac:dyDescent="0.25">
      <c r="A91" t="s">
        <v>1392</v>
      </c>
      <c r="B91" t="s">
        <v>1393</v>
      </c>
    </row>
    <row r="92" spans="1:2" x14ac:dyDescent="0.25">
      <c r="A92" t="s">
        <v>1394</v>
      </c>
      <c r="B92" t="s">
        <v>1395</v>
      </c>
    </row>
    <row r="93" spans="1:2" x14ac:dyDescent="0.25">
      <c r="A93" t="s">
        <v>1396</v>
      </c>
      <c r="B93" t="s">
        <v>1397</v>
      </c>
    </row>
    <row r="94" spans="1:2" x14ac:dyDescent="0.25">
      <c r="A94" t="s">
        <v>1398</v>
      </c>
      <c r="B94" t="s">
        <v>1399</v>
      </c>
    </row>
    <row r="95" spans="1:2" x14ac:dyDescent="0.25">
      <c r="A95" t="s">
        <v>1400</v>
      </c>
      <c r="B95" t="s">
        <v>1401</v>
      </c>
    </row>
    <row r="96" spans="1:2" x14ac:dyDescent="0.25">
      <c r="A96" t="s">
        <v>1402</v>
      </c>
      <c r="B96" t="s">
        <v>1403</v>
      </c>
    </row>
    <row r="97" spans="1:2" x14ac:dyDescent="0.25">
      <c r="A97" t="s">
        <v>1404</v>
      </c>
      <c r="B97" t="s">
        <v>1405</v>
      </c>
    </row>
    <row r="98" spans="1:2" x14ac:dyDescent="0.25">
      <c r="A98" t="s">
        <v>1406</v>
      </c>
      <c r="B98" t="s">
        <v>1407</v>
      </c>
    </row>
    <row r="99" spans="1:2" x14ac:dyDescent="0.25">
      <c r="A99" t="s">
        <v>1408</v>
      </c>
      <c r="B99" t="s">
        <v>1409</v>
      </c>
    </row>
    <row r="100" spans="1:2" x14ac:dyDescent="0.25">
      <c r="A100" t="s">
        <v>1410</v>
      </c>
      <c r="B100" t="s">
        <v>1411</v>
      </c>
    </row>
    <row r="101" spans="1:2" x14ac:dyDescent="0.25">
      <c r="A101" t="s">
        <v>1412</v>
      </c>
      <c r="B101" t="s">
        <v>1413</v>
      </c>
    </row>
    <row r="102" spans="1:2" x14ac:dyDescent="0.25">
      <c r="A102" t="s">
        <v>1414</v>
      </c>
      <c r="B102" t="s">
        <v>1415</v>
      </c>
    </row>
    <row r="103" spans="1:2" x14ac:dyDescent="0.25">
      <c r="A103" t="s">
        <v>1416</v>
      </c>
      <c r="B103" t="s">
        <v>1417</v>
      </c>
    </row>
    <row r="104" spans="1:2" x14ac:dyDescent="0.25">
      <c r="A104" t="s">
        <v>1418</v>
      </c>
      <c r="B104" t="s">
        <v>1419</v>
      </c>
    </row>
    <row r="105" spans="1:2" x14ac:dyDescent="0.25">
      <c r="A105" t="s">
        <v>1420</v>
      </c>
      <c r="B105" t="s">
        <v>1421</v>
      </c>
    </row>
    <row r="106" spans="1:2" x14ac:dyDescent="0.25">
      <c r="A106" t="s">
        <v>1422</v>
      </c>
      <c r="B106" t="s">
        <v>1423</v>
      </c>
    </row>
    <row r="107" spans="1:2" x14ac:dyDescent="0.25">
      <c r="A107" t="s">
        <v>1424</v>
      </c>
      <c r="B107" t="s">
        <v>1425</v>
      </c>
    </row>
    <row r="108" spans="1:2" x14ac:dyDescent="0.25">
      <c r="A108" t="s">
        <v>1426</v>
      </c>
      <c r="B108" t="s">
        <v>1427</v>
      </c>
    </row>
    <row r="109" spans="1:2" x14ac:dyDescent="0.25">
      <c r="A109" t="s">
        <v>1428</v>
      </c>
      <c r="B109" t="s">
        <v>1429</v>
      </c>
    </row>
    <row r="110" spans="1:2" x14ac:dyDescent="0.25">
      <c r="A110" t="s">
        <v>1430</v>
      </c>
      <c r="B110" t="s">
        <v>1431</v>
      </c>
    </row>
    <row r="111" spans="1:2" x14ac:dyDescent="0.25">
      <c r="A111" t="s">
        <v>1432</v>
      </c>
      <c r="B111" t="s">
        <v>1433</v>
      </c>
    </row>
    <row r="112" spans="1:2" x14ac:dyDescent="0.25">
      <c r="A112" t="s">
        <v>1434</v>
      </c>
      <c r="B112" t="s">
        <v>1435</v>
      </c>
    </row>
    <row r="113" spans="1:2" x14ac:dyDescent="0.25">
      <c r="A113" t="s">
        <v>1436</v>
      </c>
      <c r="B113" t="s">
        <v>1437</v>
      </c>
    </row>
    <row r="114" spans="1:2" x14ac:dyDescent="0.25">
      <c r="A114" t="s">
        <v>1438</v>
      </c>
      <c r="B114" t="s">
        <v>1439</v>
      </c>
    </row>
    <row r="115" spans="1:2" x14ac:dyDescent="0.25">
      <c r="A115" t="s">
        <v>1440</v>
      </c>
      <c r="B115" t="s">
        <v>1441</v>
      </c>
    </row>
    <row r="116" spans="1:2" x14ac:dyDescent="0.25">
      <c r="A116" t="s">
        <v>1442</v>
      </c>
      <c r="B116" t="s">
        <v>1443</v>
      </c>
    </row>
    <row r="117" spans="1:2" x14ac:dyDescent="0.25">
      <c r="A117" t="s">
        <v>1444</v>
      </c>
      <c r="B117" t="s">
        <v>1445</v>
      </c>
    </row>
    <row r="118" spans="1:2" x14ac:dyDescent="0.25">
      <c r="A118" t="s">
        <v>1446</v>
      </c>
      <c r="B118" t="s">
        <v>1447</v>
      </c>
    </row>
    <row r="119" spans="1:2" x14ac:dyDescent="0.25">
      <c r="A119" t="s">
        <v>1448</v>
      </c>
      <c r="B119" t="s">
        <v>1449</v>
      </c>
    </row>
    <row r="120" spans="1:2" x14ac:dyDescent="0.25">
      <c r="A120" t="s">
        <v>1450</v>
      </c>
      <c r="B120" t="s">
        <v>1451</v>
      </c>
    </row>
    <row r="121" spans="1:2" x14ac:dyDescent="0.25">
      <c r="A121" t="s">
        <v>1452</v>
      </c>
      <c r="B121" t="s">
        <v>1453</v>
      </c>
    </row>
    <row r="122" spans="1:2" x14ac:dyDescent="0.25">
      <c r="A122" t="s">
        <v>1454</v>
      </c>
      <c r="B122" t="s">
        <v>1455</v>
      </c>
    </row>
    <row r="123" spans="1:2" x14ac:dyDescent="0.25">
      <c r="A123" t="s">
        <v>1456</v>
      </c>
      <c r="B123" t="s">
        <v>1457</v>
      </c>
    </row>
    <row r="124" spans="1:2" x14ac:dyDescent="0.25">
      <c r="A124" t="s">
        <v>1458</v>
      </c>
      <c r="B124" t="s">
        <v>1459</v>
      </c>
    </row>
    <row r="125" spans="1:2" x14ac:dyDescent="0.25">
      <c r="A125" t="s">
        <v>1460</v>
      </c>
      <c r="B125" t="s">
        <v>1461</v>
      </c>
    </row>
    <row r="126" spans="1:2" x14ac:dyDescent="0.25">
      <c r="A126" t="s">
        <v>1462</v>
      </c>
      <c r="B126" t="s">
        <v>1463</v>
      </c>
    </row>
    <row r="127" spans="1:2" x14ac:dyDescent="0.25">
      <c r="A127" t="s">
        <v>1464</v>
      </c>
      <c r="B127" t="s">
        <v>1465</v>
      </c>
    </row>
    <row r="128" spans="1:2" x14ac:dyDescent="0.25">
      <c r="A128" t="s">
        <v>1466</v>
      </c>
      <c r="B128" t="s">
        <v>1467</v>
      </c>
    </row>
    <row r="129" spans="1:2" x14ac:dyDescent="0.25">
      <c r="A129" t="s">
        <v>1468</v>
      </c>
      <c r="B129" t="s">
        <v>1469</v>
      </c>
    </row>
    <row r="130" spans="1:2" x14ac:dyDescent="0.25">
      <c r="A130" t="s">
        <v>1470</v>
      </c>
      <c r="B130" t="s">
        <v>1471</v>
      </c>
    </row>
    <row r="131" spans="1:2" x14ac:dyDescent="0.25">
      <c r="A131" t="s">
        <v>1472</v>
      </c>
      <c r="B131" t="s">
        <v>1473</v>
      </c>
    </row>
    <row r="132" spans="1:2" x14ac:dyDescent="0.25">
      <c r="A132" t="s">
        <v>1474</v>
      </c>
      <c r="B132" t="s">
        <v>1475</v>
      </c>
    </row>
    <row r="133" spans="1:2" x14ac:dyDescent="0.25">
      <c r="A133" t="s">
        <v>1476</v>
      </c>
      <c r="B133" t="s">
        <v>1477</v>
      </c>
    </row>
    <row r="134" spans="1:2" x14ac:dyDescent="0.25">
      <c r="A134" t="s">
        <v>1478</v>
      </c>
      <c r="B134" t="s">
        <v>1479</v>
      </c>
    </row>
    <row r="135" spans="1:2" x14ac:dyDescent="0.25">
      <c r="A135" t="s">
        <v>1480</v>
      </c>
      <c r="B135" t="s">
        <v>1481</v>
      </c>
    </row>
    <row r="136" spans="1:2" x14ac:dyDescent="0.25">
      <c r="A136" t="s">
        <v>1482</v>
      </c>
      <c r="B136" t="s">
        <v>1483</v>
      </c>
    </row>
    <row r="137" spans="1:2" x14ac:dyDescent="0.25">
      <c r="A137" t="s">
        <v>1484</v>
      </c>
      <c r="B137" t="s">
        <v>1485</v>
      </c>
    </row>
    <row r="138" spans="1:2" x14ac:dyDescent="0.25">
      <c r="A138" t="s">
        <v>1486</v>
      </c>
      <c r="B138" t="s">
        <v>1487</v>
      </c>
    </row>
    <row r="139" spans="1:2" x14ac:dyDescent="0.25">
      <c r="A139" t="s">
        <v>1488</v>
      </c>
      <c r="B139" t="s">
        <v>1489</v>
      </c>
    </row>
    <row r="140" spans="1:2" x14ac:dyDescent="0.25">
      <c r="A140" t="s">
        <v>1490</v>
      </c>
      <c r="B140" t="s">
        <v>1491</v>
      </c>
    </row>
    <row r="141" spans="1:2" x14ac:dyDescent="0.25">
      <c r="A141" t="s">
        <v>1492</v>
      </c>
      <c r="B141" t="s">
        <v>1493</v>
      </c>
    </row>
    <row r="142" spans="1:2" x14ac:dyDescent="0.25">
      <c r="A142" t="s">
        <v>1494</v>
      </c>
      <c r="B142" t="s">
        <v>1495</v>
      </c>
    </row>
    <row r="143" spans="1:2" x14ac:dyDescent="0.25">
      <c r="A143" t="s">
        <v>1496</v>
      </c>
      <c r="B143" t="s">
        <v>1497</v>
      </c>
    </row>
    <row r="144" spans="1:2" x14ac:dyDescent="0.25">
      <c r="A144" t="s">
        <v>1498</v>
      </c>
      <c r="B144" t="s">
        <v>1499</v>
      </c>
    </row>
    <row r="145" spans="1:2" x14ac:dyDescent="0.25">
      <c r="A145" t="s">
        <v>1500</v>
      </c>
      <c r="B145" t="s">
        <v>1501</v>
      </c>
    </row>
    <row r="146" spans="1:2" x14ac:dyDescent="0.25">
      <c r="A146" t="s">
        <v>1502</v>
      </c>
      <c r="B146" t="s">
        <v>1503</v>
      </c>
    </row>
    <row r="147" spans="1:2" x14ac:dyDescent="0.25">
      <c r="A147" t="s">
        <v>1504</v>
      </c>
      <c r="B147" t="s">
        <v>1505</v>
      </c>
    </row>
    <row r="148" spans="1:2" x14ac:dyDescent="0.25">
      <c r="A148" t="s">
        <v>1506</v>
      </c>
      <c r="B148" t="s">
        <v>1507</v>
      </c>
    </row>
    <row r="149" spans="1:2" x14ac:dyDescent="0.25">
      <c r="A149" t="s">
        <v>1508</v>
      </c>
      <c r="B149" t="s">
        <v>1509</v>
      </c>
    </row>
    <row r="150" spans="1:2" x14ac:dyDescent="0.25">
      <c r="A150" t="s">
        <v>1510</v>
      </c>
      <c r="B150" t="s">
        <v>1511</v>
      </c>
    </row>
    <row r="151" spans="1:2" x14ac:dyDescent="0.25">
      <c r="A151" t="s">
        <v>1512</v>
      </c>
      <c r="B151" t="s">
        <v>1513</v>
      </c>
    </row>
    <row r="152" spans="1:2" x14ac:dyDescent="0.25">
      <c r="A152" t="s">
        <v>1514</v>
      </c>
      <c r="B152" t="s">
        <v>1515</v>
      </c>
    </row>
    <row r="153" spans="1:2" x14ac:dyDescent="0.25">
      <c r="A153" t="s">
        <v>1516</v>
      </c>
      <c r="B153" t="s">
        <v>1517</v>
      </c>
    </row>
    <row r="154" spans="1:2" x14ac:dyDescent="0.25">
      <c r="A154" t="s">
        <v>1518</v>
      </c>
      <c r="B154" t="s">
        <v>1519</v>
      </c>
    </row>
    <row r="155" spans="1:2" x14ac:dyDescent="0.25">
      <c r="A155" t="s">
        <v>1520</v>
      </c>
      <c r="B155" t="s">
        <v>1521</v>
      </c>
    </row>
    <row r="156" spans="1:2" x14ac:dyDescent="0.25">
      <c r="A156" t="s">
        <v>1522</v>
      </c>
      <c r="B156" t="s">
        <v>1523</v>
      </c>
    </row>
    <row r="157" spans="1:2" x14ac:dyDescent="0.25">
      <c r="A157" t="s">
        <v>1524</v>
      </c>
      <c r="B157" t="s">
        <v>1525</v>
      </c>
    </row>
    <row r="158" spans="1:2" x14ac:dyDescent="0.25">
      <c r="A158" t="s">
        <v>1526</v>
      </c>
      <c r="B158" t="s">
        <v>1527</v>
      </c>
    </row>
    <row r="159" spans="1:2" x14ac:dyDescent="0.25">
      <c r="A159" t="s">
        <v>1528</v>
      </c>
      <c r="B159" t="s">
        <v>1529</v>
      </c>
    </row>
    <row r="160" spans="1:2" x14ac:dyDescent="0.25">
      <c r="A160" t="s">
        <v>1530</v>
      </c>
      <c r="B160" t="s">
        <v>1531</v>
      </c>
    </row>
    <row r="161" spans="1:2" x14ac:dyDescent="0.25">
      <c r="A161" t="s">
        <v>1532</v>
      </c>
      <c r="B161" t="s">
        <v>1533</v>
      </c>
    </row>
    <row r="162" spans="1:2" x14ac:dyDescent="0.25">
      <c r="A162" t="s">
        <v>1534</v>
      </c>
      <c r="B162" t="s">
        <v>1535</v>
      </c>
    </row>
    <row r="163" spans="1:2" x14ac:dyDescent="0.25">
      <c r="A163" t="s">
        <v>1536</v>
      </c>
      <c r="B163" t="s">
        <v>1537</v>
      </c>
    </row>
    <row r="164" spans="1:2" x14ac:dyDescent="0.25">
      <c r="A164" t="s">
        <v>1538</v>
      </c>
      <c r="B164" t="s">
        <v>1539</v>
      </c>
    </row>
    <row r="165" spans="1:2" x14ac:dyDescent="0.25">
      <c r="A165" t="s">
        <v>1540</v>
      </c>
      <c r="B165" t="s">
        <v>1541</v>
      </c>
    </row>
    <row r="166" spans="1:2" x14ac:dyDescent="0.25">
      <c r="A166" t="s">
        <v>1542</v>
      </c>
      <c r="B166" t="s">
        <v>1543</v>
      </c>
    </row>
    <row r="167" spans="1:2" x14ac:dyDescent="0.25">
      <c r="A167" t="s">
        <v>1544</v>
      </c>
      <c r="B167" t="s">
        <v>1545</v>
      </c>
    </row>
    <row r="168" spans="1:2" x14ac:dyDescent="0.25">
      <c r="A168" t="s">
        <v>1546</v>
      </c>
      <c r="B168" t="s">
        <v>1547</v>
      </c>
    </row>
    <row r="169" spans="1:2" x14ac:dyDescent="0.25">
      <c r="A169" t="s">
        <v>1548</v>
      </c>
      <c r="B169" t="s">
        <v>1549</v>
      </c>
    </row>
    <row r="170" spans="1:2" x14ac:dyDescent="0.25">
      <c r="A170" t="s">
        <v>1550</v>
      </c>
      <c r="B170" t="s">
        <v>1551</v>
      </c>
    </row>
    <row r="171" spans="1:2" x14ac:dyDescent="0.25">
      <c r="A171" t="s">
        <v>1552</v>
      </c>
      <c r="B171" t="s">
        <v>1553</v>
      </c>
    </row>
    <row r="172" spans="1:2" x14ac:dyDescent="0.25">
      <c r="A172" t="s">
        <v>1554</v>
      </c>
      <c r="B172" t="s">
        <v>1555</v>
      </c>
    </row>
    <row r="173" spans="1:2" x14ac:dyDescent="0.25">
      <c r="A173" t="s">
        <v>1556</v>
      </c>
      <c r="B173" t="s">
        <v>1557</v>
      </c>
    </row>
    <row r="174" spans="1:2" x14ac:dyDescent="0.25">
      <c r="A174" t="s">
        <v>1558</v>
      </c>
      <c r="B174" t="s">
        <v>1559</v>
      </c>
    </row>
    <row r="175" spans="1:2" x14ac:dyDescent="0.25">
      <c r="A175" t="s">
        <v>1560</v>
      </c>
      <c r="B175" t="s">
        <v>1561</v>
      </c>
    </row>
    <row r="176" spans="1:2" x14ac:dyDescent="0.25">
      <c r="A176" t="s">
        <v>1562</v>
      </c>
      <c r="B176" t="s">
        <v>1563</v>
      </c>
    </row>
    <row r="177" spans="1:2" x14ac:dyDescent="0.25">
      <c r="A177" t="s">
        <v>1564</v>
      </c>
      <c r="B177" t="s">
        <v>1565</v>
      </c>
    </row>
    <row r="178" spans="1:2" x14ac:dyDescent="0.25">
      <c r="A178" t="s">
        <v>1566</v>
      </c>
      <c r="B178" t="s">
        <v>1567</v>
      </c>
    </row>
    <row r="179" spans="1:2" x14ac:dyDescent="0.25">
      <c r="A179" t="s">
        <v>1568</v>
      </c>
      <c r="B179" t="s">
        <v>1569</v>
      </c>
    </row>
    <row r="180" spans="1:2" x14ac:dyDescent="0.25">
      <c r="A180" t="s">
        <v>1570</v>
      </c>
      <c r="B180" t="s">
        <v>1571</v>
      </c>
    </row>
    <row r="181" spans="1:2" x14ac:dyDescent="0.25">
      <c r="A181" t="s">
        <v>1572</v>
      </c>
      <c r="B181" t="s">
        <v>1573</v>
      </c>
    </row>
    <row r="182" spans="1:2" x14ac:dyDescent="0.25">
      <c r="A182" t="s">
        <v>1574</v>
      </c>
      <c r="B182" t="s">
        <v>1575</v>
      </c>
    </row>
    <row r="183" spans="1:2" x14ac:dyDescent="0.25">
      <c r="A183" t="s">
        <v>1576</v>
      </c>
      <c r="B183" t="s">
        <v>1577</v>
      </c>
    </row>
    <row r="184" spans="1:2" x14ac:dyDescent="0.25">
      <c r="A184" t="s">
        <v>1578</v>
      </c>
      <c r="B184" t="s">
        <v>1579</v>
      </c>
    </row>
    <row r="185" spans="1:2" x14ac:dyDescent="0.25">
      <c r="A185" t="s">
        <v>1580</v>
      </c>
      <c r="B185" t="s">
        <v>1581</v>
      </c>
    </row>
    <row r="186" spans="1:2" x14ac:dyDescent="0.25">
      <c r="A186" t="s">
        <v>1582</v>
      </c>
      <c r="B186" t="s">
        <v>1583</v>
      </c>
    </row>
    <row r="187" spans="1:2" x14ac:dyDescent="0.25">
      <c r="A187" t="s">
        <v>1584</v>
      </c>
      <c r="B187" t="s">
        <v>1585</v>
      </c>
    </row>
    <row r="188" spans="1:2" x14ac:dyDescent="0.25">
      <c r="A188" t="s">
        <v>1586</v>
      </c>
      <c r="B188" t="s">
        <v>1587</v>
      </c>
    </row>
    <row r="189" spans="1:2" x14ac:dyDescent="0.25">
      <c r="A189" t="s">
        <v>1588</v>
      </c>
      <c r="B189" t="s">
        <v>1589</v>
      </c>
    </row>
    <row r="190" spans="1:2" x14ac:dyDescent="0.25">
      <c r="A190" t="s">
        <v>1590</v>
      </c>
      <c r="B190" t="s">
        <v>1591</v>
      </c>
    </row>
    <row r="191" spans="1:2" x14ac:dyDescent="0.25">
      <c r="A191" t="s">
        <v>1592</v>
      </c>
      <c r="B191" t="s">
        <v>1593</v>
      </c>
    </row>
    <row r="192" spans="1:2" x14ac:dyDescent="0.25">
      <c r="A192" t="s">
        <v>1594</v>
      </c>
      <c r="B192" t="s">
        <v>1595</v>
      </c>
    </row>
    <row r="193" spans="1:2" x14ac:dyDescent="0.25">
      <c r="A193" t="s">
        <v>1596</v>
      </c>
      <c r="B193" t="s">
        <v>1597</v>
      </c>
    </row>
    <row r="194" spans="1:2" x14ac:dyDescent="0.25">
      <c r="A194" t="s">
        <v>1598</v>
      </c>
      <c r="B194" t="s">
        <v>1599</v>
      </c>
    </row>
    <row r="195" spans="1:2" x14ac:dyDescent="0.25">
      <c r="A195" t="s">
        <v>1600</v>
      </c>
      <c r="B195" t="s">
        <v>1601</v>
      </c>
    </row>
    <row r="196" spans="1:2" x14ac:dyDescent="0.25">
      <c r="A196" t="s">
        <v>1602</v>
      </c>
      <c r="B196" t="s">
        <v>1603</v>
      </c>
    </row>
    <row r="197" spans="1:2" x14ac:dyDescent="0.25">
      <c r="A197" t="s">
        <v>1604</v>
      </c>
      <c r="B197" t="s">
        <v>1605</v>
      </c>
    </row>
    <row r="198" spans="1:2" x14ac:dyDescent="0.25">
      <c r="A198" t="s">
        <v>1606</v>
      </c>
      <c r="B198" t="s">
        <v>1607</v>
      </c>
    </row>
    <row r="199" spans="1:2" x14ac:dyDescent="0.25">
      <c r="A199" t="s">
        <v>1608</v>
      </c>
      <c r="B199" t="s">
        <v>1609</v>
      </c>
    </row>
    <row r="200" spans="1:2" x14ac:dyDescent="0.25">
      <c r="A200" t="s">
        <v>1610</v>
      </c>
      <c r="B200" t="s">
        <v>1611</v>
      </c>
    </row>
    <row r="201" spans="1:2" x14ac:dyDescent="0.25">
      <c r="A201" t="s">
        <v>1612</v>
      </c>
      <c r="B201" t="s">
        <v>1613</v>
      </c>
    </row>
    <row r="202" spans="1:2" x14ac:dyDescent="0.25">
      <c r="A202" t="s">
        <v>1614</v>
      </c>
      <c r="B202" t="s">
        <v>1615</v>
      </c>
    </row>
    <row r="203" spans="1:2" x14ac:dyDescent="0.25">
      <c r="A203" t="s">
        <v>1616</v>
      </c>
      <c r="B203" t="s">
        <v>1617</v>
      </c>
    </row>
    <row r="204" spans="1:2" x14ac:dyDescent="0.25">
      <c r="A204" t="s">
        <v>1618</v>
      </c>
      <c r="B204" t="s">
        <v>1619</v>
      </c>
    </row>
    <row r="205" spans="1:2" x14ac:dyDescent="0.25">
      <c r="A205" t="s">
        <v>1620</v>
      </c>
      <c r="B205" t="s">
        <v>1621</v>
      </c>
    </row>
    <row r="206" spans="1:2" x14ac:dyDescent="0.25">
      <c r="A206" t="s">
        <v>1622</v>
      </c>
      <c r="B206" t="s">
        <v>1623</v>
      </c>
    </row>
    <row r="207" spans="1:2" x14ac:dyDescent="0.25">
      <c r="A207" t="s">
        <v>1624</v>
      </c>
      <c r="B207" t="s">
        <v>1625</v>
      </c>
    </row>
    <row r="208" spans="1:2" x14ac:dyDescent="0.25">
      <c r="A208" t="s">
        <v>1626</v>
      </c>
      <c r="B208" t="s">
        <v>1627</v>
      </c>
    </row>
    <row r="209" spans="1:2" x14ac:dyDescent="0.25">
      <c r="A209" t="s">
        <v>1628</v>
      </c>
      <c r="B209" t="s">
        <v>1629</v>
      </c>
    </row>
    <row r="210" spans="1:2" x14ac:dyDescent="0.25">
      <c r="A210" t="s">
        <v>1630</v>
      </c>
      <c r="B210" t="s">
        <v>1631</v>
      </c>
    </row>
    <row r="211" spans="1:2" x14ac:dyDescent="0.25">
      <c r="A211" t="s">
        <v>1632</v>
      </c>
      <c r="B211" t="s">
        <v>1633</v>
      </c>
    </row>
    <row r="212" spans="1:2" x14ac:dyDescent="0.25">
      <c r="A212" t="s">
        <v>1634</v>
      </c>
      <c r="B212" t="s">
        <v>1635</v>
      </c>
    </row>
    <row r="213" spans="1:2" x14ac:dyDescent="0.25">
      <c r="A213" t="s">
        <v>1636</v>
      </c>
      <c r="B213" t="s">
        <v>1637</v>
      </c>
    </row>
    <row r="214" spans="1:2" x14ac:dyDescent="0.25">
      <c r="A214" t="s">
        <v>1638</v>
      </c>
      <c r="B214" t="s">
        <v>1639</v>
      </c>
    </row>
    <row r="215" spans="1:2" x14ac:dyDescent="0.25">
      <c r="A215" t="s">
        <v>1640</v>
      </c>
      <c r="B215" t="s">
        <v>1641</v>
      </c>
    </row>
    <row r="216" spans="1:2" x14ac:dyDescent="0.25">
      <c r="A216" t="s">
        <v>1642</v>
      </c>
      <c r="B216" t="s">
        <v>1643</v>
      </c>
    </row>
    <row r="217" spans="1:2" x14ac:dyDescent="0.25">
      <c r="A217" t="s">
        <v>1644</v>
      </c>
      <c r="B217" t="s">
        <v>1645</v>
      </c>
    </row>
    <row r="218" spans="1:2" x14ac:dyDescent="0.25">
      <c r="A218" t="s">
        <v>1646</v>
      </c>
      <c r="B218" t="s">
        <v>1647</v>
      </c>
    </row>
    <row r="219" spans="1:2" x14ac:dyDescent="0.25">
      <c r="A219" t="s">
        <v>1648</v>
      </c>
      <c r="B219" t="s">
        <v>1649</v>
      </c>
    </row>
    <row r="220" spans="1:2" x14ac:dyDescent="0.25">
      <c r="A220" t="s">
        <v>1650</v>
      </c>
      <c r="B220" t="s">
        <v>1651</v>
      </c>
    </row>
    <row r="221" spans="1:2" x14ac:dyDescent="0.25">
      <c r="A221" t="s">
        <v>1652</v>
      </c>
      <c r="B221" t="s">
        <v>1653</v>
      </c>
    </row>
    <row r="222" spans="1:2" x14ac:dyDescent="0.25">
      <c r="A222" t="s">
        <v>1654</v>
      </c>
      <c r="B222" t="s">
        <v>1655</v>
      </c>
    </row>
    <row r="223" spans="1:2" x14ac:dyDescent="0.25">
      <c r="A223" t="s">
        <v>1656</v>
      </c>
      <c r="B223" t="s">
        <v>1657</v>
      </c>
    </row>
    <row r="224" spans="1:2" x14ac:dyDescent="0.25">
      <c r="A224" t="s">
        <v>1658</v>
      </c>
      <c r="B224" t="s">
        <v>1659</v>
      </c>
    </row>
    <row r="225" spans="1:2" x14ac:dyDescent="0.25">
      <c r="A225" t="s">
        <v>1660</v>
      </c>
      <c r="B225" t="s">
        <v>1661</v>
      </c>
    </row>
    <row r="226" spans="1:2" x14ac:dyDescent="0.25">
      <c r="A226" t="s">
        <v>1662</v>
      </c>
      <c r="B226" t="s">
        <v>1663</v>
      </c>
    </row>
    <row r="227" spans="1:2" x14ac:dyDescent="0.25">
      <c r="A227" t="s">
        <v>1664</v>
      </c>
      <c r="B227" t="s">
        <v>1665</v>
      </c>
    </row>
    <row r="228" spans="1:2" x14ac:dyDescent="0.25">
      <c r="A228" t="s">
        <v>1666</v>
      </c>
      <c r="B228" t="s">
        <v>1667</v>
      </c>
    </row>
    <row r="229" spans="1:2" x14ac:dyDescent="0.25">
      <c r="A229" t="s">
        <v>1668</v>
      </c>
      <c r="B229" t="s">
        <v>1669</v>
      </c>
    </row>
    <row r="230" spans="1:2" x14ac:dyDescent="0.25">
      <c r="A230" t="s">
        <v>1670</v>
      </c>
      <c r="B230" t="s">
        <v>1671</v>
      </c>
    </row>
    <row r="231" spans="1:2" x14ac:dyDescent="0.25">
      <c r="A231" t="s">
        <v>1672</v>
      </c>
      <c r="B231" t="s">
        <v>1673</v>
      </c>
    </row>
    <row r="232" spans="1:2" x14ac:dyDescent="0.25">
      <c r="A232" t="s">
        <v>1674</v>
      </c>
      <c r="B232" t="s">
        <v>1675</v>
      </c>
    </row>
    <row r="233" spans="1:2" x14ac:dyDescent="0.25">
      <c r="A233" t="s">
        <v>1676</v>
      </c>
      <c r="B233" t="s">
        <v>1677</v>
      </c>
    </row>
    <row r="234" spans="1:2" x14ac:dyDescent="0.25">
      <c r="A234" t="s">
        <v>1678</v>
      </c>
      <c r="B234" s="161" t="s">
        <v>1679</v>
      </c>
    </row>
    <row r="235" spans="1:2" x14ac:dyDescent="0.25">
      <c r="A235" t="s">
        <v>1680</v>
      </c>
      <c r="B235" s="161" t="s">
        <v>1681</v>
      </c>
    </row>
    <row r="236" spans="1:2" x14ac:dyDescent="0.25">
      <c r="A236" t="s">
        <v>1682</v>
      </c>
      <c r="B236" s="161" t="s">
        <v>1683</v>
      </c>
    </row>
    <row r="237" spans="1:2" x14ac:dyDescent="0.25">
      <c r="A237" t="s">
        <v>1684</v>
      </c>
      <c r="B237" s="161" t="s">
        <v>1685</v>
      </c>
    </row>
    <row r="238" spans="1:2" x14ac:dyDescent="0.25">
      <c r="A238" t="s">
        <v>1686</v>
      </c>
      <c r="B238" s="161" t="s">
        <v>1687</v>
      </c>
    </row>
    <row r="239" spans="1:2" x14ac:dyDescent="0.25">
      <c r="A239" t="s">
        <v>1688</v>
      </c>
      <c r="B239" s="161" t="s">
        <v>1689</v>
      </c>
    </row>
    <row r="240" spans="1:2" x14ac:dyDescent="0.25">
      <c r="A240" t="s">
        <v>1690</v>
      </c>
      <c r="B240" s="161" t="s">
        <v>1691</v>
      </c>
    </row>
    <row r="241" spans="1:2" x14ac:dyDescent="0.25">
      <c r="A241" t="s">
        <v>1692</v>
      </c>
      <c r="B241" s="161" t="s">
        <v>1693</v>
      </c>
    </row>
    <row r="242" spans="1:2" x14ac:dyDescent="0.25">
      <c r="A242" t="s">
        <v>1694</v>
      </c>
      <c r="B242" s="161" t="s">
        <v>1695</v>
      </c>
    </row>
    <row r="243" spans="1:2" x14ac:dyDescent="0.25">
      <c r="A243" t="s">
        <v>1696</v>
      </c>
      <c r="B243" s="161" t="s">
        <v>1697</v>
      </c>
    </row>
    <row r="244" spans="1:2" x14ac:dyDescent="0.25">
      <c r="A244" t="s">
        <v>1698</v>
      </c>
      <c r="B244" s="161" t="s">
        <v>1699</v>
      </c>
    </row>
    <row r="245" spans="1:2" x14ac:dyDescent="0.25">
      <c r="A245" t="s">
        <v>1700</v>
      </c>
      <c r="B245" s="161" t="s">
        <v>1701</v>
      </c>
    </row>
    <row r="246" spans="1:2" x14ac:dyDescent="0.25">
      <c r="A246" t="s">
        <v>1702</v>
      </c>
      <c r="B246" s="161" t="s">
        <v>1703</v>
      </c>
    </row>
    <row r="247" spans="1:2" x14ac:dyDescent="0.25">
      <c r="A247" t="s">
        <v>1704</v>
      </c>
      <c r="B247" s="161" t="s">
        <v>1705</v>
      </c>
    </row>
    <row r="248" spans="1:2" x14ac:dyDescent="0.25">
      <c r="A248" t="s">
        <v>1706</v>
      </c>
      <c r="B248" s="161" t="s">
        <v>1707</v>
      </c>
    </row>
    <row r="249" spans="1:2" x14ac:dyDescent="0.25">
      <c r="A249" t="s">
        <v>1708</v>
      </c>
      <c r="B249" s="161" t="s">
        <v>1709</v>
      </c>
    </row>
    <row r="250" spans="1:2" x14ac:dyDescent="0.25">
      <c r="A250" t="s">
        <v>1710</v>
      </c>
      <c r="B250" s="161" t="s">
        <v>1711</v>
      </c>
    </row>
    <row r="251" spans="1:2" x14ac:dyDescent="0.25">
      <c r="A251" t="s">
        <v>1712</v>
      </c>
      <c r="B251" s="161" t="s">
        <v>1713</v>
      </c>
    </row>
    <row r="252" spans="1:2" x14ac:dyDescent="0.25">
      <c r="A252" t="s">
        <v>1714</v>
      </c>
      <c r="B252" s="161" t="s">
        <v>1715</v>
      </c>
    </row>
    <row r="253" spans="1:2" x14ac:dyDescent="0.25">
      <c r="A253" t="s">
        <v>1716</v>
      </c>
      <c r="B253" s="161" t="s">
        <v>1717</v>
      </c>
    </row>
    <row r="254" spans="1:2" x14ac:dyDescent="0.25">
      <c r="A254" t="s">
        <v>1718</v>
      </c>
      <c r="B254" s="161" t="s">
        <v>1719</v>
      </c>
    </row>
    <row r="255" spans="1:2" x14ac:dyDescent="0.25">
      <c r="A255" t="s">
        <v>1720</v>
      </c>
      <c r="B255" s="161" t="s">
        <v>1721</v>
      </c>
    </row>
    <row r="256" spans="1:2" x14ac:dyDescent="0.25">
      <c r="A256" t="s">
        <v>1722</v>
      </c>
      <c r="B256" s="161" t="s">
        <v>1723</v>
      </c>
    </row>
    <row r="257" spans="1:2" x14ac:dyDescent="0.25">
      <c r="A257" t="s">
        <v>1724</v>
      </c>
      <c r="B257" s="161" t="s">
        <v>1725</v>
      </c>
    </row>
    <row r="258" spans="1:2" x14ac:dyDescent="0.25">
      <c r="A258" t="s">
        <v>1726</v>
      </c>
      <c r="B258" s="161" t="s">
        <v>1727</v>
      </c>
    </row>
    <row r="259" spans="1:2" x14ac:dyDescent="0.25">
      <c r="A259" t="s">
        <v>1728</v>
      </c>
      <c r="B259" s="161" t="s">
        <v>1729</v>
      </c>
    </row>
    <row r="260" spans="1:2" x14ac:dyDescent="0.25">
      <c r="A260" t="s">
        <v>1730</v>
      </c>
      <c r="B260" s="161" t="s">
        <v>1731</v>
      </c>
    </row>
    <row r="261" spans="1:2" x14ac:dyDescent="0.25">
      <c r="A261" t="s">
        <v>1732</v>
      </c>
      <c r="B261" s="161" t="s">
        <v>1733</v>
      </c>
    </row>
    <row r="262" spans="1:2" x14ac:dyDescent="0.25">
      <c r="A262" t="s">
        <v>1734</v>
      </c>
      <c r="B262" s="161" t="s">
        <v>1735</v>
      </c>
    </row>
    <row r="263" spans="1:2" x14ac:dyDescent="0.25">
      <c r="A263" t="s">
        <v>1736</v>
      </c>
      <c r="B263" s="161" t="s">
        <v>1737</v>
      </c>
    </row>
    <row r="264" spans="1:2" x14ac:dyDescent="0.25">
      <c r="A264" t="s">
        <v>1738</v>
      </c>
      <c r="B264" s="161" t="s">
        <v>1739</v>
      </c>
    </row>
    <row r="265" spans="1:2" x14ac:dyDescent="0.25">
      <c r="A265" t="s">
        <v>1740</v>
      </c>
      <c r="B265" s="161" t="s">
        <v>1741</v>
      </c>
    </row>
    <row r="266" spans="1:2" x14ac:dyDescent="0.25">
      <c r="A266" t="s">
        <v>1742</v>
      </c>
      <c r="B266" s="161" t="s">
        <v>1743</v>
      </c>
    </row>
    <row r="267" spans="1:2" x14ac:dyDescent="0.25">
      <c r="A267" t="s">
        <v>1744</v>
      </c>
      <c r="B267" s="161" t="s">
        <v>1745</v>
      </c>
    </row>
    <row r="268" spans="1:2" x14ac:dyDescent="0.25">
      <c r="A268" t="s">
        <v>1746</v>
      </c>
      <c r="B268" s="161" t="s">
        <v>1747</v>
      </c>
    </row>
    <row r="269" spans="1:2" x14ac:dyDescent="0.25">
      <c r="A269" t="s">
        <v>1748</v>
      </c>
      <c r="B269" s="161" t="s">
        <v>1749</v>
      </c>
    </row>
    <row r="270" spans="1:2" x14ac:dyDescent="0.25">
      <c r="A270" t="s">
        <v>1750</v>
      </c>
      <c r="B270" s="161" t="s">
        <v>1751</v>
      </c>
    </row>
    <row r="271" spans="1:2" x14ac:dyDescent="0.25">
      <c r="A271" t="s">
        <v>1752</v>
      </c>
      <c r="B271" s="161" t="s">
        <v>1753</v>
      </c>
    </row>
    <row r="272" spans="1:2" x14ac:dyDescent="0.25">
      <c r="A272" t="s">
        <v>1754</v>
      </c>
      <c r="B272" s="161" t="s">
        <v>1755</v>
      </c>
    </row>
    <row r="273" spans="1:2" x14ac:dyDescent="0.25">
      <c r="A273" t="s">
        <v>1756</v>
      </c>
      <c r="B273" s="161" t="s">
        <v>1757</v>
      </c>
    </row>
    <row r="274" spans="1:2" x14ac:dyDescent="0.25">
      <c r="A274" t="s">
        <v>1758</v>
      </c>
      <c r="B274" s="161" t="s">
        <v>1759</v>
      </c>
    </row>
    <row r="275" spans="1:2" x14ac:dyDescent="0.25">
      <c r="A275" t="s">
        <v>1760</v>
      </c>
      <c r="B275" s="161" t="s">
        <v>1761</v>
      </c>
    </row>
    <row r="276" spans="1:2" x14ac:dyDescent="0.25">
      <c r="A276" t="s">
        <v>1762</v>
      </c>
      <c r="B276" s="161" t="s">
        <v>1763</v>
      </c>
    </row>
    <row r="277" spans="1:2" x14ac:dyDescent="0.25">
      <c r="A277" t="s">
        <v>1764</v>
      </c>
      <c r="B277" s="161" t="s">
        <v>1765</v>
      </c>
    </row>
    <row r="278" spans="1:2" x14ac:dyDescent="0.25">
      <c r="B278" s="161" t="s">
        <v>1766</v>
      </c>
    </row>
    <row r="279" spans="1:2" x14ac:dyDescent="0.25">
      <c r="B279" s="161" t="s">
        <v>1767</v>
      </c>
    </row>
    <row r="280" spans="1:2" x14ac:dyDescent="0.25">
      <c r="B280" s="161" t="s">
        <v>1768</v>
      </c>
    </row>
    <row r="281" spans="1:2" x14ac:dyDescent="0.25">
      <c r="B281" s="161" t="s">
        <v>1769</v>
      </c>
    </row>
    <row r="282" spans="1:2" x14ac:dyDescent="0.25">
      <c r="B282" s="161" t="s">
        <v>1770</v>
      </c>
    </row>
    <row r="283" spans="1:2" x14ac:dyDescent="0.25">
      <c r="B283" s="161" t="s">
        <v>1771</v>
      </c>
    </row>
    <row r="284" spans="1:2" x14ac:dyDescent="0.25">
      <c r="B284" s="161" t="s">
        <v>1772</v>
      </c>
    </row>
    <row r="285" spans="1:2" x14ac:dyDescent="0.25">
      <c r="B285" s="161" t="s">
        <v>1773</v>
      </c>
    </row>
    <row r="286" spans="1:2" x14ac:dyDescent="0.25">
      <c r="B286" s="161" t="s">
        <v>1774</v>
      </c>
    </row>
    <row r="287" spans="1:2" x14ac:dyDescent="0.25">
      <c r="B287" s="161" t="s">
        <v>1775</v>
      </c>
    </row>
    <row r="288" spans="1:2" x14ac:dyDescent="0.25">
      <c r="B288" s="161" t="s">
        <v>1776</v>
      </c>
    </row>
    <row r="289" spans="2:2" x14ac:dyDescent="0.25">
      <c r="B289" s="161" t="s">
        <v>1777</v>
      </c>
    </row>
    <row r="290" spans="2:2" x14ac:dyDescent="0.25">
      <c r="B290" s="161" t="s">
        <v>1778</v>
      </c>
    </row>
    <row r="291" spans="2:2" x14ac:dyDescent="0.25">
      <c r="B291" s="161" t="s">
        <v>1779</v>
      </c>
    </row>
    <row r="292" spans="2:2" x14ac:dyDescent="0.25">
      <c r="B292" s="161" t="s">
        <v>1780</v>
      </c>
    </row>
    <row r="293" spans="2:2" x14ac:dyDescent="0.25">
      <c r="B293" s="161" t="s">
        <v>1781</v>
      </c>
    </row>
    <row r="294" spans="2:2" x14ac:dyDescent="0.25">
      <c r="B294" s="161" t="s">
        <v>1782</v>
      </c>
    </row>
    <row r="295" spans="2:2" x14ac:dyDescent="0.25">
      <c r="B295" s="161" t="s">
        <v>1783</v>
      </c>
    </row>
    <row r="296" spans="2:2" x14ac:dyDescent="0.25">
      <c r="B296" s="161" t="s">
        <v>1784</v>
      </c>
    </row>
    <row r="297" spans="2:2" x14ac:dyDescent="0.25">
      <c r="B297" s="161" t="s">
        <v>1785</v>
      </c>
    </row>
    <row r="298" spans="2:2" x14ac:dyDescent="0.25">
      <c r="B298" s="161" t="s">
        <v>1786</v>
      </c>
    </row>
    <row r="299" spans="2:2" x14ac:dyDescent="0.25">
      <c r="B299" s="161" t="s">
        <v>1787</v>
      </c>
    </row>
    <row r="300" spans="2:2" x14ac:dyDescent="0.25">
      <c r="B300" s="161" t="s">
        <v>1788</v>
      </c>
    </row>
    <row r="301" spans="2:2" x14ac:dyDescent="0.25">
      <c r="B301" s="161" t="s">
        <v>1789</v>
      </c>
    </row>
    <row r="302" spans="2:2" x14ac:dyDescent="0.25">
      <c r="B302" s="161" t="s">
        <v>1790</v>
      </c>
    </row>
    <row r="303" spans="2:2" x14ac:dyDescent="0.25">
      <c r="B303" t="s">
        <v>1791</v>
      </c>
    </row>
    <row r="304" spans="2:2" x14ac:dyDescent="0.25">
      <c r="B304" t="s">
        <v>1792</v>
      </c>
    </row>
    <row r="305" spans="2:2" x14ac:dyDescent="0.25">
      <c r="B305" t="s">
        <v>1793</v>
      </c>
    </row>
    <row r="306" spans="2:2" x14ac:dyDescent="0.25">
      <c r="B306" t="s">
        <v>1794</v>
      </c>
    </row>
    <row r="307" spans="2:2" x14ac:dyDescent="0.25">
      <c r="B307" t="s">
        <v>1795</v>
      </c>
    </row>
    <row r="308" spans="2:2" x14ac:dyDescent="0.25">
      <c r="B308" t="s">
        <v>1796</v>
      </c>
    </row>
    <row r="309" spans="2:2" x14ac:dyDescent="0.25">
      <c r="B309" t="s">
        <v>1797</v>
      </c>
    </row>
    <row r="310" spans="2:2" x14ac:dyDescent="0.25">
      <c r="B310" t="s">
        <v>1798</v>
      </c>
    </row>
    <row r="311" spans="2:2" x14ac:dyDescent="0.25">
      <c r="B311" t="s">
        <v>1799</v>
      </c>
    </row>
    <row r="312" spans="2:2" x14ac:dyDescent="0.25">
      <c r="B312" t="s">
        <v>1800</v>
      </c>
    </row>
    <row r="313" spans="2:2" x14ac:dyDescent="0.25">
      <c r="B313" t="s">
        <v>1801</v>
      </c>
    </row>
    <row r="314" spans="2:2" x14ac:dyDescent="0.25">
      <c r="B314" t="s">
        <v>1802</v>
      </c>
    </row>
    <row r="315" spans="2:2" x14ac:dyDescent="0.25">
      <c r="B315" t="s">
        <v>1803</v>
      </c>
    </row>
    <row r="316" spans="2:2" x14ac:dyDescent="0.25">
      <c r="B316" t="s">
        <v>1804</v>
      </c>
    </row>
    <row r="317" spans="2:2" x14ac:dyDescent="0.25">
      <c r="B317" t="s">
        <v>1805</v>
      </c>
    </row>
    <row r="318" spans="2:2" x14ac:dyDescent="0.25">
      <c r="B318" t="s">
        <v>1806</v>
      </c>
    </row>
    <row r="319" spans="2:2" x14ac:dyDescent="0.25">
      <c r="B319" t="s">
        <v>1807</v>
      </c>
    </row>
    <row r="320" spans="2:2" x14ac:dyDescent="0.25">
      <c r="B320" t="s">
        <v>1808</v>
      </c>
    </row>
    <row r="321" spans="2:2" x14ac:dyDescent="0.25">
      <c r="B321" t="s">
        <v>1809</v>
      </c>
    </row>
    <row r="322" spans="2:2" x14ac:dyDescent="0.25">
      <c r="B322" t="s">
        <v>1810</v>
      </c>
    </row>
    <row r="323" spans="2:2" x14ac:dyDescent="0.25">
      <c r="B323" t="s">
        <v>1811</v>
      </c>
    </row>
    <row r="324" spans="2:2" x14ac:dyDescent="0.25">
      <c r="B324" t="s">
        <v>1812</v>
      </c>
    </row>
    <row r="325" spans="2:2" x14ac:dyDescent="0.25">
      <c r="B325" t="s">
        <v>1813</v>
      </c>
    </row>
    <row r="326" spans="2:2" x14ac:dyDescent="0.25">
      <c r="B326" t="s">
        <v>1814</v>
      </c>
    </row>
    <row r="327" spans="2:2" x14ac:dyDescent="0.25">
      <c r="B327" t="s">
        <v>1815</v>
      </c>
    </row>
    <row r="328" spans="2:2" x14ac:dyDescent="0.25">
      <c r="B328" t="s">
        <v>1816</v>
      </c>
    </row>
    <row r="329" spans="2:2" x14ac:dyDescent="0.25">
      <c r="B329" t="s">
        <v>1817</v>
      </c>
    </row>
    <row r="330" spans="2:2" x14ac:dyDescent="0.25">
      <c r="B330" t="s">
        <v>1818</v>
      </c>
    </row>
    <row r="331" spans="2:2" x14ac:dyDescent="0.25">
      <c r="B331" t="s">
        <v>1819</v>
      </c>
    </row>
    <row r="332" spans="2:2" x14ac:dyDescent="0.25">
      <c r="B332" t="s">
        <v>1820</v>
      </c>
    </row>
    <row r="333" spans="2:2" x14ac:dyDescent="0.25">
      <c r="B333" t="s">
        <v>1821</v>
      </c>
    </row>
    <row r="334" spans="2:2" x14ac:dyDescent="0.25">
      <c r="B334" t="s">
        <v>1822</v>
      </c>
    </row>
    <row r="335" spans="2:2" x14ac:dyDescent="0.25">
      <c r="B335" t="s">
        <v>1823</v>
      </c>
    </row>
    <row r="336" spans="2:2" x14ac:dyDescent="0.25">
      <c r="B336" t="s">
        <v>1824</v>
      </c>
    </row>
    <row r="337" spans="2:2" x14ac:dyDescent="0.25">
      <c r="B337" t="s">
        <v>1825</v>
      </c>
    </row>
    <row r="338" spans="2:2" x14ac:dyDescent="0.25">
      <c r="B338" t="s">
        <v>1826</v>
      </c>
    </row>
    <row r="339" spans="2:2" x14ac:dyDescent="0.25">
      <c r="B339" t="s">
        <v>1827</v>
      </c>
    </row>
    <row r="340" spans="2:2" x14ac:dyDescent="0.25">
      <c r="B340" t="s">
        <v>1828</v>
      </c>
    </row>
    <row r="341" spans="2:2" x14ac:dyDescent="0.25">
      <c r="B341" t="s">
        <v>1829</v>
      </c>
    </row>
    <row r="342" spans="2:2" x14ac:dyDescent="0.25">
      <c r="B342" t="s">
        <v>1830</v>
      </c>
    </row>
    <row r="343" spans="2:2" x14ac:dyDescent="0.25">
      <c r="B343" t="s">
        <v>1831</v>
      </c>
    </row>
    <row r="344" spans="2:2" x14ac:dyDescent="0.25">
      <c r="B344" t="s">
        <v>1832</v>
      </c>
    </row>
    <row r="345" spans="2:2" x14ac:dyDescent="0.25">
      <c r="B345" t="s">
        <v>1833</v>
      </c>
    </row>
    <row r="346" spans="2:2" x14ac:dyDescent="0.25">
      <c r="B346" t="s">
        <v>1834</v>
      </c>
    </row>
    <row r="347" spans="2:2" x14ac:dyDescent="0.25">
      <c r="B347" t="s">
        <v>1835</v>
      </c>
    </row>
    <row r="348" spans="2:2" x14ac:dyDescent="0.25">
      <c r="B348" t="s">
        <v>1836</v>
      </c>
    </row>
    <row r="349" spans="2:2" x14ac:dyDescent="0.25">
      <c r="B349" t="s">
        <v>1837</v>
      </c>
    </row>
    <row r="350" spans="2:2" x14ac:dyDescent="0.25">
      <c r="B350" t="s">
        <v>1838</v>
      </c>
    </row>
    <row r="351" spans="2:2" x14ac:dyDescent="0.25">
      <c r="B351" s="161" t="s">
        <v>1839</v>
      </c>
    </row>
    <row r="352" spans="2:2" x14ac:dyDescent="0.25">
      <c r="B352" s="161" t="s">
        <v>1840</v>
      </c>
    </row>
    <row r="353" spans="2:2" x14ac:dyDescent="0.25">
      <c r="B353" s="161" t="s">
        <v>1841</v>
      </c>
    </row>
    <row r="354" spans="2:2" x14ac:dyDescent="0.25">
      <c r="B354" s="161" t="s">
        <v>1842</v>
      </c>
    </row>
    <row r="355" spans="2:2" x14ac:dyDescent="0.25">
      <c r="B355" s="161" t="s">
        <v>1843</v>
      </c>
    </row>
    <row r="356" spans="2:2" x14ac:dyDescent="0.25">
      <c r="B356" s="161" t="s">
        <v>1844</v>
      </c>
    </row>
    <row r="357" spans="2:2" x14ac:dyDescent="0.25">
      <c r="B357" s="161" t="s">
        <v>1845</v>
      </c>
    </row>
    <row r="358" spans="2:2" x14ac:dyDescent="0.25">
      <c r="B358" s="161" t="s">
        <v>1846</v>
      </c>
    </row>
    <row r="359" spans="2:2" x14ac:dyDescent="0.25">
      <c r="B359" s="161" t="s">
        <v>1847</v>
      </c>
    </row>
    <row r="360" spans="2:2" x14ac:dyDescent="0.25">
      <c r="B360" s="161" t="s">
        <v>1848</v>
      </c>
    </row>
    <row r="361" spans="2:2" x14ac:dyDescent="0.25">
      <c r="B361" s="161" t="s">
        <v>1849</v>
      </c>
    </row>
    <row r="362" spans="2:2" x14ac:dyDescent="0.25">
      <c r="B362" t="s">
        <v>1850</v>
      </c>
    </row>
    <row r="363" spans="2:2" x14ac:dyDescent="0.25">
      <c r="B363" t="s">
        <v>1851</v>
      </c>
    </row>
    <row r="364" spans="2:2" x14ac:dyDescent="0.25">
      <c r="B364" t="s">
        <v>1852</v>
      </c>
    </row>
    <row r="365" spans="2:2" x14ac:dyDescent="0.25">
      <c r="B365" t="s">
        <v>1853</v>
      </c>
    </row>
    <row r="366" spans="2:2" x14ac:dyDescent="0.25">
      <c r="B366" t="s">
        <v>1854</v>
      </c>
    </row>
    <row r="367" spans="2:2" x14ac:dyDescent="0.25">
      <c r="B367" t="s">
        <v>1855</v>
      </c>
    </row>
    <row r="368" spans="2:2" x14ac:dyDescent="0.25">
      <c r="B368" t="s">
        <v>1856</v>
      </c>
    </row>
    <row r="369" spans="2:2" x14ac:dyDescent="0.25">
      <c r="B369" t="s">
        <v>1857</v>
      </c>
    </row>
    <row r="370" spans="2:2" x14ac:dyDescent="0.25">
      <c r="B370" t="s">
        <v>1858</v>
      </c>
    </row>
    <row r="371" spans="2:2" x14ac:dyDescent="0.25">
      <c r="B371" t="s">
        <v>1859</v>
      </c>
    </row>
    <row r="372" spans="2:2" x14ac:dyDescent="0.25">
      <c r="B372" t="s">
        <v>1860</v>
      </c>
    </row>
    <row r="373" spans="2:2" x14ac:dyDescent="0.25">
      <c r="B373" t="s">
        <v>1861</v>
      </c>
    </row>
    <row r="374" spans="2:2" x14ac:dyDescent="0.25">
      <c r="B374" t="s">
        <v>1862</v>
      </c>
    </row>
    <row r="375" spans="2:2" x14ac:dyDescent="0.25">
      <c r="B375" t="s">
        <v>1863</v>
      </c>
    </row>
    <row r="376" spans="2:2" x14ac:dyDescent="0.25">
      <c r="B376" t="s">
        <v>1864</v>
      </c>
    </row>
    <row r="377" spans="2:2" x14ac:dyDescent="0.25">
      <c r="B377" t="s">
        <v>1865</v>
      </c>
    </row>
    <row r="378" spans="2:2" x14ac:dyDescent="0.25">
      <c r="B378" t="s">
        <v>1866</v>
      </c>
    </row>
    <row r="379" spans="2:2" x14ac:dyDescent="0.25">
      <c r="B379" t="s">
        <v>1867</v>
      </c>
    </row>
    <row r="380" spans="2:2" x14ac:dyDescent="0.25">
      <c r="B380" t="s">
        <v>1868</v>
      </c>
    </row>
    <row r="381" spans="2:2" x14ac:dyDescent="0.25">
      <c r="B381" t="s">
        <v>1869</v>
      </c>
    </row>
    <row r="382" spans="2:2" x14ac:dyDescent="0.25">
      <c r="B382" t="s">
        <v>1870</v>
      </c>
    </row>
    <row r="383" spans="2:2" x14ac:dyDescent="0.25">
      <c r="B383" t="s">
        <v>1871</v>
      </c>
    </row>
    <row r="384" spans="2:2" x14ac:dyDescent="0.25">
      <c r="B384" t="s">
        <v>1872</v>
      </c>
    </row>
    <row r="385" spans="2:2" x14ac:dyDescent="0.25">
      <c r="B385" t="s">
        <v>1873</v>
      </c>
    </row>
    <row r="386" spans="2:2" x14ac:dyDescent="0.25">
      <c r="B386" t="s">
        <v>1874</v>
      </c>
    </row>
    <row r="387" spans="2:2" x14ac:dyDescent="0.25">
      <c r="B387" t="s">
        <v>1875</v>
      </c>
    </row>
    <row r="388" spans="2:2" x14ac:dyDescent="0.25">
      <c r="B388" t="s">
        <v>1876</v>
      </c>
    </row>
    <row r="389" spans="2:2" x14ac:dyDescent="0.25">
      <c r="B389" t="s">
        <v>1877</v>
      </c>
    </row>
    <row r="390" spans="2:2" x14ac:dyDescent="0.25">
      <c r="B390" t="s">
        <v>1878</v>
      </c>
    </row>
    <row r="391" spans="2:2" x14ac:dyDescent="0.25">
      <c r="B391" t="s">
        <v>1879</v>
      </c>
    </row>
    <row r="392" spans="2:2" x14ac:dyDescent="0.25">
      <c r="B392" t="s">
        <v>1880</v>
      </c>
    </row>
    <row r="393" spans="2:2" x14ac:dyDescent="0.25">
      <c r="B393" t="s">
        <v>1881</v>
      </c>
    </row>
    <row r="394" spans="2:2" x14ac:dyDescent="0.25">
      <c r="B394" t="s">
        <v>1882</v>
      </c>
    </row>
    <row r="395" spans="2:2" x14ac:dyDescent="0.25">
      <c r="B395" t="s">
        <v>1883</v>
      </c>
    </row>
    <row r="396" spans="2:2" x14ac:dyDescent="0.25">
      <c r="B396" t="s">
        <v>1884</v>
      </c>
    </row>
    <row r="397" spans="2:2" x14ac:dyDescent="0.25">
      <c r="B397" t="s">
        <v>1885</v>
      </c>
    </row>
    <row r="398" spans="2:2" x14ac:dyDescent="0.25">
      <c r="B398" t="s">
        <v>1886</v>
      </c>
    </row>
    <row r="399" spans="2:2" x14ac:dyDescent="0.25">
      <c r="B399" t="s">
        <v>1887</v>
      </c>
    </row>
    <row r="400" spans="2:2" x14ac:dyDescent="0.25">
      <c r="B400" t="s">
        <v>1888</v>
      </c>
    </row>
    <row r="401" spans="2:2" x14ac:dyDescent="0.25">
      <c r="B401" t="s">
        <v>1889</v>
      </c>
    </row>
    <row r="402" spans="2:2" x14ac:dyDescent="0.25">
      <c r="B402" t="s">
        <v>1890</v>
      </c>
    </row>
    <row r="403" spans="2:2" x14ac:dyDescent="0.25">
      <c r="B403" t="s">
        <v>1891</v>
      </c>
    </row>
    <row r="404" spans="2:2" x14ac:dyDescent="0.25">
      <c r="B404" t="s">
        <v>1892</v>
      </c>
    </row>
    <row r="405" spans="2:2" x14ac:dyDescent="0.25">
      <c r="B405" t="s">
        <v>1893</v>
      </c>
    </row>
    <row r="406" spans="2:2" x14ac:dyDescent="0.25">
      <c r="B406" t="s">
        <v>1894</v>
      </c>
    </row>
    <row r="407" spans="2:2" x14ac:dyDescent="0.25">
      <c r="B407" t="s">
        <v>1895</v>
      </c>
    </row>
    <row r="408" spans="2:2" x14ac:dyDescent="0.25">
      <c r="B408" t="s">
        <v>1896</v>
      </c>
    </row>
    <row r="409" spans="2:2" x14ac:dyDescent="0.25">
      <c r="B409" t="s">
        <v>1897</v>
      </c>
    </row>
    <row r="410" spans="2:2" x14ac:dyDescent="0.25">
      <c r="B410" t="s">
        <v>1898</v>
      </c>
    </row>
    <row r="411" spans="2:2" x14ac:dyDescent="0.25">
      <c r="B411" t="s">
        <v>1899</v>
      </c>
    </row>
    <row r="412" spans="2:2" x14ac:dyDescent="0.25">
      <c r="B412" t="s">
        <v>1900</v>
      </c>
    </row>
    <row r="413" spans="2:2" x14ac:dyDescent="0.25">
      <c r="B413" t="s">
        <v>1901</v>
      </c>
    </row>
    <row r="414" spans="2:2" x14ac:dyDescent="0.25">
      <c r="B414" t="s">
        <v>1902</v>
      </c>
    </row>
    <row r="415" spans="2:2" x14ac:dyDescent="0.25">
      <c r="B415" t="s">
        <v>1903</v>
      </c>
    </row>
    <row r="416" spans="2:2" x14ac:dyDescent="0.25">
      <c r="B416" t="s">
        <v>1904</v>
      </c>
    </row>
    <row r="417" spans="2:2" x14ac:dyDescent="0.25">
      <c r="B417" t="s">
        <v>1905</v>
      </c>
    </row>
    <row r="418" spans="2:2" x14ac:dyDescent="0.25">
      <c r="B418" t="s">
        <v>1906</v>
      </c>
    </row>
    <row r="419" spans="2:2" x14ac:dyDescent="0.25">
      <c r="B419" t="s">
        <v>1907</v>
      </c>
    </row>
    <row r="420" spans="2:2" x14ac:dyDescent="0.25">
      <c r="B420" t="s">
        <v>1908</v>
      </c>
    </row>
    <row r="421" spans="2:2" x14ac:dyDescent="0.25">
      <c r="B421" t="s">
        <v>1909</v>
      </c>
    </row>
    <row r="422" spans="2:2" x14ac:dyDescent="0.25">
      <c r="B422" t="s">
        <v>1910</v>
      </c>
    </row>
    <row r="423" spans="2:2" x14ac:dyDescent="0.25">
      <c r="B423" t="s">
        <v>1911</v>
      </c>
    </row>
    <row r="424" spans="2:2" x14ac:dyDescent="0.25">
      <c r="B424" t="s">
        <v>1912</v>
      </c>
    </row>
    <row r="425" spans="2:2" x14ac:dyDescent="0.25">
      <c r="B425" t="s">
        <v>1913</v>
      </c>
    </row>
    <row r="426" spans="2:2" x14ac:dyDescent="0.25">
      <c r="B426" t="s">
        <v>1914</v>
      </c>
    </row>
    <row r="427" spans="2:2" x14ac:dyDescent="0.25">
      <c r="B427" t="s">
        <v>1915</v>
      </c>
    </row>
    <row r="428" spans="2:2" x14ac:dyDescent="0.25">
      <c r="B428" t="s">
        <v>1916</v>
      </c>
    </row>
    <row r="429" spans="2:2" x14ac:dyDescent="0.25">
      <c r="B429" t="s">
        <v>1917</v>
      </c>
    </row>
    <row r="430" spans="2:2" x14ac:dyDescent="0.25">
      <c r="B430" t="s">
        <v>1918</v>
      </c>
    </row>
    <row r="431" spans="2:2" x14ac:dyDescent="0.25">
      <c r="B431" t="s">
        <v>1919</v>
      </c>
    </row>
    <row r="432" spans="2:2" x14ac:dyDescent="0.25">
      <c r="B432" t="s">
        <v>1920</v>
      </c>
    </row>
    <row r="433" spans="2:2" x14ac:dyDescent="0.25">
      <c r="B433" t="s">
        <v>1921</v>
      </c>
    </row>
    <row r="434" spans="2:2" x14ac:dyDescent="0.25">
      <c r="B434" t="s">
        <v>1922</v>
      </c>
    </row>
    <row r="435" spans="2:2" x14ac:dyDescent="0.25">
      <c r="B435" t="s">
        <v>1923</v>
      </c>
    </row>
    <row r="436" spans="2:2" x14ac:dyDescent="0.25">
      <c r="B436" t="s">
        <v>1924</v>
      </c>
    </row>
    <row r="437" spans="2:2" x14ac:dyDescent="0.25">
      <c r="B437" t="s">
        <v>1925</v>
      </c>
    </row>
    <row r="438" spans="2:2" x14ac:dyDescent="0.25">
      <c r="B438" t="s">
        <v>1926</v>
      </c>
    </row>
    <row r="439" spans="2:2" x14ac:dyDescent="0.25">
      <c r="B439" t="s">
        <v>1927</v>
      </c>
    </row>
    <row r="440" spans="2:2" x14ac:dyDescent="0.25">
      <c r="B440" t="s">
        <v>1928</v>
      </c>
    </row>
    <row r="441" spans="2:2" x14ac:dyDescent="0.25">
      <c r="B441" t="s">
        <v>1929</v>
      </c>
    </row>
    <row r="442" spans="2:2" x14ac:dyDescent="0.25">
      <c r="B442" t="s">
        <v>1930</v>
      </c>
    </row>
    <row r="443" spans="2:2" x14ac:dyDescent="0.25">
      <c r="B443" t="s">
        <v>1931</v>
      </c>
    </row>
    <row r="444" spans="2:2" x14ac:dyDescent="0.25">
      <c r="B444" t="s">
        <v>1932</v>
      </c>
    </row>
    <row r="445" spans="2:2" x14ac:dyDescent="0.25">
      <c r="B445" t="s">
        <v>1933</v>
      </c>
    </row>
    <row r="446" spans="2:2" x14ac:dyDescent="0.25">
      <c r="B446" t="s">
        <v>1934</v>
      </c>
    </row>
    <row r="447" spans="2:2" x14ac:dyDescent="0.25">
      <c r="B447" t="s">
        <v>1935</v>
      </c>
    </row>
    <row r="448" spans="2:2" x14ac:dyDescent="0.25">
      <c r="B448" t="s">
        <v>1936</v>
      </c>
    </row>
    <row r="449" spans="2:2" x14ac:dyDescent="0.25">
      <c r="B449" t="s">
        <v>1937</v>
      </c>
    </row>
    <row r="450" spans="2:2" x14ac:dyDescent="0.25">
      <c r="B450" t="s">
        <v>1938</v>
      </c>
    </row>
    <row r="451" spans="2:2" x14ac:dyDescent="0.25">
      <c r="B451" t="s">
        <v>1939</v>
      </c>
    </row>
    <row r="452" spans="2:2" x14ac:dyDescent="0.25">
      <c r="B452" t="s">
        <v>1940</v>
      </c>
    </row>
    <row r="453" spans="2:2" x14ac:dyDescent="0.25">
      <c r="B453" t="s">
        <v>1941</v>
      </c>
    </row>
    <row r="454" spans="2:2" x14ac:dyDescent="0.25">
      <c r="B454" t="s">
        <v>1942</v>
      </c>
    </row>
    <row r="455" spans="2:2" x14ac:dyDescent="0.25">
      <c r="B455" t="s">
        <v>1943</v>
      </c>
    </row>
    <row r="456" spans="2:2" x14ac:dyDescent="0.25">
      <c r="B456" t="s">
        <v>1944</v>
      </c>
    </row>
    <row r="457" spans="2:2" x14ac:dyDescent="0.25">
      <c r="B457" t="s">
        <v>1945</v>
      </c>
    </row>
    <row r="458" spans="2:2" x14ac:dyDescent="0.25">
      <c r="B458" t="s">
        <v>1946</v>
      </c>
    </row>
    <row r="459" spans="2:2" x14ac:dyDescent="0.25">
      <c r="B459" t="s">
        <v>1947</v>
      </c>
    </row>
    <row r="460" spans="2:2" x14ac:dyDescent="0.25">
      <c r="B460" t="s">
        <v>1948</v>
      </c>
    </row>
    <row r="461" spans="2:2" x14ac:dyDescent="0.25">
      <c r="B461" t="s">
        <v>1949</v>
      </c>
    </row>
    <row r="462" spans="2:2" x14ac:dyDescent="0.25">
      <c r="B462" t="s">
        <v>1950</v>
      </c>
    </row>
    <row r="463" spans="2:2" x14ac:dyDescent="0.25">
      <c r="B463" t="s">
        <v>1951</v>
      </c>
    </row>
    <row r="464" spans="2:2" x14ac:dyDescent="0.25">
      <c r="B464" t="s">
        <v>1952</v>
      </c>
    </row>
    <row r="465" spans="2:2" x14ac:dyDescent="0.25">
      <c r="B465" t="s">
        <v>1953</v>
      </c>
    </row>
    <row r="466" spans="2:2" x14ac:dyDescent="0.25">
      <c r="B466" t="s">
        <v>1954</v>
      </c>
    </row>
    <row r="467" spans="2:2" x14ac:dyDescent="0.25">
      <c r="B467" t="s">
        <v>1955</v>
      </c>
    </row>
    <row r="468" spans="2:2" x14ac:dyDescent="0.25">
      <c r="B468" t="s">
        <v>1956</v>
      </c>
    </row>
    <row r="469" spans="2:2" x14ac:dyDescent="0.25">
      <c r="B469" t="s">
        <v>1957</v>
      </c>
    </row>
    <row r="470" spans="2:2" x14ac:dyDescent="0.25">
      <c r="B470" t="s">
        <v>1958</v>
      </c>
    </row>
    <row r="471" spans="2:2" x14ac:dyDescent="0.25">
      <c r="B471" t="s">
        <v>1959</v>
      </c>
    </row>
    <row r="472" spans="2:2" x14ac:dyDescent="0.25">
      <c r="B472" t="s">
        <v>1960</v>
      </c>
    </row>
    <row r="473" spans="2:2" x14ac:dyDescent="0.25">
      <c r="B473" t="s">
        <v>1961</v>
      </c>
    </row>
    <row r="474" spans="2:2" x14ac:dyDescent="0.25">
      <c r="B474" t="s">
        <v>1962</v>
      </c>
    </row>
    <row r="475" spans="2:2" x14ac:dyDescent="0.25">
      <c r="B475" t="s">
        <v>1963</v>
      </c>
    </row>
    <row r="476" spans="2:2" x14ac:dyDescent="0.25">
      <c r="B476" t="s">
        <v>1964</v>
      </c>
    </row>
    <row r="477" spans="2:2" x14ac:dyDescent="0.25">
      <c r="B477" t="s">
        <v>1965</v>
      </c>
    </row>
    <row r="478" spans="2:2" x14ac:dyDescent="0.25">
      <c r="B478" t="s">
        <v>1966</v>
      </c>
    </row>
    <row r="479" spans="2:2" x14ac:dyDescent="0.25">
      <c r="B479" t="s">
        <v>1967</v>
      </c>
    </row>
    <row r="480" spans="2:2" x14ac:dyDescent="0.25">
      <c r="B480" t="s">
        <v>1968</v>
      </c>
    </row>
    <row r="481" spans="2:2" x14ac:dyDescent="0.25">
      <c r="B481" t="s">
        <v>1969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D8A71-1F45-4AC5-A343-06025BBF2471}">
  <dimension ref="A1:I87"/>
  <sheetViews>
    <sheetView workbookViewId="0">
      <pane xSplit="2" ySplit="23" topLeftCell="C83" activePane="bottomRight" state="frozen"/>
      <selection activeCell="B90" sqref="B90"/>
      <selection pane="topRight" activeCell="B90" sqref="B90"/>
      <selection pane="bottomLeft" activeCell="B90" sqref="B90"/>
      <selection pane="bottomRight" activeCell="B90" sqref="B90"/>
    </sheetView>
  </sheetViews>
  <sheetFormatPr defaultRowHeight="15" x14ac:dyDescent="0.25"/>
  <cols>
    <col min="1" max="1" width="20.140625" customWidth="1"/>
    <col min="2" max="2" width="122.42578125" customWidth="1"/>
    <col min="3" max="3" width="20.7109375" customWidth="1"/>
    <col min="5" max="5" width="12.85546875" customWidth="1"/>
    <col min="6" max="6" width="12.7109375" customWidth="1"/>
    <col min="7" max="7" width="16.140625" customWidth="1"/>
    <col min="8" max="8" width="19" customWidth="1"/>
  </cols>
  <sheetData>
    <row r="1" spans="1:8" x14ac:dyDescent="0.25">
      <c r="A1" t="s">
        <v>3</v>
      </c>
      <c r="B1" t="s">
        <v>4</v>
      </c>
      <c r="C1" t="s">
        <v>5</v>
      </c>
      <c r="D1" t="s">
        <v>138</v>
      </c>
      <c r="E1" t="s">
        <v>2</v>
      </c>
      <c r="F1" t="s">
        <v>6</v>
      </c>
      <c r="G1" t="s">
        <v>202</v>
      </c>
      <c r="H1" t="s">
        <v>135</v>
      </c>
    </row>
    <row r="2" spans="1:8" s="82" customFormat="1" x14ac:dyDescent="0.25">
      <c r="B2" s="82" t="s">
        <v>141</v>
      </c>
    </row>
    <row r="3" spans="1:8" x14ac:dyDescent="0.25">
      <c r="B3" t="s">
        <v>519</v>
      </c>
      <c r="C3" t="s">
        <v>520</v>
      </c>
      <c r="D3" t="s">
        <v>8</v>
      </c>
      <c r="E3" t="s">
        <v>521</v>
      </c>
      <c r="G3" t="s">
        <v>9</v>
      </c>
    </row>
    <row r="4" spans="1:8" x14ac:dyDescent="0.25">
      <c r="B4" t="s">
        <v>522</v>
      </c>
      <c r="C4" t="s">
        <v>523</v>
      </c>
      <c r="D4" t="s">
        <v>8</v>
      </c>
      <c r="E4" t="s">
        <v>521</v>
      </c>
      <c r="F4" t="s">
        <v>524</v>
      </c>
      <c r="G4" t="s">
        <v>9</v>
      </c>
    </row>
    <row r="5" spans="1:8" ht="30" x14ac:dyDescent="0.25">
      <c r="B5" s="4" t="s">
        <v>525</v>
      </c>
      <c r="C5" t="s">
        <v>9</v>
      </c>
      <c r="D5" t="s">
        <v>8</v>
      </c>
      <c r="E5" t="s">
        <v>521</v>
      </c>
      <c r="G5" t="s">
        <v>9</v>
      </c>
    </row>
    <row r="6" spans="1:8" x14ac:dyDescent="0.25">
      <c r="B6" s="4" t="s">
        <v>526</v>
      </c>
      <c r="C6" t="s">
        <v>9</v>
      </c>
      <c r="D6" t="s">
        <v>8</v>
      </c>
      <c r="E6" t="s">
        <v>521</v>
      </c>
      <c r="G6" t="s">
        <v>9</v>
      </c>
    </row>
    <row r="7" spans="1:8" x14ac:dyDescent="0.25">
      <c r="B7" s="4" t="s">
        <v>527</v>
      </c>
      <c r="C7" t="s">
        <v>8</v>
      </c>
      <c r="D7" t="s">
        <v>8</v>
      </c>
      <c r="E7" t="s">
        <v>521</v>
      </c>
      <c r="G7" t="s">
        <v>9</v>
      </c>
    </row>
    <row r="8" spans="1:8" x14ac:dyDescent="0.25">
      <c r="B8" t="s">
        <v>528</v>
      </c>
      <c r="C8" t="s">
        <v>529</v>
      </c>
      <c r="D8" t="s">
        <v>8</v>
      </c>
      <c r="E8" t="s">
        <v>521</v>
      </c>
      <c r="G8" t="s">
        <v>9</v>
      </c>
    </row>
    <row r="9" spans="1:8" x14ac:dyDescent="0.25">
      <c r="B9" t="s">
        <v>530</v>
      </c>
      <c r="C9" t="s">
        <v>531</v>
      </c>
      <c r="D9" t="s">
        <v>8</v>
      </c>
      <c r="E9" t="s">
        <v>521</v>
      </c>
      <c r="G9" t="s">
        <v>9</v>
      </c>
    </row>
    <row r="10" spans="1:8" x14ac:dyDescent="0.25">
      <c r="B10" t="s">
        <v>532</v>
      </c>
      <c r="C10" t="s">
        <v>472</v>
      </c>
      <c r="D10" t="s">
        <v>8</v>
      </c>
      <c r="E10" t="s">
        <v>521</v>
      </c>
      <c r="G10" t="s">
        <v>9</v>
      </c>
    </row>
    <row r="11" spans="1:8" ht="30" x14ac:dyDescent="0.25">
      <c r="B11" s="83" t="s">
        <v>533</v>
      </c>
      <c r="C11" t="s">
        <v>534</v>
      </c>
      <c r="D11" t="str">
        <f>IF(C8="Option 2 (Estimated)","Yes","NA")</f>
        <v>NA</v>
      </c>
      <c r="E11" t="s">
        <v>521</v>
      </c>
      <c r="G11" t="s">
        <v>9</v>
      </c>
    </row>
    <row r="12" spans="1:8" x14ac:dyDescent="0.25">
      <c r="B12" s="83" t="s">
        <v>535</v>
      </c>
      <c r="C12" t="s">
        <v>9</v>
      </c>
      <c r="D12" t="str">
        <f>IF(C8="Option 2 (Estimated)","Yes","NA")</f>
        <v>NA</v>
      </c>
      <c r="E12" t="s">
        <v>521</v>
      </c>
      <c r="G12" t="s">
        <v>9</v>
      </c>
    </row>
    <row r="13" spans="1:8" x14ac:dyDescent="0.25">
      <c r="B13" s="83" t="s">
        <v>536</v>
      </c>
      <c r="C13" t="s">
        <v>8</v>
      </c>
      <c r="D13" t="str">
        <f>IF(C8="Option 2 (Estimated)","Yes","NA")</f>
        <v>NA</v>
      </c>
      <c r="E13" t="s">
        <v>521</v>
      </c>
      <c r="G13" t="s">
        <v>9</v>
      </c>
    </row>
    <row r="14" spans="1:8" x14ac:dyDescent="0.25">
      <c r="B14" s="83" t="s">
        <v>537</v>
      </c>
      <c r="C14" t="s">
        <v>538</v>
      </c>
      <c r="D14" t="str">
        <f>IF(C8="Option 2 (Estimated)","Yes","NA")</f>
        <v>NA</v>
      </c>
      <c r="E14" t="s">
        <v>521</v>
      </c>
      <c r="G14" t="s">
        <v>9</v>
      </c>
    </row>
    <row r="15" spans="1:8" x14ac:dyDescent="0.25">
      <c r="B15" s="83" t="s">
        <v>539</v>
      </c>
      <c r="C15" t="s">
        <v>8</v>
      </c>
      <c r="D15" t="str">
        <f>IF(C8="Option 2 (Estimated)","Yes","NA")</f>
        <v>NA</v>
      </c>
      <c r="E15" t="s">
        <v>521</v>
      </c>
      <c r="G15" t="s">
        <v>9</v>
      </c>
    </row>
    <row r="16" spans="1:8" x14ac:dyDescent="0.25">
      <c r="B16" s="83" t="s">
        <v>540</v>
      </c>
      <c r="C16" t="s">
        <v>9</v>
      </c>
      <c r="D16" t="str">
        <f>IF(C8="Option 2 (Estimated)","Yes","NA")</f>
        <v>NA</v>
      </c>
      <c r="E16" t="s">
        <v>521</v>
      </c>
      <c r="G16" t="s">
        <v>9</v>
      </c>
    </row>
    <row r="17" spans="2:7" x14ac:dyDescent="0.25">
      <c r="B17" s="83" t="s">
        <v>541</v>
      </c>
      <c r="C17" t="s">
        <v>542</v>
      </c>
      <c r="D17" t="str">
        <f>IF(AND(C4="Application B",C6="Yes"),"Yes","No")</f>
        <v>No</v>
      </c>
      <c r="E17" t="s">
        <v>521</v>
      </c>
      <c r="G17" t="s">
        <v>9</v>
      </c>
    </row>
    <row r="18" spans="2:7" x14ac:dyDescent="0.25">
      <c r="B18" s="83" t="s">
        <v>543</v>
      </c>
      <c r="C18" t="s">
        <v>9</v>
      </c>
      <c r="D18" t="str">
        <f>IF(C4="Application B","Yes","NA")</f>
        <v>Yes</v>
      </c>
      <c r="E18" t="s">
        <v>521</v>
      </c>
      <c r="G18" t="s">
        <v>9</v>
      </c>
    </row>
    <row r="19" spans="2:7" x14ac:dyDescent="0.25">
      <c r="B19" s="83" t="s">
        <v>544</v>
      </c>
      <c r="C19" t="s">
        <v>545</v>
      </c>
      <c r="D19" t="str">
        <f>IF(AND(C4="Application B",C18="Yes"),"NA","Yes")</f>
        <v>Yes</v>
      </c>
      <c r="E19" t="s">
        <v>521</v>
      </c>
      <c r="G19" t="s">
        <v>9</v>
      </c>
    </row>
    <row r="20" spans="2:7" x14ac:dyDescent="0.25">
      <c r="B20" t="s">
        <v>546</v>
      </c>
      <c r="C20" t="s">
        <v>547</v>
      </c>
      <c r="D20" t="s">
        <v>8</v>
      </c>
      <c r="E20" t="s">
        <v>521</v>
      </c>
      <c r="F20" t="s">
        <v>548</v>
      </c>
      <c r="G20" t="s">
        <v>9</v>
      </c>
    </row>
    <row r="21" spans="2:7" x14ac:dyDescent="0.25">
      <c r="B21" s="83" t="s">
        <v>549</v>
      </c>
      <c r="C21" t="s">
        <v>550</v>
      </c>
      <c r="D21" t="str">
        <f>IF(C20="Default","Yes","NA")</f>
        <v>Yes</v>
      </c>
      <c r="E21" t="s">
        <v>521</v>
      </c>
      <c r="G21" t="s">
        <v>9</v>
      </c>
    </row>
    <row r="22" spans="2:7" x14ac:dyDescent="0.25">
      <c r="B22" s="83" t="s">
        <v>551</v>
      </c>
      <c r="D22" t="str">
        <f>IF(C21="Other","Yes","NA")</f>
        <v>NA</v>
      </c>
      <c r="E22" t="s">
        <v>521</v>
      </c>
      <c r="G22" t="s">
        <v>9</v>
      </c>
    </row>
    <row r="23" spans="2:7" x14ac:dyDescent="0.25">
      <c r="B23" s="83" t="s">
        <v>552</v>
      </c>
      <c r="C23" t="s">
        <v>9</v>
      </c>
      <c r="D23" t="s">
        <v>8</v>
      </c>
      <c r="E23" t="s">
        <v>521</v>
      </c>
      <c r="G23" t="s">
        <v>9</v>
      </c>
    </row>
    <row r="24" spans="2:7" s="82" customFormat="1" x14ac:dyDescent="0.25">
      <c r="B24" s="82" t="s">
        <v>553</v>
      </c>
    </row>
    <row r="25" spans="2:7" x14ac:dyDescent="0.25">
      <c r="B25" s="84" t="s">
        <v>554</v>
      </c>
    </row>
    <row r="26" spans="2:7" x14ac:dyDescent="0.25">
      <c r="B26" t="s">
        <v>555</v>
      </c>
      <c r="C26" s="9">
        <f>IF(C8="Option 2 (Estimated)","NA",IF(C4="Application A",0.75,IF(AND(C4="Application B",C9="Humid/wet conditions"),0.85,IF(AND(C4="Application B",C9="Dry conditions"),0.8,))))</f>
        <v>0.85</v>
      </c>
      <c r="D26" t="str">
        <f>IF(C8="Option 1 (Default)","Yes","NA")</f>
        <v>Yes</v>
      </c>
      <c r="E26" t="s">
        <v>556</v>
      </c>
      <c r="G26" t="s">
        <v>9</v>
      </c>
    </row>
    <row r="27" spans="2:7" x14ac:dyDescent="0.25">
      <c r="B27" s="84" t="s">
        <v>557</v>
      </c>
    </row>
    <row r="28" spans="2:7" x14ac:dyDescent="0.25">
      <c r="B28" t="s">
        <v>558</v>
      </c>
      <c r="C28" s="85" t="str">
        <f>IF(C8="Option 1 (Default)","NA",IF(C11="Weighed",0.02,IF(C11="Estimated",0.1)))</f>
        <v>NA</v>
      </c>
      <c r="D28" t="str">
        <f>IF(C8="Option 2 (Estimated)","Yes","NA")</f>
        <v>NA</v>
      </c>
      <c r="E28" t="s">
        <v>556</v>
      </c>
      <c r="G28" t="s">
        <v>9</v>
      </c>
    </row>
    <row r="29" spans="2:7" x14ac:dyDescent="0.25">
      <c r="B29" t="s">
        <v>559</v>
      </c>
      <c r="C29" s="85" t="str">
        <f>IF(C8="Option 1 (Default)","NA",IF(C20="Measure",0.05,IF(C20="Default",0.1)))</f>
        <v>NA</v>
      </c>
      <c r="D29" t="str">
        <f>IF(C8="Option 2 (Estimated)","Yes","NA")</f>
        <v>NA</v>
      </c>
      <c r="E29" t="s">
        <v>556</v>
      </c>
      <c r="G29" t="s">
        <v>9</v>
      </c>
    </row>
    <row r="30" spans="2:7" x14ac:dyDescent="0.25">
      <c r="B30" t="s">
        <v>560</v>
      </c>
      <c r="C30" s="85" t="str">
        <f>IF(C8="Option 1 (Default)","NA",IF(OR(C12="Yes",C13="Yes"),0.05,0.15))</f>
        <v>NA</v>
      </c>
      <c r="D30" t="str">
        <f>IF(C8="Option 2 (Estimated)","Yes","NA")</f>
        <v>NA</v>
      </c>
      <c r="E30" t="s">
        <v>556</v>
      </c>
      <c r="G30" t="s">
        <v>9</v>
      </c>
    </row>
    <row r="31" spans="2:7" x14ac:dyDescent="0.25">
      <c r="B31" t="s">
        <v>561</v>
      </c>
      <c r="C31" s="85" t="str">
        <f>IF(C8="Option 1 (Default)","NA",IF(C12="Yes",0,0.05))</f>
        <v>NA</v>
      </c>
      <c r="D31" t="str">
        <f>IF(C8="Option 2 (Estimated)","Yes","NA")</f>
        <v>NA</v>
      </c>
      <c r="E31" t="s">
        <v>556</v>
      </c>
      <c r="G31" t="s">
        <v>9</v>
      </c>
    </row>
    <row r="32" spans="2:7" x14ac:dyDescent="0.25">
      <c r="B32" t="s">
        <v>562</v>
      </c>
      <c r="C32" s="85" t="str">
        <f>IF(C8="Option 1 (Default)","NA",IF(C14="Managed",0,IF(C14="Unmanaged",0.5)))</f>
        <v>NA</v>
      </c>
      <c r="D32" t="str">
        <f>IF(C8="Option 2 (Estimated)","Yes","NA")</f>
        <v>NA</v>
      </c>
      <c r="E32" t="s">
        <v>556</v>
      </c>
      <c r="G32" t="s">
        <v>9</v>
      </c>
    </row>
    <row r="33" spans="1:7" ht="17.25" x14ac:dyDescent="0.25">
      <c r="B33" t="s">
        <v>563</v>
      </c>
      <c r="C33" s="85" t="str">
        <f>IF(C8="Option 1 (Default)","NA",IF(AND(C4="Application B",C15="Yes",C84&gt;0.2),0.05,IF(AND(C4="Application A",C16="Yes"),0.05,0.2)))</f>
        <v>NA</v>
      </c>
      <c r="D33" t="str">
        <f>IF(C8="Option 2 (Estimated)","Yes","NA")</f>
        <v>NA</v>
      </c>
      <c r="E33" t="s">
        <v>556</v>
      </c>
      <c r="G33" t="s">
        <v>9</v>
      </c>
    </row>
    <row r="34" spans="1:7" x14ac:dyDescent="0.25">
      <c r="A34" t="s">
        <v>564</v>
      </c>
      <c r="B34" t="s">
        <v>565</v>
      </c>
      <c r="C34" s="9" t="str">
        <f>IF(C8="Option 1 (Default)","NA",SQRT(C28^2+C29^2+C30^2+C31^2+C32^2+C33^2))</f>
        <v>NA</v>
      </c>
      <c r="D34" t="str">
        <f>IF(C8="Option 2 (Estimated)","Yes","NA")</f>
        <v>NA</v>
      </c>
      <c r="E34" t="s">
        <v>556</v>
      </c>
      <c r="G34" t="s">
        <v>9</v>
      </c>
    </row>
    <row r="35" spans="1:7" x14ac:dyDescent="0.25">
      <c r="A35" t="s">
        <v>566</v>
      </c>
      <c r="B35" t="s">
        <v>567</v>
      </c>
      <c r="C35" s="9" t="str">
        <f>IF(C8="Option 1 (Default)","NA",1/(1+C34))</f>
        <v>NA</v>
      </c>
      <c r="D35" t="str">
        <f>IF(C8="Option 2 (Estimated)","Yes","NA")</f>
        <v>NA</v>
      </c>
      <c r="E35" t="s">
        <v>556</v>
      </c>
      <c r="G35" t="s">
        <v>9</v>
      </c>
    </row>
    <row r="36" spans="1:7" s="82" customFormat="1" x14ac:dyDescent="0.25">
      <c r="B36" s="82" t="s">
        <v>568</v>
      </c>
    </row>
    <row r="37" spans="1:7" x14ac:dyDescent="0.25">
      <c r="B37" s="84" t="s">
        <v>569</v>
      </c>
    </row>
    <row r="38" spans="1:7" x14ac:dyDescent="0.25">
      <c r="A38" t="s">
        <v>570</v>
      </c>
      <c r="B38" t="s">
        <v>571</v>
      </c>
      <c r="D38" t="str">
        <f>IF(C4="Application A","Yes","NA")</f>
        <v>NA</v>
      </c>
      <c r="E38" t="s">
        <v>159</v>
      </c>
      <c r="G38" t="s">
        <v>9</v>
      </c>
    </row>
    <row r="39" spans="1:7" x14ac:dyDescent="0.25">
      <c r="B39" s="84" t="s">
        <v>523</v>
      </c>
    </row>
    <row r="40" spans="1:7" x14ac:dyDescent="0.25">
      <c r="A40" t="s">
        <v>572</v>
      </c>
      <c r="B40" s="4" t="s">
        <v>573</v>
      </c>
      <c r="D40" t="str">
        <f>IF(AND(C4="Application B",C23="No"),"Yes","NA")</f>
        <v>Yes</v>
      </c>
      <c r="E40" t="s">
        <v>159</v>
      </c>
      <c r="G40" t="s">
        <v>8</v>
      </c>
    </row>
    <row r="41" spans="1:7" x14ac:dyDescent="0.25">
      <c r="B41" s="86" t="s">
        <v>574</v>
      </c>
    </row>
    <row r="42" spans="1:7" x14ac:dyDescent="0.25">
      <c r="A42" t="s">
        <v>575</v>
      </c>
      <c r="B42" s="4" t="s">
        <v>576</v>
      </c>
      <c r="D42" t="str">
        <f>IF(AND(C4="Application B",C23="No"),"Yes","NA")</f>
        <v>Yes</v>
      </c>
      <c r="E42" t="s">
        <v>159</v>
      </c>
      <c r="G42" t="s">
        <v>9</v>
      </c>
    </row>
    <row r="43" spans="1:7" x14ac:dyDescent="0.25">
      <c r="A43" t="s">
        <v>577</v>
      </c>
      <c r="B43" t="s">
        <v>578</v>
      </c>
      <c r="D43" t="str">
        <f>IF(C4="Application B","Yes","NA")</f>
        <v>Yes</v>
      </c>
      <c r="E43" t="s">
        <v>159</v>
      </c>
      <c r="G43" t="s">
        <v>9</v>
      </c>
    </row>
    <row r="44" spans="1:7" x14ac:dyDescent="0.25">
      <c r="A44" t="s">
        <v>579</v>
      </c>
      <c r="B44" t="s">
        <v>580</v>
      </c>
      <c r="C44" s="9" t="e">
        <f>IF(C4="Application A","NA",C40/C42)</f>
        <v>#DIV/0!</v>
      </c>
      <c r="D44" t="str">
        <f>IF(AND(C4="Application B",C23="No"),"Yes","NA")</f>
        <v>Yes</v>
      </c>
      <c r="E44" t="s">
        <v>556</v>
      </c>
      <c r="G44" t="s">
        <v>9</v>
      </c>
    </row>
    <row r="45" spans="1:7" x14ac:dyDescent="0.25">
      <c r="A45" t="s">
        <v>581</v>
      </c>
      <c r="B45" t="s">
        <v>582</v>
      </c>
      <c r="C45" s="9" t="e">
        <f>IF(C4="Application A","NA",C43*C44)</f>
        <v>#DIV/0!</v>
      </c>
      <c r="D45" t="str">
        <f>IF(AND(C4="Application B",C23="No"),"Yes","NA")</f>
        <v>Yes</v>
      </c>
      <c r="E45" t="s">
        <v>556</v>
      </c>
      <c r="G45" t="s">
        <v>9</v>
      </c>
    </row>
    <row r="46" spans="1:7" s="82" customFormat="1" x14ac:dyDescent="0.25">
      <c r="B46" s="82" t="s">
        <v>583</v>
      </c>
    </row>
    <row r="47" spans="1:7" x14ac:dyDescent="0.25">
      <c r="B47" s="84" t="s">
        <v>547</v>
      </c>
    </row>
    <row r="48" spans="1:7" x14ac:dyDescent="0.25">
      <c r="A48" t="s">
        <v>584</v>
      </c>
      <c r="B48" t="s">
        <v>585</v>
      </c>
      <c r="C48" s="9" t="str">
        <f>IF(AND(C4="Application B",C6="Yes",C17="Default"),0.05,IF((C4="Application A"),0.05,"NA"))</f>
        <v>NA</v>
      </c>
      <c r="D48" t="str">
        <f>IF(AND(C4="Application B",C6="Yes",C17="Default"),"Yes",IF((C4="Application A"),"Yes","NA"))</f>
        <v>NA</v>
      </c>
      <c r="E48" t="s">
        <v>556</v>
      </c>
      <c r="G48" t="s">
        <v>9</v>
      </c>
    </row>
    <row r="49" spans="1:9" x14ac:dyDescent="0.25">
      <c r="B49" s="84" t="s">
        <v>586</v>
      </c>
    </row>
    <row r="50" spans="1:9" x14ac:dyDescent="0.25">
      <c r="A50" t="s">
        <v>587</v>
      </c>
      <c r="B50" s="13" t="s">
        <v>588</v>
      </c>
      <c r="D50" t="str">
        <f>IF(AND(C4="Application B",C6="yes",C17="Measure"),"Yes","NA")</f>
        <v>NA</v>
      </c>
      <c r="E50" t="s">
        <v>159</v>
      </c>
      <c r="G50" t="s">
        <v>9</v>
      </c>
    </row>
    <row r="51" spans="1:9" x14ac:dyDescent="0.25">
      <c r="A51" t="s">
        <v>589</v>
      </c>
      <c r="B51" t="s">
        <v>590</v>
      </c>
      <c r="D51" t="str">
        <f>IF(AND(C4="Application B",C6="yes",C17="Measure"),"Yes","NA")</f>
        <v>NA</v>
      </c>
      <c r="E51" t="s">
        <v>159</v>
      </c>
      <c r="G51" t="s">
        <v>9</v>
      </c>
    </row>
    <row r="52" spans="1:9" x14ac:dyDescent="0.25">
      <c r="A52" t="s">
        <v>591</v>
      </c>
      <c r="B52" t="s">
        <v>592</v>
      </c>
      <c r="D52" t="str">
        <f>IF(AND(C4="Application B",C6="yes",C17="Measure"),"Yes","NA")</f>
        <v>NA</v>
      </c>
      <c r="E52" t="s">
        <v>159</v>
      </c>
      <c r="G52" t="s">
        <v>9</v>
      </c>
    </row>
    <row r="53" spans="1:9" x14ac:dyDescent="0.25">
      <c r="A53" t="s">
        <v>593</v>
      </c>
      <c r="B53" t="s">
        <v>594</v>
      </c>
      <c r="D53" t="str">
        <f>IF(AND(C4="Application B",C6="yes",C17="Measure"),"Yes","NA")</f>
        <v>NA</v>
      </c>
      <c r="E53" t="s">
        <v>159</v>
      </c>
      <c r="G53" t="s">
        <v>9</v>
      </c>
    </row>
    <row r="54" spans="1:9" x14ac:dyDescent="0.25">
      <c r="A54" t="s">
        <v>595</v>
      </c>
      <c r="B54" t="s">
        <v>585</v>
      </c>
      <c r="C54" s="9" t="str">
        <f>IF(AND(C4="Application B",C6="Yes",C17="Measure"),0.7*(12/16)*C50/C51*(C52*C53),"NA")</f>
        <v>NA</v>
      </c>
      <c r="D54" t="str">
        <f>IF(AND(C4="Application B",C6="yes",C17="Measure"),"Yes","NA")</f>
        <v>NA</v>
      </c>
      <c r="E54" t="s">
        <v>556</v>
      </c>
      <c r="G54" t="s">
        <v>9</v>
      </c>
    </row>
    <row r="55" spans="1:9" x14ac:dyDescent="0.25">
      <c r="B55" s="84" t="s">
        <v>596</v>
      </c>
    </row>
    <row r="56" spans="1:9" x14ac:dyDescent="0.25">
      <c r="A56" t="s">
        <v>597</v>
      </c>
      <c r="B56" s="83" t="s">
        <v>598</v>
      </c>
      <c r="D56" t="str">
        <f>IF(AND(C4="Application B",C7="yes"),"Yes","NA")</f>
        <v>Yes</v>
      </c>
      <c r="E56" t="s">
        <v>159</v>
      </c>
      <c r="G56" t="s">
        <v>9</v>
      </c>
    </row>
    <row r="57" spans="1:9" x14ac:dyDescent="0.25">
      <c r="A57" t="s">
        <v>589</v>
      </c>
      <c r="B57" t="s">
        <v>590</v>
      </c>
      <c r="D57" t="str">
        <f>IF(AND(C4="Application B",C7="yes"),"Yes","NA")</f>
        <v>Yes</v>
      </c>
      <c r="E57" t="s">
        <v>159</v>
      </c>
      <c r="G57" t="s">
        <v>9</v>
      </c>
      <c r="I57" s="13"/>
    </row>
    <row r="58" spans="1:9" x14ac:dyDescent="0.25">
      <c r="A58" t="s">
        <v>593</v>
      </c>
      <c r="B58" t="s">
        <v>594</v>
      </c>
      <c r="D58" t="str">
        <f>IF(AND(C4="Application B",C7="yes"),"Yes","NA")</f>
        <v>Yes</v>
      </c>
      <c r="E58" t="s">
        <v>159</v>
      </c>
      <c r="G58" t="s">
        <v>9</v>
      </c>
    </row>
    <row r="59" spans="1:9" x14ac:dyDescent="0.25">
      <c r="A59" t="s">
        <v>595</v>
      </c>
      <c r="B59" s="13" t="s">
        <v>585</v>
      </c>
      <c r="C59" s="9" t="e">
        <f>IF(AND(C4="Application B",C7="Yes"),0.7*(12/16)*C56/(C57*C58),"NA")</f>
        <v>#DIV/0!</v>
      </c>
      <c r="D59" t="str">
        <f>IF(AND(C4="Application B",C7="yes"),"Yes","NA")</f>
        <v>Yes</v>
      </c>
      <c r="E59" t="s">
        <v>556</v>
      </c>
      <c r="G59" t="s">
        <v>9</v>
      </c>
    </row>
    <row r="60" spans="1:9" s="82" customFormat="1" x14ac:dyDescent="0.25">
      <c r="B60" s="82" t="s">
        <v>599</v>
      </c>
    </row>
    <row r="61" spans="1:9" x14ac:dyDescent="0.25">
      <c r="B61" s="84" t="s">
        <v>547</v>
      </c>
    </row>
    <row r="62" spans="1:9" x14ac:dyDescent="0.25">
      <c r="A62" t="s">
        <v>600</v>
      </c>
      <c r="B62" t="s">
        <v>601</v>
      </c>
      <c r="C62" s="9">
        <f>IF(AND(C4="Application B",C18="Yes"),"NA",IF(C19="Anaerobic managed solid waste disposal sites",1, IF(C19="Semi-aerobic managed solid waste disposal sites",0.5,IF(C19="Unmanaged solid waste disposal sites – deep",0.8,IF(C19="Unmanaged-shallow solid waste disposal sites or stockpiles that are considered SWDS",0.4)))))</f>
        <v>0.8</v>
      </c>
      <c r="D62" t="str">
        <f>IF(AND(C4="Application B",C18="Yes"),"NA","Yes")</f>
        <v>Yes</v>
      </c>
      <c r="E62" t="s">
        <v>556</v>
      </c>
      <c r="G62" t="s">
        <v>9</v>
      </c>
    </row>
    <row r="63" spans="1:9" x14ac:dyDescent="0.25">
      <c r="B63" s="84" t="s">
        <v>602</v>
      </c>
    </row>
    <row r="64" spans="1:9" x14ac:dyDescent="0.25">
      <c r="A64" t="s">
        <v>603</v>
      </c>
      <c r="B64" t="s">
        <v>604</v>
      </c>
      <c r="D64" t="str">
        <f>IF(AND(C4="Application B",C18="Yes"),"Yes","NA")</f>
        <v>NA</v>
      </c>
      <c r="E64" t="s">
        <v>159</v>
      </c>
      <c r="G64" t="s">
        <v>9</v>
      </c>
    </row>
    <row r="65" spans="1:7" x14ac:dyDescent="0.25">
      <c r="A65" t="s">
        <v>605</v>
      </c>
      <c r="B65" t="s">
        <v>606</v>
      </c>
      <c r="D65" t="str">
        <f>IF(AND(C4="Application B",C18="Yes"),"Yes","NA")</f>
        <v>NA</v>
      </c>
      <c r="E65" t="s">
        <v>159</v>
      </c>
      <c r="G65" t="s">
        <v>9</v>
      </c>
    </row>
    <row r="66" spans="1:7" x14ac:dyDescent="0.25">
      <c r="A66" t="s">
        <v>607</v>
      </c>
      <c r="B66" t="s">
        <v>601</v>
      </c>
      <c r="C66" s="9" t="str">
        <f>IF(AND(C4="Application B",C18="yes"),MAX((1-2/C65),C64/C65), "NA")</f>
        <v>NA</v>
      </c>
      <c r="D66" t="str">
        <f>IF(AND(C4="Application B",C18="Yes"),"Yes","NA")</f>
        <v>NA</v>
      </c>
      <c r="E66" t="s">
        <v>556</v>
      </c>
      <c r="G66" t="s">
        <v>9</v>
      </c>
    </row>
    <row r="67" spans="1:7" s="82" customFormat="1" x14ac:dyDescent="0.25">
      <c r="B67" s="82" t="s">
        <v>608</v>
      </c>
    </row>
    <row r="68" spans="1:7" x14ac:dyDescent="0.25">
      <c r="B68" s="84" t="s">
        <v>547</v>
      </c>
    </row>
    <row r="69" spans="1:7" x14ac:dyDescent="0.25">
      <c r="A69" t="s">
        <v>609</v>
      </c>
      <c r="B69" t="s">
        <v>594</v>
      </c>
      <c r="C69" s="85">
        <f>IF(AND(C20="Default",C21="Wood and wood products"),0.43,IF(AND(C20="Default",C21="Pulp, paper and cardboard (other than sludge)"),0.4,IF(AND(C20="Default",C21="Food, food waste, beverages and tobacco (other than sludge)"),0.15,IF(AND(C20="Default",C21="Textiles"),0.24,IF(AND(C20="Default",C21="Garden, yard and park waste"),0.2,IF(AND(C20="Default",C21="Glass, plastic, metal, other inert waste"),0, IF(AND(C20="Default",C21="Empty fruit brunches (EFB)"),0.2,IF(AND(C20="Default",C21="Industrial sludge"),0.09,IF(AND(C20="Default",C21="Domestic sludge"),0.05,"NA")))))))))</f>
        <v>0.4</v>
      </c>
      <c r="D69" t="str">
        <f>IF(AND(C4="Application B",C20="Measure"),"NA","Yes")</f>
        <v>Yes</v>
      </c>
      <c r="E69" t="s">
        <v>556</v>
      </c>
      <c r="G69" t="s">
        <v>9</v>
      </c>
    </row>
    <row r="70" spans="1:7" x14ac:dyDescent="0.25">
      <c r="B70" s="84" t="s">
        <v>610</v>
      </c>
    </row>
    <row r="71" spans="1:7" x14ac:dyDescent="0.25">
      <c r="A71" t="s">
        <v>611</v>
      </c>
      <c r="B71" t="s">
        <v>594</v>
      </c>
      <c r="D71" t="str">
        <f>IF(AND(C4="Application B",C20="Measure"),"Yes","NA")</f>
        <v>NA</v>
      </c>
      <c r="E71" t="s">
        <v>159</v>
      </c>
      <c r="G71" t="s">
        <v>9</v>
      </c>
    </row>
    <row r="72" spans="1:7" s="82" customFormat="1" ht="18.75" x14ac:dyDescent="0.3">
      <c r="B72" s="87" t="s">
        <v>612</v>
      </c>
    </row>
    <row r="73" spans="1:7" ht="30" x14ac:dyDescent="0.25">
      <c r="A73" t="s">
        <v>613</v>
      </c>
      <c r="B73" s="4" t="s">
        <v>614</v>
      </c>
      <c r="D73" t="s">
        <v>8</v>
      </c>
      <c r="E73" t="s">
        <v>159</v>
      </c>
      <c r="G73" t="s">
        <v>9</v>
      </c>
    </row>
    <row r="74" spans="1:7" x14ac:dyDescent="0.25">
      <c r="A74" t="s">
        <v>615</v>
      </c>
      <c r="B74" t="s">
        <v>616</v>
      </c>
      <c r="D74" t="s">
        <v>8</v>
      </c>
      <c r="E74" t="s">
        <v>159</v>
      </c>
      <c r="G74" t="s">
        <v>9</v>
      </c>
    </row>
    <row r="75" spans="1:7" x14ac:dyDescent="0.25">
      <c r="A75" t="s">
        <v>595</v>
      </c>
      <c r="B75" t="s">
        <v>585</v>
      </c>
      <c r="C75" s="9" t="e">
        <f>IF(C4="Application A",C48,IF(AND(C4="Application B",C6="Yes",C17="Default"),C48,IF(AND(C4="Application B",C6="Yes",C17="Measure"),C54, IF(AND(C4="Application B",C7="Yes",C17="Measure"),C59))))</f>
        <v>#DIV/0!</v>
      </c>
      <c r="D75" t="s">
        <v>8</v>
      </c>
      <c r="E75" t="s">
        <v>556</v>
      </c>
      <c r="G75" t="s">
        <v>9</v>
      </c>
    </row>
    <row r="76" spans="1:7" x14ac:dyDescent="0.25">
      <c r="A76" t="s">
        <v>617</v>
      </c>
      <c r="B76" t="s">
        <v>582</v>
      </c>
      <c r="C76" s="9" t="e">
        <f>IF(C4="Application A",C38,IF(AND(C4="Application B",C23="No"),C45,IF(AND(C4="Application B",C23="Yes"),C43)))</f>
        <v>#DIV/0!</v>
      </c>
      <c r="D76" t="s">
        <v>8</v>
      </c>
      <c r="E76" t="s">
        <v>556</v>
      </c>
      <c r="G76" t="s">
        <v>9</v>
      </c>
    </row>
    <row r="77" spans="1:7" x14ac:dyDescent="0.25">
      <c r="A77" t="s">
        <v>566</v>
      </c>
      <c r="B77" t="s">
        <v>567</v>
      </c>
      <c r="C77" s="9">
        <f>IF(C8="Option 1 (Default)",C26,C35)</f>
        <v>0.85</v>
      </c>
      <c r="D77" t="s">
        <v>8</v>
      </c>
      <c r="E77" t="s">
        <v>556</v>
      </c>
      <c r="G77" t="s">
        <v>9</v>
      </c>
    </row>
    <row r="78" spans="1:7" ht="15.75" thickBot="1" x14ac:dyDescent="0.3">
      <c r="A78" t="s">
        <v>618</v>
      </c>
      <c r="B78" t="s">
        <v>619</v>
      </c>
      <c r="D78" t="s">
        <v>8</v>
      </c>
      <c r="E78" t="s">
        <v>159</v>
      </c>
      <c r="G78" t="s">
        <v>9</v>
      </c>
    </row>
    <row r="79" spans="1:7" ht="15.75" thickBot="1" x14ac:dyDescent="0.3">
      <c r="A79" t="s">
        <v>620</v>
      </c>
      <c r="B79" t="s">
        <v>621</v>
      </c>
      <c r="C79" s="50">
        <v>28</v>
      </c>
      <c r="D79" t="s">
        <v>8</v>
      </c>
      <c r="E79" t="s">
        <v>341</v>
      </c>
      <c r="G79" t="s">
        <v>9</v>
      </c>
    </row>
    <row r="80" spans="1:7" ht="15.75" thickBot="1" x14ac:dyDescent="0.3">
      <c r="A80" t="s">
        <v>622</v>
      </c>
      <c r="B80" t="s">
        <v>623</v>
      </c>
      <c r="C80" s="50">
        <v>0.1</v>
      </c>
      <c r="D80" t="s">
        <v>8</v>
      </c>
      <c r="E80" t="s">
        <v>341</v>
      </c>
      <c r="G80" t="s">
        <v>9</v>
      </c>
    </row>
    <row r="81" spans="1:7" ht="15.75" thickBot="1" x14ac:dyDescent="0.3">
      <c r="A81" t="s">
        <v>589</v>
      </c>
      <c r="B81" t="s">
        <v>590</v>
      </c>
      <c r="C81" s="50">
        <v>0.5</v>
      </c>
      <c r="D81" t="s">
        <v>8</v>
      </c>
      <c r="E81" t="s">
        <v>341</v>
      </c>
      <c r="G81" t="s">
        <v>9</v>
      </c>
    </row>
    <row r="82" spans="1:7" x14ac:dyDescent="0.25">
      <c r="A82" t="s">
        <v>624</v>
      </c>
      <c r="B82" t="s">
        <v>601</v>
      </c>
      <c r="C82" s="9">
        <f>IF(AND(C4="Application B",C18="Yes"),C66,C62)</f>
        <v>0.8</v>
      </c>
      <c r="D82" t="s">
        <v>8</v>
      </c>
      <c r="E82" t="s">
        <v>556</v>
      </c>
      <c r="G82" t="s">
        <v>9</v>
      </c>
    </row>
    <row r="83" spans="1:7" x14ac:dyDescent="0.25">
      <c r="A83" t="s">
        <v>611</v>
      </c>
      <c r="B83" t="s">
        <v>594</v>
      </c>
      <c r="C83" s="85">
        <f>IF(C20="Default",C69,C71)</f>
        <v>0.4</v>
      </c>
      <c r="D83" t="s">
        <v>8</v>
      </c>
      <c r="E83" t="s">
        <v>556</v>
      </c>
      <c r="G83" t="s">
        <v>9</v>
      </c>
    </row>
    <row r="84" spans="1:7" x14ac:dyDescent="0.25">
      <c r="A84" t="s">
        <v>625</v>
      </c>
      <c r="B84" t="s">
        <v>626</v>
      </c>
      <c r="C84" s="9">
        <f>IF(AND(C21="Pulp, paper and cardboard (other than sludge)",C10="Boreal and Temperate",C9="Dry conditions"),0.04,IF(AND(C21="Pulp, paper and cardboard (other than sludge)",C10="Boreal and Temperate",C9="Humid/wet conditions"),0.06,IF(AND(C21="Pulp, paper and cardboard (other than sludge)",C10="Tropical",C9="Dry conditions"),0.045,IF(AND(C21="Pulp, paper and cardboard (other than sludge)",C10="Tropical",C9="Humid/wet conditions"),0.07,IF(AND(C21="Wood and wood products",C10="Boreal and Temperate",C9="Dry conditions"),0.02,IF(AND(C21="Wood and wood products",C10="Boreal and Temperate",C9="Humid/wet conditions"),0.03,IF(AND(C21="Wood and wood products",C10="Tropical",C9="Dry conditions"),0.025,IF(AND(C21="Wood and wood products",C10="Tropical",C9="Humid/wet conditions"),0.035,IF(AND(C21="Garden, yard and park waste",C10="Boreal and Temperate",C9="Dry conditions"),0.05,IF(AND(C21="Garden, yard and park waste",C10="Boreal and Temperate",C9="Humid/wet conditions"),0.1,IF(AND(C21="Garden, yard and park waste",C10="Tropical",C9="Dry conditions"),0.065,IF(AND(C21="Garden, yard and park waste",C10="Tropical",C9="Humid/wet conditions"),0.17,IF(AND(C21="Food, food waste, beverages and tobacco (other than sludge)",C10="Boreal and Temperate",C9="Dry conditions"),0.06,IF(AND(C21="Food, food waste, beverages and tobacco (other than sludge)",C10="Boreal and Temperate",C9="Humid/wet conditions"),0.185,IF(AND(C21="Food, food waste, beverages and tobacco (other than sludge)",C10="Tropical",C9="Dry conditions"),0.085,IF(AND(C21="Food, food waste, beverages and tobacco (other than sludge)",C10="Tropical",C9="Humid/wet conditions"),0.4))))))))))))))))</f>
        <v>7.0000000000000007E-2</v>
      </c>
      <c r="D84" t="s">
        <v>8</v>
      </c>
      <c r="E84" t="s">
        <v>556</v>
      </c>
      <c r="F84" t="s">
        <v>627</v>
      </c>
      <c r="G84" t="s">
        <v>9</v>
      </c>
    </row>
    <row r="85" spans="1:7" x14ac:dyDescent="0.25">
      <c r="A85" t="s">
        <v>628</v>
      </c>
      <c r="B85" t="s">
        <v>629</v>
      </c>
      <c r="C85" s="9" t="str">
        <f>IF(C21="Other",C22,C21)</f>
        <v>Pulp, paper and cardboard (other than sludge)</v>
      </c>
      <c r="D85" t="s">
        <v>8</v>
      </c>
      <c r="E85" t="s">
        <v>556</v>
      </c>
      <c r="G85" t="s">
        <v>9</v>
      </c>
    </row>
    <row r="86" spans="1:7" x14ac:dyDescent="0.25">
      <c r="A86" t="s">
        <v>630</v>
      </c>
      <c r="B86" t="s">
        <v>631</v>
      </c>
      <c r="C86" s="9" t="e">
        <f>C77*(1-C78)*C79*(1-C80)*(16/12)*C81*C75*C82*(C76*C83*EXP(-C84*(C74-C73))*(1-EXP(-C84)))</f>
        <v>#DIV/0!</v>
      </c>
      <c r="D86" t="s">
        <v>8</v>
      </c>
      <c r="E86" t="s">
        <v>556</v>
      </c>
      <c r="G86" t="s">
        <v>9</v>
      </c>
    </row>
    <row r="87" spans="1:7" x14ac:dyDescent="0.25">
      <c r="B87" s="88" t="s">
        <v>632</v>
      </c>
      <c r="F87" t="s">
        <v>633</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EBF5A6BA-3934-455E-8FED-6E995EA98AEA}">
          <x14:formula1>
            <xm:f>'Dropdown Items (Tool 04)'!$A$2:$A$4</xm:f>
          </x14:formula1>
          <xm:sqref>C3</xm:sqref>
        </x14:dataValidation>
        <x14:dataValidation type="list" allowBlank="1" showInputMessage="1" showErrorMessage="1" xr:uid="{BF07DC7F-65B3-45AB-B237-A9D89C69B062}">
          <x14:formula1>
            <xm:f>'Dropdown Items (Tool 04)'!$H$2:$H$3</xm:f>
          </x14:formula1>
          <xm:sqref>C10</xm:sqref>
        </x14:dataValidation>
        <x14:dataValidation type="list" allowBlank="1" showInputMessage="1" showErrorMessage="1" xr:uid="{3F279C19-3918-4F25-9BA8-5D2859AEFD93}">
          <x14:formula1>
            <xm:f>'Dropdown Items (Tool 04)'!$I$2:$I$11</xm:f>
          </x14:formula1>
          <xm:sqref>C21</xm:sqref>
        </x14:dataValidation>
        <x14:dataValidation type="list" allowBlank="1" showInputMessage="1" showErrorMessage="1" xr:uid="{6D12696C-DB92-4EFD-9B12-D9B652337B0D}">
          <x14:formula1>
            <xm:f>'Dropdown Items (Tool 04)'!$F$2:$F$3</xm:f>
          </x14:formula1>
          <xm:sqref>C20</xm:sqref>
        </x14:dataValidation>
        <x14:dataValidation type="list" allowBlank="1" showInputMessage="1" showErrorMessage="1" xr:uid="{5D2D1DB0-8EEA-4587-8E2A-ADE10530BD21}">
          <x14:formula1>
            <xm:f>'Dropdown Items (Tool 04)'!$M$2:$M$5</xm:f>
          </x14:formula1>
          <xm:sqref>C19</xm:sqref>
        </x14:dataValidation>
        <x14:dataValidation type="list" allowBlank="1" showInputMessage="1" showErrorMessage="1" xr:uid="{A5327668-D28F-49A8-8680-01BE3F65061F}">
          <x14:formula1>
            <xm:f>'Dropdown Items (Tool 04)'!$L$2:$L$3</xm:f>
          </x14:formula1>
          <xm:sqref>C14</xm:sqref>
        </x14:dataValidation>
        <x14:dataValidation type="list" allowBlank="1" showInputMessage="1" showErrorMessage="1" xr:uid="{7C07BB80-AE66-4AFC-B749-F19493DB2040}">
          <x14:formula1>
            <xm:f>'Dropdown Items (Tool 04)'!$K$2:$K$3</xm:f>
          </x14:formula1>
          <xm:sqref>C23 C17:C18</xm:sqref>
        </x14:dataValidation>
        <x14:dataValidation type="list" allowBlank="1" showInputMessage="1" showErrorMessage="1" xr:uid="{98846F50-EC9C-4ADF-98F4-AAB76BE73E77}">
          <x14:formula1>
            <xm:f>'Dropdown Items (Tool 04)'!$J$2:$J$3</xm:f>
          </x14:formula1>
          <xm:sqref>C11</xm:sqref>
        </x14:dataValidation>
        <x14:dataValidation type="list" allowBlank="1" showInputMessage="1" showErrorMessage="1" xr:uid="{FE192FE0-F0C6-4C65-A655-5FF08A00C6A2}">
          <x14:formula1>
            <xm:f>'Dropdown Items (Tool 04)'!$G$2:$G$3</xm:f>
          </x14:formula1>
          <xm:sqref>C9</xm:sqref>
        </x14:dataValidation>
        <x14:dataValidation type="list" allowBlank="1" showInputMessage="1" showErrorMessage="1" xr:uid="{2636C113-EBF0-4408-8759-97A51E6A220F}">
          <x14:formula1>
            <xm:f>'Dropdown Items (Tool 04)'!$E$2:$E$3</xm:f>
          </x14:formula1>
          <xm:sqref>C8</xm:sqref>
        </x14:dataValidation>
        <x14:dataValidation type="list" allowBlank="1" showInputMessage="1" showErrorMessage="1" xr:uid="{E407E335-23A8-4497-96BB-92C3F4042D0C}">
          <x14:formula1>
            <xm:f>'Dropdown Items (Tool 04)'!$D$2:$D$3</xm:f>
          </x14:formula1>
          <xm:sqref>C12:C13 C23 C18 C5:C7 C15:C16</xm:sqref>
        </x14:dataValidation>
        <x14:dataValidation type="list" allowBlank="1" showInputMessage="1" showErrorMessage="1" xr:uid="{C2D203BE-1853-4327-9C13-3C0E61345D4D}">
          <x14:formula1>
            <xm:f>'Dropdown Items (Tool 04)'!$B$2:$B$3</xm:f>
          </x14:formula1>
          <xm:sqref>C4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60F8A-AB19-45ED-AD4A-36B6C00E9882}">
  <dimension ref="A1:D8"/>
  <sheetViews>
    <sheetView workbookViewId="0">
      <selection activeCell="B90" sqref="B90"/>
    </sheetView>
  </sheetViews>
  <sheetFormatPr defaultRowHeight="15" x14ac:dyDescent="0.25"/>
  <cols>
    <col min="1" max="1" width="14.5703125" style="23" customWidth="1"/>
    <col min="2" max="2" width="26.5703125" customWidth="1"/>
    <col min="3" max="3" width="23.7109375" customWidth="1"/>
    <col min="4" max="4" width="25.140625" customWidth="1"/>
  </cols>
  <sheetData>
    <row r="1" spans="1:4" s="23" customFormat="1" x14ac:dyDescent="0.25">
      <c r="B1" s="23" t="s">
        <v>520</v>
      </c>
      <c r="C1" s="23" t="s">
        <v>225</v>
      </c>
      <c r="D1" s="23" t="s">
        <v>456</v>
      </c>
    </row>
    <row r="2" spans="1:4" x14ac:dyDescent="0.25">
      <c r="A2" s="23" t="s">
        <v>634</v>
      </c>
      <c r="B2" t="e">
        <f>IF('Tool 04-SWDS-Yearly'!C3="Baseline Emissions (BE)",'Tool 04-SWDS-Yearly'!C86)</f>
        <v>#DIV/0!</v>
      </c>
      <c r="C2" t="b">
        <f>IF('Tool 04-SWDS-Yearly'!C3="Project Emissions (PE)",'Tool 04-SWDS-Yearly'!C86)</f>
        <v>0</v>
      </c>
      <c r="D2" t="b">
        <f>IF('Tool 04-SWDS-Yearly'!C3="Leakage Emissions (LE)",'Tool 04-SWDS-Yearly'!C86)</f>
        <v>0</v>
      </c>
    </row>
    <row r="3" spans="1:4" x14ac:dyDescent="0.25">
      <c r="A3" s="89" t="s">
        <v>634</v>
      </c>
      <c r="B3" s="62"/>
      <c r="C3" s="62"/>
      <c r="D3" s="62"/>
    </row>
    <row r="4" spans="1:4" x14ac:dyDescent="0.25">
      <c r="A4" s="89" t="s">
        <v>634</v>
      </c>
      <c r="B4" s="62"/>
      <c r="C4" s="62"/>
      <c r="D4" s="62"/>
    </row>
    <row r="5" spans="1:4" x14ac:dyDescent="0.25">
      <c r="A5" s="89" t="s">
        <v>634</v>
      </c>
      <c r="B5" s="62"/>
      <c r="C5" s="62"/>
      <c r="D5" s="62"/>
    </row>
    <row r="6" spans="1:4" x14ac:dyDescent="0.25">
      <c r="A6" s="89" t="s">
        <v>634</v>
      </c>
      <c r="B6" s="62"/>
      <c r="C6" s="62"/>
      <c r="D6" s="62"/>
    </row>
    <row r="7" spans="1:4" x14ac:dyDescent="0.25">
      <c r="A7" s="89" t="s">
        <v>634</v>
      </c>
      <c r="B7" s="62"/>
      <c r="C7" s="62"/>
      <c r="D7" s="62"/>
    </row>
    <row r="8" spans="1:4" s="23" customFormat="1" x14ac:dyDescent="0.25">
      <c r="A8" s="23" t="s">
        <v>193</v>
      </c>
      <c r="B8" s="23" t="e">
        <f>SUM(B2:B7)</f>
        <v>#DIV/0!</v>
      </c>
      <c r="C8" s="23">
        <f t="shared" ref="C8" si="0">SUM(C2:C7)</f>
        <v>0</v>
      </c>
      <c r="D8" s="23">
        <f>SUM(D2:D7)</f>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42A03-4690-4A47-9E4A-7D31D7A104C1}">
  <dimension ref="A1:M11"/>
  <sheetViews>
    <sheetView workbookViewId="0">
      <selection activeCell="B90" sqref="B90"/>
    </sheetView>
  </sheetViews>
  <sheetFormatPr defaultRowHeight="15" x14ac:dyDescent="0.25"/>
  <cols>
    <col min="1" max="1" width="22.28515625" customWidth="1"/>
    <col min="2" max="2" width="27.28515625" customWidth="1"/>
    <col min="3" max="3" width="20.28515625" customWidth="1"/>
    <col min="4" max="4" width="19.5703125" customWidth="1"/>
    <col min="5" max="5" width="26.28515625" customWidth="1"/>
    <col min="6" max="6" width="29.5703125" customWidth="1"/>
    <col min="7" max="9" width="31.140625" customWidth="1"/>
    <col min="10" max="10" width="13.42578125" customWidth="1"/>
  </cols>
  <sheetData>
    <row r="1" spans="1:13" x14ac:dyDescent="0.25">
      <c r="A1" s="23" t="s">
        <v>635</v>
      </c>
      <c r="B1" s="23" t="s">
        <v>636</v>
      </c>
      <c r="C1" s="23" t="s">
        <v>637</v>
      </c>
      <c r="D1" s="23" t="s">
        <v>638</v>
      </c>
      <c r="E1" s="23" t="s">
        <v>639</v>
      </c>
      <c r="F1" s="23" t="s">
        <v>640</v>
      </c>
      <c r="G1" s="23" t="s">
        <v>641</v>
      </c>
      <c r="H1" s="23" t="s">
        <v>642</v>
      </c>
      <c r="I1" s="23" t="s">
        <v>643</v>
      </c>
    </row>
    <row r="2" spans="1:13" x14ac:dyDescent="0.25">
      <c r="A2" t="s">
        <v>520</v>
      </c>
      <c r="B2" t="s">
        <v>569</v>
      </c>
      <c r="C2" t="s">
        <v>644</v>
      </c>
      <c r="D2" t="s">
        <v>8</v>
      </c>
      <c r="E2" t="s">
        <v>529</v>
      </c>
      <c r="F2" t="s">
        <v>547</v>
      </c>
      <c r="G2" t="s">
        <v>531</v>
      </c>
      <c r="H2" t="s">
        <v>645</v>
      </c>
      <c r="I2" t="s">
        <v>646</v>
      </c>
      <c r="J2" t="s">
        <v>647</v>
      </c>
      <c r="K2" t="s">
        <v>542</v>
      </c>
      <c r="L2" t="s">
        <v>538</v>
      </c>
      <c r="M2" t="s">
        <v>648</v>
      </c>
    </row>
    <row r="3" spans="1:13" ht="30" x14ac:dyDescent="0.25">
      <c r="A3" t="s">
        <v>225</v>
      </c>
      <c r="B3" t="s">
        <v>523</v>
      </c>
      <c r="C3" t="s">
        <v>649</v>
      </c>
      <c r="D3" t="s">
        <v>9</v>
      </c>
      <c r="E3" t="s">
        <v>650</v>
      </c>
      <c r="F3" t="s">
        <v>542</v>
      </c>
      <c r="G3" t="s">
        <v>651</v>
      </c>
      <c r="H3" t="s">
        <v>472</v>
      </c>
      <c r="I3" s="4" t="s">
        <v>550</v>
      </c>
      <c r="J3" t="s">
        <v>534</v>
      </c>
      <c r="K3" t="s">
        <v>547</v>
      </c>
      <c r="L3" t="s">
        <v>652</v>
      </c>
      <c r="M3" t="s">
        <v>653</v>
      </c>
    </row>
    <row r="4" spans="1:13" x14ac:dyDescent="0.25">
      <c r="A4" t="s">
        <v>456</v>
      </c>
      <c r="I4" t="s">
        <v>654</v>
      </c>
      <c r="M4" t="s">
        <v>545</v>
      </c>
    </row>
    <row r="5" spans="1:13" x14ac:dyDescent="0.25">
      <c r="I5" t="s">
        <v>655</v>
      </c>
      <c r="M5" t="s">
        <v>656</v>
      </c>
    </row>
    <row r="6" spans="1:13" x14ac:dyDescent="0.25">
      <c r="I6" t="s">
        <v>657</v>
      </c>
    </row>
    <row r="7" spans="1:13" x14ac:dyDescent="0.25">
      <c r="I7" t="s">
        <v>658</v>
      </c>
    </row>
    <row r="8" spans="1:13" x14ac:dyDescent="0.25">
      <c r="I8" t="s">
        <v>659</v>
      </c>
    </row>
    <row r="9" spans="1:13" x14ac:dyDescent="0.25">
      <c r="I9" t="s">
        <v>660</v>
      </c>
    </row>
    <row r="10" spans="1:13" x14ac:dyDescent="0.25">
      <c r="I10" t="s">
        <v>661</v>
      </c>
    </row>
    <row r="11" spans="1:13" x14ac:dyDescent="0.25">
      <c r="I11" t="s">
        <v>662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920AB-A482-4D9A-B93A-555A035E639F}">
  <dimension ref="A1:H47"/>
  <sheetViews>
    <sheetView topLeftCell="C1" zoomScale="70" zoomScaleNormal="70" workbookViewId="0">
      <pane ySplit="1" topLeftCell="A2" activePane="bottomLeft" state="frozen"/>
      <selection activeCell="G10" sqref="G10"/>
      <selection pane="bottomLeft" activeCell="G10" sqref="G10"/>
    </sheetView>
  </sheetViews>
  <sheetFormatPr defaultRowHeight="15" x14ac:dyDescent="0.25"/>
  <cols>
    <col min="1" max="1" width="12.42578125" bestFit="1" customWidth="1"/>
    <col min="2" max="2" width="13.140625" bestFit="1" customWidth="1"/>
    <col min="3" max="3" width="11.7109375" bestFit="1" customWidth="1"/>
    <col min="4" max="4" width="17.140625" bestFit="1" customWidth="1"/>
    <col min="5" max="5" width="17.28515625" bestFit="1" customWidth="1"/>
    <col min="6" max="6" width="84" customWidth="1"/>
    <col min="7" max="7" width="22.85546875" customWidth="1"/>
    <col min="8" max="8" width="94.5703125" customWidth="1"/>
  </cols>
  <sheetData>
    <row r="1" spans="1:8" ht="39.75" customHeight="1" x14ac:dyDescent="0.3">
      <c r="A1" s="64" t="s">
        <v>0</v>
      </c>
      <c r="B1" s="64" t="s">
        <v>135</v>
      </c>
      <c r="C1" s="65" t="s">
        <v>202</v>
      </c>
      <c r="D1" s="64" t="s">
        <v>2</v>
      </c>
      <c r="E1" s="64" t="s">
        <v>3</v>
      </c>
      <c r="F1" s="66" t="s">
        <v>4</v>
      </c>
      <c r="G1" s="66" t="s">
        <v>5</v>
      </c>
      <c r="H1" s="65" t="s">
        <v>6</v>
      </c>
    </row>
    <row r="2" spans="1:8" ht="30" customHeight="1" x14ac:dyDescent="0.25">
      <c r="A2" s="67" t="s">
        <v>663</v>
      </c>
      <c r="B2" s="67"/>
      <c r="C2" s="67"/>
      <c r="D2" s="67"/>
      <c r="E2" s="67"/>
      <c r="F2" s="67"/>
      <c r="G2" s="67"/>
      <c r="H2" s="67"/>
    </row>
    <row r="3" spans="1:8" ht="33" customHeight="1" x14ac:dyDescent="0.35">
      <c r="A3" s="90" t="s">
        <v>664</v>
      </c>
      <c r="B3" s="90"/>
      <c r="C3" s="90"/>
      <c r="D3" s="90"/>
      <c r="E3" s="90"/>
      <c r="F3" s="90"/>
      <c r="G3" s="90"/>
      <c r="H3" s="90"/>
    </row>
    <row r="4" spans="1:8" s="94" customFormat="1" ht="204.75" x14ac:dyDescent="0.25">
      <c r="A4" s="91" t="s">
        <v>8</v>
      </c>
      <c r="B4" s="91"/>
      <c r="C4" s="91" t="s">
        <v>9</v>
      </c>
      <c r="D4" s="91" t="s">
        <v>515</v>
      </c>
      <c r="E4" s="91"/>
      <c r="F4" s="92" t="s">
        <v>665</v>
      </c>
      <c r="G4" s="92" t="s">
        <v>666</v>
      </c>
      <c r="H4" s="93" t="s">
        <v>667</v>
      </c>
    </row>
    <row r="5" spans="1:8" ht="30.75" customHeight="1" x14ac:dyDescent="0.25">
      <c r="A5" s="95" t="s">
        <v>668</v>
      </c>
      <c r="B5" s="95"/>
      <c r="C5" s="95"/>
      <c r="D5" s="95"/>
      <c r="E5" s="95"/>
      <c r="F5" s="95"/>
      <c r="G5" s="95"/>
      <c r="H5" s="95"/>
    </row>
    <row r="6" spans="1:8" ht="26.25" x14ac:dyDescent="0.25">
      <c r="A6" s="96" t="s">
        <v>9</v>
      </c>
      <c r="B6" s="96"/>
      <c r="C6" s="96" t="s">
        <v>9</v>
      </c>
      <c r="D6" s="96" t="s">
        <v>475</v>
      </c>
      <c r="E6" s="76" t="s">
        <v>669</v>
      </c>
      <c r="F6" s="12" t="s">
        <v>670</v>
      </c>
      <c r="G6" s="70">
        <f>SUM(G8*G7*(1+G9))</f>
        <v>0.73499999999999999</v>
      </c>
      <c r="H6" s="70"/>
    </row>
    <row r="7" spans="1:8" ht="26.25" x14ac:dyDescent="0.25">
      <c r="A7" s="96" t="s">
        <v>9</v>
      </c>
      <c r="B7" s="96"/>
      <c r="C7" s="96" t="s">
        <v>9</v>
      </c>
      <c r="D7" s="96" t="s">
        <v>475</v>
      </c>
      <c r="E7" s="76" t="s">
        <v>671</v>
      </c>
      <c r="F7" s="12" t="s">
        <v>672</v>
      </c>
      <c r="G7" s="70">
        <f>G32</f>
        <v>0.25</v>
      </c>
      <c r="H7" s="12" t="s">
        <v>673</v>
      </c>
    </row>
    <row r="8" spans="1:8" ht="30" x14ac:dyDescent="0.25">
      <c r="A8" s="94" t="s">
        <v>8</v>
      </c>
      <c r="B8" s="94"/>
      <c r="C8" s="94" t="s">
        <v>8</v>
      </c>
      <c r="D8" s="94" t="s">
        <v>159</v>
      </c>
      <c r="E8" s="77" t="s">
        <v>674</v>
      </c>
      <c r="F8" s="4" t="s">
        <v>675</v>
      </c>
      <c r="G8" s="13">
        <v>2.8</v>
      </c>
    </row>
    <row r="9" spans="1:8" ht="30" x14ac:dyDescent="0.25">
      <c r="A9" s="94" t="s">
        <v>8</v>
      </c>
      <c r="B9" s="94"/>
      <c r="C9" s="94" t="s">
        <v>8</v>
      </c>
      <c r="D9" s="94" t="s">
        <v>159</v>
      </c>
      <c r="E9" s="77" t="s">
        <v>676</v>
      </c>
      <c r="F9" s="4" t="s">
        <v>677</v>
      </c>
      <c r="G9" s="13">
        <v>0.05</v>
      </c>
    </row>
    <row r="10" spans="1:8" ht="21" customHeight="1" x14ac:dyDescent="0.35">
      <c r="A10" s="94" t="s">
        <v>8</v>
      </c>
      <c r="B10" s="94"/>
      <c r="C10" s="94" t="s">
        <v>8</v>
      </c>
      <c r="D10" s="94" t="s">
        <v>10</v>
      </c>
      <c r="E10" s="97" t="s">
        <v>628</v>
      </c>
      <c r="F10" t="s">
        <v>678</v>
      </c>
      <c r="G10" s="13"/>
    </row>
    <row r="11" spans="1:8" ht="26.25" x14ac:dyDescent="0.25">
      <c r="A11" s="96" t="s">
        <v>9</v>
      </c>
      <c r="B11" s="96"/>
      <c r="C11" s="96" t="s">
        <v>9</v>
      </c>
      <c r="D11" s="96" t="s">
        <v>475</v>
      </c>
      <c r="E11" s="76" t="s">
        <v>679</v>
      </c>
      <c r="F11" s="12" t="s">
        <v>680</v>
      </c>
      <c r="G11" s="70">
        <f>SUM(G13*G12*(1+G14))</f>
        <v>1.1287499999999999</v>
      </c>
      <c r="H11" s="70"/>
    </row>
    <row r="12" spans="1:8" ht="26.25" x14ac:dyDescent="0.25">
      <c r="A12" s="96" t="s">
        <v>9</v>
      </c>
      <c r="B12" s="96"/>
      <c r="C12" s="96" t="s">
        <v>9</v>
      </c>
      <c r="D12" s="96" t="s">
        <v>475</v>
      </c>
      <c r="E12" s="76" t="s">
        <v>681</v>
      </c>
      <c r="F12" s="12" t="s">
        <v>682</v>
      </c>
      <c r="G12" s="70">
        <f>G32</f>
        <v>0.25</v>
      </c>
      <c r="H12" s="12" t="s">
        <v>673</v>
      </c>
    </row>
    <row r="13" spans="1:8" ht="30" x14ac:dyDescent="0.25">
      <c r="A13" s="94" t="s">
        <v>8</v>
      </c>
      <c r="B13" s="94"/>
      <c r="C13" s="94" t="s">
        <v>8</v>
      </c>
      <c r="D13" s="94" t="s">
        <v>159</v>
      </c>
      <c r="E13" s="77" t="s">
        <v>683</v>
      </c>
      <c r="F13" s="4" t="s">
        <v>684</v>
      </c>
      <c r="G13" s="13">
        <v>4.3</v>
      </c>
    </row>
    <row r="14" spans="1:8" ht="30" x14ac:dyDescent="0.25">
      <c r="A14" s="94" t="s">
        <v>8</v>
      </c>
      <c r="B14" s="94"/>
      <c r="C14" s="94" t="s">
        <v>8</v>
      </c>
      <c r="D14" s="94" t="s">
        <v>159</v>
      </c>
      <c r="E14" s="77" t="s">
        <v>685</v>
      </c>
      <c r="F14" s="4" t="s">
        <v>686</v>
      </c>
      <c r="G14" s="13">
        <v>0.05</v>
      </c>
    </row>
    <row r="15" spans="1:8" ht="30" customHeight="1" x14ac:dyDescent="0.35">
      <c r="A15" s="94" t="s">
        <v>8</v>
      </c>
      <c r="B15" s="94"/>
      <c r="C15" s="94" t="s">
        <v>8</v>
      </c>
      <c r="D15" s="94" t="s">
        <v>10</v>
      </c>
      <c r="E15" s="97" t="s">
        <v>625</v>
      </c>
      <c r="F15" t="s">
        <v>687</v>
      </c>
      <c r="G15" s="13"/>
    </row>
    <row r="16" spans="1:8" ht="26.25" x14ac:dyDescent="0.25">
      <c r="A16" s="96" t="s">
        <v>9</v>
      </c>
      <c r="B16" s="96"/>
      <c r="C16" s="96" t="s">
        <v>9</v>
      </c>
      <c r="D16" s="96" t="s">
        <v>475</v>
      </c>
      <c r="E16" s="76" t="s">
        <v>688</v>
      </c>
      <c r="F16" s="12" t="s">
        <v>689</v>
      </c>
      <c r="G16" s="70">
        <f>SUM(G18*G17*(1+G19))</f>
        <v>0.39375000000000004</v>
      </c>
      <c r="H16" s="70"/>
    </row>
    <row r="17" spans="1:8" ht="26.25" x14ac:dyDescent="0.25">
      <c r="A17" s="96" t="s">
        <v>9</v>
      </c>
      <c r="B17" s="96"/>
      <c r="C17" s="96" t="s">
        <v>9</v>
      </c>
      <c r="D17" s="96" t="s">
        <v>475</v>
      </c>
      <c r="E17" s="76" t="s">
        <v>690</v>
      </c>
      <c r="F17" s="12" t="s">
        <v>691</v>
      </c>
      <c r="G17" s="70">
        <f>G32</f>
        <v>0.25</v>
      </c>
      <c r="H17" s="12" t="s">
        <v>673</v>
      </c>
    </row>
    <row r="18" spans="1:8" ht="26.25" x14ac:dyDescent="0.25">
      <c r="A18" s="94" t="s">
        <v>8</v>
      </c>
      <c r="B18" s="94"/>
      <c r="C18" s="94" t="s">
        <v>8</v>
      </c>
      <c r="D18" s="94" t="s">
        <v>159</v>
      </c>
      <c r="E18" s="77" t="s">
        <v>692</v>
      </c>
      <c r="F18" s="4" t="s">
        <v>693</v>
      </c>
      <c r="G18" s="13">
        <v>1.5</v>
      </c>
    </row>
    <row r="19" spans="1:8" ht="30" x14ac:dyDescent="0.25">
      <c r="A19" s="94" t="s">
        <v>8</v>
      </c>
      <c r="B19" s="94"/>
      <c r="C19" s="94" t="s">
        <v>8</v>
      </c>
      <c r="D19" s="94" t="s">
        <v>159</v>
      </c>
      <c r="E19" s="77" t="s">
        <v>694</v>
      </c>
      <c r="F19" s="4" t="s">
        <v>695</v>
      </c>
      <c r="G19" s="13">
        <v>0.05</v>
      </c>
    </row>
    <row r="20" spans="1:8" ht="24" customHeight="1" x14ac:dyDescent="0.35">
      <c r="A20" s="94" t="s">
        <v>8</v>
      </c>
      <c r="B20" s="94"/>
      <c r="C20" s="94" t="s">
        <v>8</v>
      </c>
      <c r="D20" s="94" t="s">
        <v>10</v>
      </c>
      <c r="E20" s="97" t="s">
        <v>696</v>
      </c>
      <c r="F20" t="s">
        <v>697</v>
      </c>
      <c r="G20" s="13"/>
    </row>
    <row r="21" spans="1:8" ht="36" customHeight="1" x14ac:dyDescent="0.25">
      <c r="A21" s="98" t="s">
        <v>698</v>
      </c>
      <c r="B21" s="98"/>
      <c r="C21" s="98"/>
      <c r="D21" s="98"/>
      <c r="E21" s="98"/>
      <c r="F21" s="98"/>
      <c r="G21" s="98"/>
      <c r="H21" s="98"/>
    </row>
    <row r="22" spans="1:8" ht="28.5" customHeight="1" x14ac:dyDescent="0.25">
      <c r="A22" s="9" t="s">
        <v>9</v>
      </c>
      <c r="B22" s="9"/>
      <c r="C22" s="9" t="s">
        <v>9</v>
      </c>
      <c r="D22" s="9" t="s">
        <v>475</v>
      </c>
      <c r="E22" s="76" t="s">
        <v>699</v>
      </c>
      <c r="F22" s="12" t="s">
        <v>700</v>
      </c>
      <c r="G22" s="70">
        <f>11400*1.3*G24</f>
        <v>0</v>
      </c>
      <c r="H22" s="70"/>
    </row>
    <row r="23" spans="1:8" ht="28.5" customHeight="1" x14ac:dyDescent="0.25">
      <c r="A23" s="9" t="s">
        <v>9</v>
      </c>
      <c r="B23" s="9"/>
      <c r="C23" s="9" t="s">
        <v>9</v>
      </c>
      <c r="D23" s="9" t="s">
        <v>475</v>
      </c>
      <c r="E23" s="76" t="s">
        <v>701</v>
      </c>
      <c r="F23" s="12" t="s">
        <v>702</v>
      </c>
      <c r="G23" s="70">
        <f>11400*1.3*G26</f>
        <v>0</v>
      </c>
      <c r="H23" s="70"/>
    </row>
    <row r="24" spans="1:8" ht="30" x14ac:dyDescent="0.25">
      <c r="A24" t="s">
        <v>9</v>
      </c>
      <c r="C24" t="s">
        <v>8</v>
      </c>
      <c r="D24" t="s">
        <v>159</v>
      </c>
      <c r="E24" s="77" t="s">
        <v>703</v>
      </c>
      <c r="F24" s="4" t="s">
        <v>704</v>
      </c>
    </row>
    <row r="25" spans="1:8" ht="30" x14ac:dyDescent="0.25">
      <c r="A25" t="s">
        <v>8</v>
      </c>
      <c r="C25" t="s">
        <v>8</v>
      </c>
      <c r="D25" t="s">
        <v>10</v>
      </c>
      <c r="E25" s="77" t="s">
        <v>628</v>
      </c>
      <c r="F25" s="4" t="s">
        <v>705</v>
      </c>
    </row>
    <row r="26" spans="1:8" ht="30" x14ac:dyDescent="0.25">
      <c r="A26" t="s">
        <v>9</v>
      </c>
      <c r="C26" t="s">
        <v>8</v>
      </c>
      <c r="D26" t="s">
        <v>159</v>
      </c>
      <c r="E26" s="77" t="s">
        <v>706</v>
      </c>
      <c r="F26" s="4" t="s">
        <v>707</v>
      </c>
    </row>
    <row r="27" spans="1:8" ht="30" x14ac:dyDescent="0.25">
      <c r="A27" t="s">
        <v>8</v>
      </c>
      <c r="C27" t="s">
        <v>8</v>
      </c>
      <c r="D27" t="s">
        <v>10</v>
      </c>
      <c r="E27" s="77" t="s">
        <v>696</v>
      </c>
      <c r="F27" s="4" t="s">
        <v>708</v>
      </c>
    </row>
    <row r="28" spans="1:8" ht="21" x14ac:dyDescent="0.35">
      <c r="A28" s="90" t="s">
        <v>709</v>
      </c>
      <c r="B28" s="90"/>
      <c r="C28" s="90"/>
      <c r="D28" s="90"/>
      <c r="E28" s="90"/>
      <c r="F28" s="90"/>
      <c r="G28" s="90"/>
      <c r="H28" s="90"/>
    </row>
    <row r="29" spans="1:8" ht="92.25" customHeight="1" x14ac:dyDescent="0.25">
      <c r="A29" s="10" t="s">
        <v>8</v>
      </c>
      <c r="B29" s="10"/>
      <c r="C29" s="10" t="s">
        <v>9</v>
      </c>
      <c r="D29" s="10" t="s">
        <v>515</v>
      </c>
      <c r="E29" s="11" t="s">
        <v>710</v>
      </c>
      <c r="F29" s="99" t="s">
        <v>711</v>
      </c>
      <c r="G29" s="10" t="s">
        <v>712</v>
      </c>
      <c r="H29" s="11" t="s">
        <v>713</v>
      </c>
    </row>
    <row r="30" spans="1:8" ht="102" customHeight="1" x14ac:dyDescent="0.25">
      <c r="A30" s="10" t="s">
        <v>8</v>
      </c>
      <c r="B30" s="10"/>
      <c r="C30" s="10" t="s">
        <v>9</v>
      </c>
      <c r="D30" s="10" t="s">
        <v>515</v>
      </c>
      <c r="E30" s="100" t="s">
        <v>714</v>
      </c>
      <c r="F30" s="99" t="s">
        <v>715</v>
      </c>
      <c r="G30" s="100" t="s">
        <v>716</v>
      </c>
      <c r="H30" s="73"/>
    </row>
    <row r="31" spans="1:8" ht="68.25" customHeight="1" x14ac:dyDescent="0.25">
      <c r="A31" s="10" t="s">
        <v>8</v>
      </c>
      <c r="B31" s="10"/>
      <c r="C31" s="10" t="s">
        <v>9</v>
      </c>
      <c r="D31" s="10" t="s">
        <v>515</v>
      </c>
      <c r="E31" s="100" t="s">
        <v>717</v>
      </c>
      <c r="F31" s="99" t="s">
        <v>718</v>
      </c>
      <c r="G31" s="100" t="s">
        <v>9</v>
      </c>
      <c r="H31" s="73" t="s">
        <v>719</v>
      </c>
    </row>
    <row r="32" spans="1:8" ht="70.5" customHeight="1" x14ac:dyDescent="0.25">
      <c r="A32" s="9" t="s">
        <v>9</v>
      </c>
      <c r="B32" s="9"/>
      <c r="C32" s="9" t="s">
        <v>9</v>
      </c>
      <c r="D32" s="9" t="s">
        <v>475</v>
      </c>
      <c r="E32" s="101" t="s">
        <v>720</v>
      </c>
      <c r="F32" s="12" t="s">
        <v>721</v>
      </c>
      <c r="G32" s="70">
        <v>0.25</v>
      </c>
      <c r="H32" s="69" t="s">
        <v>722</v>
      </c>
    </row>
    <row r="33" spans="1:8" ht="31.5" customHeight="1" x14ac:dyDescent="0.35">
      <c r="A33" s="75" t="s">
        <v>723</v>
      </c>
      <c r="B33" s="75"/>
      <c r="C33" s="75"/>
      <c r="D33" s="75"/>
      <c r="E33" s="75"/>
      <c r="F33" s="75"/>
      <c r="G33" s="75"/>
      <c r="H33" s="75"/>
    </row>
    <row r="34" spans="1:8" ht="105" x14ac:dyDescent="0.25">
      <c r="A34" s="10" t="s">
        <v>8</v>
      </c>
      <c r="B34" s="10"/>
      <c r="C34" s="10" t="s">
        <v>9</v>
      </c>
      <c r="D34" s="10" t="s">
        <v>515</v>
      </c>
      <c r="E34" s="99" t="s">
        <v>724</v>
      </c>
      <c r="F34" s="99" t="s">
        <v>725</v>
      </c>
      <c r="G34" s="99" t="s">
        <v>726</v>
      </c>
      <c r="H34" s="99" t="s">
        <v>727</v>
      </c>
    </row>
    <row r="35" spans="1:8" ht="45" x14ac:dyDescent="0.25">
      <c r="A35" s="10" t="s">
        <v>8</v>
      </c>
      <c r="B35" s="10"/>
      <c r="C35" s="10" t="s">
        <v>9</v>
      </c>
      <c r="D35" s="10" t="s">
        <v>515</v>
      </c>
      <c r="E35" s="99" t="s">
        <v>728</v>
      </c>
      <c r="F35" s="99" t="s">
        <v>729</v>
      </c>
      <c r="G35" s="100" t="s">
        <v>730</v>
      </c>
      <c r="H35" s="99" t="s">
        <v>731</v>
      </c>
    </row>
    <row r="36" spans="1:8" ht="90" x14ac:dyDescent="0.25">
      <c r="A36" s="10" t="s">
        <v>8</v>
      </c>
      <c r="B36" s="10"/>
      <c r="C36" s="10" t="s">
        <v>9</v>
      </c>
      <c r="D36" s="10" t="s">
        <v>515</v>
      </c>
      <c r="E36" s="99" t="s">
        <v>732</v>
      </c>
      <c r="F36" s="99" t="s">
        <v>733</v>
      </c>
      <c r="G36" s="99" t="s">
        <v>734</v>
      </c>
      <c r="H36" s="73" t="s">
        <v>735</v>
      </c>
    </row>
    <row r="37" spans="1:8" ht="63" customHeight="1" x14ac:dyDescent="0.25">
      <c r="A37" s="9" t="s">
        <v>9</v>
      </c>
      <c r="B37" s="9"/>
      <c r="C37" s="9" t="s">
        <v>9</v>
      </c>
      <c r="D37" s="9" t="s">
        <v>475</v>
      </c>
      <c r="E37" s="101" t="s">
        <v>720</v>
      </c>
      <c r="F37" s="12" t="s">
        <v>736</v>
      </c>
      <c r="G37" s="70">
        <f>'Tool 05.2 Power Plants'!G3</f>
        <v>1.7670440000000003</v>
      </c>
      <c r="H37" s="70" t="s">
        <v>737</v>
      </c>
    </row>
    <row r="38" spans="1:8" ht="49.5" customHeight="1" x14ac:dyDescent="0.25">
      <c r="A38" s="9" t="s">
        <v>9</v>
      </c>
      <c r="B38" s="9"/>
      <c r="C38" s="9" t="s">
        <v>9</v>
      </c>
      <c r="D38" s="9" t="s">
        <v>475</v>
      </c>
      <c r="E38" s="101" t="s">
        <v>720</v>
      </c>
      <c r="F38" s="12" t="s">
        <v>738</v>
      </c>
      <c r="G38" s="70">
        <f>'Tool 05.2 Power Plants'!G4</f>
        <v>1.7253240000000001</v>
      </c>
      <c r="H38" s="102" t="s">
        <v>739</v>
      </c>
    </row>
    <row r="39" spans="1:8" ht="21" x14ac:dyDescent="0.35">
      <c r="A39" s="75" t="s">
        <v>740</v>
      </c>
      <c r="B39" s="75"/>
      <c r="C39" s="75"/>
      <c r="D39" s="75"/>
      <c r="E39" s="75"/>
      <c r="F39" s="75"/>
      <c r="G39" s="75"/>
      <c r="H39" s="75"/>
    </row>
    <row r="40" spans="1:8" ht="90" x14ac:dyDescent="0.25">
      <c r="A40" s="10" t="s">
        <v>8</v>
      </c>
      <c r="B40" s="10"/>
      <c r="C40" s="10" t="s">
        <v>9</v>
      </c>
      <c r="D40" s="10" t="s">
        <v>515</v>
      </c>
      <c r="E40" s="99" t="s">
        <v>741</v>
      </c>
      <c r="F40" s="99" t="s">
        <v>742</v>
      </c>
      <c r="G40" s="100" t="s">
        <v>487</v>
      </c>
      <c r="H40" s="73" t="s">
        <v>743</v>
      </c>
    </row>
    <row r="41" spans="1:8" ht="45" customHeight="1" x14ac:dyDescent="0.25">
      <c r="A41" s="9" t="s">
        <v>9</v>
      </c>
      <c r="B41" s="9"/>
      <c r="C41" s="9" t="s">
        <v>9</v>
      </c>
      <c r="D41" s="9" t="s">
        <v>475</v>
      </c>
      <c r="E41" s="101" t="s">
        <v>720</v>
      </c>
      <c r="F41" s="12" t="s">
        <v>721</v>
      </c>
      <c r="G41" s="70">
        <v>1.3</v>
      </c>
      <c r="H41" s="70" t="s">
        <v>744</v>
      </c>
    </row>
    <row r="42" spans="1:8" ht="34.5" customHeight="1" x14ac:dyDescent="0.25">
      <c r="A42" s="9" t="s">
        <v>9</v>
      </c>
      <c r="B42" s="9"/>
      <c r="C42" s="9" t="s">
        <v>9</v>
      </c>
      <c r="D42" s="9" t="s">
        <v>475</v>
      </c>
      <c r="E42" s="101" t="s">
        <v>720</v>
      </c>
      <c r="F42" s="12" t="s">
        <v>745</v>
      </c>
      <c r="G42" s="70">
        <v>0.4</v>
      </c>
      <c r="H42" s="70" t="s">
        <v>746</v>
      </c>
    </row>
    <row r="43" spans="1:8" ht="21" x14ac:dyDescent="0.35">
      <c r="A43" s="75" t="s">
        <v>747</v>
      </c>
      <c r="B43" s="75"/>
      <c r="C43" s="75"/>
      <c r="D43" s="75"/>
      <c r="E43" s="75"/>
      <c r="F43" s="75"/>
      <c r="G43" s="75"/>
      <c r="H43" s="75"/>
    </row>
    <row r="44" spans="1:8" ht="225" x14ac:dyDescent="0.25">
      <c r="A44" s="10" t="s">
        <v>8</v>
      </c>
      <c r="B44" s="10"/>
      <c r="C44" s="10" t="s">
        <v>9</v>
      </c>
      <c r="D44" s="10" t="s">
        <v>515</v>
      </c>
      <c r="E44" s="10"/>
      <c r="F44" s="99" t="s">
        <v>748</v>
      </c>
      <c r="G44" s="100" t="s">
        <v>749</v>
      </c>
      <c r="H44" s="11"/>
    </row>
    <row r="45" spans="1:8" x14ac:dyDescent="0.25">
      <c r="A45" s="10" t="s">
        <v>8</v>
      </c>
      <c r="B45" s="10"/>
      <c r="C45" s="10" t="s">
        <v>9</v>
      </c>
      <c r="D45" s="10" t="s">
        <v>750</v>
      </c>
      <c r="E45" s="10"/>
      <c r="F45" s="11" t="s">
        <v>751</v>
      </c>
      <c r="G45" s="11" t="s">
        <v>752</v>
      </c>
      <c r="H45" s="11"/>
    </row>
    <row r="46" spans="1:8" ht="36.75" customHeight="1" x14ac:dyDescent="0.25">
      <c r="A46" s="10" t="s">
        <v>8</v>
      </c>
      <c r="B46" s="10"/>
      <c r="C46" s="10" t="s">
        <v>9</v>
      </c>
      <c r="D46" s="10" t="s">
        <v>750</v>
      </c>
      <c r="E46" s="10"/>
      <c r="F46" s="11" t="s">
        <v>753</v>
      </c>
      <c r="G46" s="11" t="s">
        <v>754</v>
      </c>
      <c r="H46" s="11"/>
    </row>
    <row r="47" spans="1:8" ht="60" x14ac:dyDescent="0.25">
      <c r="A47" s="10" t="s">
        <v>8</v>
      </c>
      <c r="B47" s="10"/>
      <c r="C47" s="10" t="s">
        <v>9</v>
      </c>
      <c r="D47" s="10" t="s">
        <v>750</v>
      </c>
      <c r="E47" s="10"/>
      <c r="F47" s="11" t="s">
        <v>755</v>
      </c>
      <c r="G47" s="11" t="s">
        <v>756</v>
      </c>
      <c r="H47" s="11" t="s">
        <v>757</v>
      </c>
    </row>
  </sheetData>
  <mergeCells count="8">
    <mergeCell ref="A39:H39"/>
    <mergeCell ref="A43:H43"/>
    <mergeCell ref="A2:H2"/>
    <mergeCell ref="A3:H3"/>
    <mergeCell ref="A5:H5"/>
    <mergeCell ref="A21:H21"/>
    <mergeCell ref="A28:H28"/>
    <mergeCell ref="A33:H33"/>
  </mergeCells>
  <dataValidations count="9">
    <dataValidation type="list" allowBlank="1" showInputMessage="1" showErrorMessage="1" sqref="G29" xr:uid="{35DBE567-83DA-4647-811D-DD76803909A5}">
      <formula1>"Option A1,Option A2"</formula1>
    </dataValidation>
    <dataValidation type="list" allowBlank="1" showInputMessage="1" showErrorMessage="1" sqref="G30" xr:uid="{FF1D4472-3B1C-40F5-B9F3-7E5C5304755A}">
      <formula1>"Option 2.1,Option 2.2"</formula1>
    </dataValidation>
    <dataValidation type="list" allowBlank="1" showInputMessage="1" showErrorMessage="1" sqref="G31" xr:uid="{B22904BF-F56C-4C6F-B888-7205E7F07687}">
      <formula1>"Yes,No"</formula1>
    </dataValidation>
    <dataValidation type="list" allowBlank="1" showInputMessage="1" showErrorMessage="1" sqref="G4" xr:uid="{02BF327A-BE0D-4F86-B117-8D376CDE8F48}">
      <formula1>"A: From the Grid,B: Off-Grid Captive Power Plants,C: From the Grid and Captive Power Plant"</formula1>
    </dataValidation>
    <dataValidation type="list" allowBlank="1" showInputMessage="1" showErrorMessage="1" sqref="G34" xr:uid="{72E19B79-B3D7-4352-AFFF-759D08F0FFE4}">
      <formula1>"Yes: Alternative Approach, No: Generic Approach"</formula1>
    </dataValidation>
    <dataValidation type="list" allowBlank="1" showInputMessage="1" showErrorMessage="1" sqref="G35" xr:uid="{D15B768D-3CED-49FC-A1B2-110FA668E1C2}">
      <formula1>"Monitored Data, Default Values"</formula1>
    </dataValidation>
    <dataValidation type="list" allowBlank="1" showInputMessage="1" showErrorMessage="1" sqref="G36" xr:uid="{AB905055-6BE5-4F70-A765-EB40F0C0B20D}">
      <formula1>"Heat Generation ignored,Fuel consumption between electricity and heat generation"</formula1>
    </dataValidation>
    <dataValidation type="list" allowBlank="1" showInputMessage="1" showErrorMessage="1" sqref="G40" xr:uid="{DC1118EB-D597-488B-901E-7BAA312E0FCC}">
      <formula1>"Option A,Option B"</formula1>
    </dataValidation>
    <dataValidation type="list" allowBlank="1" showInputMessage="1" showErrorMessage="1" sqref="G44" xr:uid="{B6187C1B-9E2A-4FA9-BACC-2DDD931732EB}">
      <formula1>"Case 1,Case 2, Case 3"</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6E24-017E-458B-B36F-FF892E9BDCA5}">
  <dimension ref="A1:H40"/>
  <sheetViews>
    <sheetView topLeftCell="B1" workbookViewId="0">
      <selection activeCell="G10" sqref="G10"/>
    </sheetView>
  </sheetViews>
  <sheetFormatPr defaultRowHeight="15" x14ac:dyDescent="0.25"/>
  <cols>
    <col min="1" max="1" width="12.28515625" bestFit="1" customWidth="1"/>
    <col min="2" max="2" width="13.140625" bestFit="1" customWidth="1"/>
    <col min="3" max="3" width="11.7109375" bestFit="1" customWidth="1"/>
    <col min="4" max="4" width="14.28515625" customWidth="1"/>
    <col min="5" max="5" width="16" customWidth="1"/>
    <col min="6" max="6" width="70.140625" customWidth="1"/>
    <col min="7" max="7" width="31" customWidth="1"/>
    <col min="8" max="8" width="58.140625" customWidth="1"/>
  </cols>
  <sheetData>
    <row r="1" spans="1:8" ht="37.5" x14ac:dyDescent="0.3">
      <c r="A1" s="64" t="s">
        <v>0</v>
      </c>
      <c r="B1" s="64" t="s">
        <v>135</v>
      </c>
      <c r="C1" s="65" t="s">
        <v>202</v>
      </c>
      <c r="D1" s="64" t="s">
        <v>2</v>
      </c>
      <c r="E1" s="64" t="s">
        <v>3</v>
      </c>
      <c r="F1" s="65" t="s">
        <v>4</v>
      </c>
      <c r="G1" s="64" t="s">
        <v>5</v>
      </c>
      <c r="H1" s="64" t="s">
        <v>6</v>
      </c>
    </row>
    <row r="2" spans="1:8" ht="18.75" x14ac:dyDescent="0.3">
      <c r="A2" s="103" t="s">
        <v>758</v>
      </c>
      <c r="B2" s="103"/>
      <c r="C2" s="103"/>
      <c r="D2" s="103"/>
      <c r="E2" s="103"/>
      <c r="F2" s="103"/>
      <c r="G2" s="103"/>
      <c r="H2" s="103"/>
    </row>
    <row r="3" spans="1:8" ht="30.75" x14ac:dyDescent="0.25">
      <c r="A3" s="9" t="s">
        <v>9</v>
      </c>
      <c r="B3" s="9"/>
      <c r="C3" s="9" t="s">
        <v>9</v>
      </c>
      <c r="D3" s="9" t="s">
        <v>556</v>
      </c>
      <c r="E3" s="101" t="s">
        <v>720</v>
      </c>
      <c r="F3" s="12" t="s">
        <v>759</v>
      </c>
      <c r="G3" s="70">
        <f>G7+G19+G31</f>
        <v>1.7670440000000003</v>
      </c>
      <c r="H3" s="104" t="s">
        <v>760</v>
      </c>
    </row>
    <row r="4" spans="1:8" ht="30.75" x14ac:dyDescent="0.25">
      <c r="A4" s="9" t="s">
        <v>9</v>
      </c>
      <c r="B4" s="9"/>
      <c r="C4" s="9" t="s">
        <v>9</v>
      </c>
      <c r="D4" s="9" t="s">
        <v>556</v>
      </c>
      <c r="E4" s="101" t="s">
        <v>720</v>
      </c>
      <c r="F4" s="12" t="s">
        <v>738</v>
      </c>
      <c r="G4" s="70">
        <f>G8+G20+G32</f>
        <v>1.7253240000000001</v>
      </c>
      <c r="H4" s="79" t="s">
        <v>761</v>
      </c>
    </row>
    <row r="5" spans="1:8" ht="18.75" x14ac:dyDescent="0.3">
      <c r="A5" s="103" t="s">
        <v>762</v>
      </c>
      <c r="B5" s="103"/>
      <c r="C5" s="103"/>
      <c r="D5" s="103"/>
      <c r="E5" s="103"/>
      <c r="F5" s="103"/>
      <c r="G5" s="103"/>
      <c r="H5" s="103"/>
    </row>
    <row r="6" spans="1:8" x14ac:dyDescent="0.25">
      <c r="A6" s="5" t="s">
        <v>8</v>
      </c>
      <c r="B6" s="5"/>
      <c r="C6" s="5" t="s">
        <v>8</v>
      </c>
      <c r="D6" s="5" t="s">
        <v>10</v>
      </c>
      <c r="E6" s="105"/>
      <c r="F6" s="5" t="s">
        <v>763</v>
      </c>
      <c r="G6" s="5" t="s">
        <v>764</v>
      </c>
    </row>
    <row r="7" spans="1:8" ht="30.75" x14ac:dyDescent="0.25">
      <c r="A7" s="9" t="s">
        <v>9</v>
      </c>
      <c r="B7" s="9"/>
      <c r="C7" s="9" t="s">
        <v>9</v>
      </c>
      <c r="D7" s="9" t="s">
        <v>556</v>
      </c>
      <c r="E7" s="101" t="s">
        <v>720</v>
      </c>
      <c r="F7" s="12" t="s">
        <v>759</v>
      </c>
      <c r="G7" s="70">
        <f>(G12*G10*G11)/G13</f>
        <v>0.60550999999999999</v>
      </c>
      <c r="H7" s="9"/>
    </row>
    <row r="8" spans="1:8" ht="30.75" x14ac:dyDescent="0.25">
      <c r="A8" s="9" t="s">
        <v>9</v>
      </c>
      <c r="B8" s="9"/>
      <c r="C8" s="9" t="s">
        <v>9</v>
      </c>
      <c r="D8" s="9" t="s">
        <v>556</v>
      </c>
      <c r="E8" s="101" t="s">
        <v>720</v>
      </c>
      <c r="F8" s="12" t="s">
        <v>738</v>
      </c>
      <c r="G8" s="70">
        <f>ABS(((G12*G10)-(G14/G15))*G11)/G13</f>
        <v>0.59040999999999999</v>
      </c>
      <c r="H8" s="9"/>
    </row>
    <row r="9" spans="1:8" x14ac:dyDescent="0.25">
      <c r="A9" s="10" t="s">
        <v>8</v>
      </c>
      <c r="B9" s="10"/>
      <c r="C9" s="10" t="s">
        <v>9</v>
      </c>
      <c r="D9" s="10" t="s">
        <v>521</v>
      </c>
      <c r="E9" s="10"/>
      <c r="F9" s="11" t="s">
        <v>765</v>
      </c>
      <c r="G9" s="106" t="s">
        <v>766</v>
      </c>
      <c r="H9" s="10"/>
    </row>
    <row r="10" spans="1:8" ht="30" x14ac:dyDescent="0.25">
      <c r="A10" s="9" t="s">
        <v>9</v>
      </c>
      <c r="B10" s="9"/>
      <c r="C10" s="9" t="s">
        <v>9</v>
      </c>
      <c r="D10" s="9" t="s">
        <v>556</v>
      </c>
      <c r="E10" s="107" t="s">
        <v>767</v>
      </c>
      <c r="F10" s="12" t="s">
        <v>768</v>
      </c>
      <c r="G10" s="70">
        <f>IF(G9="","",VLOOKUP(G9,'Tool 05.3 Default Values'!B4:D56,2,FALSE))</f>
        <v>40.1</v>
      </c>
      <c r="H10" s="12" t="s">
        <v>769</v>
      </c>
    </row>
    <row r="11" spans="1:8" ht="30" x14ac:dyDescent="0.25">
      <c r="A11" s="9" t="s">
        <v>9</v>
      </c>
      <c r="B11" s="9"/>
      <c r="C11" s="9" t="s">
        <v>9</v>
      </c>
      <c r="D11" s="9" t="s">
        <v>556</v>
      </c>
      <c r="E11" s="107" t="s">
        <v>770</v>
      </c>
      <c r="F11" s="12" t="s">
        <v>771</v>
      </c>
      <c r="G11" s="70">
        <f>IF(G9="","",VLOOKUP(G9,'Tool 05.3 Default Values'!B4:D56,3,FALSE))*0.001</f>
        <v>75.5</v>
      </c>
      <c r="H11" s="12" t="s">
        <v>772</v>
      </c>
    </row>
    <row r="12" spans="1:8" ht="30" x14ac:dyDescent="0.25">
      <c r="A12" t="s">
        <v>8</v>
      </c>
      <c r="C12" t="s">
        <v>8</v>
      </c>
      <c r="D12" t="s">
        <v>159</v>
      </c>
      <c r="E12" s="108" t="s">
        <v>773</v>
      </c>
      <c r="F12" s="4" t="s">
        <v>774</v>
      </c>
      <c r="G12" s="13">
        <v>2</v>
      </c>
    </row>
    <row r="13" spans="1:8" ht="30" x14ac:dyDescent="0.25">
      <c r="A13" t="s">
        <v>8</v>
      </c>
      <c r="C13" t="s">
        <v>8</v>
      </c>
      <c r="D13" t="s">
        <v>159</v>
      </c>
      <c r="E13" s="108" t="s">
        <v>775</v>
      </c>
      <c r="F13" s="4" t="s">
        <v>776</v>
      </c>
      <c r="G13" s="13">
        <v>10000</v>
      </c>
    </row>
    <row r="14" spans="1:8" ht="60" x14ac:dyDescent="0.25">
      <c r="A14" t="s">
        <v>8</v>
      </c>
      <c r="C14" t="s">
        <v>8</v>
      </c>
      <c r="D14" t="s">
        <v>159</v>
      </c>
      <c r="E14" s="108" t="s">
        <v>777</v>
      </c>
      <c r="F14" s="4" t="s">
        <v>778</v>
      </c>
      <c r="G14" s="13">
        <v>2</v>
      </c>
    </row>
    <row r="15" spans="1:8" ht="33" x14ac:dyDescent="0.45">
      <c r="A15" s="9" t="s">
        <v>9</v>
      </c>
      <c r="B15" s="9"/>
      <c r="C15" s="9" t="s">
        <v>9</v>
      </c>
      <c r="D15" s="9" t="s">
        <v>556</v>
      </c>
      <c r="E15" s="78" t="s">
        <v>779</v>
      </c>
      <c r="F15" s="12" t="s">
        <v>780</v>
      </c>
      <c r="G15" s="70">
        <v>1</v>
      </c>
      <c r="H15" s="9" t="s">
        <v>781</v>
      </c>
    </row>
    <row r="16" spans="1:8" ht="33" x14ac:dyDescent="0.45">
      <c r="A16" s="9" t="s">
        <v>9</v>
      </c>
      <c r="B16" s="9"/>
      <c r="C16" s="9" t="s">
        <v>9</v>
      </c>
      <c r="D16" s="9" t="s">
        <v>556</v>
      </c>
      <c r="E16" s="78" t="s">
        <v>779</v>
      </c>
      <c r="F16" s="12" t="s">
        <v>782</v>
      </c>
      <c r="G16" s="70">
        <v>0.6</v>
      </c>
      <c r="H16" s="9" t="s">
        <v>781</v>
      </c>
    </row>
    <row r="17" spans="1:8" ht="18.75" x14ac:dyDescent="0.3">
      <c r="A17" s="103" t="s">
        <v>762</v>
      </c>
      <c r="B17" s="103"/>
      <c r="C17" s="103"/>
      <c r="D17" s="103"/>
      <c r="E17" s="103"/>
      <c r="F17" s="103"/>
      <c r="G17" s="103"/>
      <c r="H17" s="103"/>
    </row>
    <row r="18" spans="1:8" x14ac:dyDescent="0.25">
      <c r="A18" s="5" t="s">
        <v>8</v>
      </c>
      <c r="B18" s="5"/>
      <c r="C18" s="5" t="s">
        <v>8</v>
      </c>
      <c r="D18" s="5" t="s">
        <v>10</v>
      </c>
      <c r="E18" s="105"/>
      <c r="F18" s="5" t="s">
        <v>763</v>
      </c>
      <c r="G18" s="5" t="s">
        <v>783</v>
      </c>
    </row>
    <row r="19" spans="1:8" ht="30.75" x14ac:dyDescent="0.25">
      <c r="A19" s="9" t="s">
        <v>9</v>
      </c>
      <c r="B19" s="9"/>
      <c r="C19" s="9" t="s">
        <v>9</v>
      </c>
      <c r="D19" s="9" t="s">
        <v>556</v>
      </c>
      <c r="E19" s="101" t="s">
        <v>720</v>
      </c>
      <c r="F19" s="12" t="s">
        <v>759</v>
      </c>
      <c r="G19" s="70">
        <f>(G24*G22*G23)/G25</f>
        <v>0.61934400000000001</v>
      </c>
      <c r="H19" s="9"/>
    </row>
    <row r="20" spans="1:8" ht="30.75" x14ac:dyDescent="0.25">
      <c r="A20" s="9" t="s">
        <v>9</v>
      </c>
      <c r="B20" s="9"/>
      <c r="C20" s="9" t="s">
        <v>9</v>
      </c>
      <c r="D20" s="9" t="s">
        <v>556</v>
      </c>
      <c r="E20" s="101" t="s">
        <v>720</v>
      </c>
      <c r="F20" s="12" t="s">
        <v>738</v>
      </c>
      <c r="G20" s="70">
        <f>ABS(((G24*G22)-(G26/G27))*G23)/G25</f>
        <v>0.60438399999999992</v>
      </c>
      <c r="H20" s="9"/>
    </row>
    <row r="21" spans="1:8" x14ac:dyDescent="0.25">
      <c r="A21" s="10" t="s">
        <v>8</v>
      </c>
      <c r="B21" s="10"/>
      <c r="C21" s="10" t="s">
        <v>9</v>
      </c>
      <c r="D21" s="10" t="s">
        <v>521</v>
      </c>
      <c r="E21" s="10"/>
      <c r="F21" s="11" t="s">
        <v>765</v>
      </c>
      <c r="G21" s="106" t="s">
        <v>784</v>
      </c>
      <c r="H21" s="10"/>
    </row>
    <row r="22" spans="1:8" ht="30" x14ac:dyDescent="0.25">
      <c r="A22" s="9" t="s">
        <v>9</v>
      </c>
      <c r="B22" s="9"/>
      <c r="C22" s="9" t="s">
        <v>9</v>
      </c>
      <c r="D22" s="9" t="s">
        <v>556</v>
      </c>
      <c r="E22" s="107" t="s">
        <v>767</v>
      </c>
      <c r="F22" s="12" t="s">
        <v>768</v>
      </c>
      <c r="G22" s="70">
        <f>IF(G21="","",VLOOKUP(G21,'Tool 05.3 Default Values'!B4:D56,2,FALSE))</f>
        <v>41.4</v>
      </c>
      <c r="H22" s="12" t="s">
        <v>769</v>
      </c>
    </row>
    <row r="23" spans="1:8" ht="30" x14ac:dyDescent="0.25">
      <c r="A23" s="9" t="s">
        <v>9</v>
      </c>
      <c r="B23" s="9"/>
      <c r="C23" s="9" t="s">
        <v>9</v>
      </c>
      <c r="D23" s="9" t="s">
        <v>556</v>
      </c>
      <c r="E23" s="107" t="s">
        <v>770</v>
      </c>
      <c r="F23" s="12" t="s">
        <v>771</v>
      </c>
      <c r="G23" s="70">
        <f>IF(G21="","",VLOOKUP(G21,'Tool 05.3 Default Values'!B4:D56,3,FALSE))*0.001</f>
        <v>74.8</v>
      </c>
      <c r="H23" s="12" t="s">
        <v>772</v>
      </c>
    </row>
    <row r="24" spans="1:8" ht="30" x14ac:dyDescent="0.25">
      <c r="A24" t="s">
        <v>8</v>
      </c>
      <c r="C24" t="s">
        <v>8</v>
      </c>
      <c r="D24" t="s">
        <v>159</v>
      </c>
      <c r="E24" s="108" t="s">
        <v>773</v>
      </c>
      <c r="F24" s="4" t="s">
        <v>774</v>
      </c>
      <c r="G24" s="13">
        <v>2</v>
      </c>
    </row>
    <row r="25" spans="1:8" ht="30" x14ac:dyDescent="0.25">
      <c r="A25" t="s">
        <v>8</v>
      </c>
      <c r="C25" t="s">
        <v>8</v>
      </c>
      <c r="D25" t="s">
        <v>159</v>
      </c>
      <c r="E25" s="108" t="s">
        <v>775</v>
      </c>
      <c r="F25" s="4" t="s">
        <v>776</v>
      </c>
      <c r="G25" s="13">
        <v>10000</v>
      </c>
    </row>
    <row r="26" spans="1:8" ht="60" x14ac:dyDescent="0.25">
      <c r="A26" t="s">
        <v>8</v>
      </c>
      <c r="C26" t="s">
        <v>8</v>
      </c>
      <c r="D26" t="s">
        <v>159</v>
      </c>
      <c r="E26" s="108" t="s">
        <v>777</v>
      </c>
      <c r="F26" s="4" t="s">
        <v>778</v>
      </c>
      <c r="G26" s="13">
        <v>2</v>
      </c>
    </row>
    <row r="27" spans="1:8" ht="33" x14ac:dyDescent="0.45">
      <c r="A27" s="9" t="s">
        <v>9</v>
      </c>
      <c r="B27" s="9"/>
      <c r="C27" s="9" t="s">
        <v>9</v>
      </c>
      <c r="D27" s="9" t="s">
        <v>556</v>
      </c>
      <c r="E27" s="78" t="s">
        <v>779</v>
      </c>
      <c r="F27" s="12" t="s">
        <v>780</v>
      </c>
      <c r="G27" s="70">
        <v>1</v>
      </c>
      <c r="H27" s="9" t="s">
        <v>781</v>
      </c>
    </row>
    <row r="28" spans="1:8" ht="33" x14ac:dyDescent="0.45">
      <c r="A28" s="9" t="s">
        <v>9</v>
      </c>
      <c r="B28" s="9"/>
      <c r="C28" s="9" t="s">
        <v>9</v>
      </c>
      <c r="D28" s="9" t="s">
        <v>556</v>
      </c>
      <c r="E28" s="78" t="s">
        <v>779</v>
      </c>
      <c r="F28" s="12" t="s">
        <v>782</v>
      </c>
      <c r="G28" s="70">
        <v>0.6</v>
      </c>
      <c r="H28" s="9" t="s">
        <v>781</v>
      </c>
    </row>
    <row r="29" spans="1:8" ht="18.75" x14ac:dyDescent="0.3">
      <c r="A29" s="103" t="s">
        <v>762</v>
      </c>
      <c r="B29" s="103"/>
      <c r="C29" s="103"/>
      <c r="D29" s="103"/>
      <c r="E29" s="103"/>
      <c r="F29" s="103"/>
      <c r="G29" s="103"/>
      <c r="H29" s="103"/>
    </row>
    <row r="30" spans="1:8" x14ac:dyDescent="0.25">
      <c r="A30" s="5" t="s">
        <v>8</v>
      </c>
      <c r="B30" s="5"/>
      <c r="C30" s="5" t="s">
        <v>8</v>
      </c>
      <c r="D30" s="5" t="s">
        <v>10</v>
      </c>
      <c r="E30" s="105"/>
      <c r="F30" s="5" t="s">
        <v>763</v>
      </c>
      <c r="G30" s="5" t="s">
        <v>785</v>
      </c>
    </row>
    <row r="31" spans="1:8" ht="30.75" x14ac:dyDescent="0.25">
      <c r="A31" s="9" t="s">
        <v>9</v>
      </c>
      <c r="B31" s="9"/>
      <c r="C31" s="9" t="s">
        <v>9</v>
      </c>
      <c r="D31" s="9" t="s">
        <v>556</v>
      </c>
      <c r="E31" s="101" t="s">
        <v>720</v>
      </c>
      <c r="F31" s="12" t="s">
        <v>759</v>
      </c>
      <c r="G31" s="70">
        <f>(G36*G34*G35)/G37</f>
        <v>0.54219000000000006</v>
      </c>
      <c r="H31" s="9"/>
    </row>
    <row r="32" spans="1:8" ht="30.75" x14ac:dyDescent="0.25">
      <c r="A32" s="9" t="s">
        <v>9</v>
      </c>
      <c r="B32" s="9"/>
      <c r="C32" s="9" t="s">
        <v>9</v>
      </c>
      <c r="D32" s="9" t="s">
        <v>556</v>
      </c>
      <c r="E32" s="101" t="s">
        <v>720</v>
      </c>
      <c r="F32" s="12" t="s">
        <v>738</v>
      </c>
      <c r="G32" s="70">
        <f>ABS(((G36*G34)-(G38/G39))*G35)/G37</f>
        <v>0.53053000000000006</v>
      </c>
      <c r="H32" s="9"/>
    </row>
    <row r="33" spans="1:8" x14ac:dyDescent="0.25">
      <c r="A33" s="10" t="s">
        <v>8</v>
      </c>
      <c r="B33" s="10"/>
      <c r="C33" s="10" t="s">
        <v>9</v>
      </c>
      <c r="D33" s="10" t="s">
        <v>521</v>
      </c>
      <c r="E33" s="10"/>
      <c r="F33" s="11" t="s">
        <v>765</v>
      </c>
      <c r="G33" s="106" t="s">
        <v>786</v>
      </c>
      <c r="H33" s="10"/>
    </row>
    <row r="34" spans="1:8" ht="30" x14ac:dyDescent="0.25">
      <c r="A34" s="9" t="s">
        <v>9</v>
      </c>
      <c r="B34" s="9"/>
      <c r="C34" s="9" t="s">
        <v>9</v>
      </c>
      <c r="D34" s="9" t="s">
        <v>556</v>
      </c>
      <c r="E34" s="107" t="s">
        <v>767</v>
      </c>
      <c r="F34" s="12" t="s">
        <v>768</v>
      </c>
      <c r="G34" s="70">
        <f>IF(G33="","",VLOOKUP(G33,'Tool 05.3 Default Values'!B4:D56,2,FALSE))</f>
        <v>46.5</v>
      </c>
      <c r="H34" s="12" t="s">
        <v>769</v>
      </c>
    </row>
    <row r="35" spans="1:8" ht="30" x14ac:dyDescent="0.25">
      <c r="A35" s="9" t="s">
        <v>9</v>
      </c>
      <c r="B35" s="9"/>
      <c r="C35" s="9" t="s">
        <v>9</v>
      </c>
      <c r="D35" s="9" t="s">
        <v>556</v>
      </c>
      <c r="E35" s="107" t="s">
        <v>770</v>
      </c>
      <c r="F35" s="12" t="s">
        <v>771</v>
      </c>
      <c r="G35" s="70">
        <f>IF(G33="","",VLOOKUP(G33,'Tool 05.3 Default Values'!B4:D56,3,FALSE))*0.001</f>
        <v>58.300000000000004</v>
      </c>
      <c r="H35" s="12" t="s">
        <v>772</v>
      </c>
    </row>
    <row r="36" spans="1:8" ht="30" x14ac:dyDescent="0.25">
      <c r="A36" t="s">
        <v>8</v>
      </c>
      <c r="C36" t="s">
        <v>8</v>
      </c>
      <c r="D36" t="s">
        <v>159</v>
      </c>
      <c r="E36" s="108" t="s">
        <v>773</v>
      </c>
      <c r="F36" s="4" t="s">
        <v>774</v>
      </c>
      <c r="G36" s="13">
        <v>2</v>
      </c>
    </row>
    <row r="37" spans="1:8" ht="30" x14ac:dyDescent="0.25">
      <c r="A37" t="s">
        <v>8</v>
      </c>
      <c r="C37" t="s">
        <v>8</v>
      </c>
      <c r="D37" t="s">
        <v>159</v>
      </c>
      <c r="E37" s="108" t="s">
        <v>775</v>
      </c>
      <c r="F37" s="4" t="s">
        <v>776</v>
      </c>
      <c r="G37" s="13">
        <v>10000</v>
      </c>
    </row>
    <row r="38" spans="1:8" ht="60" x14ac:dyDescent="0.25">
      <c r="A38" t="s">
        <v>8</v>
      </c>
      <c r="C38" t="s">
        <v>8</v>
      </c>
      <c r="D38" t="s">
        <v>159</v>
      </c>
      <c r="E38" s="108" t="s">
        <v>777</v>
      </c>
      <c r="F38" s="4" t="s">
        <v>778</v>
      </c>
      <c r="G38" s="13">
        <v>2</v>
      </c>
    </row>
    <row r="39" spans="1:8" ht="33" x14ac:dyDescent="0.45">
      <c r="A39" s="9" t="s">
        <v>9</v>
      </c>
      <c r="B39" s="9"/>
      <c r="C39" s="9" t="s">
        <v>9</v>
      </c>
      <c r="D39" s="9" t="s">
        <v>556</v>
      </c>
      <c r="E39" s="78" t="s">
        <v>779</v>
      </c>
      <c r="F39" s="12" t="s">
        <v>780</v>
      </c>
      <c r="G39" s="70">
        <v>1</v>
      </c>
      <c r="H39" s="9" t="s">
        <v>781</v>
      </c>
    </row>
    <row r="40" spans="1:8" ht="33" x14ac:dyDescent="0.45">
      <c r="A40" s="9" t="s">
        <v>9</v>
      </c>
      <c r="B40" s="9"/>
      <c r="C40" s="9" t="s">
        <v>9</v>
      </c>
      <c r="D40" s="9" t="s">
        <v>556</v>
      </c>
      <c r="E40" s="78" t="s">
        <v>779</v>
      </c>
      <c r="F40" s="12" t="s">
        <v>782</v>
      </c>
      <c r="G40" s="70">
        <v>0.6</v>
      </c>
      <c r="H40" s="9" t="s">
        <v>781</v>
      </c>
    </row>
  </sheetData>
  <mergeCells count="4">
    <mergeCell ref="A2:H2"/>
    <mergeCell ref="A5:H5"/>
    <mergeCell ref="A17:H17"/>
    <mergeCell ref="A29:H29"/>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11A8A8C-0DAC-46BD-8402-E868A8B72328}">
          <x14:formula1>
            <xm:f>'Tool 05.3 Default Values'!$B$4:$B$56</xm:f>
          </x14:formula1>
          <xm:sqref>G9 G21 G33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E33E8-D6BA-4EAB-AB05-4D5F58969D33}">
  <dimension ref="B1:D56"/>
  <sheetViews>
    <sheetView workbookViewId="0">
      <selection activeCell="G10" sqref="G10"/>
    </sheetView>
  </sheetViews>
  <sheetFormatPr defaultRowHeight="15" x14ac:dyDescent="0.25"/>
  <cols>
    <col min="2" max="2" width="33.85546875" bestFit="1" customWidth="1"/>
    <col min="3" max="3" width="20.7109375" customWidth="1"/>
    <col min="4" max="4" width="40.42578125" customWidth="1"/>
  </cols>
  <sheetData>
    <row r="1" spans="2:4" ht="15.75" thickBot="1" x14ac:dyDescent="0.3"/>
    <row r="2" spans="2:4" ht="19.5" thickBot="1" x14ac:dyDescent="0.35">
      <c r="B2" s="37" t="s">
        <v>787</v>
      </c>
      <c r="C2" s="38"/>
      <c r="D2" s="39"/>
    </row>
    <row r="3" spans="2:4" ht="48" thickBot="1" x14ac:dyDescent="0.3">
      <c r="B3" s="109" t="s">
        <v>788</v>
      </c>
      <c r="C3" s="110" t="s">
        <v>789</v>
      </c>
      <c r="D3" s="110" t="s">
        <v>790</v>
      </c>
    </row>
    <row r="4" spans="2:4" x14ac:dyDescent="0.25">
      <c r="B4" s="111" t="s">
        <v>766</v>
      </c>
      <c r="C4" s="112">
        <v>40.1</v>
      </c>
      <c r="D4" s="113">
        <v>75500</v>
      </c>
    </row>
    <row r="5" spans="2:4" x14ac:dyDescent="0.25">
      <c r="B5" s="114" t="s">
        <v>791</v>
      </c>
      <c r="C5" s="115">
        <v>27.5</v>
      </c>
      <c r="D5" s="116">
        <v>85400</v>
      </c>
    </row>
    <row r="6" spans="2:4" x14ac:dyDescent="0.25">
      <c r="B6" s="114" t="s">
        <v>792</v>
      </c>
      <c r="C6" s="115">
        <v>40.9</v>
      </c>
      <c r="D6" s="116">
        <v>70400</v>
      </c>
    </row>
    <row r="7" spans="2:4" x14ac:dyDescent="0.25">
      <c r="B7" s="114" t="s">
        <v>793</v>
      </c>
      <c r="C7" s="115">
        <v>42.5</v>
      </c>
      <c r="D7" s="116">
        <v>73000</v>
      </c>
    </row>
    <row r="8" spans="2:4" x14ac:dyDescent="0.25">
      <c r="B8" s="114" t="s">
        <v>794</v>
      </c>
      <c r="C8" s="115">
        <v>42.5</v>
      </c>
      <c r="D8" s="116">
        <v>73000</v>
      </c>
    </row>
    <row r="9" spans="2:4" x14ac:dyDescent="0.25">
      <c r="B9" s="114" t="s">
        <v>795</v>
      </c>
      <c r="C9" s="115">
        <v>42.5</v>
      </c>
      <c r="D9" s="116">
        <v>73000</v>
      </c>
    </row>
    <row r="10" spans="2:4" x14ac:dyDescent="0.25">
      <c r="B10" s="114" t="s">
        <v>796</v>
      </c>
      <c r="C10" s="115">
        <v>42</v>
      </c>
      <c r="D10" s="116">
        <v>74400</v>
      </c>
    </row>
    <row r="11" spans="2:4" x14ac:dyDescent="0.25">
      <c r="B11" s="114" t="s">
        <v>797</v>
      </c>
      <c r="C11" s="115">
        <v>42.4</v>
      </c>
      <c r="D11" s="116">
        <v>73700</v>
      </c>
    </row>
    <row r="12" spans="2:4" x14ac:dyDescent="0.25">
      <c r="B12" s="114" t="s">
        <v>798</v>
      </c>
      <c r="C12" s="115">
        <v>32.1</v>
      </c>
      <c r="D12" s="116">
        <v>79200</v>
      </c>
    </row>
    <row r="13" spans="2:4" x14ac:dyDescent="0.25">
      <c r="B13" s="114" t="s">
        <v>784</v>
      </c>
      <c r="C13" s="115">
        <v>41.4</v>
      </c>
      <c r="D13" s="116">
        <v>74800</v>
      </c>
    </row>
    <row r="14" spans="2:4" x14ac:dyDescent="0.25">
      <c r="B14" s="114" t="s">
        <v>799</v>
      </c>
      <c r="C14" s="115">
        <v>39.799999999999997</v>
      </c>
      <c r="D14" s="116">
        <v>78800</v>
      </c>
    </row>
    <row r="15" spans="2:4" x14ac:dyDescent="0.25">
      <c r="B15" s="114" t="s">
        <v>800</v>
      </c>
      <c r="C15" s="115">
        <v>44.8</v>
      </c>
      <c r="D15" s="116">
        <v>65600</v>
      </c>
    </row>
    <row r="16" spans="2:4" x14ac:dyDescent="0.25">
      <c r="B16" s="114" t="s">
        <v>801</v>
      </c>
      <c r="C16" s="115">
        <v>44.9</v>
      </c>
      <c r="D16" s="116">
        <v>68600</v>
      </c>
    </row>
    <row r="17" spans="2:4" x14ac:dyDescent="0.25">
      <c r="B17" s="114" t="s">
        <v>802</v>
      </c>
      <c r="C17" s="115">
        <v>41.8</v>
      </c>
      <c r="D17" s="116">
        <v>76300</v>
      </c>
    </row>
    <row r="18" spans="2:4" x14ac:dyDescent="0.25">
      <c r="B18" s="114" t="s">
        <v>803</v>
      </c>
      <c r="C18" s="115">
        <v>33.5</v>
      </c>
      <c r="D18" s="116">
        <v>89900</v>
      </c>
    </row>
    <row r="19" spans="2:4" x14ac:dyDescent="0.25">
      <c r="B19" s="114" t="s">
        <v>804</v>
      </c>
      <c r="C19" s="115">
        <v>33.5</v>
      </c>
      <c r="D19" s="116">
        <v>75200</v>
      </c>
    </row>
    <row r="20" spans="2:4" x14ac:dyDescent="0.25">
      <c r="B20" s="114" t="s">
        <v>805</v>
      </c>
      <c r="C20" s="115">
        <v>29.7</v>
      </c>
      <c r="D20" s="116">
        <v>115000</v>
      </c>
    </row>
    <row r="21" spans="2:4" x14ac:dyDescent="0.25">
      <c r="B21" s="114" t="s">
        <v>806</v>
      </c>
      <c r="C21" s="115">
        <v>36.299999999999997</v>
      </c>
      <c r="D21" s="116">
        <v>76600</v>
      </c>
    </row>
    <row r="22" spans="2:4" x14ac:dyDescent="0.25">
      <c r="B22" s="114" t="s">
        <v>807</v>
      </c>
      <c r="C22" s="115">
        <v>47.5</v>
      </c>
      <c r="D22" s="116">
        <v>69000</v>
      </c>
    </row>
    <row r="23" spans="2:4" x14ac:dyDescent="0.25">
      <c r="B23" s="114" t="s">
        <v>808</v>
      </c>
      <c r="C23" s="115">
        <v>33.700000000000003</v>
      </c>
      <c r="D23" s="116">
        <v>74400</v>
      </c>
    </row>
    <row r="24" spans="2:4" x14ac:dyDescent="0.25">
      <c r="B24" s="114" t="s">
        <v>809</v>
      </c>
      <c r="C24" s="115">
        <v>33.700000000000003</v>
      </c>
      <c r="D24" s="116">
        <v>74400</v>
      </c>
    </row>
    <row r="25" spans="2:4" x14ac:dyDescent="0.25">
      <c r="B25" s="114" t="s">
        <v>810</v>
      </c>
      <c r="C25" s="115">
        <v>33.700000000000003</v>
      </c>
      <c r="D25" s="116">
        <v>74400</v>
      </c>
    </row>
    <row r="26" spans="2:4" x14ac:dyDescent="0.25">
      <c r="B26" s="114" t="s">
        <v>811</v>
      </c>
      <c r="C26" s="115">
        <v>21.6</v>
      </c>
      <c r="D26" s="116">
        <v>101000</v>
      </c>
    </row>
    <row r="27" spans="2:4" x14ac:dyDescent="0.25">
      <c r="B27" s="114" t="s">
        <v>812</v>
      </c>
      <c r="C27" s="115">
        <v>24</v>
      </c>
      <c r="D27" s="116">
        <v>101000</v>
      </c>
    </row>
    <row r="28" spans="2:4" x14ac:dyDescent="0.25">
      <c r="B28" s="114" t="s">
        <v>813</v>
      </c>
      <c r="C28" s="115">
        <v>19.899999999999999</v>
      </c>
      <c r="D28" s="116">
        <v>99700</v>
      </c>
    </row>
    <row r="29" spans="2:4" x14ac:dyDescent="0.25">
      <c r="B29" s="114" t="s">
        <v>814</v>
      </c>
      <c r="C29" s="115">
        <v>11.5</v>
      </c>
      <c r="D29" s="116">
        <v>100000</v>
      </c>
    </row>
    <row r="30" spans="2:4" x14ac:dyDescent="0.25">
      <c r="B30" s="114" t="s">
        <v>815</v>
      </c>
      <c r="C30" s="115">
        <v>5.5</v>
      </c>
      <c r="D30" s="116">
        <v>115000</v>
      </c>
    </row>
    <row r="31" spans="2:4" x14ac:dyDescent="0.25">
      <c r="B31" s="114" t="s">
        <v>816</v>
      </c>
      <c r="C31" s="115">
        <v>7.1</v>
      </c>
      <c r="D31" s="116">
        <v>125000</v>
      </c>
    </row>
    <row r="32" spans="2:4" x14ac:dyDescent="0.25">
      <c r="B32" s="114" t="s">
        <v>817</v>
      </c>
      <c r="C32" s="115">
        <v>15.1</v>
      </c>
      <c r="D32" s="116">
        <v>109000</v>
      </c>
    </row>
    <row r="33" spans="2:4" x14ac:dyDescent="0.25">
      <c r="B33" s="114" t="s">
        <v>818</v>
      </c>
      <c r="C33" s="115">
        <v>15.1</v>
      </c>
      <c r="D33" s="116">
        <v>109000</v>
      </c>
    </row>
    <row r="34" spans="2:4" x14ac:dyDescent="0.25">
      <c r="B34" s="114" t="s">
        <v>819</v>
      </c>
      <c r="C34" s="115">
        <v>25.1</v>
      </c>
      <c r="D34" s="116">
        <v>119000</v>
      </c>
    </row>
    <row r="35" spans="2:4" x14ac:dyDescent="0.25">
      <c r="B35" s="114" t="s">
        <v>820</v>
      </c>
      <c r="C35" s="115">
        <v>25.1</v>
      </c>
      <c r="D35" s="116">
        <v>119000</v>
      </c>
    </row>
    <row r="36" spans="2:4" x14ac:dyDescent="0.25">
      <c r="B36" s="114" t="s">
        <v>821</v>
      </c>
      <c r="C36" s="115">
        <v>14.1</v>
      </c>
      <c r="D36" s="116">
        <v>95300</v>
      </c>
    </row>
    <row r="37" spans="2:4" x14ac:dyDescent="0.25">
      <c r="B37" s="114" t="s">
        <v>822</v>
      </c>
      <c r="C37" s="115">
        <v>19.600000000000001</v>
      </c>
      <c r="D37" s="116">
        <v>54100</v>
      </c>
    </row>
    <row r="38" spans="2:4" x14ac:dyDescent="0.25">
      <c r="B38" s="114" t="s">
        <v>823</v>
      </c>
      <c r="C38" s="115">
        <v>19.600000000000001</v>
      </c>
      <c r="D38" s="116">
        <v>54100</v>
      </c>
    </row>
    <row r="39" spans="2:4" x14ac:dyDescent="0.25">
      <c r="B39" s="114" t="s">
        <v>824</v>
      </c>
      <c r="C39" s="115">
        <v>1.2</v>
      </c>
      <c r="D39" s="116">
        <v>308000</v>
      </c>
    </row>
    <row r="40" spans="2:4" x14ac:dyDescent="0.25">
      <c r="B40" s="114" t="s">
        <v>825</v>
      </c>
      <c r="C40" s="115">
        <v>3.8</v>
      </c>
      <c r="D40" s="116">
        <v>202000</v>
      </c>
    </row>
    <row r="41" spans="2:4" x14ac:dyDescent="0.25">
      <c r="B41" s="114" t="s">
        <v>786</v>
      </c>
      <c r="C41" s="115">
        <v>46.5</v>
      </c>
      <c r="D41" s="116">
        <v>58300</v>
      </c>
    </row>
    <row r="42" spans="2:4" ht="30" x14ac:dyDescent="0.25">
      <c r="B42" s="117" t="s">
        <v>826</v>
      </c>
      <c r="C42" s="115">
        <v>7</v>
      </c>
      <c r="D42" s="116">
        <v>121000</v>
      </c>
    </row>
    <row r="43" spans="2:4" x14ac:dyDescent="0.25">
      <c r="B43" s="114" t="s">
        <v>827</v>
      </c>
      <c r="C43" s="115">
        <v>20.3</v>
      </c>
      <c r="D43" s="116">
        <v>74400</v>
      </c>
    </row>
    <row r="44" spans="2:4" x14ac:dyDescent="0.25">
      <c r="B44" s="114" t="s">
        <v>828</v>
      </c>
      <c r="C44" s="115">
        <v>7.8</v>
      </c>
      <c r="D44" s="116">
        <v>108000</v>
      </c>
    </row>
    <row r="45" spans="2:4" x14ac:dyDescent="0.25">
      <c r="B45" s="114" t="s">
        <v>829</v>
      </c>
      <c r="C45" s="115">
        <v>7.9</v>
      </c>
      <c r="D45" s="116">
        <v>132000</v>
      </c>
    </row>
    <row r="46" spans="2:4" x14ac:dyDescent="0.25">
      <c r="B46" s="114" t="s">
        <v>830</v>
      </c>
      <c r="C46" s="115">
        <v>5.9</v>
      </c>
      <c r="D46" s="116">
        <v>110000</v>
      </c>
    </row>
    <row r="47" spans="2:4" x14ac:dyDescent="0.25">
      <c r="B47" s="114" t="s">
        <v>831</v>
      </c>
      <c r="C47" s="115">
        <v>5.9</v>
      </c>
      <c r="D47" s="116">
        <v>117000</v>
      </c>
    </row>
    <row r="48" spans="2:4" x14ac:dyDescent="0.25">
      <c r="B48" s="114" t="s">
        <v>832</v>
      </c>
      <c r="C48" s="115">
        <v>14.9</v>
      </c>
      <c r="D48" s="116">
        <v>132000</v>
      </c>
    </row>
    <row r="49" spans="2:4" x14ac:dyDescent="0.25">
      <c r="B49" s="114" t="s">
        <v>833</v>
      </c>
      <c r="C49" s="115">
        <v>13.6</v>
      </c>
      <c r="D49" s="116">
        <v>84300</v>
      </c>
    </row>
    <row r="50" spans="2:4" x14ac:dyDescent="0.25">
      <c r="B50" s="114" t="s">
        <v>834</v>
      </c>
      <c r="C50" s="115">
        <v>13.6</v>
      </c>
      <c r="D50" s="116">
        <v>84300</v>
      </c>
    </row>
    <row r="51" spans="2:4" x14ac:dyDescent="0.25">
      <c r="B51" s="114" t="s">
        <v>835</v>
      </c>
      <c r="C51" s="115">
        <v>13.8</v>
      </c>
      <c r="D51" s="116">
        <v>95300</v>
      </c>
    </row>
    <row r="52" spans="2:4" x14ac:dyDescent="0.25">
      <c r="B52" s="114" t="s">
        <v>836</v>
      </c>
      <c r="C52" s="115">
        <v>25.4</v>
      </c>
      <c r="D52" s="116">
        <v>66000</v>
      </c>
    </row>
    <row r="53" spans="2:4" x14ac:dyDescent="0.25">
      <c r="B53" s="114" t="s">
        <v>837</v>
      </c>
      <c r="C53" s="115">
        <v>25.4</v>
      </c>
      <c r="D53" s="116">
        <v>66000</v>
      </c>
    </row>
    <row r="54" spans="2:4" x14ac:dyDescent="0.25">
      <c r="B54" s="114" t="s">
        <v>838</v>
      </c>
      <c r="C54" s="115">
        <v>25.4</v>
      </c>
      <c r="D54" s="116">
        <v>66000</v>
      </c>
    </row>
    <row r="55" spans="2:4" x14ac:dyDescent="0.25">
      <c r="B55" s="114" t="s">
        <v>839</v>
      </c>
      <c r="C55" s="115">
        <v>6.8</v>
      </c>
      <c r="D55" s="116">
        <v>117000</v>
      </c>
    </row>
    <row r="56" spans="2:4" ht="15.75" thickBot="1" x14ac:dyDescent="0.3">
      <c r="B56" s="118" t="s">
        <v>840</v>
      </c>
      <c r="C56" s="119" t="s">
        <v>35</v>
      </c>
      <c r="D56" s="120">
        <v>183000</v>
      </c>
    </row>
  </sheetData>
  <mergeCells count="1">
    <mergeCell ref="B2:D2"/>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DD85D-BADC-40FF-A321-DB2DAE9864DB}">
  <dimension ref="A1:F69"/>
  <sheetViews>
    <sheetView topLeftCell="A58" workbookViewId="0">
      <selection activeCell="F10" sqref="F10"/>
    </sheetView>
  </sheetViews>
  <sheetFormatPr defaultRowHeight="15" x14ac:dyDescent="0.25"/>
  <cols>
    <col min="1" max="1" width="18.140625" bestFit="1" customWidth="1"/>
    <col min="2" max="2" width="18.140625" customWidth="1"/>
    <col min="3" max="3" width="16.140625" bestFit="1" customWidth="1"/>
    <col min="4" max="4" width="44.42578125" customWidth="1"/>
    <col min="5" max="5" width="29.28515625" bestFit="1" customWidth="1"/>
    <col min="6" max="6" width="81" customWidth="1"/>
  </cols>
  <sheetData>
    <row r="1" spans="1:6" ht="18.75" x14ac:dyDescent="0.3">
      <c r="A1" s="136" t="s">
        <v>0</v>
      </c>
      <c r="B1" s="136" t="s">
        <v>2</v>
      </c>
      <c r="C1" s="136" t="s">
        <v>3</v>
      </c>
      <c r="D1" s="66" t="s">
        <v>4</v>
      </c>
      <c r="E1" s="66" t="s">
        <v>1</v>
      </c>
      <c r="F1" s="136" t="s">
        <v>5</v>
      </c>
    </row>
    <row r="2" spans="1:6" s="14" customFormat="1" ht="18.75" x14ac:dyDescent="0.3">
      <c r="A2" s="137"/>
      <c r="B2" s="137"/>
      <c r="C2" s="138"/>
      <c r="D2" s="137" t="s">
        <v>222</v>
      </c>
      <c r="E2" s="138"/>
      <c r="F2" s="138"/>
    </row>
    <row r="3" spans="1:6" ht="113.25" customHeight="1" x14ac:dyDescent="0.25">
      <c r="A3" t="s">
        <v>8</v>
      </c>
      <c r="B3" t="s">
        <v>515</v>
      </c>
      <c r="D3" s="4" t="s">
        <v>1078</v>
      </c>
      <c r="E3" t="s">
        <v>9</v>
      </c>
      <c r="F3" s="4" t="s">
        <v>1079</v>
      </c>
    </row>
    <row r="4" spans="1:6" s="14" customFormat="1" ht="18.75" x14ac:dyDescent="0.3">
      <c r="A4" s="137"/>
      <c r="B4" s="137"/>
      <c r="C4" s="138"/>
      <c r="D4" s="137" t="s">
        <v>1080</v>
      </c>
      <c r="E4" s="138"/>
      <c r="F4" s="138"/>
    </row>
    <row r="5" spans="1:6" s="9" customFormat="1" x14ac:dyDescent="0.25">
      <c r="A5" s="9" t="s">
        <v>9</v>
      </c>
      <c r="B5" s="9" t="s">
        <v>475</v>
      </c>
      <c r="C5" s="151" t="s">
        <v>1081</v>
      </c>
      <c r="D5" s="9" t="s">
        <v>1082</v>
      </c>
      <c r="E5" s="70" t="s">
        <v>9</v>
      </c>
      <c r="F5" s="70">
        <v>16.04</v>
      </c>
    </row>
    <row r="6" spans="1:6" s="9" customFormat="1" x14ac:dyDescent="0.25">
      <c r="A6" s="9" t="s">
        <v>9</v>
      </c>
      <c r="B6" s="9" t="s">
        <v>475</v>
      </c>
      <c r="C6" s="9" t="s">
        <v>1083</v>
      </c>
      <c r="D6" s="9" t="s">
        <v>1084</v>
      </c>
      <c r="E6" s="70" t="s">
        <v>9</v>
      </c>
      <c r="F6" s="70">
        <v>28.01</v>
      </c>
    </row>
    <row r="7" spans="1:6" s="9" customFormat="1" x14ac:dyDescent="0.25">
      <c r="A7" s="9" t="s">
        <v>9</v>
      </c>
      <c r="B7" s="9" t="s">
        <v>475</v>
      </c>
      <c r="C7" s="9" t="s">
        <v>1085</v>
      </c>
      <c r="D7" s="9" t="s">
        <v>1086</v>
      </c>
      <c r="E7" s="70" t="s">
        <v>9</v>
      </c>
      <c r="F7" s="70">
        <v>44.01</v>
      </c>
    </row>
    <row r="8" spans="1:6" s="9" customFormat="1" x14ac:dyDescent="0.25">
      <c r="A8" s="9" t="s">
        <v>9</v>
      </c>
      <c r="B8" s="9" t="s">
        <v>475</v>
      </c>
      <c r="C8" s="9" t="s">
        <v>1087</v>
      </c>
      <c r="D8" s="9" t="s">
        <v>1088</v>
      </c>
      <c r="E8" s="70" t="s">
        <v>9</v>
      </c>
      <c r="F8" s="70">
        <v>32</v>
      </c>
    </row>
    <row r="9" spans="1:6" s="9" customFormat="1" x14ac:dyDescent="0.25">
      <c r="A9" s="9" t="s">
        <v>9</v>
      </c>
      <c r="B9" s="9" t="s">
        <v>475</v>
      </c>
      <c r="C9" s="9" t="s">
        <v>1089</v>
      </c>
      <c r="D9" s="9" t="s">
        <v>1090</v>
      </c>
      <c r="E9" s="70" t="s">
        <v>9</v>
      </c>
      <c r="F9" s="70">
        <v>2.02</v>
      </c>
    </row>
    <row r="10" spans="1:6" s="9" customFormat="1" x14ac:dyDescent="0.25">
      <c r="A10" s="9" t="s">
        <v>9</v>
      </c>
      <c r="B10" s="9" t="s">
        <v>475</v>
      </c>
      <c r="C10" s="9" t="s">
        <v>1091</v>
      </c>
      <c r="D10" s="9" t="s">
        <v>1092</v>
      </c>
      <c r="E10" s="70" t="s">
        <v>9</v>
      </c>
      <c r="F10" s="70">
        <v>28.02</v>
      </c>
    </row>
    <row r="11" spans="1:6" s="9" customFormat="1" x14ac:dyDescent="0.25">
      <c r="A11" s="9" t="s">
        <v>9</v>
      </c>
      <c r="B11" s="9" t="s">
        <v>475</v>
      </c>
      <c r="C11" s="9" t="s">
        <v>1093</v>
      </c>
      <c r="D11" s="9" t="s">
        <v>1094</v>
      </c>
      <c r="E11" s="70" t="s">
        <v>9</v>
      </c>
      <c r="F11" s="70">
        <v>12</v>
      </c>
    </row>
    <row r="12" spans="1:6" s="9" customFormat="1" x14ac:dyDescent="0.25">
      <c r="A12" s="9" t="s">
        <v>9</v>
      </c>
      <c r="B12" s="9" t="s">
        <v>475</v>
      </c>
      <c r="C12" s="9" t="s">
        <v>1095</v>
      </c>
      <c r="D12" s="9" t="s">
        <v>1096</v>
      </c>
      <c r="E12" s="70" t="s">
        <v>9</v>
      </c>
      <c r="F12" s="70">
        <v>1.01</v>
      </c>
    </row>
    <row r="13" spans="1:6" s="9" customFormat="1" x14ac:dyDescent="0.25">
      <c r="A13" s="9" t="s">
        <v>9</v>
      </c>
      <c r="B13" s="9" t="s">
        <v>475</v>
      </c>
      <c r="C13" s="9" t="s">
        <v>1097</v>
      </c>
      <c r="D13" s="9" t="s">
        <v>1098</v>
      </c>
      <c r="E13" s="70" t="s">
        <v>9</v>
      </c>
      <c r="F13" s="70">
        <v>16</v>
      </c>
    </row>
    <row r="14" spans="1:6" s="9" customFormat="1" x14ac:dyDescent="0.25">
      <c r="A14" s="9" t="s">
        <v>9</v>
      </c>
      <c r="B14" s="9" t="s">
        <v>475</v>
      </c>
      <c r="C14" s="9" t="s">
        <v>1099</v>
      </c>
      <c r="D14" s="9" t="s">
        <v>1100</v>
      </c>
      <c r="E14" s="70" t="s">
        <v>9</v>
      </c>
      <c r="F14" s="70">
        <v>14.01</v>
      </c>
    </row>
    <row r="15" spans="1:6" s="9" customFormat="1" x14ac:dyDescent="0.25">
      <c r="A15" s="9" t="s">
        <v>9</v>
      </c>
      <c r="B15" s="9" t="s">
        <v>475</v>
      </c>
      <c r="C15" s="9" t="s">
        <v>1101</v>
      </c>
      <c r="D15" s="9" t="s">
        <v>1102</v>
      </c>
      <c r="E15" s="70" t="s">
        <v>9</v>
      </c>
      <c r="F15" s="70">
        <v>101325</v>
      </c>
    </row>
    <row r="16" spans="1:6" s="9" customFormat="1" x14ac:dyDescent="0.25">
      <c r="A16" s="9" t="s">
        <v>9</v>
      </c>
      <c r="B16" s="9" t="s">
        <v>475</v>
      </c>
      <c r="C16" s="9" t="s">
        <v>1103</v>
      </c>
      <c r="D16" s="9" t="s">
        <v>1104</v>
      </c>
      <c r="E16" s="70" t="s">
        <v>9</v>
      </c>
      <c r="F16" s="70">
        <v>8314.4719999999998</v>
      </c>
    </row>
    <row r="17" spans="1:6" s="9" customFormat="1" x14ac:dyDescent="0.25">
      <c r="A17" s="9" t="s">
        <v>9</v>
      </c>
      <c r="B17" s="9" t="s">
        <v>475</v>
      </c>
      <c r="C17" s="9" t="s">
        <v>1105</v>
      </c>
      <c r="D17" s="9" t="s">
        <v>1106</v>
      </c>
      <c r="E17" s="70" t="s">
        <v>9</v>
      </c>
      <c r="F17" s="70">
        <v>273.14999999999998</v>
      </c>
    </row>
    <row r="18" spans="1:6" s="9" customFormat="1" x14ac:dyDescent="0.25">
      <c r="A18" s="9" t="s">
        <v>9</v>
      </c>
      <c r="B18" s="9" t="s">
        <v>475</v>
      </c>
      <c r="C18" s="9" t="s">
        <v>1107</v>
      </c>
      <c r="D18" s="9" t="s">
        <v>1108</v>
      </c>
      <c r="E18" s="70" t="s">
        <v>9</v>
      </c>
      <c r="F18" s="70">
        <v>0.21</v>
      </c>
    </row>
    <row r="19" spans="1:6" s="9" customFormat="1" x14ac:dyDescent="0.25">
      <c r="A19" s="9" t="s">
        <v>9</v>
      </c>
      <c r="B19" s="9" t="s">
        <v>475</v>
      </c>
      <c r="C19" s="9" t="s">
        <v>104</v>
      </c>
      <c r="D19" s="9" t="s">
        <v>1109</v>
      </c>
      <c r="E19" s="70" t="s">
        <v>9</v>
      </c>
      <c r="F19" s="70">
        <v>25</v>
      </c>
    </row>
    <row r="20" spans="1:6" s="9" customFormat="1" ht="30" x14ac:dyDescent="0.25">
      <c r="A20" s="9" t="s">
        <v>9</v>
      </c>
      <c r="B20" s="9" t="s">
        <v>475</v>
      </c>
      <c r="C20" s="9" t="s">
        <v>1110</v>
      </c>
      <c r="D20" s="12" t="s">
        <v>1111</v>
      </c>
      <c r="E20" s="70" t="s">
        <v>9</v>
      </c>
      <c r="F20" s="70">
        <v>22.414000000000001</v>
      </c>
    </row>
    <row r="21" spans="1:6" s="9" customFormat="1" x14ac:dyDescent="0.25">
      <c r="A21" s="9" t="s">
        <v>9</v>
      </c>
      <c r="B21" s="9" t="s">
        <v>475</v>
      </c>
      <c r="C21" s="9" t="s">
        <v>1112</v>
      </c>
      <c r="D21" s="9" t="s">
        <v>1113</v>
      </c>
      <c r="E21" s="70" t="s">
        <v>9</v>
      </c>
      <c r="F21" s="70">
        <v>0.71599999999999997</v>
      </c>
    </row>
    <row r="22" spans="1:6" s="9" customFormat="1" ht="30" x14ac:dyDescent="0.25">
      <c r="A22" s="9" t="s">
        <v>9</v>
      </c>
      <c r="B22" s="9" t="s">
        <v>475</v>
      </c>
      <c r="C22" s="9" t="s">
        <v>1114</v>
      </c>
      <c r="D22" s="12" t="s">
        <v>1115</v>
      </c>
      <c r="E22" s="70" t="s">
        <v>9</v>
      </c>
      <c r="F22" s="70" t="s">
        <v>1116</v>
      </c>
    </row>
    <row r="23" spans="1:6" s="9" customFormat="1" ht="30" x14ac:dyDescent="0.25">
      <c r="A23" s="9" t="s">
        <v>9</v>
      </c>
      <c r="B23" s="9" t="s">
        <v>475</v>
      </c>
      <c r="C23" s="9" t="s">
        <v>1117</v>
      </c>
      <c r="D23" s="12" t="s">
        <v>1118</v>
      </c>
      <c r="E23" s="70" t="s">
        <v>9</v>
      </c>
      <c r="F23" s="70">
        <v>1</v>
      </c>
    </row>
    <row r="24" spans="1:6" s="9" customFormat="1" x14ac:dyDescent="0.25">
      <c r="A24" s="9" t="s">
        <v>9</v>
      </c>
      <c r="B24" s="9" t="s">
        <v>475</v>
      </c>
      <c r="C24" s="9" t="s">
        <v>1119</v>
      </c>
      <c r="D24" s="9" t="s">
        <v>1120</v>
      </c>
      <c r="E24" s="70" t="s">
        <v>9</v>
      </c>
      <c r="F24" s="70">
        <v>1</v>
      </c>
    </row>
    <row r="25" spans="1:6" s="9" customFormat="1" ht="30" x14ac:dyDescent="0.25">
      <c r="A25" s="9" t="s">
        <v>9</v>
      </c>
      <c r="B25" s="9" t="s">
        <v>475</v>
      </c>
      <c r="C25" s="9" t="s">
        <v>1121</v>
      </c>
      <c r="D25" s="12" t="s">
        <v>1122</v>
      </c>
      <c r="E25" s="70" t="s">
        <v>9</v>
      </c>
      <c r="F25" s="70">
        <v>1</v>
      </c>
    </row>
    <row r="26" spans="1:6" s="9" customFormat="1" ht="30" x14ac:dyDescent="0.25">
      <c r="A26" s="9" t="s">
        <v>9</v>
      </c>
      <c r="B26" s="9" t="s">
        <v>475</v>
      </c>
      <c r="C26" s="9" t="s">
        <v>1123</v>
      </c>
      <c r="D26" s="12" t="s">
        <v>1124</v>
      </c>
      <c r="E26" s="70" t="s">
        <v>9</v>
      </c>
      <c r="F26" s="70">
        <v>4</v>
      </c>
    </row>
    <row r="27" spans="1:6" s="9" customFormat="1" x14ac:dyDescent="0.25">
      <c r="A27" s="9" t="s">
        <v>9</v>
      </c>
      <c r="B27" s="9" t="s">
        <v>475</v>
      </c>
      <c r="C27" s="9" t="s">
        <v>1125</v>
      </c>
      <c r="D27" s="9" t="s">
        <v>1126</v>
      </c>
      <c r="E27" s="70" t="s">
        <v>9</v>
      </c>
      <c r="F27" s="70">
        <v>2</v>
      </c>
    </row>
    <row r="28" spans="1:6" s="9" customFormat="1" x14ac:dyDescent="0.25">
      <c r="A28" s="9" t="s">
        <v>9</v>
      </c>
      <c r="B28" s="9" t="s">
        <v>475</v>
      </c>
      <c r="C28" s="9" t="s">
        <v>1127</v>
      </c>
      <c r="D28" s="9" t="s">
        <v>1128</v>
      </c>
      <c r="E28" s="70" t="s">
        <v>9</v>
      </c>
      <c r="F28" s="70">
        <v>1</v>
      </c>
    </row>
    <row r="29" spans="1:6" s="9" customFormat="1" ht="30" x14ac:dyDescent="0.25">
      <c r="A29" s="9" t="s">
        <v>9</v>
      </c>
      <c r="B29" s="9" t="s">
        <v>475</v>
      </c>
      <c r="C29" s="9" t="s">
        <v>1129</v>
      </c>
      <c r="D29" s="12" t="s">
        <v>1130</v>
      </c>
      <c r="E29" s="70" t="s">
        <v>9</v>
      </c>
      <c r="F29" s="70">
        <v>2</v>
      </c>
    </row>
    <row r="30" spans="1:6" s="9" customFormat="1" x14ac:dyDescent="0.25">
      <c r="A30" s="9" t="s">
        <v>9</v>
      </c>
      <c r="B30" s="9" t="s">
        <v>475</v>
      </c>
      <c r="C30" s="9" t="s">
        <v>1131</v>
      </c>
      <c r="D30" s="9" t="s">
        <v>1132</v>
      </c>
      <c r="E30" s="70" t="s">
        <v>9</v>
      </c>
      <c r="F30" s="70">
        <v>2</v>
      </c>
    </row>
    <row r="31" spans="1:6" s="9" customFormat="1" x14ac:dyDescent="0.25">
      <c r="A31" s="9" t="s">
        <v>9</v>
      </c>
      <c r="B31" s="9" t="s">
        <v>475</v>
      </c>
      <c r="C31" s="9" t="s">
        <v>1133</v>
      </c>
      <c r="D31" s="9" t="s">
        <v>1134</v>
      </c>
      <c r="E31" s="70" t="s">
        <v>9</v>
      </c>
      <c r="F31" s="70">
        <v>2</v>
      </c>
    </row>
    <row r="32" spans="1:6" s="14" customFormat="1" ht="18.75" x14ac:dyDescent="0.3">
      <c r="A32" s="137"/>
      <c r="B32" s="137"/>
      <c r="C32" s="138"/>
      <c r="D32" s="137" t="s">
        <v>1135</v>
      </c>
      <c r="E32" s="138"/>
      <c r="F32" s="138"/>
    </row>
    <row r="33" spans="1:6" x14ac:dyDescent="0.25">
      <c r="A33" t="s">
        <v>8</v>
      </c>
      <c r="B33" t="s">
        <v>159</v>
      </c>
      <c r="C33" t="s">
        <v>1136</v>
      </c>
      <c r="D33" t="s">
        <v>1137</v>
      </c>
      <c r="E33" s="13" t="s">
        <v>8</v>
      </c>
      <c r="F33" s="152">
        <v>0.55000000000000004</v>
      </c>
    </row>
    <row r="34" spans="1:6" x14ac:dyDescent="0.25">
      <c r="A34" t="s">
        <v>8</v>
      </c>
      <c r="B34" t="s">
        <v>159</v>
      </c>
      <c r="C34" t="s">
        <v>1138</v>
      </c>
      <c r="D34" t="s">
        <v>1139</v>
      </c>
      <c r="E34" s="13" t="s">
        <v>8</v>
      </c>
      <c r="F34" s="152">
        <v>0</v>
      </c>
    </row>
    <row r="35" spans="1:6" x14ac:dyDescent="0.25">
      <c r="A35" t="s">
        <v>8</v>
      </c>
      <c r="B35" t="s">
        <v>159</v>
      </c>
      <c r="C35" t="s">
        <v>1140</v>
      </c>
      <c r="D35" t="s">
        <v>1141</v>
      </c>
      <c r="E35" s="13" t="s">
        <v>8</v>
      </c>
      <c r="F35" s="152">
        <v>0.35</v>
      </c>
    </row>
    <row r="36" spans="1:6" x14ac:dyDescent="0.25">
      <c r="A36" t="s">
        <v>8</v>
      </c>
      <c r="B36" t="s">
        <v>159</v>
      </c>
      <c r="C36" t="s">
        <v>1142</v>
      </c>
      <c r="D36" t="s">
        <v>1143</v>
      </c>
      <c r="E36" s="13" t="s">
        <v>8</v>
      </c>
      <c r="F36" s="152">
        <v>0.05</v>
      </c>
    </row>
    <row r="37" spans="1:6" x14ac:dyDescent="0.25">
      <c r="A37" t="s">
        <v>8</v>
      </c>
      <c r="B37" t="s">
        <v>159</v>
      </c>
      <c r="C37" t="s">
        <v>1144</v>
      </c>
      <c r="D37" t="s">
        <v>1145</v>
      </c>
      <c r="E37" s="13" t="s">
        <v>8</v>
      </c>
      <c r="F37" s="152">
        <v>0.01</v>
      </c>
    </row>
    <row r="38" spans="1:6" x14ac:dyDescent="0.25">
      <c r="A38" t="s">
        <v>8</v>
      </c>
      <c r="B38" t="s">
        <v>159</v>
      </c>
      <c r="C38" t="s">
        <v>1146</v>
      </c>
      <c r="D38" t="s">
        <v>1147</v>
      </c>
      <c r="E38" s="13" t="s">
        <v>8</v>
      </c>
      <c r="F38" s="152">
        <v>0.04</v>
      </c>
    </row>
    <row r="39" spans="1:6" ht="30" x14ac:dyDescent="0.25">
      <c r="A39" t="s">
        <v>8</v>
      </c>
      <c r="B39" t="s">
        <v>159</v>
      </c>
      <c r="C39" t="s">
        <v>1148</v>
      </c>
      <c r="D39" s="4" t="s">
        <v>1149</v>
      </c>
      <c r="E39" s="13" t="s">
        <v>8</v>
      </c>
      <c r="F39" s="153">
        <v>1000</v>
      </c>
    </row>
    <row r="40" spans="1:6" x14ac:dyDescent="0.25">
      <c r="A40" t="s">
        <v>8</v>
      </c>
      <c r="B40" t="s">
        <v>159</v>
      </c>
      <c r="C40" t="s">
        <v>1150</v>
      </c>
      <c r="D40" t="s">
        <v>1151</v>
      </c>
      <c r="E40" s="13" t="s">
        <v>8</v>
      </c>
      <c r="F40" s="152">
        <v>0.1</v>
      </c>
    </row>
    <row r="41" spans="1:6" ht="30" x14ac:dyDescent="0.25">
      <c r="A41" t="s">
        <v>8</v>
      </c>
      <c r="B41" t="s">
        <v>159</v>
      </c>
      <c r="C41" t="s">
        <v>1152</v>
      </c>
      <c r="D41" s="4" t="s">
        <v>1153</v>
      </c>
      <c r="E41" s="13" t="s">
        <v>8</v>
      </c>
      <c r="F41" s="13">
        <v>1000</v>
      </c>
    </row>
    <row r="42" spans="1:6" x14ac:dyDescent="0.25">
      <c r="A42" t="s">
        <v>8</v>
      </c>
      <c r="B42" t="s">
        <v>159</v>
      </c>
      <c r="C42" t="s">
        <v>1154</v>
      </c>
      <c r="D42" t="s">
        <v>1155</v>
      </c>
      <c r="E42" s="13" t="s">
        <v>8</v>
      </c>
      <c r="F42" s="19">
        <v>8760</v>
      </c>
    </row>
    <row r="43" spans="1:6" s="14" customFormat="1" ht="18.75" x14ac:dyDescent="0.3">
      <c r="A43" s="137"/>
      <c r="B43" s="137"/>
      <c r="C43" s="138"/>
      <c r="D43" s="137" t="s">
        <v>1156</v>
      </c>
      <c r="E43" s="138"/>
      <c r="F43" s="138"/>
    </row>
    <row r="44" spans="1:6" s="9" customFormat="1" ht="30" x14ac:dyDescent="0.25">
      <c r="A44" s="9" t="s">
        <v>9</v>
      </c>
      <c r="B44" s="9" t="s">
        <v>475</v>
      </c>
      <c r="C44" s="9" t="s">
        <v>1157</v>
      </c>
      <c r="D44" s="12" t="s">
        <v>1158</v>
      </c>
      <c r="E44" s="9" t="s">
        <v>9</v>
      </c>
      <c r="F44" s="70">
        <f>F45*F46</f>
        <v>1203.109940767265</v>
      </c>
    </row>
    <row r="45" spans="1:6" s="9" customFormat="1" ht="30" x14ac:dyDescent="0.25">
      <c r="A45" s="9" t="s">
        <v>9</v>
      </c>
      <c r="B45" s="9" t="s">
        <v>475</v>
      </c>
      <c r="C45" s="9" t="s">
        <v>1159</v>
      </c>
      <c r="D45" s="12" t="s">
        <v>1160</v>
      </c>
      <c r="E45" s="9" t="s">
        <v>9</v>
      </c>
      <c r="F45" s="70">
        <f>F47/(F16*F17)</f>
        <v>1.203109940767265</v>
      </c>
    </row>
    <row r="46" spans="1:6" s="9" customFormat="1" ht="33" customHeight="1" x14ac:dyDescent="0.25">
      <c r="A46" s="9" t="s">
        <v>9</v>
      </c>
      <c r="B46" s="9" t="s">
        <v>475</v>
      </c>
      <c r="C46" s="9" t="s">
        <v>1161</v>
      </c>
      <c r="D46" s="12" t="s">
        <v>1162</v>
      </c>
      <c r="E46" s="9" t="s">
        <v>9</v>
      </c>
      <c r="F46" s="70">
        <v>1000</v>
      </c>
    </row>
    <row r="47" spans="1:6" s="9" customFormat="1" ht="30" x14ac:dyDescent="0.25">
      <c r="A47" s="9" t="s">
        <v>9</v>
      </c>
      <c r="B47" s="9" t="s">
        <v>475</v>
      </c>
      <c r="C47" s="9" t="s">
        <v>1163</v>
      </c>
      <c r="D47" s="12" t="s">
        <v>1164</v>
      </c>
      <c r="E47" s="9" t="s">
        <v>9</v>
      </c>
      <c r="F47" s="70">
        <f>F15*F48</f>
        <v>2732380.6124999998</v>
      </c>
    </row>
    <row r="48" spans="1:6" s="9" customFormat="1" ht="30" x14ac:dyDescent="0.25">
      <c r="A48" s="9" t="s">
        <v>9</v>
      </c>
      <c r="B48" s="9" t="s">
        <v>475</v>
      </c>
      <c r="C48" s="9" t="s">
        <v>1165</v>
      </c>
      <c r="D48" s="12" t="s">
        <v>1166</v>
      </c>
      <c r="E48" s="9" t="s">
        <v>9</v>
      </c>
      <c r="F48" s="70">
        <f>F5*F33+F6*F34+F7*F35+F8*F36+F9*F37+F10*F38</f>
        <v>26.966499999999996</v>
      </c>
    </row>
    <row r="49" spans="1:6" s="14" customFormat="1" ht="18.75" x14ac:dyDescent="0.3">
      <c r="A49" s="137"/>
      <c r="B49" s="137"/>
      <c r="C49" s="138"/>
      <c r="D49" s="137" t="s">
        <v>1167</v>
      </c>
      <c r="E49" s="138"/>
      <c r="F49" s="138"/>
    </row>
    <row r="50" spans="1:6" s="70" customFormat="1" ht="30" x14ac:dyDescent="0.25">
      <c r="A50" s="70" t="s">
        <v>9</v>
      </c>
      <c r="B50" s="70" t="s">
        <v>475</v>
      </c>
      <c r="C50" s="70" t="s">
        <v>987</v>
      </c>
      <c r="D50" s="102" t="s">
        <v>1168</v>
      </c>
      <c r="E50" s="70" t="s">
        <v>9</v>
      </c>
      <c r="F50" s="70">
        <f>F39*F33*F21</f>
        <v>393.8</v>
      </c>
    </row>
    <row r="51" spans="1:6" s="14" customFormat="1" ht="18.75" x14ac:dyDescent="0.3">
      <c r="A51" s="137"/>
      <c r="B51" s="137"/>
      <c r="C51" s="138"/>
      <c r="D51" s="137" t="s">
        <v>1169</v>
      </c>
      <c r="E51" s="138"/>
      <c r="F51" s="138"/>
    </row>
    <row r="52" spans="1:6" s="9" customFormat="1" x14ac:dyDescent="0.25">
      <c r="A52" s="9" t="s">
        <v>9</v>
      </c>
      <c r="B52" s="9" t="s">
        <v>475</v>
      </c>
      <c r="C52" s="9" t="s">
        <v>1170</v>
      </c>
      <c r="D52" s="9" t="s">
        <v>1171</v>
      </c>
      <c r="E52" s="9" t="s">
        <v>9</v>
      </c>
      <c r="F52" s="70">
        <f>(1-(F54/F50))*100</f>
        <v>97.620272779259992</v>
      </c>
    </row>
    <row r="53" spans="1:6" s="14" customFormat="1" ht="18.75" x14ac:dyDescent="0.3">
      <c r="A53" s="137"/>
      <c r="B53" s="137"/>
      <c r="C53" s="138"/>
      <c r="D53" s="137" t="s">
        <v>1172</v>
      </c>
      <c r="E53" s="138"/>
      <c r="F53" s="138"/>
    </row>
    <row r="54" spans="1:6" s="9" customFormat="1" ht="45" x14ac:dyDescent="0.25">
      <c r="A54" s="9" t="s">
        <v>9</v>
      </c>
      <c r="B54" s="9" t="s">
        <v>475</v>
      </c>
      <c r="C54" s="9" t="s">
        <v>1173</v>
      </c>
      <c r="D54" s="123" t="s">
        <v>1174</v>
      </c>
      <c r="E54" s="9" t="s">
        <v>9</v>
      </c>
      <c r="F54" s="70">
        <f>F56*F41/1000000</f>
        <v>9.3713657952741762</v>
      </c>
    </row>
    <row r="55" spans="1:6" s="14" customFormat="1" ht="18.75" x14ac:dyDescent="0.3">
      <c r="A55" s="137"/>
      <c r="B55" s="137"/>
      <c r="C55" s="138"/>
      <c r="D55" s="137" t="s">
        <v>1175</v>
      </c>
      <c r="E55" s="138"/>
      <c r="F55" s="138"/>
    </row>
    <row r="56" spans="1:6" s="9" customFormat="1" ht="34.5" customHeight="1" x14ac:dyDescent="0.25">
      <c r="A56" s="9" t="s">
        <v>9</v>
      </c>
      <c r="B56" s="9" t="s">
        <v>475</v>
      </c>
      <c r="C56" s="9" t="s">
        <v>1176</v>
      </c>
      <c r="D56" s="12" t="s">
        <v>1177</v>
      </c>
      <c r="E56" s="9" t="s">
        <v>9</v>
      </c>
      <c r="F56" s="70">
        <f>F57*F44</f>
        <v>9371.365795274176</v>
      </c>
    </row>
    <row r="57" spans="1:6" s="9" customFormat="1" ht="47.25" customHeight="1" x14ac:dyDescent="0.25">
      <c r="A57" s="9" t="s">
        <v>9</v>
      </c>
      <c r="B57" s="9" t="s">
        <v>475</v>
      </c>
      <c r="C57" s="154" t="s">
        <v>1178</v>
      </c>
      <c r="D57" s="12" t="s">
        <v>1179</v>
      </c>
      <c r="E57" s="9" t="s">
        <v>9</v>
      </c>
      <c r="F57" s="70">
        <f>F60+F59+F58</f>
        <v>7.7892846511580895</v>
      </c>
    </row>
    <row r="58" spans="1:6" s="9" customFormat="1" ht="45" x14ac:dyDescent="0.25">
      <c r="A58" s="9" t="s">
        <v>9</v>
      </c>
      <c r="B58" s="9" t="s">
        <v>475</v>
      </c>
      <c r="C58" s="9" t="s">
        <v>1180</v>
      </c>
      <c r="D58" s="12" t="s">
        <v>1181</v>
      </c>
      <c r="E58" s="9" t="s">
        <v>9</v>
      </c>
      <c r="F58" s="70">
        <f>F61*F20</f>
        <v>0.77892846511580904</v>
      </c>
    </row>
    <row r="59" spans="1:6" s="9" customFormat="1" ht="46.5" customHeight="1" x14ac:dyDescent="0.25">
      <c r="A59" s="9" t="s">
        <v>9</v>
      </c>
      <c r="B59" s="9" t="s">
        <v>475</v>
      </c>
      <c r="C59" s="9" t="s">
        <v>1182</v>
      </c>
      <c r="D59" s="12" t="s">
        <v>1183</v>
      </c>
      <c r="E59" s="9" t="s">
        <v>9</v>
      </c>
      <c r="F59" s="70">
        <f>F20*((F67/(2*F14)+((1-F18)/F18)*(F62+F61)))</f>
        <v>6.2622947023495508</v>
      </c>
    </row>
    <row r="60" spans="1:6" s="9" customFormat="1" ht="47.25" customHeight="1" x14ac:dyDescent="0.25">
      <c r="A60" s="9" t="s">
        <v>9</v>
      </c>
      <c r="B60" s="9" t="s">
        <v>475</v>
      </c>
      <c r="C60" s="9" t="s">
        <v>1184</v>
      </c>
      <c r="D60" s="12" t="s">
        <v>1185</v>
      </c>
      <c r="E60" s="9" t="s">
        <v>9</v>
      </c>
      <c r="F60" s="70">
        <f>(F64/F11)*F20</f>
        <v>0.74806148369272996</v>
      </c>
    </row>
    <row r="61" spans="1:6" s="9" customFormat="1" ht="45" x14ac:dyDescent="0.25">
      <c r="A61" s="9" t="s">
        <v>9</v>
      </c>
      <c r="B61" s="9" t="s">
        <v>475</v>
      </c>
      <c r="C61" s="9" t="s">
        <v>1186</v>
      </c>
      <c r="D61" s="12" t="s">
        <v>1187</v>
      </c>
      <c r="E61" s="9" t="s">
        <v>9</v>
      </c>
      <c r="F61" s="70">
        <f>(F40/(1-(F40/F18))*(F64/F11+F67/(2*F14)+((1-F18)/F18)*F62))</f>
        <v>3.4751872272499734E-2</v>
      </c>
    </row>
    <row r="62" spans="1:6" s="9" customFormat="1" ht="45" x14ac:dyDescent="0.25">
      <c r="A62" s="9" t="s">
        <v>9</v>
      </c>
      <c r="B62" s="9" t="s">
        <v>475</v>
      </c>
      <c r="C62" s="9" t="s">
        <v>1188</v>
      </c>
      <c r="D62" s="12" t="s">
        <v>1189</v>
      </c>
      <c r="E62" s="9" t="s">
        <v>9</v>
      </c>
      <c r="F62" s="70">
        <f>((F64/F11)+(F65/(4*F12)-(F66)/(2*F13)))</f>
        <v>3.9122615096508641E-2</v>
      </c>
    </row>
    <row r="63" spans="1:6" s="14" customFormat="1" ht="18.75" x14ac:dyDescent="0.3">
      <c r="A63" s="137"/>
      <c r="B63" s="137"/>
      <c r="D63" s="137" t="s">
        <v>1190</v>
      </c>
      <c r="E63" s="138"/>
      <c r="F63" s="138"/>
    </row>
    <row r="64" spans="1:6" s="9" customFormat="1" ht="30" x14ac:dyDescent="0.25">
      <c r="A64" s="9" t="s">
        <v>9</v>
      </c>
      <c r="B64" s="9" t="s">
        <v>475</v>
      </c>
      <c r="C64" s="154" t="s">
        <v>1191</v>
      </c>
      <c r="D64" s="12" t="s">
        <v>1192</v>
      </c>
      <c r="E64" s="9" t="s">
        <v>9</v>
      </c>
      <c r="F64" s="70">
        <f>((F33*F23+F34*F24+F35*F25)*F11)/F48</f>
        <v>0.40049691283629696</v>
      </c>
    </row>
    <row r="65" spans="1:6" s="9" customFormat="1" ht="30" x14ac:dyDescent="0.25">
      <c r="A65" s="9" t="s">
        <v>9</v>
      </c>
      <c r="B65" s="9" t="s">
        <v>475</v>
      </c>
      <c r="C65" s="9" t="s">
        <v>1193</v>
      </c>
      <c r="D65" s="12" t="s">
        <v>1194</v>
      </c>
      <c r="E65" s="9" t="s">
        <v>9</v>
      </c>
      <c r="F65" s="70">
        <f>(F33*F26+F37*F27)*F12/F48</f>
        <v>8.314760907051344E-2</v>
      </c>
    </row>
    <row r="66" spans="1:6" s="9" customFormat="1" ht="30" x14ac:dyDescent="0.25">
      <c r="A66" s="9" t="s">
        <v>9</v>
      </c>
      <c r="B66" s="9" t="s">
        <v>475</v>
      </c>
      <c r="C66" s="9" t="s">
        <v>1195</v>
      </c>
      <c r="D66" s="12" t="s">
        <v>1196</v>
      </c>
      <c r="E66" s="9" t="s">
        <v>9</v>
      </c>
      <c r="F66" s="70">
        <f>(F34*F28+F35*F29+F36*F30)*F13/F48</f>
        <v>0.47466300780598153</v>
      </c>
    </row>
    <row r="67" spans="1:6" s="9" customFormat="1" ht="30" x14ac:dyDescent="0.25">
      <c r="A67" s="9" t="s">
        <v>9</v>
      </c>
      <c r="B67" s="9" t="s">
        <v>475</v>
      </c>
      <c r="C67" s="9" t="s">
        <v>1197</v>
      </c>
      <c r="D67" s="12" t="s">
        <v>1198</v>
      </c>
      <c r="E67" s="9" t="s">
        <v>9</v>
      </c>
      <c r="F67" s="70">
        <f>F38*F31*F14/F48</f>
        <v>4.1562679621011261E-2</v>
      </c>
    </row>
    <row r="68" spans="1:6" s="14" customFormat="1" ht="18.75" x14ac:dyDescent="0.3">
      <c r="A68" s="137"/>
      <c r="B68" s="137"/>
      <c r="D68" s="137" t="s">
        <v>1199</v>
      </c>
      <c r="E68" s="138"/>
      <c r="F68" s="138"/>
    </row>
    <row r="69" spans="1:6" s="9" customFormat="1" ht="30" x14ac:dyDescent="0.25">
      <c r="A69" s="9" t="s">
        <v>9</v>
      </c>
      <c r="B69" s="9" t="s">
        <v>475</v>
      </c>
      <c r="C69" s="9" t="s">
        <v>1044</v>
      </c>
      <c r="D69" s="12" t="s">
        <v>1045</v>
      </c>
      <c r="E69" s="9" t="s">
        <v>9</v>
      </c>
      <c r="F69" s="70">
        <f>(F42*(1-F52/100)*F50)*F19/100</f>
        <v>20523.291091650441</v>
      </c>
    </row>
  </sheetData>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2A71156DC7A845931FA815841BBBE9" ma:contentTypeVersion="11" ma:contentTypeDescription="Create a new document." ma:contentTypeScope="" ma:versionID="01a9576f7830710ba69f32f402e20fbd">
  <xsd:schema xmlns:xsd="http://www.w3.org/2001/XMLSchema" xmlns:xs="http://www.w3.org/2001/XMLSchema" xmlns:p="http://schemas.microsoft.com/office/2006/metadata/properties" xmlns:ns3="65777255-547c-4997-b980-b8ec387fc921" xmlns:ns4="544e15c9-ee33-4574-8cbe-20a29a71700b" targetNamespace="http://schemas.microsoft.com/office/2006/metadata/properties" ma:root="true" ma:fieldsID="2a97e5d917d34dc7936e7c5693002bb7" ns3:_="" ns4:_="">
    <xsd:import namespace="65777255-547c-4997-b980-b8ec387fc921"/>
    <xsd:import namespace="544e15c9-ee33-4574-8cbe-20a29a71700b"/>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77255-547c-4997-b980-b8ec387fc9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44e15c9-ee33-4574-8cbe-20a29a71700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5777255-547c-4997-b980-b8ec387fc921" xsi:nil="true"/>
  </documentManagement>
</p:properties>
</file>

<file path=customXml/itemProps1.xml><?xml version="1.0" encoding="utf-8"?>
<ds:datastoreItem xmlns:ds="http://schemas.openxmlformats.org/officeDocument/2006/customXml" ds:itemID="{F3EC0A73-D6FB-40B8-A712-CD24D99D02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777255-547c-4997-b980-b8ec387fc921"/>
    <ds:schemaRef ds:uri="544e15c9-ee33-4574-8cbe-20a29a7170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169F6A-4082-4377-83AC-A82103C44CA5}">
  <ds:schemaRefs>
    <ds:schemaRef ds:uri="http://schemas.microsoft.com/sharepoint/v3/contenttype/forms"/>
  </ds:schemaRefs>
</ds:datastoreItem>
</file>

<file path=customXml/itemProps3.xml><?xml version="1.0" encoding="utf-8"?>
<ds:datastoreItem xmlns:ds="http://schemas.openxmlformats.org/officeDocument/2006/customXml" ds:itemID="{F28DCCB4-33F2-4E99-942C-4DB1AF4BB0AF}">
  <ds:schemaRefs>
    <ds:schemaRef ds:uri="http://purl.org/dc/dcmitype/"/>
    <ds:schemaRef ds:uri="http://schemas.microsoft.com/office/infopath/2007/PartnerControls"/>
    <ds:schemaRef ds:uri="http://purl.org/dc/elements/1.1/"/>
    <ds:schemaRef ds:uri="65777255-547c-4997-b980-b8ec387fc921"/>
    <ds:schemaRef ds:uri="544e15c9-ee33-4574-8cbe-20a29a71700b"/>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VM0044 Mainframe</vt:lpstr>
      <vt:lpstr>Tool 03</vt:lpstr>
      <vt:lpstr>Tool 04-SWDS-Yearly</vt:lpstr>
      <vt:lpstr>SWDS Emissions Summary Tab </vt:lpstr>
      <vt:lpstr>Dropdown Items (Tool 04)</vt:lpstr>
      <vt:lpstr>Tool 05.1</vt:lpstr>
      <vt:lpstr>Tool 05.2 Power Plants</vt:lpstr>
      <vt:lpstr>Tool 05.3 Default Values</vt:lpstr>
      <vt:lpstr>Tool 06</vt:lpstr>
      <vt:lpstr>Tool 12 - Freight Trains</vt:lpstr>
      <vt:lpstr>Emissions Summary Tab</vt:lpstr>
      <vt:lpstr>Dropdown Items (Tool 12)</vt:lpstr>
      <vt:lpstr>Tool 13</vt:lpstr>
      <vt:lpstr>MCF Defaults (Tool 13)</vt:lpstr>
      <vt:lpstr>Tool 14</vt:lpstr>
      <vt:lpstr>Tool 16</vt:lpstr>
      <vt:lpstr>Biomass Emissions Summary Tab </vt:lpstr>
      <vt:lpstr>Dropdown Items (Tool 16)</vt:lpstr>
      <vt:lpstr>Default Values</vt:lpstr>
      <vt:lpstr>IWA Properties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Jailine Molina</dc:creator>
  <cp:lastModifiedBy>Jailine Molina</cp:lastModifiedBy>
  <dcterms:created xsi:type="dcterms:W3CDTF">2023-10-11T17:22:34Z</dcterms:created>
  <dcterms:modified xsi:type="dcterms:W3CDTF">2023-10-16T17:13:34Z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0x0101005A2A71156DC7A845931FA815841BBBE9</vt:lpwstr>
  </property>
</Properties>
</file>