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4"/>
  <workbookPr defaultThemeVersion="166925"/>
  <mc:AlternateContent xmlns:mc="http://schemas.openxmlformats.org/markup-compatibility/2006">
    <mc:Choice Requires="x15">
      <x15ac:absPath xmlns:x15ac="http://schemas.microsoft.com/office/spreadsheetml/2010/11/ac" url="https://envisionblockchain-my.sharepoint.com/personal/daniel_norkin_envisionblockchain_com/Documents/Marketing/Clients/UNFCCC/UNFCCC Project Documentation/UNFCCC 16 Methodologies/AMS-III.F/"/>
    </mc:Choice>
  </mc:AlternateContent>
  <xr:revisionPtr revIDLastSave="120" documentId="8_{CD0614D6-38F8-4966-B00D-0B10C054F120}" xr6:coauthVersionLast="47" xr6:coauthVersionMax="47" xr10:uidLastSave="{202927D6-A42B-4929-BF38-29CDA8EDB450}"/>
  <bookViews>
    <workbookView xWindow="28680" yWindow="-120" windowWidth="29040" windowHeight="15840" firstSheet="6" xr2:uid="{762E8A34-A743-4BF9-9EEE-1D58F5A73C2C}"/>
  </bookViews>
  <sheets>
    <sheet name="AMS-III.F Mainframe" sheetId="1" r:id="rId1"/>
    <sheet name="Partial BE Based on LT 17a" sheetId="12" r:id="rId2"/>
    <sheet name="Partial BE Based on LT 17b" sheetId="13" r:id="rId3"/>
    <sheet name="Tool 13" sheetId="2" r:id="rId4"/>
    <sheet name="MCF Defaults" sheetId="3" r:id="rId5"/>
    <sheet name="(Revised) Tool 03" sheetId="4" r:id="rId6"/>
    <sheet name="Tool 05.1" sheetId="5" r:id="rId7"/>
    <sheet name="Tool 05.2 Power Plants" sheetId="6" r:id="rId8"/>
    <sheet name="Tool 05.3 Default Values" sheetId="7" r:id="rId9"/>
    <sheet name="Tool 04-SWDS-Yearly" sheetId="8" r:id="rId10"/>
    <sheet name="SWDS Emissions Summary Tab " sheetId="9" r:id="rId11"/>
    <sheet name="Dropdown Items" sheetId="10" r:id="rId12"/>
    <sheet name="IWA Properties" sheetId="11" r:id="rId1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2" l="1"/>
  <c r="G17" i="5"/>
  <c r="G12" i="5"/>
  <c r="G7" i="5"/>
  <c r="C86" i="8"/>
  <c r="I37" i="1"/>
  <c r="H49" i="1"/>
  <c r="I49" i="1"/>
  <c r="H44" i="1"/>
  <c r="H73" i="1"/>
  <c r="G42" i="2"/>
  <c r="H63" i="1"/>
  <c r="H67" i="1"/>
  <c r="H55" i="1"/>
  <c r="H61" i="1"/>
  <c r="H47" i="1"/>
  <c r="H45" i="1"/>
  <c r="H46" i="1"/>
  <c r="H42" i="1" l="1"/>
  <c r="F12" i="13"/>
  <c r="F5" i="13"/>
  <c r="F33" i="12"/>
  <c r="F29" i="12"/>
  <c r="F13" i="12"/>
  <c r="F9" i="12"/>
  <c r="F25" i="12" l="1"/>
  <c r="F5" i="12"/>
  <c r="H82" i="1"/>
  <c r="C2" i="9"/>
  <c r="C8" i="9" s="1"/>
  <c r="C85" i="8"/>
  <c r="C84" i="8"/>
  <c r="C83" i="8"/>
  <c r="C75" i="8"/>
  <c r="D71" i="8"/>
  <c r="D69" i="8"/>
  <c r="C69" i="8"/>
  <c r="D66" i="8"/>
  <c r="C66" i="8"/>
  <c r="D65" i="8"/>
  <c r="D64" i="8"/>
  <c r="D62" i="8"/>
  <c r="C62" i="8"/>
  <c r="C82" i="8" s="1"/>
  <c r="D59" i="8"/>
  <c r="C59" i="8"/>
  <c r="D58" i="8"/>
  <c r="D57" i="8"/>
  <c r="D56" i="8"/>
  <c r="D54" i="8"/>
  <c r="C54" i="8"/>
  <c r="D53" i="8"/>
  <c r="D52" i="8"/>
  <c r="D51" i="8"/>
  <c r="D50" i="8"/>
  <c r="D48" i="8"/>
  <c r="C48" i="8"/>
  <c r="D45" i="8"/>
  <c r="D44" i="8"/>
  <c r="C44" i="8"/>
  <c r="C45" i="8" s="1"/>
  <c r="C76" i="8" s="1"/>
  <c r="D43" i="8"/>
  <c r="D42" i="8"/>
  <c r="D40" i="8"/>
  <c r="D38" i="8"/>
  <c r="D35" i="8"/>
  <c r="C35" i="8"/>
  <c r="D34" i="8"/>
  <c r="C34" i="8"/>
  <c r="D33" i="8"/>
  <c r="C33" i="8"/>
  <c r="D32" i="8"/>
  <c r="C32" i="8"/>
  <c r="D31" i="8"/>
  <c r="C31" i="8"/>
  <c r="D30" i="8"/>
  <c r="C30" i="8"/>
  <c r="D29" i="8"/>
  <c r="C29" i="8"/>
  <c r="D28" i="8"/>
  <c r="C28" i="8"/>
  <c r="D26" i="8"/>
  <c r="C26" i="8"/>
  <c r="C77" i="8" s="1"/>
  <c r="D22" i="8"/>
  <c r="D21" i="8"/>
  <c r="D19" i="8"/>
  <c r="D18" i="8"/>
  <c r="D17" i="8"/>
  <c r="D16" i="8"/>
  <c r="D15" i="8"/>
  <c r="D14" i="8"/>
  <c r="D13" i="8"/>
  <c r="D12" i="8"/>
  <c r="D11" i="8"/>
  <c r="G35" i="6"/>
  <c r="G34" i="6"/>
  <c r="G32" i="6" s="1"/>
  <c r="G23" i="6"/>
  <c r="G20" i="6" s="1"/>
  <c r="G22" i="6"/>
  <c r="G11" i="6"/>
  <c r="G10" i="6"/>
  <c r="G7" i="6" s="1"/>
  <c r="G23" i="5"/>
  <c r="G22" i="5"/>
  <c r="G16" i="5"/>
  <c r="G11" i="5"/>
  <c r="G6" i="5"/>
  <c r="G16" i="2" s="1"/>
  <c r="G37" i="4"/>
  <c r="G33" i="4"/>
  <c r="G30" i="4" s="1"/>
  <c r="G28" i="4" s="1"/>
  <c r="G32" i="4"/>
  <c r="G19" i="4"/>
  <c r="G15" i="4"/>
  <c r="G14" i="4"/>
  <c r="G12" i="4" s="1"/>
  <c r="G70" i="2"/>
  <c r="G63" i="2"/>
  <c r="G62" i="2"/>
  <c r="G61" i="2"/>
  <c r="G59" i="2"/>
  <c r="G58" i="2"/>
  <c r="G57" i="2"/>
  <c r="G41" i="2"/>
  <c r="G28" i="2"/>
  <c r="G27" i="2" s="1"/>
  <c r="G24" i="2"/>
  <c r="G22" i="2" s="1"/>
  <c r="G9" i="2"/>
  <c r="H37" i="1" l="1"/>
  <c r="H35" i="1" s="1"/>
  <c r="H72" i="1" s="1"/>
  <c r="H70" i="1"/>
  <c r="H69" i="1" s="1"/>
  <c r="D2" i="9"/>
  <c r="D8" i="9" s="1"/>
  <c r="G3" i="4"/>
  <c r="G20" i="2" s="1"/>
  <c r="H76" i="1" s="1"/>
  <c r="G10" i="4"/>
  <c r="G73" i="2"/>
  <c r="H78" i="1" s="1"/>
  <c r="B2" i="9"/>
  <c r="B8" i="9" s="1"/>
  <c r="G8" i="6"/>
  <c r="G4" i="6" s="1"/>
  <c r="G38" i="5" s="1"/>
  <c r="G31" i="6"/>
  <c r="G3" i="6" s="1"/>
  <c r="G37" i="5" s="1"/>
  <c r="G19" i="6"/>
  <c r="H8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tc={443A775C-CB4A-4C7A-81BD-8068D81D1733}</author>
    <author>tc={1FB97FF0-F714-4198-819F-88244E228BFD}</author>
    <author>tc={F6A726EA-AC0C-4FD9-AE5C-B4E365490037}</author>
    <author>tc={3E4894A1-28C8-4FF7-80E9-4AC2C4B352E5}</author>
    <author>tc={89FDE336-0F7C-4329-8EED-22552D80315E}</author>
    <author>tc={7054BFB7-3CCC-4D12-AB28-135169724DA6}</author>
    <author>tc={BC4E3F4B-13D3-4765-B892-F73E89B83C23}</author>
    <author>tc={45F26EC6-37C3-44B0-8A4C-DF8673463FD9}</author>
  </authors>
  <commentList>
    <comment ref="G35" authorId="0" shapeId="0" xr:uid="{443A775C-CB4A-4C7A-81BD-8068D81D1733}">
      <text>
        <t>[Threaded comment]
Your version of Excel allows you to read this threaded comment; however, any edits to it will get removed if the file is opened in a newer version of Excel. Learn more: https://go.microsoft.com/fwlink/?linkid=870924
Comment:
    Eq 1</t>
      </text>
    </comment>
    <comment ref="G37" authorId="1" shapeId="0" xr:uid="{1FB97FF0-F714-4198-819F-88244E228BFD}">
      <text>
        <t>[Threaded comment]
Your version of Excel allows you to read this threaded comment; however, any edits to it will get removed if the file is opened in a newer version of Excel. Learn more: https://go.microsoft.com/fwlink/?linkid=870924
Comment:
    Eq 1</t>
      </text>
    </comment>
    <comment ref="G42" authorId="2" shapeId="0" xr:uid="{F6A726EA-AC0C-4FD9-AE5C-B4E365490037}">
      <text>
        <t>[Threaded comment]
Your version of Excel allows you to read this threaded comment; however, any edits to it will get removed if the file is opened in a newer version of Excel. Learn more: https://go.microsoft.com/fwlink/?linkid=870924
Comment:
    Eq 5</t>
      </text>
    </comment>
    <comment ref="G69" authorId="3" shapeId="0" xr:uid="{3E4894A1-28C8-4FF7-80E9-4AC2C4B352E5}">
      <text>
        <t>[Threaded comment]
Your version of Excel allows you to read this threaded comment; however, any edits to it will get removed if the file is opened in a newer version of Excel. Learn more: https://go.microsoft.com/fwlink/?linkid=870924
Comment:
    Eq 1</t>
      </text>
    </comment>
    <comment ref="G76" authorId="4" shapeId="0" xr:uid="{89FDE336-0F7C-4329-8EED-22552D80315E}">
      <text>
        <t>[Threaded comment]
Your version of Excel allows you to read this threaded comment; however, any edits to it will get removed if the file is opened in a newer version of Excel. Learn more: https://go.microsoft.com/fwlink/?linkid=870924
Comment:
    From Tool 13</t>
      </text>
    </comment>
    <comment ref="G78" authorId="5" shapeId="0" xr:uid="{7054BFB7-3CCC-4D12-AB28-135169724DA6}">
      <text>
        <t>[Threaded comment]
Your version of Excel allows you to read this threaded comment; however, any edits to it will get removed if the file is opened in a newer version of Excel. Learn more: https://go.microsoft.com/fwlink/?linkid=870924
Comment:
    Tool 13</t>
      </text>
    </comment>
    <comment ref="G81" authorId="6" shapeId="0" xr:uid="{BC4E3F4B-13D3-4765-B892-F73E89B83C23}">
      <text>
        <t>[Threaded comment]
Your version of Excel allows you to read this threaded comment; however, any edits to it will get removed if the file is opened in a newer version of Excel. Learn more: https://go.microsoft.com/fwlink/?linkid=870924
Comment:
    Eq 2</t>
      </text>
    </comment>
    <comment ref="G82" authorId="7" shapeId="0" xr:uid="{45F26EC6-37C3-44B0-8A4C-DF8673463FD9}">
      <text>
        <t>[Threaded comment]
Your version of Excel allows you to read this threaded comment; however, any edits to it will get removed if the file is opened in a newer version of Excel. Learn more: https://go.microsoft.com/fwlink/?linkid=870924
Comment:
    Eq 4</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tc={28C78F5C-655D-4709-9A84-87CEDE9FE7BA}</author>
    <author>tc={AA50BC0C-C768-429F-9E23-A65D60E7DA13}</author>
    <author>tc={FCDBF84E-9241-43A0-813D-92DB940AE162}</author>
    <author>tc={ABC8DEEC-C19E-460C-A95B-0496DF6AAA7E}</author>
  </authors>
  <commentList>
    <comment ref="D9" authorId="0" shapeId="0" xr:uid="{28C78F5C-655D-4709-9A84-87CEDE9FE7BA}">
      <text>
        <t>[Threaded comment]
Your version of Excel allows you to read this threaded comment; however, any edits to it will get removed if the file is opened in a newer version of Excel. Learn more: https://go.microsoft.com/fwlink/?linkid=870924
Comment:
    Eq 4</t>
      </text>
    </comment>
    <comment ref="D13" authorId="1" shapeId="0" xr:uid="{AA50BC0C-C768-429F-9E23-A65D60E7DA13}">
      <text>
        <t>[Threaded comment]
Your version of Excel allows you to read this threaded comment; however, any edits to it will get removed if the file is opened in a newer version of Excel. Learn more: https://go.microsoft.com/fwlink/?linkid=870924
Comment:
    Eq 2 &amp; 3
Reply:
    Default option &amp; Adjusted Default
Reply:
    PP should be able to choose if they want to use the default value (eq 2) or if they want to adjust the default value (eq 3)</t>
      </text>
    </comment>
    <comment ref="D29" authorId="2" shapeId="0" xr:uid="{FCDBF84E-9241-43A0-813D-92DB940AE162}">
      <text>
        <t>[Threaded comment]
Your version of Excel allows you to read this threaded comment; however, any edits to it will get removed if the file is opened in a newer version of Excel. Learn more: https://go.microsoft.com/fwlink/?linkid=870924
Comment:
    Eq 4</t>
      </text>
    </comment>
    <comment ref="D33" authorId="3" shapeId="0" xr:uid="{ABC8DEEC-C19E-460C-A95B-0496DF6AAA7E}">
      <text>
        <t>[Threaded comment]
Your version of Excel allows you to read this threaded comment; however, any edits to it will get removed if the file is opened in a newer version of Excel. Learn more: https://go.microsoft.com/fwlink/?linkid=870924
Comment:
    Eq 2
Reply:
    Default option
Reply:
    PP should be able to choose if they want to use the default value (eq 2) or if they want to adjust the default value (eq 3)</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tc={1FA19FA1-B104-4577-A815-9CB994B6E80E}</author>
    <author>tc={EFECCA12-9FFB-4CD9-A41B-F17863ADCF10}</author>
    <author>tc={B6F7C81B-6FC2-450E-BB1D-A3AC7407924B}</author>
    <author>tc={91AFE3ED-7805-4F86-890E-E1073295A94D}</author>
    <author>tc={31796D78-385B-4831-BC2E-5A9349547B67}</author>
    <author>tc={F9FC19AD-6857-4449-938F-B0D85BCC4121}</author>
    <author>tc={D43C39F6-A9F9-4187-9A74-FFF67BA04FA1}</author>
    <author>tc={0DF2C0D6-6B5A-4819-B513-9DE5F85D26D9}</author>
    <author>tc={D12D4FB1-EC05-4C26-B47F-2529ADC31E07}</author>
    <author>tc={48B09FA5-D379-4E87-893F-7BAA2C6EE7A8}</author>
  </authors>
  <commentList>
    <comment ref="F9" authorId="0" shapeId="0" xr:uid="{1FA19FA1-B104-4577-A815-9CB994B6E80E}">
      <text>
        <t>[Threaded comment]
Your version of Excel allows you to read this threaded comment; however, any edits to it will get removed if the file is opened in a newer version of Excel. Learn more: https://go.microsoft.com/fwlink/?linkid=870924
Comment:
    Eq 2</t>
      </text>
    </comment>
    <comment ref="F16" authorId="1" shapeId="0" xr:uid="{EFECCA12-9FFB-4CD9-A41B-F17863ADCF10}">
      <text>
        <t>[Threaded comment]
Your version of Excel allows you to read this threaded comment; however, any edits to it will get removed if the file is opened in a newer version of Excel. Learn more: https://go.microsoft.com/fwlink/?linkid=870924
Comment:
    Tool 05</t>
      </text>
    </comment>
    <comment ref="F20" authorId="2" shapeId="0" xr:uid="{B6F7C81B-6FC2-450E-BB1D-A3AC7407924B}">
      <text>
        <t>[Threaded comment]
Your version of Excel allows you to read this threaded comment; however, any edits to it will get removed if the file is opened in a newer version of Excel. Learn more: https://go.microsoft.com/fwlink/?linkid=870924
Comment:
    Tool 03</t>
      </text>
    </comment>
    <comment ref="F22" authorId="3" shapeId="0" xr:uid="{91AFE3ED-7805-4F86-890E-E1073295A94D}">
      <text>
        <t>[Threaded comment]
Your version of Excel allows you to read this threaded comment; however, any edits to it will get removed if the file is opened in a newer version of Excel. Learn more: https://go.microsoft.com/fwlink/?linkid=870924
Comment:
    Eq 4</t>
      </text>
    </comment>
    <comment ref="F27" authorId="4" shapeId="0" xr:uid="{31796D78-385B-4831-BC2E-5A9349547B67}">
      <text>
        <t>[Threaded comment]
Your version of Excel allows you to read this threaded comment; however, any edits to it will get removed if the file is opened in a newer version of Excel. Learn more: https://go.microsoft.com/fwlink/?linkid=870924
Comment:
    Eq 5</t>
      </text>
    </comment>
    <comment ref="F28" authorId="5" shapeId="0" xr:uid="{F9FC19AD-6857-4449-938F-B0D85BCC4121}">
      <text>
        <t>[Threaded comment]
Your version of Excel allows you to read this threaded comment; however, any edits to it will get removed if the file is opened in a newer version of Excel. Learn more: https://go.microsoft.com/fwlink/?linkid=870924
Comment:
    Eq 6 for option 1 and default for option 2</t>
      </text>
    </comment>
    <comment ref="F41" authorId="6" shapeId="0" xr:uid="{D43C39F6-A9F9-4187-9A74-FFF67BA04FA1}">
      <text>
        <t>[Threaded comment]
Your version of Excel allows you to read this threaded comment; however, any edits to it will get removed if the file is opened in a newer version of Excel. Learn more: https://go.microsoft.com/fwlink/?linkid=870924
Comment:
    Eq 7</t>
      </text>
    </comment>
    <comment ref="F42" authorId="7" shapeId="0" xr:uid="{0DF2C0D6-6B5A-4819-B513-9DE5F85D26D9}">
      <text>
        <t>[Threaded comment]
Your version of Excel allows you to read this threaded comment; however, any edits to it will get removed if the file is opened in a newer version of Excel. Learn more: https://go.microsoft.com/fwlink/?linkid=870924
Comment:
    Eq 8 for option 1 and default for option 2</t>
      </text>
    </comment>
    <comment ref="F57" authorId="8" shapeId="0" xr:uid="{D12D4FB1-EC05-4C26-B47F-2529ADC31E07}">
      <text>
        <t xml:space="preserve">[Threaded comment]
Your version of Excel allows you to read this threaded comment; however, any edits to it will get removed if the file is opened in a newer version of Excel. Learn more: https://go.microsoft.com/fwlink/?linkid=870924
Comment:
    Eq 9 with if/then for run-off wastewater that is collected and re-circulated </t>
      </text>
    </comment>
    <comment ref="I70" authorId="9" shapeId="0" xr:uid="{48B09FA5-D379-4E87-893F-7BAA2C6EE7A8}">
      <text>
        <t>[Threaded comment]
Your version of Excel allows you to read this threaded comment; however, any edits to it will get removed if the file is opened in a newer version of Excel. Learn more: https://go.microsoft.com/fwlink/?linkid=870924
Comment:
    The calculated value for this is located in row 66 as option 1</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tc={5078B788-AF6A-44CB-8490-768768E87466}</author>
  </authors>
  <commentList>
    <comment ref="F10" authorId="0" shapeId="0" xr:uid="{5078B788-AF6A-44CB-8490-768768E87466}">
      <text>
        <t>[Threaded comment]
Your version of Excel allows you to read this threaded comment; however, any edits to it will get removed if the file is opened in a newer version of Excel. Learn more: https://go.microsoft.com/fwlink/?linkid=870924
Comment:
    Eq 1</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tc={D35453D9-4F22-45AA-83C8-D2D899994FB7}</author>
    <author>tc={407E624C-FC91-4F26-A3E7-BF37BDFA4E83}</author>
    <author>tc={4A0E177B-4F5A-445D-BA5C-FA22561FB1EE}</author>
    <author>tc={D5ECC3F9-5F6D-48AD-8D34-74133DCEAF5F}</author>
    <author>tc={0EEA6625-7FA4-42EF-8A61-593A8D5747B4}</author>
    <author>tc={B73E29A7-F8CB-41D7-85E3-E63496CCEAC7}</author>
    <author>tc={962F2535-EC1A-499C-ABDA-7609C3C74E56}</author>
    <author>tc={6D040008-1AFE-4593-8C29-B21E5ADDE58E}</author>
  </authors>
  <commentList>
    <comment ref="F6" authorId="0" shapeId="0" xr:uid="{D35453D9-4F22-45AA-83C8-D2D899994FB7}">
      <text>
        <t>[Threaded comment]
Your version of Excel allows you to read this threaded comment; however, any edits to it will get removed if the file is opened in a newer version of Excel. Learn more: https://go.microsoft.com/fwlink/?linkid=870924
Comment:
    Eq 1</t>
      </text>
    </comment>
    <comment ref="F11" authorId="1" shapeId="0" xr:uid="{407E624C-FC91-4F26-A3E7-BF37BDFA4E83}">
      <text>
        <t>[Threaded comment]
Your version of Excel allows you to read this threaded comment; however, any edits to it will get removed if the file is opened in a newer version of Excel. Learn more: https://go.microsoft.com/fwlink/?linkid=870924
Comment:
    Eq 2</t>
      </text>
    </comment>
    <comment ref="F13" authorId="2" shapeId="0" xr:uid="{4A0E177B-4F5A-445D-BA5C-FA22561FB1EE}">
      <text>
        <t>[Threaded comment]
Your version of Excel allows you to read this threaded comment; however, any edits to it will get removed if the file is opened in a newer version of Excel. Learn more: https://go.microsoft.com/fwlink/?linkid=870924
Comment:
    At least monthly recording of data</t>
      </text>
    </comment>
    <comment ref="F16" authorId="3" shapeId="0" xr:uid="{D5ECC3F9-5F6D-48AD-8D34-74133DCEAF5F}">
      <text>
        <t>[Threaded comment]
Your version of Excel allows you to read this threaded comment; however, any edits to it will get removed if the file is opened in a newer version of Excel. Learn more: https://go.microsoft.com/fwlink/?linkid=870924
Comment:
    Eq 3</t>
      </text>
    </comment>
    <comment ref="F22" authorId="4" shapeId="0" xr:uid="{0EEA6625-7FA4-42EF-8A61-593A8D5747B4}">
      <text>
        <t>[Threaded comment]
Your version of Excel allows you to read this threaded comment; however, any edits to it will get removed if the file is opened in a newer version of Excel. Learn more: https://go.microsoft.com/fwlink/?linkid=870924
Comment:
    Eq 7</t>
      </text>
    </comment>
    <comment ref="F23" authorId="5" shapeId="0" xr:uid="{B73E29A7-F8CB-41D7-85E3-E63496CCEAC7}">
      <text>
        <t>[Threaded comment]
Your version of Excel allows you to read this threaded comment; however, any edits to it will get removed if the file is opened in a newer version of Excel. Learn more: https://go.microsoft.com/fwlink/?linkid=870924
Comment:
    Eq 8</t>
      </text>
    </comment>
    <comment ref="F37" authorId="6" shapeId="0" xr:uid="{962F2535-EC1A-499C-ABDA-7609C3C74E56}">
      <text>
        <t>[Threaded comment]
Your version of Excel allows you to read this threaded comment; however, any edits to it will get removed if the file is opened in a newer version of Excel. Learn more: https://go.microsoft.com/fwlink/?linkid=870924
Comment:
    Eq 4</t>
      </text>
    </comment>
    <comment ref="F38" authorId="7" shapeId="0" xr:uid="{6D040008-1AFE-4593-8C29-B21E5ADDE58E}">
      <text>
        <t>[Threaded comment]
Your version of Excel allows you to read this threaded comment; however, any edits to it will get removed if the file is opened in a newer version of Excel. Learn more: https://go.microsoft.com/fwlink/?linkid=870924
Comment:
    Eq 5</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tc={BCC325B0-DAE9-403C-9AD7-32043FC90070}</author>
    <author>tc={C35888C5-FCD7-4017-824F-39BE3D8F4B9B}</author>
    <author>tc={25F84C17-09F0-4B32-8BD0-3DE929AFDED7}</author>
    <author>tc={97AAD12C-46D3-463E-8647-09346C3BF59C}</author>
    <author>tc={609E5A4C-B301-497E-AA0C-7B0140ABB2A4}</author>
    <author>tc={B5B47A51-AE51-42A0-A04F-71CEEC6D4053}</author>
    <author>tc={C047BB73-EF12-4064-8E10-FA85577EC641}</author>
    <author>tc={0F9F6D19-32D1-4B1B-9B90-AD7A1BBC22B5}</author>
    <author>tc={845158A4-3EDD-4A67-A992-FECBC7D198F9}</author>
    <author>tc={F6DBF2AF-3BEE-442C-9988-89B491E9FF90}</author>
    <author>tc={068E5FC9-E003-42A2-87BE-8DD866DB260E}</author>
    <author>tc={6A25D7DC-CF5E-479A-A45F-ACE1B6E44976}</author>
    <author>tc={A67145C6-AC96-4557-BE07-37EE3A253AE6}</author>
    <author>tc={E1AD1E05-38CB-4E32-9C97-397F3013F396}</author>
    <author>tc={6E92020B-DC4B-49BD-946F-4ED9A5F1B5C1}</author>
    <author>tc={F5D5F15B-1166-4925-9A84-A3BA4AA8D546}</author>
    <author>tc={DC2B6246-17FA-416E-9FF5-ACBCDC37EA27}</author>
    <author>tc={4E60422F-1FD7-45A0-B86E-E345BACA3673}</author>
    <author>tc={5ACE38EF-7BD3-43FA-B240-5F0671B68F7A}</author>
    <author>tc={9FC6A603-09B8-4C7C-A0A1-B7148673F72F}</author>
  </authors>
  <commentList>
    <comment ref="F3" authorId="0" shapeId="0" xr:uid="{BCC325B0-DAE9-403C-9AD7-32043FC90070}">
      <text>
        <t>[Threaded comment]
Your version of Excel allows you to read this threaded comment; however, any edits to it will get removed if the file is opened in a newer version of Excel. Learn more: https://go.microsoft.com/fwlink/?linkid=870924
Comment:
    Eq 4</t>
      </text>
    </comment>
    <comment ref="F4" authorId="1" shapeId="0" xr:uid="{C35888C5-FCD7-4017-824F-39BE3D8F4B9B}">
      <text>
        <t>[Threaded comment]
Your version of Excel allows you to read this threaded comment; however, any edits to it will get removed if the file is opened in a newer version of Excel. Learn more: https://go.microsoft.com/fwlink/?linkid=870924
Comment:
    Eq 5</t>
      </text>
    </comment>
    <comment ref="F7" authorId="2" shapeId="0" xr:uid="{25F84C17-09F0-4B32-8BD0-3DE929AFDED7}">
      <text>
        <t>[Threaded comment]
Your version of Excel allows you to read this threaded comment; however, any edits to it will get removed if the file is opened in a newer version of Excel. Learn more: https://go.microsoft.com/fwlink/?linkid=870924
Comment:
    Eq 4</t>
      </text>
    </comment>
    <comment ref="F8" authorId="3" shapeId="0" xr:uid="{97AAD12C-46D3-463E-8647-09346C3BF59C}">
      <text>
        <t>[Threaded comment]
Your version of Excel allows you to read this threaded comment; however, any edits to it will get removed if the file is opened in a newer version of Excel. Learn more: https://go.microsoft.com/fwlink/?linkid=870924
Comment:
    Eq 5</t>
      </text>
    </comment>
    <comment ref="F10" authorId="4" shapeId="0" xr:uid="{609E5A4C-B301-497E-AA0C-7B0140ABB2A4}">
      <text>
        <t>[Threaded comment]
Your version of Excel allows you to read this threaded comment; however, any edits to it will get removed if the file is opened in a newer version of Excel. Learn more: https://go.microsoft.com/fwlink/?linkid=870924
Comment:
    Assumptions are made for this that the unit for FCn,i,t is in metric tons</t>
      </text>
    </comment>
    <comment ref="G10" authorId="5" shapeId="0" xr:uid="{B5B47A51-AE51-42A0-A04F-71CEEC6D4053}">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G11" authorId="6" shapeId="0" xr:uid="{C047BB73-EF12-4064-8E10-FA85577EC641}">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F12" authorId="7" shapeId="0" xr:uid="{0F9F6D19-32D1-4B1B-9B90-AD7A1BBC22B5}">
      <text>
        <t>[Threaded comment]
Your version of Excel allows you to read this threaded comment; however, any edits to it will get removed if the file is opened in a newer version of Excel. Learn more: https://go.microsoft.com/fwlink/?linkid=870924
Comment:
    Unit of measurement can be cubic meters, metric ton, or liter. This seems to be confusing when it comes to the calculation. Depending on the unit of measurement used there could be errors in the final calc. This is following the methodology so I'll leave it as is.</t>
      </text>
    </comment>
    <comment ref="F19" authorId="8" shapeId="0" xr:uid="{845158A4-3EDD-4A67-A992-FECBC7D198F9}">
      <text>
        <t>[Threaded comment]
Your version of Excel allows you to read this threaded comment; however, any edits to it will get removed if the file is opened in a newer version of Excel. Learn more: https://go.microsoft.com/fwlink/?linkid=870924
Comment:
    Eq 4</t>
      </text>
    </comment>
    <comment ref="F20" authorId="9" shapeId="0" xr:uid="{F6DBF2AF-3BEE-442C-9988-89B491E9FF90}">
      <text>
        <t>[Threaded comment]
Your version of Excel allows you to read this threaded comment; however, any edits to it will get removed if the file is opened in a newer version of Excel. Learn more: https://go.microsoft.com/fwlink/?linkid=870924
Comment:
    Eq 5</t>
      </text>
    </comment>
    <comment ref="F22" authorId="10" shapeId="0" xr:uid="{068E5FC9-E003-42A2-87BE-8DD866DB260E}">
      <text>
        <t>[Threaded comment]
Your version of Excel allows you to read this threaded comment; however, any edits to it will get removed if the file is opened in a newer version of Excel. Learn more: https://go.microsoft.com/fwlink/?linkid=870924
Comment:
    Assumptions are made for this that the unit for FCn,i,t is in metric tons</t>
      </text>
    </comment>
    <comment ref="G22" authorId="11" shapeId="0" xr:uid="{6A25D7DC-CF5E-479A-A45F-ACE1B6E44976}">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G23" authorId="12" shapeId="0" xr:uid="{A67145C6-AC96-4557-BE07-37EE3A253AE6}">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F24" authorId="13" shapeId="0" xr:uid="{E1AD1E05-38CB-4E32-9C97-397F3013F396}">
      <text>
        <t>[Threaded comment]
Your version of Excel allows you to read this threaded comment; however, any edits to it will get removed if the file is opened in a newer version of Excel. Learn more: https://go.microsoft.com/fwlink/?linkid=870924
Comment:
    Unit of measurement can be cubic meters, metric ton, or liter. This seems to be confusing when it comes to the calculation. Depending on the unit of measurement used there could be errors in the final calc. This is following the methodology so I'll leave it as is.</t>
      </text>
    </comment>
    <comment ref="F31" authorId="14" shapeId="0" xr:uid="{6E92020B-DC4B-49BD-946F-4ED9A5F1B5C1}">
      <text>
        <t>[Threaded comment]
Your version of Excel allows you to read this threaded comment; however, any edits to it will get removed if the file is opened in a newer version of Excel. Learn more: https://go.microsoft.com/fwlink/?linkid=870924
Comment:
    Eq 4</t>
      </text>
    </comment>
    <comment ref="F32" authorId="15" shapeId="0" xr:uid="{F5D5F15B-1166-4925-9A84-A3BA4AA8D546}">
      <text>
        <t>[Threaded comment]
Your version of Excel allows you to read this threaded comment; however, any edits to it will get removed if the file is opened in a newer version of Excel. Learn more: https://go.microsoft.com/fwlink/?linkid=870924
Comment:
    Eq 5</t>
      </text>
    </comment>
    <comment ref="F34" authorId="16" shapeId="0" xr:uid="{DC2B6246-17FA-416E-9FF5-ACBCDC37EA27}">
      <text>
        <t>[Threaded comment]
Your version of Excel allows you to read this threaded comment; however, any edits to it will get removed if the file is opened in a newer version of Excel. Learn more: https://go.microsoft.com/fwlink/?linkid=870924
Comment:
    Assumptions are made for this that the unit for FCn,i,t is in metric tons</t>
      </text>
    </comment>
    <comment ref="G34" authorId="17" shapeId="0" xr:uid="{4E60422F-1FD7-45A0-B86E-E345BACA3673}">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G35" authorId="18" shapeId="0" xr:uid="{5ACE38EF-7BD3-43FA-B240-5F0671B68F7A}">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F36" authorId="19" shapeId="0" xr:uid="{9FC6A603-09B8-4C7C-A0A1-B7148673F72F}">
      <text>
        <t>[Threaded comment]
Your version of Excel allows you to read this threaded comment; however, any edits to it will get removed if the file is opened in a newer version of Excel. Learn more: https://go.microsoft.com/fwlink/?linkid=870924
Comment:
    Unit of measurement can be cubic meters, metric ton, or liter. This seems to be confusing when it comes to the calculation. Depending on the unit of measurement used there could be errors in the final calc. This is following the methodology so I'll leave it as is.</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tc={B7C689FF-C45B-47C5-8903-9C7A9E27F2E1}</author>
  </authors>
  <commentList>
    <comment ref="D3" authorId="0" shapeId="0" xr:uid="{B7C689FF-C45B-47C5-8903-9C7A9E27F2E1}">
      <text>
        <t>[Threaded comment]
Your version of Excel allows you to read this threaded comment; however, any edits to it will get removed if the file is opened in a newer version of Excel. Learn more: https://go.microsoft.com/fwlink/?linkid=870924
Comment:
    Upper Default Value at the 95% confidence interval</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tc={35F36423-61D0-4B97-81AA-292B72ADEE8A}</author>
    <author>tc={B0DDEC59-B96A-4A02-95BE-0D1C622D5C03}</author>
    <author>tc={AFE7536B-BD3E-47CE-86D2-B3D9089CB477}</author>
    <author>tc={F0717DC6-5780-438E-8412-89CBE28A0699}</author>
    <author>tc={897E0BC6-A266-425D-82A2-A2AFC53E80C1}</author>
    <author>tc={C8A49747-D190-4659-B9E4-58D51DA7036E}</author>
    <author>tc={5C45C33F-0AD6-4191-8878-E85031110FB4}</author>
    <author>tc={8D2311B1-041B-4E2F-8114-FDE0F79B50E2}</author>
  </authors>
  <commentList>
    <comment ref="B34" authorId="0" shapeId="0" xr:uid="{35F36423-61D0-4B97-81AA-292B72ADEE8A}">
      <text>
        <t>[Threaded comment]
Your version of Excel allows you to read this threaded comment; however, any edits to it will get removed if the file is opened in a newer version of Excel. Learn more: https://go.microsoft.com/fwlink/?linkid=870924
Comment:
    Equation 3</t>
      </text>
    </comment>
    <comment ref="B35" authorId="1" shapeId="0" xr:uid="{B0DDEC59-B96A-4A02-95BE-0D1C622D5C03}">
      <text>
        <t>[Threaded comment]
Your version of Excel allows you to read this threaded comment; however, any edits to it will get removed if the file is opened in a newer version of Excel. Learn more: https://go.microsoft.com/fwlink/?linkid=870924
Comment:
    Equation 4</t>
      </text>
    </comment>
    <comment ref="B44" authorId="2" shapeId="0" xr:uid="{AFE7536B-BD3E-47CE-86D2-B3D9089CB477}">
      <text>
        <t>[Threaded comment]
Your version of Excel allows you to read this threaded comment; however, any edits to it will get removed if the file is opened in a newer version of Excel. Learn more: https://go.microsoft.com/fwlink/?linkid=870924
Comment:
    Equation 7</t>
      </text>
    </comment>
    <comment ref="B45" authorId="3" shapeId="0" xr:uid="{F0717DC6-5780-438E-8412-89CBE28A0699}">
      <text>
        <t>[Threaded comment]
Your version of Excel allows you to read this threaded comment; however, any edits to it will get removed if the file is opened in a newer version of Excel. Learn more: https://go.microsoft.com/fwlink/?linkid=870924
Comment:
    Equation 5</t>
      </text>
    </comment>
    <comment ref="B54" authorId="4" shapeId="0" xr:uid="{897E0BC6-A266-425D-82A2-A2AFC53E80C1}">
      <text>
        <t>[Threaded comment]
Your version of Excel allows you to read this threaded comment; however, any edits to it will get removed if the file is opened in a newer version of Excel. Learn more: https://go.microsoft.com/fwlink/?linkid=870924
Comment:
    Equation 9</t>
      </text>
    </comment>
    <comment ref="B59" authorId="5" shapeId="0" xr:uid="{C8A49747-D190-4659-B9E4-58D51DA7036E}">
      <text>
        <t>[Threaded comment]
Your version of Excel allows you to read this threaded comment; however, any edits to it will get removed if the file is opened in a newer version of Excel. Learn more: https://go.microsoft.com/fwlink/?linkid=870924
Comment:
    Equation 11</t>
      </text>
    </comment>
    <comment ref="B66" authorId="6" shapeId="0" xr:uid="{5C45C33F-0AD6-4191-8878-E85031110FB4}">
      <text>
        <t>[Threaded comment]
Your version of Excel allows you to read this threaded comment; however, any edits to it will get removed if the file is opened in a newer version of Excel. Learn more: https://go.microsoft.com/fwlink/?linkid=870924
Comment:
    Equation 12</t>
      </text>
    </comment>
    <comment ref="B86" authorId="7" shapeId="0" xr:uid="{8D2311B1-041B-4E2F-8114-FDE0F79B50E2}">
      <text>
        <t>[Threaded comment]
Your version of Excel allows you to read this threaded comment; however, any edits to it will get removed if the file is opened in a newer version of Excel. Learn more: https://go.microsoft.com/fwlink/?linkid=870924
Comment:
    Equation 1</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tc={2FB7DB08-B2B0-45EA-9F2E-D216A362309D}</author>
  </authors>
  <commentList>
    <comment ref="A2" authorId="0" shapeId="0" xr:uid="{2FB7DB08-B2B0-45EA-9F2E-D216A362309D}">
      <text>
        <t>[Threaded comment]
Your version of Excel allows you to read this threaded comment; however, any edits to it will get removed if the file is opened in a newer version of Excel. Learn more: https://go.microsoft.com/fwlink/?linkid=870924
Comment:
    Add a line for each SWDS CH4 calculation instance added</t>
      </text>
    </comment>
  </commentList>
</comments>
</file>

<file path=xl/sharedStrings.xml><?xml version="1.0" encoding="utf-8"?>
<sst xmlns="http://schemas.openxmlformats.org/spreadsheetml/2006/main" count="2788" uniqueCount="1446">
  <si>
    <t>Required Field</t>
  </si>
  <si>
    <t>Selective Disclosure</t>
  </si>
  <si>
    <t>Allow Multiple Answers</t>
  </si>
  <si>
    <t>Schema Type</t>
  </si>
  <si>
    <t>Properties</t>
  </si>
  <si>
    <t>Parameter</t>
  </si>
  <si>
    <t>Question</t>
  </si>
  <si>
    <t>Answer</t>
  </si>
  <si>
    <t>Notes</t>
  </si>
  <si>
    <t>Comments</t>
  </si>
  <si>
    <t>Project Details</t>
  </si>
  <si>
    <t>Yes</t>
  </si>
  <si>
    <t>No</t>
  </si>
  <si>
    <t>String</t>
  </si>
  <si>
    <t>N/A</t>
  </si>
  <si>
    <t>Summary Description of the Project</t>
  </si>
  <si>
    <t>The purpose of the project activity is to avoid methane emissions through controlled aerobic treatment by composting swine and cattle manure.</t>
  </si>
  <si>
    <t>ActivityImpactModule.projectScope</t>
  </si>
  <si>
    <t>Sectoral Scope</t>
  </si>
  <si>
    <t>Sectoral Scope: 13</t>
  </si>
  <si>
    <t>The correct term is 'Sectoral Scope'</t>
  </si>
  <si>
    <t>ActivityImpactModule.projectType</t>
  </si>
  <si>
    <t>Project Type</t>
  </si>
  <si>
    <t>GHG emission avoidance: Avoidance of GHG emissions by alternative treatment process</t>
  </si>
  <si>
    <t>Type of Activity</t>
  </si>
  <si>
    <t>Controlled biological treatment of biomass or other organic matter is introduced through aerobic treatment by composting and proper soil application of the compost</t>
  </si>
  <si>
    <t>ActivityImpactModule.projectScale</t>
  </si>
  <si>
    <t>Project Scale</t>
  </si>
  <si>
    <t>Small scale</t>
  </si>
  <si>
    <t>ActivityImpactModule.GeographicLocation.latitude</t>
  </si>
  <si>
    <t>Project Location Latitude</t>
  </si>
  <si>
    <t>27°56'08.2"S</t>
  </si>
  <si>
    <t>ActivityImpactModule.GeographicLocation.longitude</t>
  </si>
  <si>
    <t>Project Location Longitude</t>
  </si>
  <si>
    <t>23°40'36.3"E</t>
  </si>
  <si>
    <t>GeoJSON</t>
  </si>
  <si>
    <t>ActivityImpactModule.GeographicLocation.geoJsonOrKml</t>
  </si>
  <si>
    <t>Project Location GeoJSON (GeoJSON supports the following geometry types: Point, LineString, Polygon, MultiPoint, MultiLineString, MultiPolygon.)</t>
  </si>
  <si>
    <t>[ -27.935478374805534, 23.67673926791558 ]</t>
  </si>
  <si>
    <t>Project Eligibility</t>
  </si>
  <si>
    <t>The project achieve avoiding GHG emissions from uncovered anaerobic lagoons by using aerobic composting system and treatment of both solids and wastewater, which is eligible under the scope of the VCS program and meets the requirement of applied methodology.</t>
  </si>
  <si>
    <t>AccountableImpactOrganization.name</t>
  </si>
  <si>
    <t>Project Participant Organization Name</t>
  </si>
  <si>
    <t>X Group Trading</t>
  </si>
  <si>
    <t>Name</t>
  </si>
  <si>
    <t>Project Participant Contact Person</t>
  </si>
  <si>
    <t>John Doe</t>
  </si>
  <si>
    <t xml:space="preserve">Project Participant Title </t>
  </si>
  <si>
    <t xml:space="preserve">Owner </t>
  </si>
  <si>
    <t>Address</t>
  </si>
  <si>
    <t>AccountableImpactOrganization.addresses</t>
  </si>
  <si>
    <t xml:space="preserve">Project Participant Address </t>
  </si>
  <si>
    <t>South Africa</t>
  </si>
  <si>
    <t>Phone Number</t>
  </si>
  <si>
    <t xml:space="preserve">Project Participant Telephone </t>
  </si>
  <si>
    <t>(555) 222-3131</t>
  </si>
  <si>
    <t>Email</t>
  </si>
  <si>
    <t>Project Participant Email</t>
  </si>
  <si>
    <t>JD@gmail.com</t>
  </si>
  <si>
    <t>AccountableImpactOrganization.owners</t>
  </si>
  <si>
    <t>Project Ownership</t>
  </si>
  <si>
    <t>The total extent of the Reliance property is 62 hectares, with composting being undertaken over 13 hectares. The project proponent is the title-holder of the entire property and therefore has ownership of the project and the GHG emissions reductions.</t>
  </si>
  <si>
    <t>Emissions Trading Programs and Other Binding Limits</t>
  </si>
  <si>
    <t>Participation under other GHG Programs</t>
  </si>
  <si>
    <t xml:space="preserve">No </t>
  </si>
  <si>
    <t>Other Forms of Environmental Credit</t>
  </si>
  <si>
    <t>Projects Rejected by Other GHG Programs</t>
  </si>
  <si>
    <t>The project has not been rejected by any GHG reduction or removal program.</t>
  </si>
  <si>
    <t>Title and Reference of Methodologies</t>
  </si>
  <si>
    <t>AMS-III.F: Avoidance of methane emissions through composting</t>
  </si>
  <si>
    <t>Date</t>
  </si>
  <si>
    <t>ActivityImpactModule.projectStartDate</t>
  </si>
  <si>
    <t>Project Start Date</t>
  </si>
  <si>
    <t>Date Range</t>
  </si>
  <si>
    <t>ActivityImpactModule.projectCreditingPeriod</t>
  </si>
  <si>
    <t>Project Crediting Period</t>
  </si>
  <si>
    <t>01/01/2015-12/31/2024</t>
  </si>
  <si>
    <t>ActivityImpactModule.projectMonitoringPeriod</t>
  </si>
  <si>
    <t>Project Monitoring Period</t>
  </si>
  <si>
    <t>Project Monitoring Plan</t>
  </si>
  <si>
    <t>Monitoring plan was structured based on AMS-III.F criteria</t>
  </si>
  <si>
    <t>Compliance with Laws, Statutes and Other Regulatory Frameworks</t>
  </si>
  <si>
    <t>Reliance is compliant with the legal requirements of South Africa</t>
  </si>
  <si>
    <t>Leakage Management</t>
  </si>
  <si>
    <t>Not applicable, the project technology does not involve equipment being transferred from another activity and existing equipment is not being transferred to another activity.</t>
  </si>
  <si>
    <t>CoBenefit.unSdg</t>
  </si>
  <si>
    <t>Sustainable development</t>
  </si>
  <si>
    <t>SDG 13, SDG 7</t>
  </si>
  <si>
    <t>Further Information</t>
  </si>
  <si>
    <t>There is no further relevant information.</t>
  </si>
  <si>
    <t xml:space="preserve">Determination of which approach will be used 17a or 17b </t>
  </si>
  <si>
    <t>If/Then</t>
  </si>
  <si>
    <r>
      <t xml:space="preserve">Please select the option that applies to your project in order to calculate baseline emission for manure:
</t>
    </r>
    <r>
      <rPr>
        <b/>
        <sz val="11"/>
        <color rgb="FF000000"/>
        <rFont val="Calibri"/>
        <family val="2"/>
        <scheme val="minor"/>
      </rPr>
      <t>Option 17a:</t>
    </r>
    <r>
      <rPr>
        <sz val="11"/>
        <color rgb="FF000000"/>
        <rFont val="Calibri"/>
        <family val="2"/>
        <scheme val="minor"/>
      </rPr>
      <t xml:space="preserve"> Using the amount of the waste or raw material that would decay anaerobically in the absence of the project activity, with the most recent IPCC Tier 2 approach. For this calculation, information about the characteristics of the manure and of the management systems in the baseline is required. Manure characteristics include the amount of volatile solids (VS) produced by the livestock and the maximum amount of methane that can be potentially produced from that manure (Bo). 
</t>
    </r>
    <r>
      <rPr>
        <b/>
        <sz val="11"/>
        <color rgb="FF000000"/>
        <rFont val="Calibri"/>
        <family val="2"/>
        <scheme val="minor"/>
      </rPr>
      <t xml:space="preserve">Option 17b: </t>
    </r>
    <r>
      <rPr>
        <sz val="11"/>
        <color rgb="FF000000"/>
        <rFont val="Calibri"/>
        <family val="2"/>
        <scheme val="minor"/>
      </rPr>
      <t>Using the amount of manure that would decay anaerobically in the absence of the project activity based on direct measurement of the quantity of manure treated together with its specific volatile solids (SVS) content.</t>
    </r>
  </si>
  <si>
    <t>Option 17a</t>
  </si>
  <si>
    <t>Baseline Emissions from Manure (AMS-III.D)</t>
  </si>
  <si>
    <t>Auto-Calculated</t>
  </si>
  <si>
    <t xml:space="preserve">BE,manure,y </t>
  </si>
  <si>
    <t>Baseline emissions from manure in year y (t CO2e)</t>
  </si>
  <si>
    <t>Baseline Emissions 17a (AMS-III.D)</t>
  </si>
  <si>
    <t xml:space="preserve">BE,manure,17a,y </t>
  </si>
  <si>
    <t>Baseline emissions from manure 17a in year y (t CO2e)</t>
  </si>
  <si>
    <t xml:space="preserve">GWPCH4 </t>
  </si>
  <si>
    <t>Global Warming Potential (GWP) of CH4 applicable to the crediting period (t CO2e/t CH4)</t>
  </si>
  <si>
    <t xml:space="preserve">DCH4 </t>
  </si>
  <si>
    <t>CH4 density</t>
  </si>
  <si>
    <t xml:space="preserve">UFb </t>
  </si>
  <si>
    <t>Model correction factor to account for model uncertainties</t>
  </si>
  <si>
    <t>Baseline Emissions 17b (AMS-III.D)</t>
  </si>
  <si>
    <t xml:space="preserve">BE,manure,17b,y </t>
  </si>
  <si>
    <t>Baseline emissions from manure 17b in year y (t CO2e)</t>
  </si>
  <si>
    <t>Baseline Emissions from Wastewater (AMS-III.H)</t>
  </si>
  <si>
    <t>Auto-Calculate</t>
  </si>
  <si>
    <t>BE,ww,y</t>
  </si>
  <si>
    <t>Baseline Emissions Wastewater (t CO2e)</t>
  </si>
  <si>
    <t xml:space="preserve">𝐵𝑜,𝑤𝑤 </t>
  </si>
  <si>
    <t>Methane producing capacity of the wastewater (IPCC value of 0.25 kg CH4/kg COD)</t>
  </si>
  <si>
    <t>𝑈𝐹BL</t>
  </si>
  <si>
    <t>Model correction factor to account for model uncertainties - 0.89</t>
  </si>
  <si>
    <t>𝐺𝑊𝑃𝐶𝐻4</t>
  </si>
  <si>
    <t>Global Warming Potential for methane</t>
  </si>
  <si>
    <t>Baseline Emissions from Wastewater Treatment Systems (AMS-III.H)</t>
  </si>
  <si>
    <t>BEww,treatment,y</t>
  </si>
  <si>
    <t>Baseline Emissions from Wastewater Treatment Systems (t CO2e)</t>
  </si>
  <si>
    <t>[Click to Add Baseline Wastewater Treatment System]</t>
  </si>
  <si>
    <t>Number</t>
  </si>
  <si>
    <t>Qww,i,y</t>
  </si>
  <si>
    <t>What is the volume of wastewater treated in baseline wastewater treatment system I in year y (m3)?</t>
  </si>
  <si>
    <t>CODinflow,i,y</t>
  </si>
  <si>
    <t>What is the Chemical Oxygen Demand (COD) of the wastewater inflow to the baseline treatment system I in year y (t/m3)?</t>
  </si>
  <si>
    <t>ηCOD,BL,i</t>
  </si>
  <si>
    <t>What is the COD removal efficiency of the baseline treatment system I?</t>
  </si>
  <si>
    <t xml:space="preserve">Question </t>
  </si>
  <si>
    <t xml:space="preserve">Select the type of wastewater treatment and discharge pathway or system to determine the methane correction factor for the baseline wastewater treatment
system:
Option 1- Discharge of wastewater to sea, river or lake
Option 2- Land application
Option 3- Aerobic treatment, well managed 
Option 4- Aerobic treatment, poorly managed or overloaded
Option 5- Anaerobic digester for sludge without methane recovery
Option 6- Anaerobic reactor without methane recover
Option 7- Anaerobic shallow lagoon (depth less than 2 metres)
Option 8- Anaerobic deep lagoon (depth more than 2 metres)
Option 9- Septic system 
</t>
  </si>
  <si>
    <t>MCF𝑤𝑤,𝑡𝑟𝑒𝑎𝑡𝑚𝑒𝑛𝑡,𝐵𝐿,𝑖</t>
  </si>
  <si>
    <t>Methane Correction Factor (MCF) for baseline wastewater treatment system I</t>
  </si>
  <si>
    <t>Baseline Emissions from from Degradable Organic Carbon in Treated Wastewater (AMS-III.H)</t>
  </si>
  <si>
    <t>BEww,discharge,y</t>
  </si>
  <si>
    <t>Baseline Emissions from Degradable Organic Carbon in Treated Wastewater (t CO2e)</t>
  </si>
  <si>
    <t>Qww,y</t>
  </si>
  <si>
    <t>Volume of treated wastewater discharged in year y (m3 )</t>
  </si>
  <si>
    <t>CODww,discharge,BL,y</t>
  </si>
  <si>
    <t>Chemical oxygen demand of the treated wastewater discharged into sea, river or lake in the baseline situation in the year y (t/m3 ). If the baseline scenario is the discharge of untreated wastewater, the COD of untreated wastewater shall be used</t>
  </si>
  <si>
    <t xml:space="preserve">Select the type of wastewater treatment and discharge pathway or system to determine the methane correction factor for the baseline discharge:
Option 1- Discharge of wastewater to sea, river or lake
Option 2- Land application
Option 3- Aerobic treatment, well managed 
Option 4- Aerobic treatment, poorly managed or overloaded
Option 5- Anaerobic digester for sludge without methane recovery
Option 6- Anaerobic reactor without methane recover
Option 7- Anaerobic shallow lagoon (depth less than 2 metres)
Option 8- Anaerobic deep lagoon (depth more than 2 metres)
Option 9- Septic system 
</t>
  </si>
  <si>
    <t>MCFww,BL,discharge</t>
  </si>
  <si>
    <t>Methane correction factor based on discharge pathway in the baseline situation (e.g. into sea, river or lake) of the wastewater (fraction)</t>
  </si>
  <si>
    <t>Baseline Scenario</t>
  </si>
  <si>
    <t>ImpactClaimCheckpoint.efBefore</t>
  </si>
  <si>
    <t>BEy</t>
  </si>
  <si>
    <t>Baseline emissions in the year y (tCO2e)</t>
  </si>
  <si>
    <t>BECH4,SWDS,y</t>
  </si>
  <si>
    <t>Yearly methane generation potential of the solid waste composted by the project activity during the years x from the beginning of the project activity (x=1) up to the year y estimated as per the latest version of the methodological tool “Emissions from solid waste disposal sites” (tCO2e).</t>
  </si>
  <si>
    <t>MDy,reg</t>
  </si>
  <si>
    <t>Amount of methane that would have to be captured and combusted in the year y to comply with the prevailing regulations (tonne)</t>
  </si>
  <si>
    <t>BECH4,manure,y</t>
  </si>
  <si>
    <t>Where applicable, baseline emissions from manure composted by the project activities, as per the procedures in AMS-III.D (tCO2e)</t>
  </si>
  <si>
    <t>This value should be calculated automatically following the algorithm for III. H.</t>
  </si>
  <si>
    <t>BEww,y</t>
  </si>
  <si>
    <t>Where applicable, baseline emissions from the wastewater cocomposted, calculated as per the procedures in AMS-III.H (tCO2e)</t>
  </si>
  <si>
    <t>GWPCH4</t>
  </si>
  <si>
    <t>Global Warming Potential for CH4 applicable to the crediting period (t CO2e/t CH4)</t>
  </si>
  <si>
    <t>Project Activity Emissions</t>
  </si>
  <si>
    <t>ImpactClaimCheckpoint.efAfter</t>
  </si>
  <si>
    <t>PEy</t>
  </si>
  <si>
    <t>Project emissions from composting process (tCO2e)</t>
  </si>
  <si>
    <t>Leakage</t>
  </si>
  <si>
    <t>LEy</t>
  </si>
  <si>
    <t>Leakage emissions from composting process (tCO2e)</t>
  </si>
  <si>
    <t>Emission Reductions</t>
  </si>
  <si>
    <t xml:space="preserve">Select the case that applies to your project activities: 
Case 1: The construction of new composting facilities or expansion of capacity of existing composting facilities is included in the project activity. 
Case 2: The increase of capacity utilization of existing composting facilities is included in the project activity. </t>
  </si>
  <si>
    <t>Case 1</t>
  </si>
  <si>
    <t>ImpactClaim.quantity</t>
  </si>
  <si>
    <t>ERy</t>
  </si>
  <si>
    <t>Emission reduction in the year y (tCO2e)</t>
  </si>
  <si>
    <t>r</t>
  </si>
  <si>
    <t>Factor r</t>
  </si>
  <si>
    <t>TWCOMy</t>
  </si>
  <si>
    <t>Total quantity of waste composted in year y (tonnes) at the facility</t>
  </si>
  <si>
    <t>WCOMBAU</t>
  </si>
  <si>
    <t>Registered annual amount of waste composted (tonnes) at the facility on a business as usual basis calculated as the highest amount of annual compost production in the last five years prior to the project implementation</t>
  </si>
  <si>
    <t>Document Upload</t>
  </si>
  <si>
    <t>Documents</t>
  </si>
  <si>
    <t>In case of projects involving increase of capacity utilization of existing composting facilities, the historical records of annual amount of waste treated at the facility in the last five years prior to the project implementation and additional information to cross check the historical records (e.g. invoices of compost sales) shall be provided for project activity validation.</t>
  </si>
  <si>
    <t>[Click to Add New Livestock Type to Calculate Baseline Emissions]</t>
  </si>
  <si>
    <t>Partial Equation for Baseline Emissions year y (17a Option)</t>
  </si>
  <si>
    <t>LT</t>
  </si>
  <si>
    <t>Type of livestock</t>
  </si>
  <si>
    <t>Cattle</t>
  </si>
  <si>
    <t>Partial BEy</t>
  </si>
  <si>
    <t>Partial Equation for baseline emissions in year y (t CO2e) (17a option)</t>
  </si>
  <si>
    <t>MCFj</t>
  </si>
  <si>
    <t>Annual methane conversion factor (MCF) for the baseline animal manure management system j</t>
  </si>
  <si>
    <t>𝐵0,𝐿T</t>
  </si>
  <si>
    <t>Maximum methane producing potential of the volatile solid generated for defined animal type (m3 CH4/kg-dm)</t>
  </si>
  <si>
    <t xml:space="preserve">MS%Bl,j </t>
  </si>
  <si>
    <t>Fraction of manure handled in baseline animal manure management system j</t>
  </si>
  <si>
    <t xml:space="preserve">NLT,y </t>
  </si>
  <si>
    <t>Annual average number of animals of type LT in year y (numbers)</t>
  </si>
  <si>
    <t xml:space="preserve">Nda,y </t>
  </si>
  <si>
    <t>Number of days animal is alive in the farm in the year y (numbers)</t>
  </si>
  <si>
    <t xml:space="preserve">Np,y </t>
  </si>
  <si>
    <t>Number of animals produced annually of type LT for the year y (numbers)</t>
  </si>
  <si>
    <t>Do you want to use a default value for "Annual volatile solid excretions for livestock entering all animal waste management systems on a dry matter weight basis" or would you like to adjust the default value?</t>
  </si>
  <si>
    <t>Default Value</t>
  </si>
  <si>
    <t xml:space="preserve">VSLT,y </t>
  </si>
  <si>
    <t>Annual volatile solid excretions for livestock LT entering all animal waste management systems on a dry matter weight basis (kgdm/animal/yr)</t>
  </si>
  <si>
    <t>GELT</t>
  </si>
  <si>
    <t>Daily average gross energy intake (MJ/animal/day)</t>
  </si>
  <si>
    <t xml:space="preserve">DELT </t>
  </si>
  <si>
    <t>Digestible energy of the feed (per cent)</t>
  </si>
  <si>
    <t xml:space="preserve">UE </t>
  </si>
  <si>
    <t>Urinary energy (fraction of GELT)</t>
  </si>
  <si>
    <t xml:space="preserve">ASH </t>
  </si>
  <si>
    <t>Ash content of manure (fraction of the dry matter feed intake)</t>
  </si>
  <si>
    <t>EDLT</t>
  </si>
  <si>
    <t>Energy density of the feed fed to livestock type LT (MJ/kg-dm)</t>
  </si>
  <si>
    <t xml:space="preserve">ndy </t>
  </si>
  <si>
    <t>Number of days treatment plant was operational in year y</t>
  </si>
  <si>
    <t>𝑊𝑠𝑖𝑡e</t>
  </si>
  <si>
    <t>Average animal weight of a defined livestock population at the project site (kg)</t>
  </si>
  <si>
    <t>𝑊𝑑𝑒𝑓𝑎𝑢𝑙t</t>
  </si>
  <si>
    <t>Default average animal weight of a defined population, this data is sourced from IPCC 2006 (kg)</t>
  </si>
  <si>
    <t>𝑉𝑆𝑑𝑒𝑓𝑎𝑢𝑙t</t>
  </si>
  <si>
    <t>Default value for the volatile solid excretion rate per day on a dry-matter basis for a defined livestock population (kg-dm/animal/day)</t>
  </si>
  <si>
    <t>Swine</t>
  </si>
  <si>
    <t>Partial Bey</t>
  </si>
  <si>
    <t>Partial Equation for Baseline Emissions year y (17b Option)</t>
  </si>
  <si>
    <t>Partial Equation for baseline emissions in year y (t CO2e) (17b option)</t>
  </si>
  <si>
    <t>Fraction of manure handled in system i in year y</t>
  </si>
  <si>
    <t>𝑄𝑚𝑎𝑛𝑢𝑟𝑒,𝐿𝑇,𝑦</t>
  </si>
  <si>
    <t>Quantity of manure treated from livestock type LT and animal manure management system j (tonnes/year, dry basis)</t>
  </si>
  <si>
    <t>𝑆𝑉𝑆𝐿𝑇,y</t>
  </si>
  <si>
    <t>Specific volatile solids content of animal manure from livestock type LT and animal manure management system j in year y (tonnes/tonnes, dry basis)</t>
  </si>
  <si>
    <t>Multiple Answers</t>
  </si>
  <si>
    <t>Project emissions from composting</t>
  </si>
  <si>
    <t>PECOMP,y</t>
  </si>
  <si>
    <t>Project emissions associated with composting in year y (t CO2e/yr)</t>
  </si>
  <si>
    <t>Determination of the quantity of waste composted (Qy)</t>
  </si>
  <si>
    <t>There are two options to determine the quantity of waste composted in year y. Select one: 
Option 1: Procedure using a weighing device
Option 2: Procedure without using a weighing device</t>
  </si>
  <si>
    <t>Option 1</t>
  </si>
  <si>
    <t>Determination of the quantity of waste composted (Qy) Option 1</t>
  </si>
  <si>
    <t>Qy</t>
  </si>
  <si>
    <t>Quantity of waste composted in year y (t / yr)</t>
  </si>
  <si>
    <t>Determination of the quantity of waste composted (Qy) Option 2</t>
  </si>
  <si>
    <t>[Click to add waste deliveries in trucks to the composting installation]</t>
  </si>
  <si>
    <t>CT,t,y</t>
  </si>
  <si>
    <t>Carrying capacity of truck t used in year y to deliver waste to the composting installation</t>
  </si>
  <si>
    <t>Determination of project emissions from electricity consumption (PEEC,y)</t>
  </si>
  <si>
    <t>Where the composting activity involves electricity consumption from the grid or from a fossil fuel fired on-site power plant, PEEC,y shall be calculated using the latest approved version of the methodological tool “Baseline, project and/or leakage emissions from electricity consumption and monitoring of electricity generation”. Do you have monitored data for electricity consumption?</t>
  </si>
  <si>
    <t>PEECy</t>
  </si>
  <si>
    <t>Project emissions from electricity consumption associated with composting in year y (t CO2/yr)</t>
  </si>
  <si>
    <t>Determination of project emissions from fossil fuel consumption (PEFC,y)</t>
  </si>
  <si>
    <t>There are two options to determine project emissions from fossil fuel consumption. Select one: 
Option 1: Procedure using monitored data
Option 2: Procedure using a default value</t>
  </si>
  <si>
    <t>Determination of project emissions from fossil fuel consumption (PEFC,y) Option 1</t>
  </si>
  <si>
    <t>PEFC,y</t>
  </si>
  <si>
    <t>Project emissions from fossil fuel consumption associated with composting in year y (t CO2 / yr)</t>
  </si>
  <si>
    <t>Determination of project emissions from fossil fuel consumption (PEFC,y) Option 2</t>
  </si>
  <si>
    <t>Quantity of waste composted in year y (t/yr)</t>
  </si>
  <si>
    <t>EFFC,default</t>
  </si>
  <si>
    <t>Default emission factor for fossil fuels consumed by the composting activity per tonne of waste (t CO2/t)</t>
  </si>
  <si>
    <t>Determination of project emissions of methane (PECH4,y)</t>
  </si>
  <si>
    <t>There are two options to determine project emissions of methane. Select one: 
Option 1: Procedure using monitored data
Option 2: Procedure using a default value</t>
  </si>
  <si>
    <t>PECH4,y</t>
  </si>
  <si>
    <t>Project emissions of methane from the composting process in year y (t CO2e / yr)</t>
  </si>
  <si>
    <t>EFCH4,y</t>
  </si>
  <si>
    <t>Emission factor of methane per tonne of waste composted valid for year y (t CH4/t)</t>
  </si>
  <si>
    <t>Determination of project emissions of methane (PECH4,y) Option 1</t>
  </si>
  <si>
    <t>x</t>
  </si>
  <si>
    <t>Number of composting cycles c for which emissions were measured in year y (at least three)</t>
  </si>
  <si>
    <t>[Click to add composting cycles for which measurements were undertaken for CH4]</t>
  </si>
  <si>
    <t xml:space="preserve">c </t>
  </si>
  <si>
    <t>Composting cycle for which measurements were undertaken</t>
  </si>
  <si>
    <t>Cycle 1</t>
  </si>
  <si>
    <t>ECCCH4,c</t>
  </si>
  <si>
    <t>Methane emissions from composting during the composting cycle c (t CH4)</t>
  </si>
  <si>
    <t>Qc</t>
  </si>
  <si>
    <t>Quantity of waste composted in composting cycle c (t)</t>
  </si>
  <si>
    <t>c</t>
  </si>
  <si>
    <t>Cycle 2</t>
  </si>
  <si>
    <t>Determination of project emissions of nitrous oxide (PEN2O,y)</t>
  </si>
  <si>
    <t>There are two options to determine project emissions of nitrous oxide. Select one: 
Option 1: Procedure using monitored data
Option 2: Procedure using a default value</t>
  </si>
  <si>
    <t>Option 2</t>
  </si>
  <si>
    <t>PEN2O,y</t>
  </si>
  <si>
    <t>Project emissions of nitrous oxide from composting in year y (t CO2e/yr)</t>
  </si>
  <si>
    <t>EFN2O,y</t>
  </si>
  <si>
    <t>Emission factor of nitrous oxide per tonne of waste composted valid for year y (t N2O/t)</t>
  </si>
  <si>
    <t>GWPN2O</t>
  </si>
  <si>
    <t>Global Warming Potential of N2O (t CO2e/t N2O)</t>
  </si>
  <si>
    <t>Determination of project emissions of nitrous oxide (PEN2O,y) Option 1</t>
  </si>
  <si>
    <t>[Click to add composting cycles for which measurements were undertaken for N2O]</t>
  </si>
  <si>
    <t>ECCN2O,c</t>
  </si>
  <si>
    <t>Nitrous oxide emissions from composting during the composting cycle c (t N2O)</t>
  </si>
  <si>
    <t>Determination of project emissions from run-off wastewater (PERO,y)</t>
  </si>
  <si>
    <t>Is run-off wastewater collected and re-circulated to the composting process?</t>
  </si>
  <si>
    <t>Project emissions of methane from run-off wastewater (PERO,y) are calculated only for the case of co-composting. Moreover, if run-off wastewater is collected and re-circulated to the composting process, then PERO,y is assumed to be zero (for example, this is the case for tunnel co-composting technology). Otherwise, PERO,y is calculated based on the quantity and chemical oxygen demand (COD) of run-off wastewater as follows, select one:
Option 1: Procedure monitoring quantity and COD of the run-off wastewater (Monitored data only)
Option 2: Procedure monitoring quantity and COD of the wastewater cocomposted (Monitored data and default values)</t>
  </si>
  <si>
    <t>PERO,y</t>
  </si>
  <si>
    <t>Project emissions of methane from run-off wastewater associated with co-composting in year y (t CO2e / yr)</t>
  </si>
  <si>
    <t>QCOD,y</t>
  </si>
  <si>
    <t>Quantity of COD of the run-off wastewater from the co-composting installation in year y (t COD / yr)</t>
  </si>
  <si>
    <t>B0,ww</t>
  </si>
  <si>
    <t>Default methane producing capacity of the run-off wastewater (t CH4 / t COD)</t>
  </si>
  <si>
    <t>Select One</t>
  </si>
  <si>
    <t>Select the wastewater treatment system where the run-off wastewater is treated</t>
  </si>
  <si>
    <t>Anaerobic shallow lagoon (depth less than 2 metres)</t>
  </si>
  <si>
    <t>MCFww,treatment</t>
  </si>
  <si>
    <t>Default methane correction factor for the wastewater treatment system where the run-off wastewater is treated</t>
  </si>
  <si>
    <t>Default model correction factor to account for model uncertainties of methane emissions from run-off wastewater</t>
  </si>
  <si>
    <t>Global Warming Potential of methane (t CO2e / t CH4)</t>
  </si>
  <si>
    <t>Determination of project emissions from run-off wastewater (PERO,y) Option 1</t>
  </si>
  <si>
    <t>QRO,y</t>
  </si>
  <si>
    <t>Volume of run-off wastewater from the co-composting installation in year y (m3 / yr)</t>
  </si>
  <si>
    <t>CODRO,y</t>
  </si>
  <si>
    <t>Average COD of the run-off wastewater from the co-composting installation valid for year y (t COD / m3 )</t>
  </si>
  <si>
    <t>Determination of project emissions from run-off wastewater (PERO,y) Option 2</t>
  </si>
  <si>
    <t>Qwastewater,y</t>
  </si>
  <si>
    <t>Volume of wastewater co-composted in year y (m3 / yr)</t>
  </si>
  <si>
    <t>CODwastewater,y</t>
  </si>
  <si>
    <t>Average COD of the wastewater co-composted valid for year y (t COD / m3 )</t>
  </si>
  <si>
    <t>DFCOD,RO</t>
  </si>
  <si>
    <t>Default factor for the ratio of the amount of COD in run-off wastewater and wastewater co-composted</t>
  </si>
  <si>
    <t>This is default value and a calculated value.</t>
  </si>
  <si>
    <t>Leakage Emissions</t>
  </si>
  <si>
    <t>Is compost subjected to anaerobic storage or disposed of in a SWDS? 
If yes, reference section 6.2 in Tool 13 "Methodological tool for project and leakage emissions from composting".</t>
  </si>
  <si>
    <t>LECOMP,y</t>
  </si>
  <si>
    <t>Leakage based on Tool 04 "“Emissions from solid waste disposal sites"</t>
  </si>
  <si>
    <t>Table 2: IPCC default values for MCF</t>
  </si>
  <si>
    <t>Type of wastewater treatment and discharge pathway or system</t>
  </si>
  <si>
    <t>MCF value</t>
  </si>
  <si>
    <t>Discharge of wastewater to sea, river or lake</t>
  </si>
  <si>
    <t>Aerobic treatment, well managed</t>
  </si>
  <si>
    <t>Aerobic treatment, poorly managed or overloaded</t>
  </si>
  <si>
    <t>Anaerobic digester for sludge without methane recovery</t>
  </si>
  <si>
    <t>Anaerobic reactor without methane recovery</t>
  </si>
  <si>
    <t>Anaerobic deep lagoon (depth more than 2 metres)</t>
  </si>
  <si>
    <t>Septic system</t>
  </si>
  <si>
    <t xml:space="preserve">Tool 03: Tool to calculate project or leakage CO2 emissions from fossil fuel combustion </t>
  </si>
  <si>
    <r>
      <rPr>
        <sz val="18"/>
        <color rgb="FF000000"/>
        <rFont val="Calibri"/>
        <family val="2"/>
        <scheme val="minor"/>
      </rPr>
      <t>PE</t>
    </r>
    <r>
      <rPr>
        <vertAlign val="subscript"/>
        <sz val="18"/>
        <color rgb="FF000000"/>
        <rFont val="Calibri"/>
        <family val="2"/>
        <scheme val="minor"/>
      </rPr>
      <t xml:space="preserve">FC,j,y </t>
    </r>
  </si>
  <si>
    <t>Total CO2 emissions from fossil fuel combustion in process j during the year y (tCO2/yr) (From all Cases)</t>
  </si>
  <si>
    <t>Sum of emissions from all cases added.</t>
  </si>
  <si>
    <t>Case 1: Questionnaire to determine calculation method 
[Click to add project or leakage CO2 emissions from fossil fuel combustion based on fuel type]</t>
  </si>
  <si>
    <t>𝑖</t>
  </si>
  <si>
    <t>What fuel types are combusted in the project activity process?</t>
  </si>
  <si>
    <t>Natural gas</t>
  </si>
  <si>
    <t>Specify which combustion process this tool is being applied to</t>
  </si>
  <si>
    <t>Anaerobic digester</t>
  </si>
  <si>
    <t>If/then</t>
  </si>
  <si>
    <t xml:space="preserve">What approach would you like to use to calculate the CO2 emission coefficient? </t>
  </si>
  <si>
    <t>Option A</t>
  </si>
  <si>
    <r>
      <rPr>
        <b/>
        <u/>
        <sz val="11"/>
        <color rgb="FF000000"/>
        <rFont val="Calibri"/>
        <family val="2"/>
        <scheme val="minor"/>
      </rPr>
      <t>Option A:</t>
    </r>
    <r>
      <rPr>
        <sz val="11"/>
        <color rgb="FF000000"/>
        <rFont val="Calibri"/>
        <family val="2"/>
        <scheme val="minor"/>
      </rPr>
      <t xml:space="preserve"> The CO2 emission coefficient is calculated based on the chemical composition of the fossil fuel type. (Option A should be the preferred approach, if the necessary data is available.)
</t>
    </r>
    <r>
      <rPr>
        <b/>
        <u/>
        <sz val="11"/>
        <color rgb="FF000000"/>
        <rFont val="Calibri"/>
        <family val="2"/>
        <scheme val="minor"/>
      </rPr>
      <t>Option B:</t>
    </r>
    <r>
      <rPr>
        <sz val="11"/>
        <color rgb="FF000000"/>
        <rFont val="Calibri"/>
        <family val="2"/>
        <scheme val="minor"/>
      </rPr>
      <t xml:space="preserve"> The CO2 emission coefficient is calculated based on net calorific value and CO2 emission factor of the fuel type. 
</t>
    </r>
  </si>
  <si>
    <t>Is the fuel used measused in a mass or volume unit?</t>
  </si>
  <si>
    <t>Mass</t>
  </si>
  <si>
    <t>Mass or Volume (if Mass is selected then cell F13 should be used, if Volume is selected then cell F14 should be used. Note: Only relavent if Option A is seleted)</t>
  </si>
  <si>
    <t>Emissions</t>
  </si>
  <si>
    <r>
      <t>PE</t>
    </r>
    <r>
      <rPr>
        <vertAlign val="subscript"/>
        <sz val="18"/>
        <color theme="1"/>
        <rFont val="Calibri"/>
        <family val="2"/>
        <scheme val="minor"/>
      </rPr>
      <t xml:space="preserve">FC,j,y </t>
    </r>
  </si>
  <si>
    <t>CO2 emissions from fossil fuel combustion in process j during the year y (tCO2/yr)</t>
  </si>
  <si>
    <r>
      <t>FC</t>
    </r>
    <r>
      <rPr>
        <vertAlign val="subscript"/>
        <sz val="18"/>
        <color theme="1"/>
        <rFont val="Calibri"/>
        <family val="2"/>
        <scheme val="minor"/>
      </rPr>
      <t>i,j,y</t>
    </r>
  </si>
  <si>
    <t>Quantity of fuel type i combusted in process j during the year y (mass or volume unit/yr)</t>
  </si>
  <si>
    <r>
      <t>COEF</t>
    </r>
    <r>
      <rPr>
        <vertAlign val="subscript"/>
        <sz val="18"/>
        <color theme="1"/>
        <rFont val="Calibri"/>
        <family val="2"/>
        <scheme val="minor"/>
      </rPr>
      <t>i,y</t>
    </r>
  </si>
  <si>
    <t>CO2 emission coefficient of fuel type i in year y (tCO2/mass or volume unit)</t>
  </si>
  <si>
    <t xml:space="preserve">This value will come from cell G14, G15, or G19 depending on the responses from the questionnaire </t>
  </si>
  <si>
    <r>
      <t>The CO2 emission coefficient COEFi,</t>
    </r>
    <r>
      <rPr>
        <i/>
        <sz val="16"/>
        <color rgb="FF000000"/>
        <rFont val="Calibri"/>
        <family val="2"/>
        <scheme val="minor"/>
      </rPr>
      <t xml:space="preserve">y </t>
    </r>
    <r>
      <rPr>
        <b/>
        <sz val="16"/>
        <color rgb="FF000000"/>
        <rFont val="Calibri"/>
        <family val="2"/>
        <scheme val="minor"/>
      </rPr>
      <t>Option A</t>
    </r>
  </si>
  <si>
    <t>CO2 emission coefficient of fuel type i in year y (tCO2/Mass Unit)</t>
  </si>
  <si>
    <t>If Mass Unit</t>
  </si>
  <si>
    <t>CO2 emission coefficient of fuel type i in year y (tCO2/Volume Unit)</t>
  </si>
  <si>
    <t>If Volume Unit</t>
  </si>
  <si>
    <r>
      <t>w</t>
    </r>
    <r>
      <rPr>
        <vertAlign val="subscript"/>
        <sz val="18"/>
        <color theme="1"/>
        <rFont val="Calibri"/>
        <family val="2"/>
        <scheme val="minor"/>
      </rPr>
      <t>c,i,y</t>
    </r>
  </si>
  <si>
    <t>Weighted average mass fraction of carbon in fuel type i in year y (tC/mass unit of the fuel)</t>
  </si>
  <si>
    <r>
      <t>P</t>
    </r>
    <r>
      <rPr>
        <vertAlign val="subscript"/>
        <sz val="18"/>
        <color theme="1"/>
        <rFont val="Calibri"/>
        <family val="2"/>
        <scheme val="minor"/>
      </rPr>
      <t>i,y</t>
    </r>
  </si>
  <si>
    <t>Weighted average density of fuel type i in year y (mass unit/volume unit of the fuel)</t>
  </si>
  <si>
    <t>The CO2 emission coefficient COEFi,y Option B</t>
  </si>
  <si>
    <r>
      <t>NCV</t>
    </r>
    <r>
      <rPr>
        <vertAlign val="subscript"/>
        <sz val="18"/>
        <color theme="1"/>
        <rFont val="Calibri"/>
        <family val="2"/>
        <scheme val="minor"/>
      </rPr>
      <t>i,y</t>
    </r>
  </si>
  <si>
    <t>Weighted average net calorific value of the fuel type i in year y (GJ/mass or volume unit)</t>
  </si>
  <si>
    <r>
      <t>EF</t>
    </r>
    <r>
      <rPr>
        <vertAlign val="subscript"/>
        <sz val="18"/>
        <color theme="1"/>
        <rFont val="Calibri"/>
        <family val="2"/>
        <scheme val="minor"/>
      </rPr>
      <t>CO2,y,y</t>
    </r>
  </si>
  <si>
    <t>Weighted average CO2 emission factor of fuel type i in year y (tCO2/GJ)</t>
  </si>
  <si>
    <t>Case 2: Questionnaire to determine calculation method 
[Click to add project or leakage CO2 emissions from fossil fuel combustion based on fuel type]</t>
  </si>
  <si>
    <t>Enum</t>
  </si>
  <si>
    <t>Option B</t>
  </si>
  <si>
    <t>Volume</t>
  </si>
  <si>
    <t xml:space="preserve">This value will come from cell G32, G33, or G37 depending on the responses from the questionnaire </t>
  </si>
  <si>
    <t xml:space="preserve">Tool 05: Baseline, project and/or leakage emissions from electricity consumption and monitoring of electricity generation </t>
  </si>
  <si>
    <t xml:space="preserve">Questionnaire to determine calculation method </t>
  </si>
  <si>
    <t xml:space="preserve">
Tool 05 is only applicable to the following scenarios, please select the appropriate one for your project:
Scenario A: Electricity consumption from the grid
Scenario B: Electricity consumption from (an) off-grid fossil fuel fired captive power plant(s)
Scenario C: Electricity consumption from the grid and (a) fossil fuel fired captive power plant(s)</t>
  </si>
  <si>
    <t>B: Off-Grid Captive Power Plants</t>
  </si>
  <si>
    <r>
      <rPr>
        <b/>
        <sz val="12"/>
        <color rgb="FF000000"/>
        <rFont val="Calibri"/>
        <family val="2"/>
        <scheme val="minor"/>
      </rPr>
      <t xml:space="preserve">Scenario A: </t>
    </r>
    <r>
      <rPr>
        <sz val="12"/>
        <color rgb="FF000000"/>
        <rFont val="Calibri"/>
        <family val="2"/>
        <scheme val="minor"/>
      </rPr>
      <t xml:space="preserve">Electricity consumption from the grid. The electricity is purchased from the grid only, and either no captive power plant(s) is/are installed at the site of electricity consumption or, if any captive power plant exists on site, it is either not operating or it is not physically able to provide electricity to the electricity consumer. 
</t>
    </r>
    <r>
      <rPr>
        <b/>
        <sz val="12"/>
        <color rgb="FF000000"/>
        <rFont val="Calibri"/>
        <family val="2"/>
        <scheme val="minor"/>
      </rPr>
      <t xml:space="preserve">Scenario B: </t>
    </r>
    <r>
      <rPr>
        <sz val="12"/>
        <color rgb="FF000000"/>
        <rFont val="Calibri"/>
        <family val="2"/>
        <scheme val="minor"/>
      </rPr>
      <t xml:space="preserve">Electricity consumption from (an) off-grid fossil fuel fired captive power plant(s). One or more fossil fuel fired captive power plants are installed at the site of the electricity consumer and supply the consumer with electricity. The captive power plant(s) is/are not connected to the electricity grid. 
</t>
    </r>
    <r>
      <rPr>
        <b/>
        <sz val="12"/>
        <color rgb="FF000000"/>
        <rFont val="Calibri"/>
        <family val="2"/>
        <scheme val="minor"/>
      </rPr>
      <t>Scenario C:</t>
    </r>
    <r>
      <rPr>
        <sz val="12"/>
        <color rgb="FF000000"/>
        <rFont val="Calibri"/>
        <family val="2"/>
        <scheme val="minor"/>
      </rPr>
      <t xml:space="preserve"> Electricity consumption from the grid and (a) fossil fuel fired captive power plant(s). One or more fossil fuel fired captive power plants operate at the site of the electricity consumer. The captive power plant(s) can provide electricity to the electricity consumer. The captive power plant(s) is/are also connected to the electricity grid. Hence, the electricity consumer can be provided with electricity from the captive power plant(s) and the grid.</t>
    </r>
  </si>
  <si>
    <t>Generic approach</t>
  </si>
  <si>
    <r>
      <t>PE</t>
    </r>
    <r>
      <rPr>
        <vertAlign val="subscript"/>
        <sz val="18"/>
        <color theme="1"/>
        <rFont val="Calibri"/>
        <family val="2"/>
        <scheme val="minor"/>
      </rPr>
      <t>EC,y</t>
    </r>
  </si>
  <si>
    <t>Project emissions from electricity consumption in year y (t CO2 / yr)</t>
  </si>
  <si>
    <r>
      <t>EF</t>
    </r>
    <r>
      <rPr>
        <vertAlign val="subscript"/>
        <sz val="18"/>
        <color theme="1"/>
        <rFont val="Calibri"/>
        <family val="2"/>
        <scheme val="minor"/>
      </rPr>
      <t>EF,j,y</t>
    </r>
  </si>
  <si>
    <t>Project emission factor for electricity generation for source in year y (t CO2/MWh)</t>
  </si>
  <si>
    <t>This value comes from EFEL,j/k/l,y. Depending on the scenario and options chosen.</t>
  </si>
  <si>
    <r>
      <t>EC</t>
    </r>
    <r>
      <rPr>
        <vertAlign val="subscript"/>
        <sz val="18"/>
        <color theme="1"/>
        <rFont val="Calibri"/>
        <family val="2"/>
        <scheme val="minor"/>
      </rPr>
      <t>PJ,j,y</t>
    </r>
  </si>
  <si>
    <t>Quantity of electricity consumed by the project electricity consumption source in year y (MWh/yr)</t>
  </si>
  <si>
    <r>
      <t>TDL</t>
    </r>
    <r>
      <rPr>
        <vertAlign val="subscript"/>
        <sz val="18"/>
        <color theme="1"/>
        <rFont val="Calibri"/>
        <family val="2"/>
        <scheme val="minor"/>
      </rPr>
      <t>j,y</t>
    </r>
  </si>
  <si>
    <t>Average technical transmission and distribution losses for providing electricity to source for project in year y</t>
  </si>
  <si>
    <t>j</t>
  </si>
  <si>
    <t>Sources of electricity consumption in the project</t>
  </si>
  <si>
    <t>n/a</t>
  </si>
  <si>
    <r>
      <t>BE</t>
    </r>
    <r>
      <rPr>
        <vertAlign val="subscript"/>
        <sz val="18"/>
        <color theme="1"/>
        <rFont val="Calibri"/>
        <family val="2"/>
        <scheme val="minor"/>
      </rPr>
      <t>EC,y</t>
    </r>
  </si>
  <si>
    <t>Baseline emissions from electricity consumption in year y (t CO2 / yr)</t>
  </si>
  <si>
    <r>
      <t>EF</t>
    </r>
    <r>
      <rPr>
        <vertAlign val="subscript"/>
        <sz val="18"/>
        <color theme="1"/>
        <rFont val="Calibri"/>
        <family val="2"/>
        <scheme val="minor"/>
      </rPr>
      <t>EF,k,y</t>
    </r>
  </si>
  <si>
    <t>Baseline emission factor for electricity generation for source in year y (t CO2/MWh)</t>
  </si>
  <si>
    <r>
      <t>EC</t>
    </r>
    <r>
      <rPr>
        <vertAlign val="subscript"/>
        <sz val="18"/>
        <color theme="1"/>
        <rFont val="Calibri"/>
        <family val="2"/>
        <scheme val="minor"/>
      </rPr>
      <t>BL,k,y</t>
    </r>
  </si>
  <si>
    <t>Quantity of electricity that would be consumed by the baseline electricity consumer in year y (MWh/yr)</t>
  </si>
  <si>
    <r>
      <t>TDL</t>
    </r>
    <r>
      <rPr>
        <vertAlign val="subscript"/>
        <sz val="18"/>
        <color theme="1"/>
        <rFont val="Calibri"/>
        <family val="2"/>
        <scheme val="minor"/>
      </rPr>
      <t>k,y</t>
    </r>
  </si>
  <si>
    <t>Average technical transmission and distribution losses for providing electricity to source for baseline in year y</t>
  </si>
  <si>
    <t>k</t>
  </si>
  <si>
    <t>Sources of electricity consumption in the baseline</t>
  </si>
  <si>
    <r>
      <t>LE</t>
    </r>
    <r>
      <rPr>
        <vertAlign val="subscript"/>
        <sz val="18"/>
        <color theme="1"/>
        <rFont val="Calibri"/>
        <family val="2"/>
        <scheme val="minor"/>
      </rPr>
      <t>EC,y</t>
    </r>
  </si>
  <si>
    <t>Leakage emissions from electricity consumption in year y (t CO2 / yr)</t>
  </si>
  <si>
    <r>
      <t>EF</t>
    </r>
    <r>
      <rPr>
        <vertAlign val="subscript"/>
        <sz val="18"/>
        <color theme="1"/>
        <rFont val="Calibri"/>
        <family val="2"/>
        <scheme val="minor"/>
      </rPr>
      <t>EF,l,y</t>
    </r>
  </si>
  <si>
    <t>Leakage emission factor for electricity generation for source in year y (t CO2/MWh)</t>
  </si>
  <si>
    <r>
      <t>EC</t>
    </r>
    <r>
      <rPr>
        <vertAlign val="subscript"/>
        <sz val="18"/>
        <color theme="1"/>
        <rFont val="Calibri"/>
        <family val="2"/>
        <scheme val="minor"/>
      </rPr>
      <t>LE,l,y</t>
    </r>
  </si>
  <si>
    <t>Net increase in electricity consumption of source in year y as a result of leakage (MWh/yr)</t>
  </si>
  <si>
    <r>
      <t>TDL</t>
    </r>
    <r>
      <rPr>
        <vertAlign val="subscript"/>
        <sz val="18"/>
        <color theme="1"/>
        <rFont val="Calibri"/>
        <family val="2"/>
        <scheme val="minor"/>
      </rPr>
      <t>l,y</t>
    </r>
  </si>
  <si>
    <t>Average technical transmission and distribution losses for providing electricity to source for leakage in year y</t>
  </si>
  <si>
    <t>l</t>
  </si>
  <si>
    <t>Leakage sources of electricity consumption</t>
  </si>
  <si>
    <t>Alternative approaches for project and/or leakage emissions (Only if chosen from Scenario B)</t>
  </si>
  <si>
    <r>
      <t>PE</t>
    </r>
    <r>
      <rPr>
        <vertAlign val="subscript"/>
        <sz val="18"/>
        <color theme="1"/>
        <rFont val="Calibri"/>
        <family val="2"/>
        <scheme val="minor"/>
      </rPr>
      <t>EC,j,y</t>
    </r>
  </si>
  <si>
    <t>Project emissions from electricity consumption by source(s) j in year y (t CO2 / yr)</t>
  </si>
  <si>
    <r>
      <t>LE</t>
    </r>
    <r>
      <rPr>
        <vertAlign val="subscript"/>
        <sz val="18"/>
        <color theme="1"/>
        <rFont val="Calibri"/>
        <family val="2"/>
        <scheme val="minor"/>
      </rPr>
      <t>EC,j,y</t>
    </r>
  </si>
  <si>
    <t>Leakage emissions from electricity consumption by source(s) l in year y (t CO2 / yr)</t>
  </si>
  <si>
    <r>
      <t>PP</t>
    </r>
    <r>
      <rPr>
        <vertAlign val="subscript"/>
        <sz val="18"/>
        <color theme="1"/>
        <rFont val="Calibri"/>
        <family val="2"/>
        <scheme val="minor"/>
      </rPr>
      <t>CP,j</t>
    </r>
  </si>
  <si>
    <t>Rated capacity of the captive power plant(s) that provide the project electricity consumption source(s) j with electricity (MW)</t>
  </si>
  <si>
    <t xml:space="preserve">Project electricity consumption sources that are supplied with power from captive power plant(s) installed at one site </t>
  </si>
  <si>
    <r>
      <t>PP</t>
    </r>
    <r>
      <rPr>
        <vertAlign val="subscript"/>
        <sz val="18"/>
        <color theme="1"/>
        <rFont val="Calibri"/>
        <family val="2"/>
        <scheme val="minor"/>
      </rPr>
      <t>CP,l</t>
    </r>
  </si>
  <si>
    <t>Rated capacity of the captive power plant(s) that provide the leakage electricity consumption source(s) l with electricity (MW)</t>
  </si>
  <si>
    <t xml:space="preserve">Leakage electricity consumption sources that are supplied with power from captive power plant(s) installed at one site </t>
  </si>
  <si>
    <t>Scenario A: Electricity consumption from the grid (Default Values)</t>
  </si>
  <si>
    <t>If scenario A was chosen:</t>
  </si>
  <si>
    <t>Scenario A has 2 options, please select the appropriate one for your project:
Option A1: Calculate the combined margin emission factor of the applicable electricity system, using the procedures in the latest approved version of the “Use Tool 7 to calculate the emission factor for an electricity system” (EFEL,j/k/l,y = EFgrid,CM,y). 
Option A2: Use conservative default values</t>
  </si>
  <si>
    <t>Option A2</t>
  </si>
  <si>
    <r>
      <rPr>
        <b/>
        <sz val="11"/>
        <color theme="1"/>
        <rFont val="Calibri"/>
        <family val="2"/>
        <scheme val="minor"/>
      </rPr>
      <t>"Option A2" Default Values</t>
    </r>
    <r>
      <rPr>
        <sz val="11"/>
        <color theme="1"/>
        <rFont val="Calibri"/>
        <family val="2"/>
        <scheme val="minor"/>
      </rPr>
      <t xml:space="preserve"> is the only option until Tool 07 is available </t>
    </r>
  </si>
  <si>
    <t>If Option A2:</t>
  </si>
  <si>
    <t>Choose which option applies to the Default Values for Scenario A:
2.1: Only to project and/or leakage electricity consumption sources but not to baseline electricity consumption sources
or 
2.2: Only to baseline electricity consumption sources but not to project or leakage electricity consumption sources</t>
  </si>
  <si>
    <t>Option 2.2</t>
  </si>
  <si>
    <t>If Option 2.2:</t>
  </si>
  <si>
    <t>Does hydro power plants constitute less than 50% of total grid generation in:
1) average of the five most recent years
or
2) based on long-term averages for hydroelectricity production</t>
  </si>
  <si>
    <t>If yes a value of 0.4 t CO2/MWh will be used for EFEL,j/k/l,y
If no a value of 0.25 t CO2/MWh will be used for EFEL,j/k/l,y</t>
  </si>
  <si>
    <r>
      <t>EF</t>
    </r>
    <r>
      <rPr>
        <vertAlign val="subscript"/>
        <sz val="20"/>
        <color theme="1"/>
        <rFont val="Calibri"/>
        <family val="2"/>
        <scheme val="minor"/>
      </rPr>
      <t>EL,j/k/l,y</t>
    </r>
  </si>
  <si>
    <t>Electricity consumption from the grid for project and leakage scenario calculations (CO2/MWh)</t>
  </si>
  <si>
    <t>If Option A1: Value must be derived from Tool 7
If Option A2.1: Use value of 1.3 t CO2/MWh
If Option A2.2: Use value of 0.25 t CO2/MWh (or value of 0.4 t CO2/MWh if yes to question above)</t>
  </si>
  <si>
    <t>Scenario B1: Electricity consumption from an off-grid captive power plant (Monitored Data)</t>
  </si>
  <si>
    <t>If Scenario B was chosen:</t>
  </si>
  <si>
    <t>Tool 05 provides 2 approaches to calculate project and /or leakage emissions, a generic approach or an alternative approach only if the project applies to the following:
(a) Scenario B (as described in Tool 5 Section 2.2, paragraph 5) applies to an electricity consumer
(b) The electricity consumer is a project or leakage source.
Please select if your project follows these and which approach you would like to use:</t>
  </si>
  <si>
    <t>No: Generic Approach</t>
  </si>
  <si>
    <t>If No: Generic Approach, use Generic Approach section using values from Scenario B
If Yes: Alternative Approach, use Alternative Approach section</t>
  </si>
  <si>
    <t>If "No: Generic Approach" was chosen:</t>
  </si>
  <si>
    <t>Please select which approach you would like to use for your Scenario B project calculations:</t>
  </si>
  <si>
    <t>Monitored Data</t>
  </si>
  <si>
    <t>If "Monitored Data" then continue to next question below
If "Default Values" then move to first question of Scenario B2 (Default Values)</t>
  </si>
  <si>
    <t>If "Monitored Data" was chosen:</t>
  </si>
  <si>
    <t>Choose which option applies to the monitored data:
A: Case where none of the captive power plants is a cogeneration plant or where the heat generation is ignored
or 
B: Case where the CO2 emission factor for electricity generation is calculated by allocating the fuel consumption between electricity and heat generation</t>
  </si>
  <si>
    <t>Heat Generation ignored</t>
  </si>
  <si>
    <t>If "Heat Generation Ignored" then use bottom EF "Heat Generation Ignored" values for Generic Approach
If "Fuel Consumption" then use bottom EF "Fuel Consumption" values for Generic Approach</t>
  </si>
  <si>
    <t>Emission factor for electricity generation for source j, k or l in year y (where the heatgeneration is ignored (t CO2/MWh)</t>
  </si>
  <si>
    <t>Sum of all "Heat generation ignored" values from Power Plants Sheet</t>
  </si>
  <si>
    <t>Emission factor for electricity generation for source j, k or l in year y (fuel consumption between electricity and heat generation) (t CO2/MWh)</t>
  </si>
  <si>
    <t>Sum of all "Fuel consumption between electricity and heat generation" values from Power Plants Sheet</t>
  </si>
  <si>
    <t>Scenario B2:  Electricity consumption from an off-grid captive power plant (Conservative Default Values)</t>
  </si>
  <si>
    <t>If "Default Values" was chosen:</t>
  </si>
  <si>
    <t>Choose which option applies to the Default Values for Scenario B:
A: Only to project and/or leakage electricity consumption sources but not to baseline electricity consumption sources
or 
B: Only to baseline electricity consumption sources but not to project or leakage electricity consumption sources</t>
  </si>
  <si>
    <t>Answer to this choice will determine which value below will be used</t>
  </si>
  <si>
    <t>Use this value if Option A was chosen</t>
  </si>
  <si>
    <t>Electricity consumption from the grid for baseline scenario calculations (CO2/MWh)</t>
  </si>
  <si>
    <t>Use this value if Option B was chosen</t>
  </si>
  <si>
    <t xml:space="preserve">Scenario C:  Electricity consumption from the grid and (a) fossil fuel fired captive power plant(s) </t>
  </si>
  <si>
    <r>
      <t xml:space="preserve">Under Scanario C the consumption of electricity in the project, the baseline or as a source of leakage may result in different emission levels, depending on the situation of the project activity. 
The following three cases can be differentiated, please select the appropriate option for your project: 
</t>
    </r>
    <r>
      <rPr>
        <b/>
        <u/>
        <sz val="11"/>
        <color theme="1"/>
        <rFont val="Calibri"/>
        <family val="2"/>
        <scheme val="minor"/>
      </rPr>
      <t xml:space="preserve">Case 1: </t>
    </r>
    <r>
      <rPr>
        <sz val="11"/>
        <color theme="1"/>
        <rFont val="Calibri"/>
        <family val="2"/>
        <scheme val="minor"/>
      </rPr>
      <t xml:space="preserve">Grid electricity. The implementation of the project activity only affects the quantity of electricity that is supplied from the grid and not the operation of the captive power plant. 
</t>
    </r>
    <r>
      <rPr>
        <b/>
        <u/>
        <sz val="11"/>
        <color theme="1"/>
        <rFont val="Calibri"/>
        <family val="2"/>
        <scheme val="minor"/>
      </rPr>
      <t>Case 2:</t>
    </r>
    <r>
      <rPr>
        <sz val="11"/>
        <color theme="1"/>
        <rFont val="Calibri"/>
        <family val="2"/>
        <scheme val="minor"/>
      </rPr>
      <t xml:space="preserve"> Electricity from captive power plant(s). The implementation of the project activity is clearly demonstrated to only affect the quantity of electricity that is generated in the captive power plant(s) and does not affect the quantity of electricity supplied from the grid. 
</t>
    </r>
    <r>
      <rPr>
        <b/>
        <u/>
        <sz val="11"/>
        <color theme="1"/>
        <rFont val="Calibri"/>
        <family val="2"/>
        <scheme val="minor"/>
      </rPr>
      <t>Case 3:</t>
    </r>
    <r>
      <rPr>
        <sz val="11"/>
        <color theme="1"/>
        <rFont val="Calibri"/>
        <family val="2"/>
        <scheme val="minor"/>
      </rPr>
      <t xml:space="preserve"> Electricity from both the grid and captive power plant(s). The implementation of the project activity may affect both the quantity of electricity that is generated in the captive power plant(s) and the quantity of electricity supplied from the grid.</t>
    </r>
  </si>
  <si>
    <t>If Case 1 was chosen:</t>
  </si>
  <si>
    <t>Redirect to Scenario A</t>
  </si>
  <si>
    <t>If Case 2 was chosen:</t>
  </si>
  <si>
    <t>Redirect to Scenario B</t>
  </si>
  <si>
    <t>If Case 3 was chosen:</t>
  </si>
  <si>
    <t>Redirect to Scenario A &amp; B</t>
  </si>
  <si>
    <t xml:space="preserve">If case 3 was chosen, this means that the more conservative value should be chosen between 
a) the result of applying either option A1 or A2 
and 
b) the result of applying either option B1 or B2. </t>
  </si>
  <si>
    <t>Sum of all Added Power Plants Emission Factor</t>
  </si>
  <si>
    <t>Auto-calculate</t>
  </si>
  <si>
    <t>Emission factor for electricity generation for source j, k or l in year y (where the heat generation is ignored (t CO2/MWh)</t>
  </si>
  <si>
    <t>Sum of each Emission Factor (Heat generation ignored)</t>
  </si>
  <si>
    <t>Sum of each Emission Factor (Fuel consumption between electricity and heat generation)</t>
  </si>
  <si>
    <t>[Click to Add Fossil Fuel Captive Power Plant]</t>
  </si>
  <si>
    <t xml:space="preserve">Plant Name </t>
  </si>
  <si>
    <t>Plant 1</t>
  </si>
  <si>
    <t>Select one</t>
  </si>
  <si>
    <t>Type of fossil fuel used</t>
  </si>
  <si>
    <t>Crude Oil</t>
  </si>
  <si>
    <r>
      <rPr>
        <sz val="18"/>
        <color rgb="FF000000"/>
        <rFont val="Calibri"/>
        <family val="2"/>
      </rPr>
      <t>NCV</t>
    </r>
    <r>
      <rPr>
        <vertAlign val="subscript"/>
        <sz val="18"/>
        <color rgb="FF000000"/>
        <rFont val="Calibri"/>
        <family val="2"/>
      </rPr>
      <t>i,t</t>
    </r>
  </si>
  <si>
    <t>Average net calorific value of the fossil fuel type used in the period t (GJ / mass or volume unit)</t>
  </si>
  <si>
    <t xml:space="preserve">Will auto-populate value from Default Values sheet dependent on Type of Fossil Fuel Used </t>
  </si>
  <si>
    <r>
      <t>EF</t>
    </r>
    <r>
      <rPr>
        <vertAlign val="subscript"/>
        <sz val="18"/>
        <color rgb="FF000000"/>
        <rFont val="Calibri"/>
        <family val="2"/>
      </rPr>
      <t>CO2,i,t</t>
    </r>
  </si>
  <si>
    <t>Average CO2 emission factor of the fossil fuel type used in the period t (t CO2 / GJ)</t>
  </si>
  <si>
    <t xml:space="preserve">Will auto-populate converted value from Default Values sheet dependent on Type of Fossil Fuel Used </t>
  </si>
  <si>
    <r>
      <t>FC</t>
    </r>
    <r>
      <rPr>
        <vertAlign val="subscript"/>
        <sz val="18"/>
        <color rgb="FF000000"/>
        <rFont val="Calibri"/>
        <family val="2"/>
      </rPr>
      <t>n,i,t</t>
    </r>
  </si>
  <si>
    <t>Quantity of fossil fuel fired in the captive power plant in the time period described in the project details (cubric meters, metric ton, or liters)</t>
  </si>
  <si>
    <r>
      <t>EG</t>
    </r>
    <r>
      <rPr>
        <vertAlign val="subscript"/>
        <sz val="18"/>
        <color rgb="FF000000"/>
        <rFont val="Calibri"/>
        <family val="2"/>
      </rPr>
      <t>n,t</t>
    </r>
  </si>
  <si>
    <t>Quantity of electricity generated in captive the power plant in the time period decribed in the projet details (MWh)</t>
  </si>
  <si>
    <r>
      <t>HG</t>
    </r>
    <r>
      <rPr>
        <vertAlign val="subscript"/>
        <sz val="18"/>
        <color rgb="FF000000"/>
        <rFont val="Calibri"/>
        <family val="2"/>
      </rPr>
      <t>n,t</t>
    </r>
  </si>
  <si>
    <t>Quantity of heat co-generated in captive power plant n in the time period t (GJ). (Only applicable if the CO2 emission factor for electricity generation is calculated by allocating the fuel consumption between electricity and heat generation)</t>
  </si>
  <si>
    <r>
      <t>η</t>
    </r>
    <r>
      <rPr>
        <vertAlign val="subscript"/>
        <sz val="18"/>
        <color theme="1"/>
        <rFont val="Calibri"/>
        <family val="2"/>
        <scheme val="minor"/>
      </rPr>
      <t>boiler,y</t>
    </r>
  </si>
  <si>
    <t>Efficiency of the boiler in which heat is assumed to be generated in the absence of a cogeneration plant in project/leakage scenario</t>
  </si>
  <si>
    <t>Default Values (will not change)</t>
  </si>
  <si>
    <t>Efficiency of the boiler in which heat is assumed to be generated in the absence of a cogeneration plant in baseline scenario</t>
  </si>
  <si>
    <t>Plant 2</t>
  </si>
  <si>
    <t>Gas/Diesel Oil</t>
  </si>
  <si>
    <t>Plant 3</t>
  </si>
  <si>
    <t>Natural Gas</t>
  </si>
  <si>
    <t xml:space="preserve">IPCC Default Values </t>
  </si>
  <si>
    <t xml:space="preserve">Fuel Type </t>
  </si>
  <si>
    <t>"NCV" Net Calorific Value (TJ/Gg)</t>
  </si>
  <si>
    <t>"EFCO2" Effective Default CO2 Emission Factors for Combustion (kg/TJ)</t>
  </si>
  <si>
    <t>Orimulsion</t>
  </si>
  <si>
    <t>Natural Gas Liquids</t>
  </si>
  <si>
    <t>Motor Gasoline</t>
  </si>
  <si>
    <t>Aviation Gasoline</t>
  </si>
  <si>
    <t>Jet Gasoline</t>
  </si>
  <si>
    <t>Jet Kerosene</t>
  </si>
  <si>
    <t>Other Kerosene</t>
  </si>
  <si>
    <t>Shale Oil</t>
  </si>
  <si>
    <t>Residual Fuel Oil</t>
  </si>
  <si>
    <t>Liquefied Petroleum Gases</t>
  </si>
  <si>
    <t>Ethane</t>
  </si>
  <si>
    <t>Naphtha</t>
  </si>
  <si>
    <t>Bitumen</t>
  </si>
  <si>
    <t>Lubricants</t>
  </si>
  <si>
    <t>Petroleum Coke</t>
  </si>
  <si>
    <t>Refinery Feedstocks</t>
  </si>
  <si>
    <t>Refinery Gas</t>
  </si>
  <si>
    <t>Paraffin Waxes</t>
  </si>
  <si>
    <t>White Spirit &amp; SBP</t>
  </si>
  <si>
    <t>Other Petroleum Products</t>
  </si>
  <si>
    <t>Anthracite</t>
  </si>
  <si>
    <t>Coking Coal</t>
  </si>
  <si>
    <t>Other Bituminous Coal</t>
  </si>
  <si>
    <t>Sub-Bituminous Coal</t>
  </si>
  <si>
    <t>Lignite</t>
  </si>
  <si>
    <t>Oil Shale and Tar Sands</t>
  </si>
  <si>
    <t>Brown Coal Briquettes</t>
  </si>
  <si>
    <t>Patent Fuel</t>
  </si>
  <si>
    <t>Coke oven coke and lignite Coke</t>
  </si>
  <si>
    <t>Gas Coke</t>
  </si>
  <si>
    <t>Coal Tar</t>
  </si>
  <si>
    <t>Gas Works Gas</t>
  </si>
  <si>
    <t>Coke Oven Gas</t>
  </si>
  <si>
    <t xml:space="preserve">Blast Furnace Gas </t>
  </si>
  <si>
    <t>Oxygen Steel Furnace Gas</t>
  </si>
  <si>
    <t>Municipal Wastes (non-biomass fraction)</t>
  </si>
  <si>
    <t>Waste Oil</t>
  </si>
  <si>
    <t>Peat</t>
  </si>
  <si>
    <t>Wood/Wood Waste</t>
  </si>
  <si>
    <t>Sulphite lyes (black liquor)</t>
  </si>
  <si>
    <t>Other Primary Solid Biomass</t>
  </si>
  <si>
    <t>Charcoal</t>
  </si>
  <si>
    <t>Biogasoline</t>
  </si>
  <si>
    <t>Biodiesels</t>
  </si>
  <si>
    <t>Other Liquid Biofuels</t>
  </si>
  <si>
    <t>Landfill Gas</t>
  </si>
  <si>
    <t>Sludge Gas</t>
  </si>
  <si>
    <t>Other Biogas</t>
  </si>
  <si>
    <t>Municipal Wastes (biomass fraction)</t>
  </si>
  <si>
    <t>Industrial Wastes</t>
  </si>
  <si>
    <t>Required</t>
  </si>
  <si>
    <t xml:space="preserve">Questionnaire </t>
  </si>
  <si>
    <t xml:space="preserve">To which emission category is the tool being applied? </t>
  </si>
  <si>
    <t>Baseline Emissions (BE)</t>
  </si>
  <si>
    <t xml:space="preserve">Will the project be implementing Application A or Application B? </t>
  </si>
  <si>
    <t>Application B</t>
  </si>
  <si>
    <t xml:space="preserve">Application A: The CDM project activity mitigates methane emissions from a specific existing SWDS. Methane emissions are mitigated by capturing and flaring or combusting the methane (e.g. “ACM0001: Flaring or use of landfill gas”). The methane is generated from waste disposed in the past, including prior to the start of the CDM project activity. In these cases, the tool is only applied for an ex ante estimation of emissions in the project design document (CDM-PDD). The emissions will then be monitored during the crediting period using the applicable approaches in the relevant methodologies (e.g. measuring the amount of methane captured from the SWDS). 
Application B: The CDM project activity avoids or involves the disposal of waste at a SWDS. An example of this application of the tool is ACM0022, in which municipal solid waste (MSW) is treated with an alternative option, such as composting or anaerobic digestion, and is then prevented from being disposed of in a SWDS. The methane is generated from waste disposed or avoided from disposal during the crediting period. In these cases, the tool can be applied for both ex ante and ex post estimation of emissions. These project activities may apply the simplified approach detailed in 0 when calculating baseline emissions. </t>
  </si>
  <si>
    <t xml:space="preserve">Is methane captured (e.g. due to safety regulations) and flared, combusted or used in another manner that prevents emissions of methane to the atmosphere? </t>
  </si>
  <si>
    <t xml:space="preserve">Is the tool being applied to MSW? </t>
  </si>
  <si>
    <t xml:space="preserve">Is the tool being applied to residual waste? </t>
  </si>
  <si>
    <t>For the baseline model correction factor (parameter φy), will you use a default value (option 1) or a project specific value estimated yearly (option 2)?</t>
  </si>
  <si>
    <t>Option 1 (Default)</t>
  </si>
  <si>
    <t>Please indicate the climate conditions of the SWDS</t>
  </si>
  <si>
    <t>Humid/wet conditions</t>
  </si>
  <si>
    <t>Please indicate the climate type of the SWDS</t>
  </si>
  <si>
    <t>Tropical</t>
  </si>
  <si>
    <t xml:space="preserve">Is the solid waste weighed using accurate weighbridges or estimated, such as from the depth and surface area of
an existing SWDS? </t>
  </si>
  <si>
    <t>Estimated</t>
  </si>
  <si>
    <t>Is more than 50 percent of the waste rapidly degradable organic material?</t>
  </si>
  <si>
    <t xml:space="preserve">Is the SWDS is located in a tropical climate? </t>
  </si>
  <si>
    <t xml:space="preserve">Is the SWDS managed or unmanaged? </t>
  </si>
  <si>
    <t>Managed</t>
  </si>
  <si>
    <t xml:space="preserve">Is residual waste is disposed at the SWDS? </t>
  </si>
  <si>
    <t xml:space="preserve">Were the SWDS compartments where the project is implemented closed less than three years ago? </t>
  </si>
  <si>
    <t>For the fraction of DOC that decomposes in the SWDS (DOCf), will you use a default factor or measure a project specific value?</t>
  </si>
  <si>
    <t>Measure</t>
  </si>
  <si>
    <t xml:space="preserve">Does the SWDS have a water table above the bottom of the SWDS? </t>
  </si>
  <si>
    <t xml:space="preserve">Select the applicable SWDS condition </t>
  </si>
  <si>
    <t>Unmanaged solid waste disposal sites – deep</t>
  </si>
  <si>
    <t>For the methane correction factor (DOCj), will you use a default factor or measure/calculate a project specific value?</t>
  </si>
  <si>
    <t>Default</t>
  </si>
  <si>
    <t xml:space="preserve">For industrial sludge, either a value of 9 per cent (% wet sludge) may be used as a default, assuming an organic dry matter content of 35 percent, or alternatively, if the percentage of organic dry matter content is known, then the DOC value may be calculated as follows: DOCj (% wet sludge) = 9 * (% organic dry matter content/35); 
For domestic sludge, either a value of 5 per cent (% wet sludge) may be used as a default, assuming an organic dry matter content of 10 per cent, or alternatively, if the percentage of organic dry matter content is known, then the DOC value may be calculated as follows: DOCj (% wet sludge) = 5 * (% organic dry matter content/10). 
If a waste type is not comparable to </t>
  </si>
  <si>
    <t>Select the applicable waste type (j)</t>
  </si>
  <si>
    <t>Pulp, paper and cardboard (other than sludge)</t>
  </si>
  <si>
    <t>If waste type (j) = "other", please specify</t>
  </si>
  <si>
    <t xml:space="preserve">Does the SWDS have only one type of waste disposed (for example, in the case of a residual waste)? </t>
  </si>
  <si>
    <t>Determining the baseline model correction factor (φy)</t>
  </si>
  <si>
    <t>Option 1: Default</t>
  </si>
  <si>
    <t>φdefault; Model correction factor to account for model uncertainties for year y</t>
  </si>
  <si>
    <t>Option 2: Uncertainty Analysis</t>
  </si>
  <si>
    <t>a (W)</t>
  </si>
  <si>
    <t>b (DOCj)</t>
  </si>
  <si>
    <t>c (DOCf)</t>
  </si>
  <si>
    <t>d (F)</t>
  </si>
  <si>
    <t>e (MCFy)</t>
  </si>
  <si>
    <r>
      <t>g [e</t>
    </r>
    <r>
      <rPr>
        <vertAlign val="superscript"/>
        <sz val="11"/>
        <color theme="1"/>
        <rFont val="Calibri"/>
        <family val="2"/>
        <scheme val="minor"/>
      </rPr>
      <t>−𝑘𝑗×(𝑦−𝑥)</t>
    </r>
    <r>
      <rPr>
        <sz val="11"/>
        <color theme="1"/>
        <rFont val="Calibri"/>
        <family val="2"/>
        <scheme val="minor"/>
      </rPr>
      <t xml:space="preserve"> × (1 − e</t>
    </r>
    <r>
      <rPr>
        <vertAlign val="superscript"/>
        <sz val="11"/>
        <color theme="1"/>
        <rFont val="Calibri"/>
        <family val="2"/>
        <scheme val="minor"/>
      </rPr>
      <t>−𝑘𝑗</t>
    </r>
    <r>
      <rPr>
        <sz val="11"/>
        <color theme="1"/>
        <rFont val="Calibri"/>
        <family val="2"/>
        <scheme val="minor"/>
      </rPr>
      <t>)]</t>
    </r>
  </si>
  <si>
    <t>Vy</t>
  </si>
  <si>
    <t>Overall uncertainty of the determination of methane generation in year y</t>
  </si>
  <si>
    <t>𝜑y</t>
  </si>
  <si>
    <t>Model correction factor to account for model uncertainties for year y</t>
  </si>
  <si>
    <t>Determining the amounts of waste types j disposed in the SWDS (Wj,x or Wj,i)</t>
  </si>
  <si>
    <t>Application A</t>
  </si>
  <si>
    <t xml:space="preserve">Wj,x </t>
  </si>
  <si>
    <t xml:space="preserve">Wj,x or Wj,i calculated based on information from the SWDS owner and administration and from interviews with senior employees. </t>
  </si>
  <si>
    <t>Pn,j,x</t>
  </si>
  <si>
    <t>Fraction of the waste type j in the sample n collected during the year x (weight fraction)</t>
  </si>
  <si>
    <t xml:space="preserve">[Click to add sample] </t>
  </si>
  <si>
    <t>Zx</t>
  </si>
  <si>
    <t>Number of samples collected during the year x</t>
  </si>
  <si>
    <t>𝑊x</t>
  </si>
  <si>
    <t>Total amount of solid waste disposed or prevented from disposal in the SWDS in year x (t)</t>
  </si>
  <si>
    <t>P𝑗,x</t>
  </si>
  <si>
    <t>Average fraction of the waste type j in the waste in year x (weight fraction)</t>
  </si>
  <si>
    <t>𝑊𝑗,𝑥</t>
  </si>
  <si>
    <t>Amount of solid waste type j disposed or prevented from disposal in the SWDS in the year x (t)</t>
  </si>
  <si>
    <t>Determining the fraction of DOC that decomposes in the SWDS (DOCf,y)</t>
  </si>
  <si>
    <t>DOCf,default</t>
  </si>
  <si>
    <t xml:space="preserve">Fraction of degradable organic carbon (DOC) that decomposes under the specific conditions occurring in the SWDS for year y (weight fraction) </t>
  </si>
  <si>
    <t>Measurement (MSW)</t>
  </si>
  <si>
    <t>BMPmsw</t>
  </si>
  <si>
    <t>Biochemical methane potential for the MSW disposed or prevented from disposal (t CH4/t waste)</t>
  </si>
  <si>
    <t>F</t>
  </si>
  <si>
    <t>Fraction of methane in the SWDS gas (volume fraction)</t>
  </si>
  <si>
    <t>Pj,y</t>
  </si>
  <si>
    <t>Average fraction of the waste type j in the waste in year y (weight fraction)</t>
  </si>
  <si>
    <t>DOC,j</t>
  </si>
  <si>
    <t>Fraction of degradable organic carbon in the waste type j (weight fraction)</t>
  </si>
  <si>
    <t>𝐷𝑂𝐶𝑓,y</t>
  </si>
  <si>
    <t>Measurement (Residual Waste)</t>
  </si>
  <si>
    <t>BMPj</t>
  </si>
  <si>
    <t>Biochemical methane potential for the residual waste type j disposed or prevented from disposal (t CH4/t waste)</t>
  </si>
  <si>
    <t>Determining the methane correction factor (MCFy)</t>
  </si>
  <si>
    <t>MCFdefault</t>
  </si>
  <si>
    <t>Methane correction factor for year y</t>
  </si>
  <si>
    <t>Calculated</t>
  </si>
  <si>
    <t>ℎ𝑤,y</t>
  </si>
  <si>
    <t>Height of water table Measure from the base of the SWDS (m)</t>
  </si>
  <si>
    <t>dy</t>
  </si>
  <si>
    <t>Depth of SWDS (m)</t>
  </si>
  <si>
    <t>𝑀𝐶𝐹y</t>
  </si>
  <si>
    <t>Determining the methane correction factor (DOCj)</t>
  </si>
  <si>
    <t>𝐷𝑂𝐶𝑗,default</t>
  </si>
  <si>
    <t>Baseline (BE), Project (PE), or Leakage (LE) Methane Emissions from SWDS</t>
  </si>
  <si>
    <t>𝐷𝑂𝐶𝑗</t>
  </si>
  <si>
    <t>X</t>
  </si>
  <si>
    <t>Years in the time period in which waste is disposed at the SWDS, extending from the first year in the time period (x = 1) to year y (x = y)</t>
  </si>
  <si>
    <t>y</t>
  </si>
  <si>
    <t>Year of the crediting period for which methane emissions are calculated (y is a consecutive period of 12 months)</t>
  </si>
  <si>
    <t>𝑊𝑗,x</t>
  </si>
  <si>
    <t>𝑓,y</t>
  </si>
  <si>
    <t>Fraction of methane captured at the SWDS and flared, combusted or used in another manner that prevents the emissions of methane to the atmosphere in year y</t>
  </si>
  <si>
    <t>Global Warming Potential of methane</t>
  </si>
  <si>
    <t>Fixed Default</t>
  </si>
  <si>
    <t>𝑂X</t>
  </si>
  <si>
    <t>Oxidation factor (reflecting the amount of methane from SWDS that is oxidized in the soil or other material covering the waste)</t>
  </si>
  <si>
    <t>𝑀𝐶𝐹𝑦</t>
  </si>
  <si>
    <t>Decay rate for the waste type j (1 / yr)</t>
  </si>
  <si>
    <t>If a waste type disposed in a SWDS cannot clearly be attributed to one
of the waste types in table 7, project participants should
choose, among the waste types that have similar characteristics, the
waste type where the values of DOCj and kj result in a conservative
estimate (lowest emissions), or request a revision of/deviation from this
methodology.</t>
  </si>
  <si>
    <t xml:space="preserve">Type of residual waste or types of waste in the MSW </t>
  </si>
  <si>
    <t>[𝐵𝐸,PE,LE] 𝐶𝐻4,𝑆𝑊𝐷𝑆,y</t>
  </si>
  <si>
    <t>[Baseline, Project, or Leakage] Methane emissions occurring in year y generated from waste disposal at a SWDS during a time period ending in year y (t CO2e/yr)</t>
  </si>
  <si>
    <t>[Click to add SWDS emission calculation]</t>
  </si>
  <si>
    <t xml:space="preserve">Add a new calculation/instance of this tool for the baseline, project, and leakage emissions. For each of the above, add another instance for each waste type (j), and year (y). Sum the waste types and years to get the totals for baseline, project, and leakage emissions (see summary tab). </t>
  </si>
  <si>
    <t>Project Emissions (PE)</t>
  </si>
  <si>
    <t>Leakage Emissions (LE)</t>
  </si>
  <si>
    <t>CH4,SWDS,y,j</t>
  </si>
  <si>
    <t>Total</t>
  </si>
  <si>
    <t>Emissions Category</t>
  </si>
  <si>
    <t>Application</t>
  </si>
  <si>
    <t>Calculation Frequency</t>
  </si>
  <si>
    <t>Binary</t>
  </si>
  <si>
    <t>Model correction factor (φy)</t>
  </si>
  <si>
    <t>Methane correction factor (DOCj)</t>
  </si>
  <si>
    <t>Climate Conditions</t>
  </si>
  <si>
    <t>Climate Type</t>
  </si>
  <si>
    <t>Waste Types (j)</t>
  </si>
  <si>
    <t xml:space="preserve">Yearly </t>
  </si>
  <si>
    <t>Boreal and Temperate</t>
  </si>
  <si>
    <t>Wood and wood products</t>
  </si>
  <si>
    <t>Weighed</t>
  </si>
  <si>
    <t>Anaerobic managed solid waste disposal sites</t>
  </si>
  <si>
    <t>Monthly</t>
  </si>
  <si>
    <t>Option 2 (Estimated)</t>
  </si>
  <si>
    <t>Dry conditions</t>
  </si>
  <si>
    <t>Unmanaged</t>
  </si>
  <si>
    <t>Semi-aerobic managed solid waste disposal sites</t>
  </si>
  <si>
    <t>Food, food waste, beverages and tobacco (other than sludge)</t>
  </si>
  <si>
    <t>Textiles</t>
  </si>
  <si>
    <t>Unmanaged-shallow solid waste disposal sites or stockpiles that are considered SWDS</t>
  </si>
  <si>
    <t>Garden, yard and park waste</t>
  </si>
  <si>
    <t>Glass, plastic, metal, other inert waste</t>
  </si>
  <si>
    <t>Empty fruit brunches (EFB)</t>
  </si>
  <si>
    <t>Industrial sludge</t>
  </si>
  <si>
    <t>Domestic sludge</t>
  </si>
  <si>
    <t>Other</t>
  </si>
  <si>
    <t>Property</t>
  </si>
  <si>
    <t>Methodology List</t>
  </si>
  <si>
    <t>AccountableImpactOrganization.id</t>
  </si>
  <si>
    <t>ACR- Truck Stop Electrification</t>
  </si>
  <si>
    <t>ACR- Advanced Refrigeration Systems</t>
  </si>
  <si>
    <t>AccountableImpactOrganization.description</t>
  </si>
  <si>
    <t xml:space="preserve">ACR- Certified Reclaimed HFC Refrigerants, Propellants, and Fire Suppressants </t>
  </si>
  <si>
    <t>ACR - Destruction of Ozone Depleting Substances and High-GWP Foam</t>
  </si>
  <si>
    <t>ACR- Destruction of Ozone Depleting Substances from International Sources</t>
  </si>
  <si>
    <t>AccountableImpactOrganization.country</t>
  </si>
  <si>
    <t>ACR- Transition to Advanced Formulation Blowing Agents in Foam Manufacturing</t>
  </si>
  <si>
    <t>AccountableImpactOrganization.region</t>
  </si>
  <si>
    <t>ACR - Afforestation and Reforestation of Degraded Lands</t>
  </si>
  <si>
    <t>AccountableImpactOrganization.informationLink</t>
  </si>
  <si>
    <t xml:space="preserve">ACR- Avoided Conversion of Grasslands and Shrublands to Crop Production </t>
  </si>
  <si>
    <t>AccountableImpactOrganization.mediaLinks</t>
  </si>
  <si>
    <t>ACR - Improved Forest Management (IFM) on Canadian Forestlands</t>
  </si>
  <si>
    <t>AccountableImpactOrganization.attestations</t>
  </si>
  <si>
    <t>ACR- Improved Forest Management (IFM) on Non-Federal U.S. Forestlands</t>
  </si>
  <si>
    <t>AccountableImpactOrganization.activityImpactModules</t>
  </si>
  <si>
    <t xml:space="preserve">ACR- Improved Forest Management (IFM) on Small Non-Industrial Private Forestlands </t>
  </si>
  <si>
    <t>ActivityImpactModule.id</t>
  </si>
  <si>
    <t>ACR - Restoration of California Deltaic and Coastal Wetlands</t>
  </si>
  <si>
    <t>ActivityImpactModule.aioId</t>
  </si>
  <si>
    <t>ACR- Restoration of Pocosin Wetlands ACR - Carbon Capture and Storage Projects</t>
  </si>
  <si>
    <t>ActivityImpactModule.name</t>
  </si>
  <si>
    <t>CAR - Adipic Acid Production</t>
  </si>
  <si>
    <t>ActivityImpactModule.classificationCategory</t>
  </si>
  <si>
    <t xml:space="preserve">ACR- Landfill Gas Destruction and Beneficial Use Projects </t>
  </si>
  <si>
    <t>ActivityImpactModule.classificationMethod</t>
  </si>
  <si>
    <t>CAR- Biochar</t>
  </si>
  <si>
    <t>ActivityImpactModule.benefitCategory</t>
  </si>
  <si>
    <t>CAR- Canada Grassland</t>
  </si>
  <si>
    <t xml:space="preserve">CAR - Coal Mine Methane </t>
  </si>
  <si>
    <t>CAR - Forest</t>
  </si>
  <si>
    <t>CAR- Grassland</t>
  </si>
  <si>
    <t>ActivityImpactModule.arbId</t>
  </si>
  <si>
    <t>CAR- Mexico Boiler Efficiency</t>
  </si>
  <si>
    <t>ActivityImpactModule.geographicLocation</t>
  </si>
  <si>
    <t>CAR - Mexico Forest</t>
  </si>
  <si>
    <t>ActivityImpactModule.firstYearIssuance</t>
  </si>
  <si>
    <t>CAR- Mexico Halocarbon</t>
  </si>
  <si>
    <t>ActivityImpactModule.registryProjectId</t>
  </si>
  <si>
    <t xml:space="preserve">CAR - Mexico Landfill </t>
  </si>
  <si>
    <t>ActivityImpactModule.developers</t>
  </si>
  <si>
    <t>CAR - Mexico Livestock</t>
  </si>
  <si>
    <t>ActivityImpactModule.sponsors</t>
  </si>
  <si>
    <t>CAR - Nitric Acid Production</t>
  </si>
  <si>
    <t>ActivityImpactModule.claimSources</t>
  </si>
  <si>
    <t xml:space="preserve">CAR- Mexico Ozone Depleting Substances </t>
  </si>
  <si>
    <t>ActivityImpactModule.impactClaims</t>
  </si>
  <si>
    <t>CAR - Organic Waste Composting</t>
  </si>
  <si>
    <t>ActivityImpactModule.mrvExtensions</t>
  </si>
  <si>
    <t xml:space="preserve">CAR - Organic Waste Digestion </t>
  </si>
  <si>
    <t>ActivityImpactModule.validations</t>
  </si>
  <si>
    <t xml:space="preserve">CAR - Ozone Depleting Substances </t>
  </si>
  <si>
    <t>ActivityImpactModule.attestations</t>
  </si>
  <si>
    <t>CAR - Rice Cultivation</t>
  </si>
  <si>
    <t>ActivityImpactModule.accountableImpactOrganization</t>
  </si>
  <si>
    <t>CAR- Nitrogen Management</t>
  </si>
  <si>
    <t xml:space="preserve">CAR - Soil Enrichment </t>
  </si>
  <si>
    <t xml:space="preserve">CAR - Urban Forest Management </t>
  </si>
  <si>
    <t>CAR - Urban Tree Planting</t>
  </si>
  <si>
    <t xml:space="preserve">CAR - U.S. Landfill </t>
  </si>
  <si>
    <t>CAR - U.S. Livestock</t>
  </si>
  <si>
    <t>CDM - AM0001</t>
  </si>
  <si>
    <t>Address.addressType</t>
  </si>
  <si>
    <t>CDM - AM0007</t>
  </si>
  <si>
    <t>Address.addressLines</t>
  </si>
  <si>
    <t>CDM - AM0009</t>
  </si>
  <si>
    <t>Address.city</t>
  </si>
  <si>
    <t>CDM - AM0017</t>
  </si>
  <si>
    <t>Address.state</t>
  </si>
  <si>
    <t>CDM - AM0018</t>
  </si>
  <si>
    <t>Address.zip</t>
  </si>
  <si>
    <t>CDM - AM0019</t>
  </si>
  <si>
    <t>Address.country</t>
  </si>
  <si>
    <t>CDM - AM0020</t>
  </si>
  <si>
    <t>Any.typeUrl</t>
  </si>
  <si>
    <t>CDM - AM0021</t>
  </si>
  <si>
    <t>Any.value</t>
  </si>
  <si>
    <t>CDM - AM0023</t>
  </si>
  <si>
    <t>Attestation.tag</t>
  </si>
  <si>
    <t>CDM - AM0026</t>
  </si>
  <si>
    <t>Attestation.type</t>
  </si>
  <si>
    <t>CDM - AM0027</t>
  </si>
  <si>
    <t>Attestation.proofType</t>
  </si>
  <si>
    <t>CDM - AM0028</t>
  </si>
  <si>
    <t>Attestation.attestor</t>
  </si>
  <si>
    <t>CDM - AM0030</t>
  </si>
  <si>
    <t>Attestation.signature</t>
  </si>
  <si>
    <t>CDM - AM0031</t>
  </si>
  <si>
    <t>Audits.auditDate</t>
  </si>
  <si>
    <t>CDM - AM0035</t>
  </si>
  <si>
    <t>Audits.auditReports</t>
  </si>
  <si>
    <t>CDM - AM0036</t>
  </si>
  <si>
    <t>CRU.id</t>
  </si>
  <si>
    <t>CDM - AM0037</t>
  </si>
  <si>
    <t>CRU.quantity</t>
  </si>
  <si>
    <t>CDM - AM0038</t>
  </si>
  <si>
    <t>CRU.unit</t>
  </si>
  <si>
    <t>CDM - AM0043</t>
  </si>
  <si>
    <t>CRU.ownerId</t>
  </si>
  <si>
    <t>CDM - AM0044</t>
  </si>
  <si>
    <t>CRU.listingAgentId</t>
  </si>
  <si>
    <t>CDM - AM0045</t>
  </si>
  <si>
    <t>CRU.coreCarbonPrinciples</t>
  </si>
  <si>
    <t>CDM - AM0046</t>
  </si>
  <si>
    <t>CRU.climateLabels</t>
  </si>
  <si>
    <t>CDM - AM0048</t>
  </si>
  <si>
    <t>CRU.status</t>
  </si>
  <si>
    <t>CDM - AM0049</t>
  </si>
  <si>
    <t>CRU.referencedCredit</t>
  </si>
  <si>
    <t>CDM - AM0050</t>
  </si>
  <si>
    <t>CRU.appliedToId</t>
  </si>
  <si>
    <t>CDM - AM0052</t>
  </si>
  <si>
    <t>CRU.processedClaimId</t>
  </si>
  <si>
    <t>CDM - AM0053</t>
  </si>
  <si>
    <t>CRU.issuerId</t>
  </si>
  <si>
    <t>CDM - AM0055</t>
  </si>
  <si>
    <t>CRU.processedClaim</t>
  </si>
  <si>
    <t>CDM - AM0056</t>
  </si>
  <si>
    <t>CheckpointResult.id</t>
  </si>
  <si>
    <t>CDM - AM0057</t>
  </si>
  <si>
    <t>CheckpointResult.checkpointId</t>
  </si>
  <si>
    <t>CDM - AM0058</t>
  </si>
  <si>
    <t>CheckpointResult.linkToVerificationData</t>
  </si>
  <si>
    <t>CDM - AM0059</t>
  </si>
  <si>
    <t>CheckpointResult.dateRange</t>
  </si>
  <si>
    <t>CDM - AM0060</t>
  </si>
  <si>
    <t>CheckpointResult.efBefore</t>
  </si>
  <si>
    <t>CDM - AM0061</t>
  </si>
  <si>
    <t>CheckpointResult.efAfter</t>
  </si>
  <si>
    <t>CDM - AM0062</t>
  </si>
  <si>
    <t>CheckpointResult.mrvExtensions</t>
  </si>
  <si>
    <t>CDM - AM0063</t>
  </si>
  <si>
    <t>ClaimSource.id</t>
  </si>
  <si>
    <t>CDM - AM0064</t>
  </si>
  <si>
    <t>ClaimSource.aimId</t>
  </si>
  <si>
    <t>CDM - AM0065</t>
  </si>
  <si>
    <t>ClaimSource.name</t>
  </si>
  <si>
    <t>CDM - AM0066</t>
  </si>
  <si>
    <t>ClaimSource.description</t>
  </si>
  <si>
    <t>CDM - AM0067</t>
  </si>
  <si>
    <t>ClaimSource.location</t>
  </si>
  <si>
    <t>CDM - AM0068</t>
  </si>
  <si>
    <t>ClaimSource.sourceType</t>
  </si>
  <si>
    <t>CDM - AM0069</t>
  </si>
  <si>
    <t>ClaimSource.unitOfMeasure</t>
  </si>
  <si>
    <t>CDM - AM0070</t>
  </si>
  <si>
    <t>ClaimSource.sourceIdentifier</t>
  </si>
  <si>
    <t>CDM - AM0071</t>
  </si>
  <si>
    <t>ClaimSource.mrvExtensions</t>
  </si>
  <si>
    <t>CDM - AM0072</t>
  </si>
  <si>
    <t>ClimateLabel.id</t>
  </si>
  <si>
    <t>CDM - AM0073</t>
  </si>
  <si>
    <t>ClimateLabel.name</t>
  </si>
  <si>
    <t>CDM - AM0074</t>
  </si>
  <si>
    <t>ClimateLabel.description</t>
  </si>
  <si>
    <t>CDM - AM0075</t>
  </si>
  <si>
    <t>CDM - AM0076</t>
  </si>
  <si>
    <t>CoBenefit.description</t>
  </si>
  <si>
    <t>CDM - AM0077</t>
  </si>
  <si>
    <t>CoreCarbonPrinciples.assetId</t>
  </si>
  <si>
    <t>CDM - AM0078</t>
  </si>
  <si>
    <t>CoreCarbonPrinciples.issuanceDate</t>
  </si>
  <si>
    <t>CDM - AM0079</t>
  </si>
  <si>
    <t>CoreCarbonPrinciples.vintage</t>
  </si>
  <si>
    <t>CDM - AM0080</t>
  </si>
  <si>
    <t>CoreCarbonPrinciples.generationType</t>
  </si>
  <si>
    <t>CDM - AM0081</t>
  </si>
  <si>
    <t>CoreCarbonPrinciples.verificationStandard</t>
  </si>
  <si>
    <t>CDM - AM0082</t>
  </si>
  <si>
    <t>CoreCarbonPrinciples.mitigationActivity</t>
  </si>
  <si>
    <t>CDM - AM0083</t>
  </si>
  <si>
    <t>CoreCarbonPrinciples.durability</t>
  </si>
  <si>
    <t>CDM - AM0084</t>
  </si>
  <si>
    <t>CoreCarbonPrinciples.replacement</t>
  </si>
  <si>
    <t>CDM - AM0086</t>
  </si>
  <si>
    <t>CoreCarbonPrinciples.parisAgreementCompliance</t>
  </si>
  <si>
    <t>CDM - AM0088</t>
  </si>
  <si>
    <t>CoreCarbonPrinciples.quantifiedSdgImpacts</t>
  </si>
  <si>
    <t>CDM - AM0089</t>
  </si>
  <si>
    <t>CoreCarbonPrinciples.adaptationCoBenefits</t>
  </si>
  <si>
    <t>CDM - AM0090</t>
  </si>
  <si>
    <t>Credential.context</t>
  </si>
  <si>
    <t>CDM - AM0091</t>
  </si>
  <si>
    <t>Credential.id</t>
  </si>
  <si>
    <t>CDM - AM0092</t>
  </si>
  <si>
    <t>Credential.type</t>
  </si>
  <si>
    <t>CDM - AM0093</t>
  </si>
  <si>
    <t>Credential.issuer</t>
  </si>
  <si>
    <t>CDM - AM0094</t>
  </si>
  <si>
    <t>Credential.issuanceDate</t>
  </si>
  <si>
    <t>CDM - AM0095</t>
  </si>
  <si>
    <t>Credential.credentialSubject</t>
  </si>
  <si>
    <t>CDM - AM0096</t>
  </si>
  <si>
    <t>Credential.proof</t>
  </si>
  <si>
    <t>CDM - AM0097</t>
  </si>
  <si>
    <t>CredentialSubject.id</t>
  </si>
  <si>
    <t>CDM - AM0098</t>
  </si>
  <si>
    <t>CredentialSubject.property</t>
  </si>
  <si>
    <t>CDM - AM0099</t>
  </si>
  <si>
    <t>DataExtension.key</t>
  </si>
  <si>
    <t>CDM - AM0100</t>
  </si>
  <si>
    <t>DataExtension.value</t>
  </si>
  <si>
    <t>CDM - AM0101</t>
  </si>
  <si>
    <t>DataExtension.data</t>
  </si>
  <si>
    <t>CDM - AM0103</t>
  </si>
  <si>
    <t>Date.dateTime</t>
  </si>
  <si>
    <t>CDM - AM0104</t>
  </si>
  <si>
    <t>Date.dateString</t>
  </si>
  <si>
    <t>CDM - AM0105</t>
  </si>
  <si>
    <t>DatePoint.date</t>
  </si>
  <si>
    <t>CDM - AM0106</t>
  </si>
  <si>
    <t>DatePoint.timeStamp</t>
  </si>
  <si>
    <t>CDM - AM0107</t>
  </si>
  <si>
    <t>DateRange.startDate</t>
  </si>
  <si>
    <t>CDM - AM0108</t>
  </si>
  <si>
    <t>DateRange.endDate</t>
  </si>
  <si>
    <t>CDM - AM0109</t>
  </si>
  <si>
    <t>Degradable.percentage</t>
  </si>
  <si>
    <t>CDM - AM0110</t>
  </si>
  <si>
    <t>Degradable.factor</t>
  </si>
  <si>
    <t>CDM - AM0111</t>
  </si>
  <si>
    <t>Degradable.degradationType</t>
  </si>
  <si>
    <t>CDM - AM0112</t>
  </si>
  <si>
    <t>DigitalSignature.type</t>
  </si>
  <si>
    <t>CDM - AM0113</t>
  </si>
  <si>
    <t>DigitalSignature.jws</t>
  </si>
  <si>
    <t>CDM - AM0114</t>
  </si>
  <si>
    <t>DigitalSignature.vc</t>
  </si>
  <si>
    <t>CDM - AM0115</t>
  </si>
  <si>
    <t>DigitalSignature.signatureCase</t>
  </si>
  <si>
    <t>CDM - AM0116</t>
  </si>
  <si>
    <t>Durability.storageType</t>
  </si>
  <si>
    <t>CDM - AM0117</t>
  </si>
  <si>
    <t>Durability.years</t>
  </si>
  <si>
    <t>CDM - AM0118</t>
  </si>
  <si>
    <t>Durability.degradable</t>
  </si>
  <si>
    <t>CDM - AM0119</t>
  </si>
  <si>
    <t>Durability.reversalMitigation</t>
  </si>
  <si>
    <t>CDM - AM0120</t>
  </si>
  <si>
    <t>GeographicLocation.longitude</t>
  </si>
  <si>
    <t>CDM - AM0121</t>
  </si>
  <si>
    <t>GeographicLocation.latitude</t>
  </si>
  <si>
    <t>CDM - AM0122</t>
  </si>
  <si>
    <t>GeographicLocation.geoJsonOrKml</t>
  </si>
  <si>
    <t>CDM - AMS-I.A.</t>
  </si>
  <si>
    <t>GeographicLocation.geographicLocationFile</t>
  </si>
  <si>
    <t>CDM - AMS-I.B.</t>
  </si>
  <si>
    <t>ImpactClaim.id</t>
  </si>
  <si>
    <t>CDM - AMS-I.C.</t>
  </si>
  <si>
    <t>ImpactClaim.aimId</t>
  </si>
  <si>
    <t>CDM - AMS-I.D.</t>
  </si>
  <si>
    <t>ImpactClaim.processedClaimId</t>
  </si>
  <si>
    <t>CDM - AMS-I.E.</t>
  </si>
  <si>
    <t>ImpactClaim.unit</t>
  </si>
  <si>
    <t>CDM - AMS-I.F.</t>
  </si>
  <si>
    <t>CDM - AMS-I.G.</t>
  </si>
  <si>
    <t>ImpactClaim.coBenefits</t>
  </si>
  <si>
    <t>CDM - AMS-I.H.</t>
  </si>
  <si>
    <t>ImpactClaim.checkpoints</t>
  </si>
  <si>
    <t>CDM - AMS-I.I.</t>
  </si>
  <si>
    <t>ImpactClaim.mrvExtensions</t>
  </si>
  <si>
    <t>CDM - AMS-I.J.</t>
  </si>
  <si>
    <t>ImpactClaim.activityImpactModule</t>
  </si>
  <si>
    <t>CDM - AMS-I.K.</t>
  </si>
  <si>
    <t>ImpactClaimCheckpoint.id</t>
  </si>
  <si>
    <t>CDM - AMS-I.L.</t>
  </si>
  <si>
    <t>ImpactClaimCheckpoint.claimId</t>
  </si>
  <si>
    <t>CDM - AMS-I.M.</t>
  </si>
  <si>
    <t>ImpactClaimCheckpoint.claimSourceIds</t>
  </si>
  <si>
    <t>CDM - AMS-II.A.</t>
  </si>
  <si>
    <t>ImpactClaimCheckpoint.projectDeveloperId</t>
  </si>
  <si>
    <t>CDM - AMS-II.B.</t>
  </si>
  <si>
    <t>CDM - AMS-II.C.</t>
  </si>
  <si>
    <t>CDM - AMS-II.D.</t>
  </si>
  <si>
    <t>ImpactClaimCheckpoint.checkpointDateRange</t>
  </si>
  <si>
    <t>CDM - AMS-II.E.</t>
  </si>
  <si>
    <t>ImpactClaimCheckpoint.verifiedLinkToCheckpointData</t>
  </si>
  <si>
    <t>CDM - AMS-II.F.</t>
  </si>
  <si>
    <t>ImpactClaimCheckpoint.mrvExtensions</t>
  </si>
  <si>
    <t>CDM - AMS-II.G.</t>
  </si>
  <si>
    <t>ImpactClaimCheckpoint.spanDataPackage</t>
  </si>
  <si>
    <t>CDM - AMS-II.H.</t>
  </si>
  <si>
    <t>MRVRequirements.measurementSpecification</t>
  </si>
  <si>
    <t>CDM - AMS-II.I.</t>
  </si>
  <si>
    <t>MRVRequirements.specificationLink</t>
  </si>
  <si>
    <t>CDM - AMS-II.J.</t>
  </si>
  <si>
    <t>MRVRequirements.precision</t>
  </si>
  <si>
    <t>CDM - AMS-II.K.</t>
  </si>
  <si>
    <t>MRVRequirements.claimPeriod</t>
  </si>
  <si>
    <t>CDM - AMS-II.L.</t>
  </si>
  <si>
    <t>Manifest.id</t>
  </si>
  <si>
    <t>CDM - AMS-II.M.</t>
  </si>
  <si>
    <t>Manifest.version</t>
  </si>
  <si>
    <t>CDM - AMS-II.N.</t>
  </si>
  <si>
    <t>Manifest.aimId</t>
  </si>
  <si>
    <t>CDM - AMS-II.O.</t>
  </si>
  <si>
    <t>Manifest.claimId</t>
  </si>
  <si>
    <t>CDM - AMS-II.P.</t>
  </si>
  <si>
    <t>Manifest.projectDeveloperId</t>
  </si>
  <si>
    <t>CDM - AMS-II.Q.</t>
  </si>
  <si>
    <t>Manifest.created</t>
  </si>
  <si>
    <t>CDM - AMS-II.R.</t>
  </si>
  <si>
    <t>Manifest.mrvExtensions</t>
  </si>
  <si>
    <t>CDM - AMS-II.S.</t>
  </si>
  <si>
    <t>Manifest.sdpFiles</t>
  </si>
  <si>
    <t>CDM - AMS-II.T.</t>
  </si>
  <si>
    <t>MitigationActivity.category</t>
  </si>
  <si>
    <t>CDM - AMS-III.A.</t>
  </si>
  <si>
    <t>MitigationActivity.method</t>
  </si>
  <si>
    <t>CDM - AMS-III.B.</t>
  </si>
  <si>
    <t>MrvExtension.mrvExtensionContext</t>
  </si>
  <si>
    <t>CDM - AMS-III.C.</t>
  </si>
  <si>
    <t>MrvExtension.typedExtension</t>
  </si>
  <si>
    <t>CDM - AMS-III.D.</t>
  </si>
  <si>
    <t>MrvExtension.untypedExtension</t>
  </si>
  <si>
    <t>CDM - AMS-III.E.</t>
  </si>
  <si>
    <t>MrvExtension.extensionCase</t>
  </si>
  <si>
    <t>CDM - AMS-III.F.</t>
  </si>
  <si>
    <t>PACompliance.ca</t>
  </si>
  <si>
    <t>CDM - AMS-III.G.</t>
  </si>
  <si>
    <t>PACompliance.letterOfApproval</t>
  </si>
  <si>
    <t>CDM - AMS-III.H.</t>
  </si>
  <si>
    <t>PrecisionMix.low</t>
  </si>
  <si>
    <t>CDM - AMS-III.I.</t>
  </si>
  <si>
    <t>PrecisionMix.medium</t>
  </si>
  <si>
    <t>CDM - AMS-III.J.</t>
  </si>
  <si>
    <t>PrecisionMix.high</t>
  </si>
  <si>
    <t>CDM - AMS-III.K.</t>
  </si>
  <si>
    <t>ProcessedClaim.id</t>
  </si>
  <si>
    <t>CDM - AMS-III.L.</t>
  </si>
  <si>
    <t>ProcessedClaim.vpaId</t>
  </si>
  <si>
    <t>CDM - AMS-III.M.</t>
  </si>
  <si>
    <t>ProcessedClaim.impactClaimId</t>
  </si>
  <si>
    <t>CDM - AMS-III.N.</t>
  </si>
  <si>
    <t>ProcessedClaim.creditId</t>
  </si>
  <si>
    <t>CDM - AMS-III.O.</t>
  </si>
  <si>
    <t>ProcessedClaim.unit</t>
  </si>
  <si>
    <t>CDM - AMS-III.P.</t>
  </si>
  <si>
    <t>ProcessedClaim.quantity</t>
  </si>
  <si>
    <t>CDM - AMS-III.Q.</t>
  </si>
  <si>
    <t>ProcessedClaim.coBenefits</t>
  </si>
  <si>
    <t>CDM - AMS-III.R.</t>
  </si>
  <si>
    <t>ProcessedClaim.mrvExtensions</t>
  </si>
  <si>
    <t>CDM - AMS-III.S.</t>
  </si>
  <si>
    <t>ProcessedClaim.checkpointResults</t>
  </si>
  <si>
    <t>CDM - AMS-III.T.</t>
  </si>
  <si>
    <t>ProcessedClaim.issuanceRequest</t>
  </si>
  <si>
    <t>CDM - AMS-III.U.</t>
  </si>
  <si>
    <t>ProcessedClaim.verificationProcessAgreement</t>
  </si>
  <si>
    <t>CDM - AMS-III.V.</t>
  </si>
  <si>
    <t>ProcessedClaim.impactClaim</t>
  </si>
  <si>
    <t>CDM - AMS-III.W.</t>
  </si>
  <si>
    <t>ProcessedClaim.asset</t>
  </si>
  <si>
    <t>CDM - AMS-III.X.</t>
  </si>
  <si>
    <t>Proof.type</t>
  </si>
  <si>
    <t>CDM - AMS-III.Y.</t>
  </si>
  <si>
    <t>Proof.created</t>
  </si>
  <si>
    <t>CDM - AMS-III.Z.</t>
  </si>
  <si>
    <t>Proof.proofPurpose</t>
  </si>
  <si>
    <t>CDM - AMS-III.AA.</t>
  </si>
  <si>
    <t>Proof.verificationMethod</t>
  </si>
  <si>
    <t>CDM - AMS-III.AB.</t>
  </si>
  <si>
    <t>Proof.challenge</t>
  </si>
  <si>
    <t>CDM - AMS-III.AC.</t>
  </si>
  <si>
    <t>Proof.domain</t>
  </si>
  <si>
    <t>CDM - AMS-III.AD.</t>
  </si>
  <si>
    <t>Proof.jws</t>
  </si>
  <si>
    <t>CDM - AMS-III.AE.</t>
  </si>
  <si>
    <t>QualityStandard.name</t>
  </si>
  <si>
    <t>CDM - AMS-III.AF.</t>
  </si>
  <si>
    <t>QualityStandard.description</t>
  </si>
  <si>
    <t>CDM - AMS-III.AG.</t>
  </si>
  <si>
    <t>QualityStandard.standard</t>
  </si>
  <si>
    <t>CDM - AMS-III.AH.</t>
  </si>
  <si>
    <t>QualityStandard.methodologyAndTools</t>
  </si>
  <si>
    <t>CDM - AMS-III.AI.</t>
  </si>
  <si>
    <t>QualityStandard.version</t>
  </si>
  <si>
    <t>CDM - AMS-III.AJ.</t>
  </si>
  <si>
    <t>QualityStandard.coBenefits</t>
  </si>
  <si>
    <t>CDM - AMS-III.AK.</t>
  </si>
  <si>
    <t>QualityStandard.standardLink</t>
  </si>
  <si>
    <t>CDM - AMS-III.AL.</t>
  </si>
  <si>
    <t>REC.id</t>
  </si>
  <si>
    <t>CDM - AMS-III.AM.</t>
  </si>
  <si>
    <t>REC.recType</t>
  </si>
  <si>
    <t>CDM - AMS-III.AN.</t>
  </si>
  <si>
    <t>REC.validJurisdiction</t>
  </si>
  <si>
    <t>CDM - AMS-III.AO.</t>
  </si>
  <si>
    <t>REC.quantity</t>
  </si>
  <si>
    <t>CDM - AMS-III.AP.</t>
  </si>
  <si>
    <t>REC.unit</t>
  </si>
  <si>
    <t>CDM - AMS-III.AQ.</t>
  </si>
  <si>
    <t>REC.ownerId</t>
  </si>
  <si>
    <t>CDM - AMS-III.AR.</t>
  </si>
  <si>
    <t>REC.listingAgentId</t>
  </si>
  <si>
    <t>CDM - AMS-III.AS.</t>
  </si>
  <si>
    <t>REC.climateLabels</t>
  </si>
  <si>
    <t>CDM - AMS-III.AT.</t>
  </si>
  <si>
    <t>REC.status</t>
  </si>
  <si>
    <t>CDM - AMS-III.AU.</t>
  </si>
  <si>
    <t>REC.referencedRec</t>
  </si>
  <si>
    <t>CDM - AMS-III.AV.</t>
  </si>
  <si>
    <t>REC.appliedToId</t>
  </si>
  <si>
    <t>CDM - AMS-III.AW.</t>
  </si>
  <si>
    <t>REC.processedClaimId</t>
  </si>
  <si>
    <t>CDM - AMS-III.AX.</t>
  </si>
  <si>
    <t>REC.issuerId</t>
  </si>
  <si>
    <t>CDM - AMS-III.AY.</t>
  </si>
  <si>
    <t>REC.processedClaim</t>
  </si>
  <si>
    <t>CDM - AMS-III.BA.</t>
  </si>
  <si>
    <t>ReferencedCredit.id</t>
  </si>
  <si>
    <t>CDM - AMS-III.BB.</t>
  </si>
  <si>
    <t>ReferencedRec.id</t>
  </si>
  <si>
    <t>CDM - AMS-III.BC.</t>
  </si>
  <si>
    <t>Replacement.replacesId</t>
  </si>
  <si>
    <t>CDM - AMS-III.BD.</t>
  </si>
  <si>
    <t>Replacement.replacementDate</t>
  </si>
  <si>
    <t>CDM - AMS-III.BE.</t>
  </si>
  <si>
    <t>Replacement.notes</t>
  </si>
  <si>
    <t>CDM - AMS-III.BF.</t>
  </si>
  <si>
    <t>ReversalMitigation.reversalRisk</t>
  </si>
  <si>
    <t>CDM - AMS-III.BG.</t>
  </si>
  <si>
    <t>ReversalMitigation.insuranceType</t>
  </si>
  <si>
    <t>CDM - AMS-III.BH.</t>
  </si>
  <si>
    <t>ReversalMitigation.insurancePolicyOwner</t>
  </si>
  <si>
    <t>CDM - AMS-III.BI.</t>
  </si>
  <si>
    <t>ReversalMitigation.insurancePolicyLink</t>
  </si>
  <si>
    <t>CDM - AMS-III.BJ.</t>
  </si>
  <si>
    <t>SdpFile.name</t>
  </si>
  <si>
    <t>CDM - AMS-III.BK.</t>
  </si>
  <si>
    <t>SdpFile.type</t>
  </si>
  <si>
    <t>CDM - AMS-III.BL.</t>
  </si>
  <si>
    <t>SdpFile.description</t>
  </si>
  <si>
    <t>CDM - AMS-III.BM.</t>
  </si>
  <si>
    <t>SdpFile.claimSourceId</t>
  </si>
  <si>
    <t>CDM - AMS-III.BN.</t>
  </si>
  <si>
    <t>SdpFile.claimSourceAttestation</t>
  </si>
  <si>
    <t>CDM - AMS-III.BO.</t>
  </si>
  <si>
    <t>SdpFile.mrvExtensions</t>
  </si>
  <si>
    <t>CDM - AMS-III.BP.</t>
  </si>
  <si>
    <t>Signatory.id</t>
  </si>
  <si>
    <t>CDM - AR-AM0014</t>
  </si>
  <si>
    <t>Signatory.name</t>
  </si>
  <si>
    <t xml:space="preserve">CDM - AR-AMS0003 </t>
  </si>
  <si>
    <t>Signatory.description</t>
  </si>
  <si>
    <t>CDM - AR-AMS0007</t>
  </si>
  <si>
    <t>Signatory.signatoryRole</t>
  </si>
  <si>
    <t>CDM - ACM0001</t>
  </si>
  <si>
    <t>Signatory.signature</t>
  </si>
  <si>
    <t>CDM - ACM0002</t>
  </si>
  <si>
    <t>SpanDataPackage.manifest</t>
  </si>
  <si>
    <t>CDM - ACM0003</t>
  </si>
  <si>
    <t>Tag.name</t>
  </si>
  <si>
    <t>CDM - ACM0004</t>
  </si>
  <si>
    <t>Tag.context</t>
  </si>
  <si>
    <t>CDM - ACM0005</t>
  </si>
  <si>
    <t>Tag.description</t>
  </si>
  <si>
    <t>CDM - ACM0006</t>
  </si>
  <si>
    <t>Tag.data</t>
  </si>
  <si>
    <t>CDM - ACM0007</t>
  </si>
  <si>
    <t>Timestamp.seconds</t>
  </si>
  <si>
    <t>CDM - ACM0008</t>
  </si>
  <si>
    <t>Timestamp.nanos</t>
  </si>
  <si>
    <t>CDM - ACM0009</t>
  </si>
  <si>
    <t>TypedExtension.dataSchema</t>
  </si>
  <si>
    <t>CDM - ACM0010</t>
  </si>
  <si>
    <t>TypedExtension.documentation</t>
  </si>
  <si>
    <t>CDM - ACM0011</t>
  </si>
  <si>
    <t>TypedExtension.data</t>
  </si>
  <si>
    <t>CDM - ACM0012</t>
  </si>
  <si>
    <t>UntypedExtension.name</t>
  </si>
  <si>
    <t>CDM - ACM0013</t>
  </si>
  <si>
    <t>UntypedExtension.version</t>
  </si>
  <si>
    <t>CDM - ACM0014</t>
  </si>
  <si>
    <t>UntypedExtension.description</t>
  </si>
  <si>
    <t>CDM - ACM0015</t>
  </si>
  <si>
    <t>UntypedExtension.documentation</t>
  </si>
  <si>
    <t>CDM - ACM0016</t>
  </si>
  <si>
    <t>UntypedExtension.dataExtensions</t>
  </si>
  <si>
    <t>CDM - ACM0017</t>
  </si>
  <si>
    <t>Validation.validationDate</t>
  </si>
  <si>
    <t>CDM - ACM0018</t>
  </si>
  <si>
    <t>Validation.validatingPartyId</t>
  </si>
  <si>
    <t>CDM - ACM0019</t>
  </si>
  <si>
    <t>Validation.validationMethod</t>
  </si>
  <si>
    <t>CDM - ACM0020</t>
  </si>
  <si>
    <t>Validation.validationExpirationDate</t>
  </si>
  <si>
    <t>CDM - ACM0021</t>
  </si>
  <si>
    <t>Validation.validationSteps</t>
  </si>
  <si>
    <t>CDM - ACM0022</t>
  </si>
  <si>
    <t>ValidationStep.validationStepName</t>
  </si>
  <si>
    <t>CDM - ACM0023</t>
  </si>
  <si>
    <t>ValidationStep.validationStepDescription</t>
  </si>
  <si>
    <t>CDM - ACM0024</t>
  </si>
  <si>
    <t>ValidationStep.validationStepStatus</t>
  </si>
  <si>
    <t>CDM - ACM0025</t>
  </si>
  <si>
    <t>ValidationStep.validationStepDocumentLink</t>
  </si>
  <si>
    <t>CDM - ACM0026</t>
  </si>
  <si>
    <t>VerificationProcessAgreement.id</t>
  </si>
  <si>
    <t>CDM - TOOL 1</t>
  </si>
  <si>
    <t>VerificationProcessAgreement.name</t>
  </si>
  <si>
    <t>CDM - TOOL 2</t>
  </si>
  <si>
    <t>VerificationProcessAgreement.description</t>
  </si>
  <si>
    <t>CDM - TOOL 3</t>
  </si>
  <si>
    <t>VerificationProcessAgreement.signatories</t>
  </si>
  <si>
    <t>CDM - TOOL 4</t>
  </si>
  <si>
    <t>VerificationProcessAgreement.qualityStandard</t>
  </si>
  <si>
    <t>CDM - TOOL 5</t>
  </si>
  <si>
    <t>VerificationProcessAgreement.mrvRequirements</t>
  </si>
  <si>
    <t>CDM - TOOL 6</t>
  </si>
  <si>
    <t>VerificationProcessAgreement.agreementDate</t>
  </si>
  <si>
    <t>CDM - TOOL 7</t>
  </si>
  <si>
    <t>VerificationProcessAgreement.estimatedAnnualCredits</t>
  </si>
  <si>
    <t>CDM - TOOL 8</t>
  </si>
  <si>
    <t>VerificationProcessAgreement.aimId</t>
  </si>
  <si>
    <t>CDM - TOOL 9</t>
  </si>
  <si>
    <t>VerificationProcessAgreement.auditSchedule</t>
  </si>
  <si>
    <t>CDM - TOOL 10</t>
  </si>
  <si>
    <t>VerificationProcessAgreement.audits</t>
  </si>
  <si>
    <t>CDM - TOOL 11</t>
  </si>
  <si>
    <t>VerificationProcessAgreement.activityImpactModule</t>
  </si>
  <si>
    <t>CDM - TOOL 12</t>
  </si>
  <si>
    <t>VerificationProcessAgreement.processedClaims</t>
  </si>
  <si>
    <t>CDM - TOOL 13</t>
  </si>
  <si>
    <t>VerifiedLink.id</t>
  </si>
  <si>
    <t>CDM - TOOL 14</t>
  </si>
  <si>
    <t>VerifiedLink.uri</t>
  </si>
  <si>
    <t>CDM - TOOL 15</t>
  </si>
  <si>
    <t>VerifiedLink.description</t>
  </si>
  <si>
    <t>CDM - TOOL 16</t>
  </si>
  <si>
    <t>VerifiedLink.hashProof</t>
  </si>
  <si>
    <t>CDM - TOOL 17</t>
  </si>
  <si>
    <t>VerifiedLink.hashAlgorithm</t>
  </si>
  <si>
    <t>CDM - TOOL 18</t>
  </si>
  <si>
    <t>CDM - TOOL 19</t>
  </si>
  <si>
    <t>CDM - TOOL 20</t>
  </si>
  <si>
    <t>CDM - TOOL 21</t>
  </si>
  <si>
    <t>CDM - TOOL 22</t>
  </si>
  <si>
    <t>CDM - TOOL 23</t>
  </si>
  <si>
    <t>CDM - TOOL 24</t>
  </si>
  <si>
    <t>CDM - TOOL 25</t>
  </si>
  <si>
    <t>CDM - TOOL 26</t>
  </si>
  <si>
    <t>CDM - TOOL 27</t>
  </si>
  <si>
    <t>CDM - TOOL 28</t>
  </si>
  <si>
    <t>CDM - TOOL 29</t>
  </si>
  <si>
    <t>CDM - TOOL 30</t>
  </si>
  <si>
    <t>CDM - TOOL 31</t>
  </si>
  <si>
    <t>CDM - TOOL 32</t>
  </si>
  <si>
    <t>CDM - TOOL 33</t>
  </si>
  <si>
    <t>CDM - AR-TOOL02</t>
  </si>
  <si>
    <t>CDM - AR-TOOL03</t>
  </si>
  <si>
    <t>CDM - AR-TOOL08</t>
  </si>
  <si>
    <t>CDM - AR-TOOL12</t>
  </si>
  <si>
    <t>CDM - AR-TOOL14</t>
  </si>
  <si>
    <t>CDM - AR-TOOL15</t>
  </si>
  <si>
    <t>CDM - AR-TOOL16</t>
  </si>
  <si>
    <t>CDM - AR-TOOL17</t>
  </si>
  <si>
    <t>CDM - AR-TOOL18</t>
  </si>
  <si>
    <t>CDM - AR-TOOL19</t>
  </si>
  <si>
    <t>GS - METHODOLOGY FOR METERED &amp; MEASURED ENERGY COOKING DEVICES</t>
  </si>
  <si>
    <t>GS - METHODOLOGY FOR RETROFIT ENERGY EFFICIENCY MEASURES IN SHIPPING</t>
  </si>
  <si>
    <t>GS - SOIL ORGANIC CARBON ACTIVITY MODULE FOR APPLICATION OF ORGANIC SOIL IMPROVERS FROM PULP AND PAPER MILL SLUDGES</t>
  </si>
  <si>
    <t xml:space="preserve">GS - REDUCED EMISSIONS FROM COOKING AND HEATING:TECHNOLOGIES AND PRACTICES TO DISPLACE DECENTRALIZED THERMAL ENERGY CONSUMPTION (TPDDTEC) </t>
  </si>
  <si>
    <t>GS - CARBON SEQUESTRATION THROUGH ACCELERATED CARBONATION OF CONCRETE AGGREGATE</t>
  </si>
  <si>
    <t>VCS - VM0001</t>
  </si>
  <si>
    <t>VCS - VM0002</t>
  </si>
  <si>
    <t>VCS - VM0003</t>
  </si>
  <si>
    <t>VCS - VM0004</t>
  </si>
  <si>
    <t>VCS - VM0005</t>
  </si>
  <si>
    <t>VCS - VM0006</t>
  </si>
  <si>
    <t>VCS - VM0007</t>
  </si>
  <si>
    <t>VCS - VM0008</t>
  </si>
  <si>
    <t>VCS - VM0009</t>
  </si>
  <si>
    <t>VCS - VM0010</t>
  </si>
  <si>
    <t>VCS - VM0011</t>
  </si>
  <si>
    <t>VCS - VM0012</t>
  </si>
  <si>
    <t>VCS - VM0013</t>
  </si>
  <si>
    <t>VCS - VM0014</t>
  </si>
  <si>
    <t>VCS - VM0015</t>
  </si>
  <si>
    <t>VCS - VM0016</t>
  </si>
  <si>
    <t>VCS - VM0017</t>
  </si>
  <si>
    <t>VCS - VM0018</t>
  </si>
  <si>
    <t>VCS - VM0019</t>
  </si>
  <si>
    <t>VCS - VM0020</t>
  </si>
  <si>
    <t>VCS - VM0021</t>
  </si>
  <si>
    <t>VCS - VM0022</t>
  </si>
  <si>
    <t>VCS - VM0023</t>
  </si>
  <si>
    <t>VCS - VM0024</t>
  </si>
  <si>
    <t>VCS - VM0025</t>
  </si>
  <si>
    <t>VCS - VM0026</t>
  </si>
  <si>
    <t>VCS - VM0027</t>
  </si>
  <si>
    <t>VCS - VM0028</t>
  </si>
  <si>
    <t>VCS - VM0029</t>
  </si>
  <si>
    <t>VCS - VM0030</t>
  </si>
  <si>
    <t>VCS - VM0031</t>
  </si>
  <si>
    <t>VCS - VM0032</t>
  </si>
  <si>
    <t>VCS - VM0033</t>
  </si>
  <si>
    <t>VCS - VM0034</t>
  </si>
  <si>
    <t>VCS - VM0035</t>
  </si>
  <si>
    <t>VCS - VM0036</t>
  </si>
  <si>
    <t>VCS - VM0037</t>
  </si>
  <si>
    <t>VCS - VM0038</t>
  </si>
  <si>
    <t>VCS - VM0039</t>
  </si>
  <si>
    <t>VCS - VM0040</t>
  </si>
  <si>
    <t>VCS - VM0041</t>
  </si>
  <si>
    <t>VCS - VM0042</t>
  </si>
  <si>
    <t>VCS - VM0043</t>
  </si>
  <si>
    <t>VCS - VM0044</t>
  </si>
  <si>
    <t>VCS - VM0045</t>
  </si>
  <si>
    <t>VCS - VM0046</t>
  </si>
  <si>
    <t>VCS - VM0047</t>
  </si>
  <si>
    <t>VCS - VMR0001</t>
  </si>
  <si>
    <t>VCS - VMR0002</t>
  </si>
  <si>
    <t>VCS - VMR0003</t>
  </si>
  <si>
    <t>VCS - VMR0004</t>
  </si>
  <si>
    <t>VCS - VMR0006</t>
  </si>
  <si>
    <t>VCS - VMR0007</t>
  </si>
  <si>
    <t>VCS - VMR0008</t>
  </si>
  <si>
    <t>ID_PM044</t>
  </si>
  <si>
    <t>ID_PM043</t>
  </si>
  <si>
    <t>ID_PM042</t>
  </si>
  <si>
    <t>ID_PM041</t>
  </si>
  <si>
    <t>ID_PM040</t>
  </si>
  <si>
    <t>ID_PM039</t>
  </si>
  <si>
    <t>ID_AM028</t>
  </si>
  <si>
    <t>ID_AM027</t>
  </si>
  <si>
    <t>ID_AM026</t>
  </si>
  <si>
    <t>ID_AM025</t>
  </si>
  <si>
    <t>ID_AM024</t>
  </si>
  <si>
    <t>ID_AM023</t>
  </si>
  <si>
    <t>ID_AM022</t>
  </si>
  <si>
    <t>ID_AM021</t>
  </si>
  <si>
    <t>ID_AM020</t>
  </si>
  <si>
    <t>ID_AM006</t>
  </si>
  <si>
    <t>VN_PM028</t>
  </si>
  <si>
    <t>ID_AM019</t>
  </si>
  <si>
    <t>VN_PM027</t>
  </si>
  <si>
    <t>ID_AM018</t>
  </si>
  <si>
    <t>ID_AM007</t>
  </si>
  <si>
    <t>TH_PM026</t>
  </si>
  <si>
    <t>VN_PM026</t>
  </si>
  <si>
    <t>VN_PM025</t>
  </si>
  <si>
    <t>TH_PM025</t>
  </si>
  <si>
    <t>ID_AM009</t>
  </si>
  <si>
    <t>VN_PM024</t>
  </si>
  <si>
    <t>ID_AM017</t>
  </si>
  <si>
    <t>TH_PM024</t>
  </si>
  <si>
    <t>ID_AM016</t>
  </si>
  <si>
    <t>VN_PM023</t>
  </si>
  <si>
    <t>TH_PM023</t>
  </si>
  <si>
    <t>ID_AM015</t>
  </si>
  <si>
    <t>TH_PM022</t>
  </si>
  <si>
    <t>VN_AM015</t>
  </si>
  <si>
    <t>VN_AM009</t>
  </si>
  <si>
    <t>ID_AM014</t>
  </si>
  <si>
    <t>TH_PM021</t>
  </si>
  <si>
    <t>TH_AM017</t>
  </si>
  <si>
    <t>ID_AM013</t>
  </si>
  <si>
    <t>VN_AM014</t>
  </si>
  <si>
    <t>VN_AM013</t>
  </si>
  <si>
    <t>TH_AM016</t>
  </si>
  <si>
    <t>VN_AM012</t>
  </si>
  <si>
    <t>TH_AM015</t>
  </si>
  <si>
    <t>ID_AM011</t>
  </si>
  <si>
    <t>TH_AM001</t>
  </si>
  <si>
    <t>VN_AM011</t>
  </si>
  <si>
    <t>ID_AM012</t>
  </si>
  <si>
    <t>VN_AM010</t>
  </si>
  <si>
    <t>TH_AM014</t>
  </si>
  <si>
    <t>ID_AM008</t>
  </si>
  <si>
    <t>VN_AM006</t>
  </si>
  <si>
    <t>TH_AM013</t>
  </si>
  <si>
    <t>TH_AM012</t>
  </si>
  <si>
    <t>VN_AM004</t>
  </si>
  <si>
    <t>ID_AM005</t>
  </si>
  <si>
    <t>ID_AM004</t>
  </si>
  <si>
    <t>TH_AM011</t>
  </si>
  <si>
    <t>VN_AM003</t>
  </si>
  <si>
    <t>ID_AM003</t>
  </si>
  <si>
    <t>VN_AM002</t>
  </si>
  <si>
    <t>TH_AM010</t>
  </si>
  <si>
    <t>ID_AM002</t>
  </si>
  <si>
    <t>TH_AM009</t>
  </si>
  <si>
    <t>ID_AM010</t>
  </si>
  <si>
    <t>VN_AM008</t>
  </si>
  <si>
    <t>TH_AM008</t>
  </si>
  <si>
    <t>TH_AM005</t>
  </si>
  <si>
    <t>VN_AM007</t>
  </si>
  <si>
    <t>TH_AM007</t>
  </si>
  <si>
    <t>VN_AM001</t>
  </si>
  <si>
    <t>MM_PM007</t>
  </si>
  <si>
    <t>TH_AM006</t>
  </si>
  <si>
    <t>MM_PM006</t>
  </si>
  <si>
    <t>VN_AM005</t>
  </si>
  <si>
    <t>KH_AM004</t>
  </si>
  <si>
    <t>TH_AM002</t>
  </si>
  <si>
    <t>KH_AM005</t>
  </si>
  <si>
    <t>BD_PM005</t>
  </si>
  <si>
    <t>MM_AM005</t>
  </si>
  <si>
    <t>TH_AM004</t>
  </si>
  <si>
    <t>LA_AM004</t>
  </si>
  <si>
    <t>BD_AM001</t>
  </si>
  <si>
    <t>MN_AM003</t>
  </si>
  <si>
    <t>MM_AM004</t>
  </si>
  <si>
    <t>KE_AM003</t>
  </si>
  <si>
    <t>LA_AM003</t>
  </si>
  <si>
    <t>MM_AM003</t>
  </si>
  <si>
    <t>CR_AM003</t>
  </si>
  <si>
    <t>KH_AM003</t>
  </si>
  <si>
    <t>PH_PM003</t>
  </si>
  <si>
    <t>TH_AM003</t>
  </si>
  <si>
    <t>CL_AM001</t>
  </si>
  <si>
    <t>ET_AM003</t>
  </si>
  <si>
    <t>BD_AM003</t>
  </si>
  <si>
    <t>BD_AM002</t>
  </si>
  <si>
    <t>ET_AM002</t>
  </si>
  <si>
    <t>KE_AM002</t>
  </si>
  <si>
    <t>CR_AM002</t>
  </si>
  <si>
    <t>LA_AM002</t>
  </si>
  <si>
    <t>KH_AM002</t>
  </si>
  <si>
    <t>MV_AM002</t>
  </si>
  <si>
    <t>MM_AM002</t>
  </si>
  <si>
    <t>PH_AM002</t>
  </si>
  <si>
    <t>MN_AM002</t>
  </si>
  <si>
    <t>CL_AM002</t>
  </si>
  <si>
    <t>PW_AM001</t>
  </si>
  <si>
    <t>PH_AM001</t>
  </si>
  <si>
    <t>KE_AM001</t>
  </si>
  <si>
    <t>KH_AM001</t>
  </si>
  <si>
    <t>SA_AM001</t>
  </si>
  <si>
    <t>MN_AM001</t>
  </si>
  <si>
    <t>MM_AM001</t>
  </si>
  <si>
    <t>CR_AM001</t>
  </si>
  <si>
    <t>ID_AM001</t>
  </si>
  <si>
    <t>MX_AM001</t>
  </si>
  <si>
    <t>ET_AM001</t>
  </si>
  <si>
    <t>LA_AM001</t>
  </si>
  <si>
    <t>MV_AM001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</si>
</sst>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3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4"/>
      <color rgb="FF000000"/>
      <name val="Calibri"/>
      <family val="2"/>
      <scheme val="minor"/>
    </font>
    <font>
      <sz val="11"/>
      <color rgb="FF000000"/>
      <name val="Calibri"/>
      <family val="2"/>
      <scheme val="minor"/>
    </font>
    <font>
      <b/>
      <sz val="16"/>
      <color rgb="FF000000"/>
      <name val="Calibri"/>
      <family val="2"/>
      <scheme val="minor"/>
    </font>
    <font>
      <b/>
      <sz val="14"/>
      <color theme="1"/>
      <name val="Calibri"/>
      <family val="2"/>
      <scheme val="minor"/>
    </font>
    <font>
      <sz val="18"/>
      <color rgb="FF000000"/>
      <name val="Calibri"/>
      <family val="2"/>
      <scheme val="minor"/>
    </font>
    <font>
      <vertAlign val="subscript"/>
      <sz val="18"/>
      <color rgb="FF000000"/>
      <name val="Calibri"/>
      <family val="2"/>
      <scheme val="minor"/>
    </font>
    <font>
      <sz val="18"/>
      <color theme="1"/>
      <name val="Calibri"/>
      <family val="2"/>
      <scheme val="minor"/>
    </font>
    <font>
      <b/>
      <u/>
      <sz val="11"/>
      <color rgb="FF000000"/>
      <name val="Calibri"/>
      <family val="2"/>
      <scheme val="minor"/>
    </font>
    <font>
      <vertAlign val="subscript"/>
      <sz val="18"/>
      <color theme="1"/>
      <name val="Calibri"/>
      <family val="2"/>
      <scheme val="minor"/>
    </font>
    <font>
      <i/>
      <sz val="16"/>
      <color rgb="FF000000"/>
      <name val="Calibri"/>
      <family val="2"/>
      <scheme val="minor"/>
    </font>
    <font>
      <sz val="12"/>
      <color theme="1"/>
      <name val="Calibri"/>
      <family val="2"/>
      <scheme val="minor"/>
    </font>
    <font>
      <sz val="12"/>
      <color rgb="FF000000"/>
      <name val="Calibri"/>
      <family val="2"/>
      <scheme val="minor"/>
    </font>
    <font>
      <b/>
      <sz val="12"/>
      <color rgb="FF000000"/>
      <name val="Calibri"/>
      <family val="2"/>
      <scheme val="minor"/>
    </font>
    <font>
      <sz val="20"/>
      <color theme="1"/>
      <name val="Calibri"/>
      <family val="2"/>
      <scheme val="minor"/>
    </font>
    <font>
      <vertAlign val="subscript"/>
      <sz val="20"/>
      <color theme="1"/>
      <name val="Calibri"/>
      <family val="2"/>
      <scheme val="minor"/>
    </font>
    <font>
      <b/>
      <u/>
      <sz val="11"/>
      <color theme="1"/>
      <name val="Calibri"/>
      <family val="2"/>
      <scheme val="minor"/>
    </font>
    <font>
      <b/>
      <sz val="11"/>
      <color rgb="FF000000"/>
      <name val="Calibri"/>
      <family val="2"/>
      <scheme val="minor"/>
    </font>
    <font>
      <sz val="18"/>
      <color rgb="FF000000"/>
      <name val="Calibri"/>
      <family val="2"/>
    </font>
    <font>
      <vertAlign val="subscript"/>
      <sz val="18"/>
      <color rgb="FF000000"/>
      <name val="Calibri"/>
      <family val="2"/>
    </font>
    <font>
      <b/>
      <sz val="12"/>
      <color theme="1"/>
      <name val="Calibri"/>
      <family val="2"/>
      <scheme val="minor"/>
    </font>
    <font>
      <vertAlign val="superscript"/>
      <sz val="11"/>
      <color theme="1"/>
      <name val="Calibri"/>
      <family val="2"/>
      <scheme val="minor"/>
    </font>
    <font>
      <b/>
      <i/>
      <sz val="11"/>
      <color theme="1"/>
      <name val="Calibri"/>
      <family val="2"/>
      <scheme val="minor"/>
    </font>
    <font>
      <i/>
      <sz val="11"/>
      <color theme="1"/>
      <name val="Calibri"/>
      <family val="2"/>
      <scheme val="minor"/>
    </font>
    <font>
      <sz val="11"/>
      <color rgb="FF92D050"/>
      <name val="Calibri"/>
      <family val="2"/>
      <scheme val="minor"/>
    </font>
    <font>
      <sz val="14"/>
      <color rgb="FF000000"/>
      <name val="Calibri"/>
      <family val="2"/>
      <scheme val="minor"/>
    </font>
    <font>
      <sz val="11"/>
      <color theme="9"/>
      <name val="Calibri"/>
      <family val="2"/>
      <scheme val="minor"/>
    </font>
    <font>
      <sz val="11"/>
      <name val="Calibri"/>
      <family val="2"/>
      <scheme val="minor"/>
    </font>
  </fonts>
  <fills count="12">
    <fill>
      <patternFill patternType="none"/>
    </fill>
    <fill>
      <patternFill patternType="gray125"/>
    </fill>
    <fill>
      <patternFill patternType="solid">
        <fgColor rgb="FFBFBFBF"/>
        <bgColor rgb="FF000000"/>
      </patternFill>
    </fill>
    <fill>
      <patternFill patternType="solid">
        <fgColor rgb="FF92D050"/>
        <bgColor indexed="64"/>
      </patternFill>
    </fill>
    <fill>
      <patternFill patternType="solid">
        <fgColor theme="0" tint="-0.14999847407452621"/>
        <bgColor rgb="FF000000"/>
      </patternFill>
    </fill>
    <fill>
      <patternFill patternType="solid">
        <fgColor theme="9" tint="0.79998168889431442"/>
        <bgColor indexed="64"/>
      </patternFill>
    </fill>
    <fill>
      <patternFill patternType="solid">
        <fgColor theme="0" tint="-0.249977111117893"/>
        <bgColor indexed="64"/>
      </patternFill>
    </fill>
    <fill>
      <patternFill patternType="solid">
        <fgColor theme="0" tint="-0.249977111117893"/>
        <bgColor rgb="FF000000"/>
      </patternFill>
    </fill>
    <fill>
      <patternFill patternType="solid">
        <fgColor theme="0" tint="-0.34998626667073579"/>
        <bgColor indexed="64"/>
      </patternFill>
    </fill>
    <fill>
      <patternFill patternType="solid">
        <fgColor theme="2" tint="-9.9978637043366805E-2"/>
        <bgColor indexed="64"/>
      </patternFill>
    </fill>
    <fill>
      <patternFill patternType="solid">
        <fgColor theme="0"/>
        <bgColor indexed="64"/>
      </patternFill>
    </fill>
    <fill>
      <patternFill patternType="solid">
        <fgColor rgb="FFFFFF00"/>
        <bgColor indexed="64"/>
      </patternFill>
    </fill>
  </fills>
  <borders count="19">
    <border>
      <left/>
      <right/>
      <top/>
      <bottom/>
      <diagonal/>
    </border>
    <border>
      <left/>
      <right/>
      <top/>
      <bottom style="medium">
        <color indexed="64"/>
      </bottom>
      <diagonal/>
    </border>
    <border>
      <left style="medium">
        <color auto="1"/>
      </left>
      <right style="medium">
        <color auto="1"/>
      </right>
      <top style="medium">
        <color auto="1"/>
      </top>
      <bottom style="medium">
        <color auto="1"/>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s>
  <cellStyleXfs count="3">
    <xf numFmtId="0" fontId="0" fillId="0" borderId="0"/>
    <xf numFmtId="0" fontId="3" fillId="0" borderId="0" applyNumberFormat="0" applyFill="0" applyBorder="0" applyAlignment="0" applyProtection="0"/>
    <xf numFmtId="43" fontId="1" fillId="0" borderId="0" applyFont="0" applyFill="0" applyBorder="0" applyAlignment="0" applyProtection="0"/>
  </cellStyleXfs>
  <cellXfs count="127">
    <xf numFmtId="0" fontId="0" fillId="0" borderId="0" xfId="0"/>
    <xf numFmtId="0" fontId="4" fillId="0" borderId="0" xfId="0" applyFont="1" applyAlignment="1">
      <alignment horizontal="left"/>
    </xf>
    <xf numFmtId="0" fontId="5" fillId="0" borderId="0" xfId="0" applyFont="1"/>
    <xf numFmtId="0" fontId="5" fillId="0" borderId="0" xfId="0" applyFont="1" applyAlignment="1">
      <alignment horizontal="left" wrapText="1"/>
    </xf>
    <xf numFmtId="0" fontId="5" fillId="0" borderId="0" xfId="0" applyFont="1" applyAlignment="1">
      <alignment horizontal="left"/>
    </xf>
    <xf numFmtId="0" fontId="0" fillId="0" borderId="0" xfId="0" applyAlignment="1">
      <alignment horizontal="left" wrapText="1"/>
    </xf>
    <xf numFmtId="0" fontId="3" fillId="0" borderId="0" xfId="1" applyAlignment="1">
      <alignment horizontal="left"/>
    </xf>
    <xf numFmtId="0" fontId="4" fillId="0" borderId="0" xfId="0" applyFont="1" applyAlignment="1">
      <alignment horizontal="left" wrapText="1"/>
    </xf>
    <xf numFmtId="0" fontId="4" fillId="0" borderId="0" xfId="0" applyFont="1" applyAlignment="1">
      <alignment horizontal="center"/>
    </xf>
    <xf numFmtId="0" fontId="4" fillId="0" borderId="0" xfId="0" applyFont="1" applyAlignment="1">
      <alignment horizontal="center" wrapText="1"/>
    </xf>
    <xf numFmtId="0" fontId="0" fillId="0" borderId="0" xfId="0" applyAlignment="1">
      <alignment wrapText="1"/>
    </xf>
    <xf numFmtId="0" fontId="4" fillId="0" borderId="0" xfId="0" applyFont="1" applyAlignment="1">
      <alignment wrapText="1"/>
    </xf>
    <xf numFmtId="0" fontId="5" fillId="3" borderId="0" xfId="0" applyFont="1" applyFill="1" applyAlignment="1">
      <alignment wrapText="1"/>
    </xf>
    <xf numFmtId="0" fontId="4" fillId="3" borderId="0" xfId="0" applyFont="1" applyFill="1" applyAlignment="1">
      <alignment wrapText="1"/>
    </xf>
    <xf numFmtId="0" fontId="5" fillId="3" borderId="0" xfId="0" applyFont="1" applyFill="1" applyAlignment="1">
      <alignment horizontal="left" wrapText="1"/>
    </xf>
    <xf numFmtId="0" fontId="0" fillId="3" borderId="0" xfId="0" applyFill="1"/>
    <xf numFmtId="0" fontId="5" fillId="3" borderId="0" xfId="0" applyFont="1" applyFill="1" applyAlignment="1">
      <alignment horizontal="right"/>
    </xf>
    <xf numFmtId="0" fontId="4" fillId="3" borderId="0" xfId="0" applyFont="1" applyFill="1" applyAlignment="1">
      <alignment horizontal="left" wrapText="1"/>
    </xf>
    <xf numFmtId="0" fontId="0" fillId="3" borderId="0" xfId="0" applyFill="1" applyAlignment="1">
      <alignment wrapText="1"/>
    </xf>
    <xf numFmtId="0" fontId="0" fillId="0" borderId="0" xfId="0" applyAlignment="1">
      <alignment horizontal="right"/>
    </xf>
    <xf numFmtId="0" fontId="0" fillId="3" borderId="0" xfId="0" applyFill="1" applyAlignment="1">
      <alignment horizontal="right"/>
    </xf>
    <xf numFmtId="0" fontId="6" fillId="0" borderId="0" xfId="0" applyFont="1" applyAlignment="1">
      <alignment vertical="center" wrapText="1"/>
    </xf>
    <xf numFmtId="0" fontId="7" fillId="0" borderId="2" xfId="0" applyFont="1" applyBorder="1" applyAlignment="1">
      <alignment horizontal="center" wrapText="1"/>
    </xf>
    <xf numFmtId="0" fontId="7" fillId="0" borderId="3" xfId="0" applyFont="1" applyBorder="1" applyAlignment="1">
      <alignment horizontal="center"/>
    </xf>
    <xf numFmtId="0" fontId="0" fillId="0" borderId="4" xfId="0" applyBorder="1" applyAlignment="1">
      <alignment wrapText="1"/>
    </xf>
    <xf numFmtId="0" fontId="0" fillId="0" borderId="5" xfId="0" applyBorder="1"/>
    <xf numFmtId="0" fontId="0" fillId="0" borderId="6" xfId="0" applyBorder="1"/>
    <xf numFmtId="0" fontId="0" fillId="0" borderId="7" xfId="0" applyBorder="1"/>
    <xf numFmtId="0" fontId="0" fillId="0" borderId="6" xfId="0" applyBorder="1" applyAlignment="1">
      <alignment wrapText="1"/>
    </xf>
    <xf numFmtId="0" fontId="0" fillId="0" borderId="8" xfId="0" applyBorder="1"/>
    <xf numFmtId="0" fontId="0" fillId="0" borderId="9" xfId="0" applyBorder="1"/>
    <xf numFmtId="0" fontId="8" fillId="3" borderId="0" xfId="0" applyFont="1" applyFill="1" applyAlignment="1">
      <alignment horizontal="center" vertical="center"/>
    </xf>
    <xf numFmtId="0" fontId="0" fillId="3" borderId="0" xfId="0" applyFill="1" applyAlignment="1">
      <alignment horizontal="left" vertical="center" wrapText="1"/>
    </xf>
    <xf numFmtId="0" fontId="0" fillId="3" borderId="0" xfId="0" applyFill="1" applyAlignment="1">
      <alignment horizontal="left"/>
    </xf>
    <xf numFmtId="0" fontId="10" fillId="0" borderId="0" xfId="0" applyFont="1"/>
    <xf numFmtId="0" fontId="0" fillId="0" borderId="0" xfId="0" applyAlignment="1">
      <alignment horizontal="left" vertical="center" wrapText="1"/>
    </xf>
    <xf numFmtId="0" fontId="0" fillId="5" borderId="0" xfId="0" applyFill="1"/>
    <xf numFmtId="0" fontId="0" fillId="5" borderId="0" xfId="0" applyFill="1" applyAlignment="1">
      <alignment horizontal="left" vertical="center" wrapText="1"/>
    </xf>
    <xf numFmtId="0" fontId="0" fillId="5" borderId="0" xfId="0" applyFill="1" applyAlignment="1">
      <alignment wrapText="1"/>
    </xf>
    <xf numFmtId="0" fontId="10" fillId="3" borderId="0" xfId="0" applyFont="1" applyFill="1" applyAlignment="1">
      <alignment horizontal="center" vertical="center"/>
    </xf>
    <xf numFmtId="0" fontId="10" fillId="0" borderId="0" xfId="0" applyFont="1" applyAlignment="1">
      <alignment horizontal="center" vertical="center"/>
    </xf>
    <xf numFmtId="0" fontId="0" fillId="0" borderId="0" xfId="0" applyAlignment="1">
      <alignment horizontal="left"/>
    </xf>
    <xf numFmtId="0" fontId="10" fillId="3" borderId="0" xfId="0" applyFont="1" applyFill="1"/>
    <xf numFmtId="0" fontId="0" fillId="3" borderId="0" xfId="0" applyFill="1" applyAlignment="1">
      <alignment vertical="center" wrapText="1"/>
    </xf>
    <xf numFmtId="0" fontId="0" fillId="0" borderId="0" xfId="0" applyAlignment="1">
      <alignment horizontal="center" vertical="center"/>
    </xf>
    <xf numFmtId="0" fontId="0" fillId="5" borderId="0" xfId="0" applyFill="1" applyAlignment="1">
      <alignment horizontal="center" vertical="center"/>
    </xf>
    <xf numFmtId="0" fontId="14" fillId="5" borderId="0" xfId="0" applyFont="1" applyFill="1" applyAlignment="1">
      <alignment horizontal="left" vertical="center"/>
    </xf>
    <xf numFmtId="0" fontId="14" fillId="5" borderId="0" xfId="0" applyFont="1" applyFill="1" applyAlignment="1">
      <alignment horizontal="left" vertical="center" wrapText="1"/>
    </xf>
    <xf numFmtId="0" fontId="15" fillId="5" borderId="0" xfId="0" applyFont="1" applyFill="1" applyAlignment="1">
      <alignment wrapText="1"/>
    </xf>
    <xf numFmtId="0" fontId="14" fillId="0" borderId="0" xfId="0" applyFont="1"/>
    <xf numFmtId="0" fontId="14" fillId="3" borderId="0" xfId="0" applyFont="1" applyFill="1"/>
    <xf numFmtId="0" fontId="10" fillId="0" borderId="0" xfId="0" applyFont="1" applyAlignment="1">
      <alignment horizontal="center"/>
    </xf>
    <xf numFmtId="0" fontId="0" fillId="5" borderId="0" xfId="0" applyFill="1" applyAlignment="1">
      <alignment vertical="center" wrapText="1"/>
    </xf>
    <xf numFmtId="0" fontId="0" fillId="5" borderId="0" xfId="0" applyFill="1" applyAlignment="1">
      <alignment vertical="center"/>
    </xf>
    <xf numFmtId="0" fontId="17" fillId="3" borderId="0" xfId="0" applyFont="1" applyFill="1" applyAlignment="1">
      <alignment vertical="center"/>
    </xf>
    <xf numFmtId="0" fontId="0" fillId="3" borderId="0" xfId="0" applyFill="1" applyAlignment="1">
      <alignment horizontal="left" wrapText="1"/>
    </xf>
    <xf numFmtId="0" fontId="0" fillId="3" borderId="0" xfId="0" applyFill="1" applyAlignment="1">
      <alignment vertical="center"/>
    </xf>
    <xf numFmtId="0" fontId="20" fillId="0" borderId="0" xfId="0" applyFont="1" applyAlignment="1">
      <alignment horizontal="left"/>
    </xf>
    <xf numFmtId="0" fontId="0" fillId="5" borderId="0" xfId="0" applyFill="1" applyAlignment="1">
      <alignment horizontal="left" wrapText="1"/>
    </xf>
    <xf numFmtId="0" fontId="21" fillId="3" borderId="0" xfId="0" applyFont="1" applyFill="1" applyAlignment="1">
      <alignment vertical="center"/>
    </xf>
    <xf numFmtId="0" fontId="21" fillId="0" borderId="0" xfId="0" applyFont="1" applyAlignment="1">
      <alignment vertical="center"/>
    </xf>
    <xf numFmtId="0" fontId="23" fillId="0" borderId="12" xfId="0" applyFont="1" applyBorder="1" applyAlignment="1">
      <alignment horizontal="center"/>
    </xf>
    <xf numFmtId="0" fontId="23" fillId="0" borderId="12" xfId="0" applyFont="1" applyBorder="1" applyAlignment="1">
      <alignment horizontal="center" wrapText="1"/>
    </xf>
    <xf numFmtId="0" fontId="0" fillId="0" borderId="13" xfId="0" applyBorder="1"/>
    <xf numFmtId="0" fontId="0" fillId="0" borderId="14" xfId="0" applyBorder="1"/>
    <xf numFmtId="164" fontId="0" fillId="0" borderId="15" xfId="2" applyNumberFormat="1" applyFont="1" applyBorder="1"/>
    <xf numFmtId="0" fontId="0" fillId="0" borderId="16" xfId="0" applyBorder="1"/>
    <xf numFmtId="164" fontId="0" fillId="0" borderId="7" xfId="2" applyNumberFormat="1" applyFont="1" applyBorder="1"/>
    <xf numFmtId="0" fontId="0" fillId="0" borderId="17" xfId="0" applyBorder="1"/>
    <xf numFmtId="164" fontId="0" fillId="0" borderId="9" xfId="2" applyNumberFormat="1" applyFont="1" applyBorder="1"/>
    <xf numFmtId="0" fontId="0" fillId="8" borderId="0" xfId="0" applyFill="1"/>
    <xf numFmtId="0" fontId="2" fillId="0" borderId="0" xfId="0" applyFont="1" applyAlignment="1">
      <alignment horizontal="center"/>
    </xf>
    <xf numFmtId="9" fontId="0" fillId="3" borderId="0" xfId="0" applyNumberFormat="1" applyFill="1"/>
    <xf numFmtId="0" fontId="2" fillId="0" borderId="0" xfId="0" applyFont="1" applyAlignment="1">
      <alignment horizontal="center" wrapText="1"/>
    </xf>
    <xf numFmtId="0" fontId="7" fillId="8" borderId="0" xfId="0" applyFont="1" applyFill="1"/>
    <xf numFmtId="0" fontId="0" fillId="3" borderId="2" xfId="0" applyFill="1" applyBorder="1"/>
    <xf numFmtId="0" fontId="25" fillId="0" borderId="0" xfId="0" applyFont="1" applyAlignment="1">
      <alignment horizontal="center"/>
    </xf>
    <xf numFmtId="0" fontId="2" fillId="0" borderId="0" xfId="0" applyFont="1"/>
    <xf numFmtId="0" fontId="25" fillId="0" borderId="0" xfId="0" applyFont="1"/>
    <xf numFmtId="0" fontId="26" fillId="0" borderId="0" xfId="0" applyFont="1"/>
    <xf numFmtId="14" fontId="5" fillId="0" borderId="0" xfId="0" applyNumberFormat="1" applyFont="1" applyAlignment="1">
      <alignment horizontal="left" wrapText="1"/>
    </xf>
    <xf numFmtId="0" fontId="5" fillId="5" borderId="0" xfId="0" applyFont="1" applyFill="1" applyAlignment="1">
      <alignment horizontal="left"/>
    </xf>
    <xf numFmtId="0" fontId="0" fillId="5" borderId="0" xfId="0" applyFill="1" applyAlignment="1">
      <alignment horizontal="right"/>
    </xf>
    <xf numFmtId="0" fontId="2" fillId="0" borderId="16" xfId="0" applyFont="1" applyBorder="1" applyAlignment="1">
      <alignment horizontal="center" vertical="top"/>
    </xf>
    <xf numFmtId="0" fontId="2" fillId="0" borderId="18" xfId="0" applyFont="1" applyBorder="1" applyAlignment="1">
      <alignment horizontal="center" vertical="top" wrapText="1"/>
    </xf>
    <xf numFmtId="0" fontId="0" fillId="9" borderId="0" xfId="0" applyFill="1"/>
    <xf numFmtId="0" fontId="5" fillId="0" borderId="0" xfId="0" applyFont="1" applyAlignment="1">
      <alignment wrapText="1"/>
    </xf>
    <xf numFmtId="0" fontId="5" fillId="3" borderId="0" xfId="0" applyFont="1" applyFill="1"/>
    <xf numFmtId="0" fontId="0" fillId="10" borderId="0" xfId="0" applyFill="1"/>
    <xf numFmtId="0" fontId="0" fillId="10" borderId="0" xfId="0" applyFill="1" applyAlignment="1">
      <alignment wrapText="1"/>
    </xf>
    <xf numFmtId="0" fontId="0" fillId="10" borderId="0" xfId="0" applyFill="1" applyAlignment="1">
      <alignment horizontal="left" wrapText="1"/>
    </xf>
    <xf numFmtId="0" fontId="27" fillId="0" borderId="0" xfId="0" applyFont="1"/>
    <xf numFmtId="0" fontId="4" fillId="0" borderId="0" xfId="0" applyFont="1"/>
    <xf numFmtId="0" fontId="4" fillId="6" borderId="0" xfId="0" applyFont="1" applyFill="1" applyAlignment="1">
      <alignment horizontal="left"/>
    </xf>
    <xf numFmtId="0" fontId="28" fillId="6" borderId="0" xfId="0" applyFont="1" applyFill="1" applyAlignment="1">
      <alignment horizontal="left"/>
    </xf>
    <xf numFmtId="0" fontId="0" fillId="6" borderId="0" xfId="0" applyFill="1"/>
    <xf numFmtId="0" fontId="0" fillId="5" borderId="0" xfId="0" applyFill="1" applyAlignment="1">
      <alignment horizontal="left"/>
    </xf>
    <xf numFmtId="0" fontId="5" fillId="5" borderId="0" xfId="0" applyFont="1" applyFill="1"/>
    <xf numFmtId="0" fontId="5" fillId="5" borderId="0" xfId="0" applyFont="1" applyFill="1" applyAlignment="1">
      <alignment horizontal="left" wrapText="1"/>
    </xf>
    <xf numFmtId="0" fontId="4" fillId="2" borderId="0" xfId="0" applyFont="1" applyFill="1" applyAlignment="1">
      <alignment horizontal="left"/>
    </xf>
    <xf numFmtId="0" fontId="28" fillId="2" borderId="0" xfId="0" applyFont="1" applyFill="1" applyAlignment="1">
      <alignment horizontal="left"/>
    </xf>
    <xf numFmtId="0" fontId="5" fillId="2" borderId="0" xfId="0" applyFont="1" applyFill="1"/>
    <xf numFmtId="0" fontId="5" fillId="3" borderId="0" xfId="0" applyFont="1" applyFill="1" applyAlignment="1">
      <alignment horizontal="left"/>
    </xf>
    <xf numFmtId="0" fontId="28" fillId="2" borderId="0" xfId="0" applyFont="1" applyFill="1" applyAlignment="1">
      <alignment horizontal="right"/>
    </xf>
    <xf numFmtId="0" fontId="5" fillId="5" borderId="0" xfId="0" applyFont="1" applyFill="1" applyAlignment="1">
      <alignment horizontal="right" wrapText="1"/>
    </xf>
    <xf numFmtId="0" fontId="29" fillId="0" borderId="0" xfId="0" applyFont="1"/>
    <xf numFmtId="0" fontId="30" fillId="0" borderId="0" xfId="0" applyFont="1"/>
    <xf numFmtId="0" fontId="30" fillId="0" borderId="0" xfId="0" applyFont="1" applyAlignment="1">
      <alignment horizontal="left" wrapText="1"/>
    </xf>
    <xf numFmtId="0" fontId="30" fillId="0" borderId="0" xfId="0" applyFont="1" applyAlignment="1">
      <alignment horizontal="right"/>
    </xf>
    <xf numFmtId="0" fontId="30" fillId="0" borderId="0" xfId="0" applyFont="1" applyAlignment="1">
      <alignment horizontal="left"/>
    </xf>
    <xf numFmtId="0" fontId="30" fillId="5" borderId="0" xfId="0" applyFont="1" applyFill="1"/>
    <xf numFmtId="0" fontId="30" fillId="5" borderId="0" xfId="0" applyFont="1" applyFill="1" applyAlignment="1">
      <alignment horizontal="left" wrapText="1"/>
    </xf>
    <xf numFmtId="0" fontId="30" fillId="5" borderId="0" xfId="0" applyFont="1" applyFill="1" applyAlignment="1">
      <alignment horizontal="right"/>
    </xf>
    <xf numFmtId="0" fontId="5" fillId="5" borderId="0" xfId="0" applyFont="1" applyFill="1" applyAlignment="1">
      <alignment wrapText="1"/>
    </xf>
    <xf numFmtId="0" fontId="0" fillId="11" borderId="0" xfId="0" applyFill="1"/>
    <xf numFmtId="0" fontId="4" fillId="2" borderId="0" xfId="0" applyFont="1" applyFill="1" applyAlignment="1">
      <alignment horizontal="center"/>
    </xf>
    <xf numFmtId="0" fontId="6" fillId="2" borderId="0" xfId="0" applyFont="1" applyFill="1" applyAlignment="1">
      <alignment horizontal="center" vertical="center" wrapText="1"/>
    </xf>
    <xf numFmtId="0" fontId="6" fillId="4" borderId="0" xfId="0" applyFont="1" applyFill="1" applyAlignment="1">
      <alignment horizontal="center" vertical="center" wrapText="1"/>
    </xf>
    <xf numFmtId="0" fontId="6" fillId="2" borderId="1" xfId="0" applyFont="1" applyFill="1" applyBorder="1" applyAlignment="1">
      <alignment horizontal="center" vertical="center" wrapText="1"/>
    </xf>
    <xf numFmtId="0" fontId="6" fillId="6" borderId="0" xfId="0" applyFont="1" applyFill="1" applyAlignment="1">
      <alignment horizontal="center"/>
    </xf>
    <xf numFmtId="0" fontId="6" fillId="7" borderId="0" xfId="0" applyFont="1" applyFill="1" applyAlignment="1">
      <alignment horizontal="center"/>
    </xf>
    <xf numFmtId="0" fontId="6" fillId="7" borderId="0" xfId="0" applyFont="1" applyFill="1" applyAlignment="1">
      <alignment horizontal="center" vertical="center"/>
    </xf>
    <xf numFmtId="0" fontId="6" fillId="6" borderId="0" xfId="0" applyFont="1" applyFill="1" applyAlignment="1">
      <alignment horizontal="center" vertical="center"/>
    </xf>
    <xf numFmtId="0" fontId="4" fillId="6" borderId="0" xfId="0" applyFont="1" applyFill="1" applyAlignment="1">
      <alignment horizontal="center"/>
    </xf>
    <xf numFmtId="0" fontId="7" fillId="0" borderId="10" xfId="0" applyFont="1" applyBorder="1" applyAlignment="1">
      <alignment horizontal="center"/>
    </xf>
    <xf numFmtId="0" fontId="7" fillId="0" borderId="11" xfId="0" applyFont="1" applyBorder="1" applyAlignment="1">
      <alignment horizontal="center"/>
    </xf>
    <xf numFmtId="0" fontId="7" fillId="0" borderId="3" xfId="0" applyFont="1" applyBorder="1" applyAlignment="1">
      <alignment horizontal="center"/>
    </xf>
  </cellXfs>
  <cellStyles count="3">
    <cellStyle name="Comma 2" xfId="2" xr:uid="{00256EF3-20AA-42F7-A6FF-A1C7D48D521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Max Pinnola" id="{D510BBE3-F3A6-41BF-A847-47DBCC1CB1E7}" userId="6071b2e426a8e48f" providerId="Windows Live"/>
  <person displayName="Jailine Molina" id="{E7AD2465-55E2-48D5-B8CD-F78DDADBF51D}" userId="f3e4387646bbb898" providerId="Windows Live"/>
  <person displayName="Jailine Molina" id="{55555B3A-C984-4610-8199-071CDE22A689}" userId="S::jailine.molina@envisionblockchain.com::dcbde9ba-19ec-4293-81b0-e7f5b6f86ad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35" dT="2023-08-02T16:15:50.59" personId="{55555B3A-C984-4610-8199-071CDE22A689}" id="{443A775C-CB4A-4C7A-81BD-8068D81D1733}">
    <text>Eq 1</text>
  </threadedComment>
  <threadedComment ref="G37" dT="2023-08-02T16:15:50.59" personId="{55555B3A-C984-4610-8199-071CDE22A689}" id="{1FB97FF0-F714-4198-819F-88244E228BFD}">
    <text>Eq 1</text>
  </threadedComment>
  <threadedComment ref="G42" dT="2023-08-02T16:15:50.59" personId="{55555B3A-C984-4610-8199-071CDE22A689}" id="{F6A726EA-AC0C-4FD9-AE5C-B4E365490037}">
    <text>Eq 5</text>
  </threadedComment>
  <threadedComment ref="G69" dT="2023-10-03T16:01:44.89" personId="{E7AD2465-55E2-48D5-B8CD-F78DDADBF51D}" id="{3E4894A1-28C8-4FF7-80E9-4AC2C4B352E5}">
    <text>Eq 1</text>
  </threadedComment>
  <threadedComment ref="G76" dT="2023-10-03T16:03:43.32" personId="{E7AD2465-55E2-48D5-B8CD-F78DDADBF51D}" id="{89FDE336-0F7C-4329-8EED-22552D80315E}">
    <text>From Tool 13</text>
  </threadedComment>
  <threadedComment ref="G78" dT="2023-10-03T16:04:55.82" personId="{E7AD2465-55E2-48D5-B8CD-F78DDADBF51D}" id="{7054BFB7-3CCC-4D12-AB28-135169724DA6}">
    <text>Tool 13</text>
  </threadedComment>
  <threadedComment ref="G81" dT="2023-10-03T16:06:55.45" personId="{E7AD2465-55E2-48D5-B8CD-F78DDADBF51D}" id="{BC4E3F4B-13D3-4765-B892-F73E89B83C23}">
    <text>Eq 2</text>
  </threadedComment>
  <threadedComment ref="G82" dT="2023-10-03T16:17:02.30" personId="{55555B3A-C984-4610-8199-071CDE22A689}" id="{45F26EC6-37C3-44B0-8A4C-DF8673463FD9}">
    <text>Eq 4</text>
  </threadedComment>
</ThreadedComments>
</file>

<file path=xl/threadedComments/threadedComment2.xml><?xml version="1.0" encoding="utf-8"?>
<ThreadedComments xmlns="http://schemas.microsoft.com/office/spreadsheetml/2018/threadedcomments" xmlns:x="http://schemas.openxmlformats.org/spreadsheetml/2006/main">
  <threadedComment ref="D9" dT="2023-08-02T16:17:38.02" personId="{55555B3A-C984-4610-8199-071CDE22A689}" id="{28C78F5C-655D-4709-9A84-87CEDE9FE7BA}">
    <text>Eq 4</text>
  </threadedComment>
  <threadedComment ref="D13" dT="2023-08-02T16:16:00.60" personId="{55555B3A-C984-4610-8199-071CDE22A689}" id="{AA50BC0C-C768-429F-9E23-A65D60E7DA13}">
    <text>Eq 2 &amp; 3</text>
  </threadedComment>
  <threadedComment ref="D13" dT="2023-08-03T15:04:52.91" personId="{55555B3A-C984-4610-8199-071CDE22A689}" id="{6675837E-04F9-475A-AB50-0474A6EF1683}" parentId="{AA50BC0C-C768-429F-9E23-A65D60E7DA13}">
    <text>Default option &amp; Adjusted Default</text>
  </threadedComment>
  <threadedComment ref="D13" dT="2023-08-03T15:06:08.73" personId="{55555B3A-C984-4610-8199-071CDE22A689}" id="{D7D5B5F6-F908-4E12-8414-BA233583074F}" parentId="{AA50BC0C-C768-429F-9E23-A65D60E7DA13}">
    <text>PP should be able to choose if they want to use the default value (eq 2) or if they want to adjust the default value (eq 3)</text>
  </threadedComment>
  <threadedComment ref="D29" dT="2023-08-02T16:17:38.02" personId="{55555B3A-C984-4610-8199-071CDE22A689}" id="{FCDBF84E-9241-43A0-813D-92DB940AE162}">
    <text>Eq 4</text>
  </threadedComment>
  <threadedComment ref="D33" dT="2023-08-02T16:16:00.60" personId="{55555B3A-C984-4610-8199-071CDE22A689}" id="{ABC8DEEC-C19E-460C-A95B-0496DF6AAA7E}">
    <text>Eq 2</text>
  </threadedComment>
  <threadedComment ref="D33" dT="2023-08-03T15:04:52.91" personId="{55555B3A-C984-4610-8199-071CDE22A689}" id="{6687343F-32BC-4BBE-A573-129B014F8B89}" parentId="{ABC8DEEC-C19E-460C-A95B-0496DF6AAA7E}">
    <text>Default option</text>
  </threadedComment>
  <threadedComment ref="D33" dT="2023-08-03T15:06:08.73" personId="{55555B3A-C984-4610-8199-071CDE22A689}" id="{0F57B8F1-D41D-4D9E-8BA9-55CEE5427EF5}" parentId="{ABC8DEEC-C19E-460C-A95B-0496DF6AAA7E}">
    <text>PP should be able to choose if they want to use the default value (eq 2) or if they want to adjust the default value (eq 3)</text>
  </threadedComment>
</ThreadedComments>
</file>

<file path=xl/threadedComments/threadedComment3.xml><?xml version="1.0" encoding="utf-8"?>
<ThreadedComments xmlns="http://schemas.microsoft.com/office/spreadsheetml/2018/threadedcomments" xmlns:x="http://schemas.openxmlformats.org/spreadsheetml/2006/main">
  <threadedComment ref="F9" dT="2023-10-02T17:56:34.11" personId="{55555B3A-C984-4610-8199-071CDE22A689}" id="{1FA19FA1-B104-4577-A815-9CB994B6E80E}">
    <text>Eq 2</text>
  </threadedComment>
  <threadedComment ref="F16" dT="2023-10-02T18:19:24.82" personId="{55555B3A-C984-4610-8199-071CDE22A689}" id="{EFECCA12-9FFB-4CD9-A41B-F17863ADCF10}">
    <text>Tool 05</text>
  </threadedComment>
  <threadedComment ref="F20" dT="2023-10-02T18:19:14.96" personId="{55555B3A-C984-4610-8199-071CDE22A689}" id="{B6F7C81B-6FC2-450E-BB1D-A3AC7407924B}">
    <text>Tool 03</text>
  </threadedComment>
  <threadedComment ref="F22" dT="2023-10-02T18:22:40.35" personId="{55555B3A-C984-4610-8199-071CDE22A689}" id="{91AFE3ED-7805-4F86-890E-E1073295A94D}">
    <text>Eq 4</text>
  </threadedComment>
  <threadedComment ref="F27" dT="2023-10-02T20:18:08.28" personId="{55555B3A-C984-4610-8199-071CDE22A689}" id="{31796D78-385B-4831-BC2E-5A9349547B67}">
    <text>Eq 5</text>
  </threadedComment>
  <threadedComment ref="F28" dT="2023-10-02T19:25:26.05" personId="{55555B3A-C984-4610-8199-071CDE22A689}" id="{F9FC19AD-6857-4449-938F-B0D85BCC4121}">
    <text>Eq 6 for option 1 and default for option 2</text>
  </threadedComment>
  <threadedComment ref="F41" dT="2023-10-02T20:26:17.53" personId="{55555B3A-C984-4610-8199-071CDE22A689}" id="{D43C39F6-A9F9-4187-9A74-FFF67BA04FA1}">
    <text>Eq 7</text>
  </threadedComment>
  <threadedComment ref="F42" dT="2023-10-02T19:35:41.62" personId="{55555B3A-C984-4610-8199-071CDE22A689}" id="{0DF2C0D6-6B5A-4819-B513-9DE5F85D26D9}">
    <text>Eq 8 for option 1 and default for option 2</text>
  </threadedComment>
  <threadedComment ref="F57" dT="2023-10-02T20:09:00.29" personId="{55555B3A-C984-4610-8199-071CDE22A689}" id="{D12D4FB1-EC05-4C26-B47F-2529ADC31E07}">
    <text xml:space="preserve">Eq 9 with if/then for run-off wastewater that is collected and re-circulated </text>
  </threadedComment>
  <threadedComment ref="I70" dT="2023-10-31T19:11:13.38" personId="{55555B3A-C984-4610-8199-071CDE22A689}" id="{48B09FA5-D379-4E87-893F-7BAA2C6EE7A8}">
    <text>The calculated value for this is located in row 66 as option 1</text>
  </threadedComment>
</ThreadedComments>
</file>

<file path=xl/threadedComments/threadedComment4.xml><?xml version="1.0" encoding="utf-8"?>
<ThreadedComments xmlns="http://schemas.microsoft.com/office/spreadsheetml/2018/threadedcomments" xmlns:x="http://schemas.openxmlformats.org/spreadsheetml/2006/main">
  <threadedComment ref="F10" dT="2023-08-16T16:15:54.51" personId="{55555B3A-C984-4610-8199-071CDE22A689}" id="{5078B788-AF6A-44CB-8490-768768E87466}">
    <text>Eq 1</text>
  </threadedComment>
</ThreadedComments>
</file>

<file path=xl/threadedComments/threadedComment5.xml><?xml version="1.0" encoding="utf-8"?>
<ThreadedComments xmlns="http://schemas.microsoft.com/office/spreadsheetml/2018/threadedcomments" xmlns:x="http://schemas.openxmlformats.org/spreadsheetml/2006/main">
  <threadedComment ref="F6" dT="2023-08-10T14:56:00.30" personId="{55555B3A-C984-4610-8199-071CDE22A689}" id="{D35453D9-4F22-45AA-83C8-D2D899994FB7}">
    <text>Eq 1</text>
  </threadedComment>
  <threadedComment ref="F11" dT="2023-08-10T14:56:07.23" personId="{55555B3A-C984-4610-8199-071CDE22A689}" id="{407E624C-FC91-4F26-A3E7-BF37BDFA4E83}">
    <text>Eq 2</text>
  </threadedComment>
  <threadedComment ref="F13" dT="2023-08-14T21:55:53.61" personId="{55555B3A-C984-4610-8199-071CDE22A689}" id="{4A0E177B-4F5A-445D-BA5C-FA22561FB1EE}">
    <text>At least monthly recording of data</text>
  </threadedComment>
  <threadedComment ref="F16" dT="2023-08-10T14:56:16.16" personId="{55555B3A-C984-4610-8199-071CDE22A689}" id="{D5ECC3F9-5F6D-48AD-8D34-74133DCEAF5F}">
    <text>Eq 3</text>
  </threadedComment>
  <threadedComment ref="F22" dT="2023-08-22T01:12:00.32" personId="{55555B3A-C984-4610-8199-071CDE22A689}" id="{0EEA6625-7FA4-42EF-8A61-593A8D5747B4}">
    <text>Eq 7</text>
  </threadedComment>
  <threadedComment ref="F23" dT="2023-08-22T01:12:36.84" personId="{55555B3A-C984-4610-8199-071CDE22A689}" id="{B73E29A7-F8CB-41D7-85E3-E63496CCEAC7}">
    <text>Eq 8</text>
  </threadedComment>
  <threadedComment ref="F37" dT="2023-08-10T15:56:01.08" personId="{55555B3A-C984-4610-8199-071CDE22A689}" id="{962F2535-EC1A-499C-ABDA-7609C3C74E56}">
    <text>Eq 4</text>
  </threadedComment>
  <threadedComment ref="F38" dT="2023-08-10T21:11:09.42" personId="{55555B3A-C984-4610-8199-071CDE22A689}" id="{6D040008-1AFE-4593-8C29-B21E5ADDE58E}">
    <text>Eq 5</text>
  </threadedComment>
</ThreadedComments>
</file>

<file path=xl/threadedComments/threadedComment6.xml><?xml version="1.0" encoding="utf-8"?>
<ThreadedComments xmlns="http://schemas.microsoft.com/office/spreadsheetml/2018/threadedcomments" xmlns:x="http://schemas.openxmlformats.org/spreadsheetml/2006/main">
  <threadedComment ref="F3" dT="2023-08-10T15:56:01.08" personId="{55555B3A-C984-4610-8199-071CDE22A689}" id="{BCC325B0-DAE9-403C-9AD7-32043FC90070}">
    <text>Eq 4</text>
  </threadedComment>
  <threadedComment ref="F4" dT="2023-08-10T21:11:09.42" personId="{55555B3A-C984-4610-8199-071CDE22A689}" id="{C35888C5-FCD7-4017-824F-39BE3D8F4B9B}">
    <text>Eq 5</text>
  </threadedComment>
  <threadedComment ref="F7" dT="2023-08-10T15:56:01.08" personId="{55555B3A-C984-4610-8199-071CDE22A689}" id="{25F84C17-09F0-4B32-8BD0-3DE929AFDED7}">
    <text>Eq 4</text>
  </threadedComment>
  <threadedComment ref="F8" dT="2023-08-10T21:11:09.42" personId="{55555B3A-C984-4610-8199-071CDE22A689}" id="{97AAD12C-46D3-463E-8647-09346C3BF59C}">
    <text>Eq 5</text>
  </threadedComment>
  <threadedComment ref="F10" dT="2023-08-10T21:00:37.41" personId="{55555B3A-C984-4610-8199-071CDE22A689}" id="{609E5A4C-B301-497E-AA0C-7B0140ABB2A4}">
    <text>Assumptions are made for this that the unit for FCn,i,t is in metric tons</text>
  </threadedComment>
  <threadedComment ref="G10" dT="2023-08-10T19:37:59.63" personId="{55555B3A-C984-4610-8199-071CDE22A689}" id="{B5B47A51-AE51-42A0-A04F-71CEEC6D4053}">
    <text>Dependent on fuel type selection</text>
  </threadedComment>
  <threadedComment ref="G11" dT="2023-08-10T19:38:12.02" personId="{55555B3A-C984-4610-8199-071CDE22A689}" id="{C047BB73-EF12-4064-8E10-FA85577EC641}">
    <text>Dependent on fuel type selection</text>
  </threadedComment>
  <threadedComment ref="F12" dT="2023-08-10T20:53:47.04" personId="{55555B3A-C984-4610-8199-071CDE22A689}" id="{0F9F6D19-32D1-4B1B-9B90-AD7A1BBC22B5}">
    <text>Unit of measurement can be cubic meters, metric ton, or liter. This seems to be confusing when it comes to the calculation. Depending on the unit of measurement used there could be errors in the final calc. This is following the methodology so I'll leave it as is.</text>
  </threadedComment>
  <threadedComment ref="F19" dT="2023-08-10T15:56:01.08" personId="{55555B3A-C984-4610-8199-071CDE22A689}" id="{845158A4-3EDD-4A67-A992-FECBC7D198F9}">
    <text>Eq 4</text>
  </threadedComment>
  <threadedComment ref="F20" dT="2023-08-10T21:11:09.42" personId="{55555B3A-C984-4610-8199-071CDE22A689}" id="{F6DBF2AF-3BEE-442C-9988-89B491E9FF90}">
    <text>Eq 5</text>
  </threadedComment>
  <threadedComment ref="F22" dT="2023-08-10T21:00:37.41" personId="{55555B3A-C984-4610-8199-071CDE22A689}" id="{068E5FC9-E003-42A2-87BE-8DD866DB260E}">
    <text>Assumptions are made for this that the unit for FCn,i,t is in metric tons</text>
  </threadedComment>
  <threadedComment ref="G22" dT="2023-08-10T19:37:59.63" personId="{55555B3A-C984-4610-8199-071CDE22A689}" id="{6A25D7DC-CF5E-479A-A45F-ACE1B6E44976}">
    <text>Dependent on fuel type selection</text>
  </threadedComment>
  <threadedComment ref="G23" dT="2023-08-10T19:38:12.02" personId="{55555B3A-C984-4610-8199-071CDE22A689}" id="{A67145C6-AC96-4557-BE07-37EE3A253AE6}">
    <text>Dependent on fuel type selection</text>
  </threadedComment>
  <threadedComment ref="F24" dT="2023-08-10T20:53:47.04" personId="{55555B3A-C984-4610-8199-071CDE22A689}" id="{E1AD1E05-38CB-4E32-9C97-397F3013F396}">
    <text>Unit of measurement can be cubic meters, metric ton, or liter. This seems to be confusing when it comes to the calculation. Depending on the unit of measurement used there could be errors in the final calc. This is following the methodology so I'll leave it as is.</text>
  </threadedComment>
  <threadedComment ref="F31" dT="2023-08-10T15:56:01.08" personId="{55555B3A-C984-4610-8199-071CDE22A689}" id="{6E92020B-DC4B-49BD-946F-4ED9A5F1B5C1}">
    <text>Eq 4</text>
  </threadedComment>
  <threadedComment ref="F32" dT="2023-08-10T21:11:09.42" personId="{55555B3A-C984-4610-8199-071CDE22A689}" id="{F5D5F15B-1166-4925-9A84-A3BA4AA8D546}">
    <text>Eq 5</text>
  </threadedComment>
  <threadedComment ref="F34" dT="2023-08-10T21:00:37.41" personId="{55555B3A-C984-4610-8199-071CDE22A689}" id="{DC2B6246-17FA-416E-9FF5-ACBCDC37EA27}">
    <text>Assumptions are made for this that the unit for FCn,i,t is in metric tons</text>
  </threadedComment>
  <threadedComment ref="G34" dT="2023-08-10T19:37:59.63" personId="{55555B3A-C984-4610-8199-071CDE22A689}" id="{4E60422F-1FD7-45A0-B86E-E345BACA3673}">
    <text>Dependent on fuel type selection</text>
  </threadedComment>
  <threadedComment ref="G35" dT="2023-08-10T19:38:12.02" personId="{55555B3A-C984-4610-8199-071CDE22A689}" id="{5ACE38EF-7BD3-43FA-B240-5F0671B68F7A}">
    <text>Dependent on fuel type selection</text>
  </threadedComment>
  <threadedComment ref="F36" dT="2023-08-10T20:53:47.04" personId="{55555B3A-C984-4610-8199-071CDE22A689}" id="{9FC6A603-09B8-4C7C-A0A1-B7148673F72F}">
    <text>Unit of measurement can be cubic meters, metric ton, or liter. This seems to be confusing when it comes to the calculation. Depending on the unit of measurement used there could be errors in the final calc. This is following the methodology so I'll leave it as is.</text>
  </threadedComment>
</ThreadedComments>
</file>

<file path=xl/threadedComments/threadedComment7.xml><?xml version="1.0" encoding="utf-8"?>
<ThreadedComments xmlns="http://schemas.microsoft.com/office/spreadsheetml/2018/threadedcomments" xmlns:x="http://schemas.openxmlformats.org/spreadsheetml/2006/main">
  <threadedComment ref="D3" dT="2023-08-10T16:26:52.04" personId="{55555B3A-C984-4610-8199-071CDE22A689}" id="{B7C689FF-C45B-47C5-8903-9C7A9E27F2E1}">
    <text>Upper Default Value at the 95% confidence interval</text>
  </threadedComment>
</ThreadedComments>
</file>

<file path=xl/threadedComments/threadedComment8.xml><?xml version="1.0" encoding="utf-8"?>
<ThreadedComments xmlns="http://schemas.microsoft.com/office/spreadsheetml/2018/threadedcomments" xmlns:x="http://schemas.openxmlformats.org/spreadsheetml/2006/main">
  <threadedComment ref="B34" dT="2023-09-14T15:57:32.66" personId="{D510BBE3-F3A6-41BF-A847-47DBCC1CB1E7}" id="{35F36423-61D0-4B97-81AA-292B72ADEE8A}">
    <text>Equation 3</text>
  </threadedComment>
  <threadedComment ref="B35" dT="2023-09-14T15:57:50.52" personId="{D510BBE3-F3A6-41BF-A847-47DBCC1CB1E7}" id="{B0DDEC59-B96A-4A02-95BE-0D1C622D5C03}">
    <text>Equation 4</text>
  </threadedComment>
  <threadedComment ref="B44" dT="2023-09-14T16:00:06.57" personId="{D510BBE3-F3A6-41BF-A847-47DBCC1CB1E7}" id="{AFE7536B-BD3E-47CE-86D2-B3D9089CB477}">
    <text>Equation 7</text>
  </threadedComment>
  <threadedComment ref="B45" dT="2023-09-14T15:58:31.69" personId="{D510BBE3-F3A6-41BF-A847-47DBCC1CB1E7}" id="{F0717DC6-5780-438E-8412-89CBE28A0699}">
    <text>Equation 5</text>
  </threadedComment>
  <threadedComment ref="B54" dT="2023-09-14T16:00:45.83" personId="{D510BBE3-F3A6-41BF-A847-47DBCC1CB1E7}" id="{897E0BC6-A266-425D-82A2-A2AFC53E80C1}">
    <text>Equation 9</text>
  </threadedComment>
  <threadedComment ref="B59" dT="2023-09-14T16:01:11.41" personId="{D510BBE3-F3A6-41BF-A847-47DBCC1CB1E7}" id="{C8A49747-D190-4659-B9E4-58D51DA7036E}">
    <text>Equation 11</text>
  </threadedComment>
  <threadedComment ref="B66" dT="2023-09-14T16:02:00.74" personId="{D510BBE3-F3A6-41BF-A847-47DBCC1CB1E7}" id="{5C45C33F-0AD6-4191-8878-E85031110FB4}">
    <text>Equation 12</text>
  </threadedComment>
  <threadedComment ref="B86" dT="2023-09-08T16:51:38.02" personId="{D510BBE3-F3A6-41BF-A847-47DBCC1CB1E7}" id="{8D2311B1-041B-4E2F-8114-FDE0F79B50E2}">
    <text>Equation 1</text>
  </threadedComment>
</ThreadedComments>
</file>

<file path=xl/threadedComments/threadedComment9.xml><?xml version="1.0" encoding="utf-8"?>
<ThreadedComments xmlns="http://schemas.microsoft.com/office/spreadsheetml/2018/threadedcomments" xmlns:x="http://schemas.openxmlformats.org/spreadsheetml/2006/main">
  <threadedComment ref="A2" dT="2023-09-14T16:39:36.76" personId="{D510BBE3-F3A6-41BF-A847-47DBCC1CB1E7}" id="{2FB7DB08-B2B0-45EA-9F2E-D216A362309D}">
    <text>Add a line for each SWDS CH4 calculation instance added</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JD@gmail.com"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3.bin"/><Relationship Id="rId4" Type="http://schemas.microsoft.com/office/2017/10/relationships/threadedComment" Target="../threadedComments/threadedComment8.x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 Id="rId4" Type="http://schemas.microsoft.com/office/2017/10/relationships/threadedComment" Target="../threadedComments/threadedComment4.x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9F908-CBA8-4BE7-833E-392E11513AAC}">
  <dimension ref="A1:J85"/>
  <sheetViews>
    <sheetView tabSelected="1" topLeftCell="A77" workbookViewId="0">
      <selection activeCell="H70" sqref="H70"/>
    </sheetView>
  </sheetViews>
  <sheetFormatPr defaultRowHeight="15"/>
  <cols>
    <col min="1" max="1" width="12.7109375" customWidth="1"/>
    <col min="2" max="2" width="15.28515625" customWidth="1"/>
    <col min="3" max="3" width="13" customWidth="1"/>
    <col min="4" max="4" width="14.85546875" customWidth="1"/>
    <col min="5" max="5" width="53.28515625" bestFit="1" customWidth="1"/>
    <col min="6" max="6" width="23.5703125" customWidth="1"/>
    <col min="7" max="7" width="72.85546875" customWidth="1"/>
    <col min="8" max="8" width="61.7109375" customWidth="1"/>
    <col min="9" max="9" width="44.28515625" customWidth="1"/>
  </cols>
  <sheetData>
    <row r="1" spans="1:10" ht="56.25">
      <c r="A1" s="9" t="s">
        <v>0</v>
      </c>
      <c r="B1" s="9" t="s">
        <v>1</v>
      </c>
      <c r="C1" s="9" t="s">
        <v>2</v>
      </c>
      <c r="D1" s="9" t="s">
        <v>3</v>
      </c>
      <c r="E1" s="9" t="s">
        <v>4</v>
      </c>
      <c r="F1" s="8" t="s">
        <v>5</v>
      </c>
      <c r="G1" s="8" t="s">
        <v>6</v>
      </c>
      <c r="H1" s="8" t="s">
        <v>7</v>
      </c>
      <c r="I1" s="8" t="s">
        <v>8</v>
      </c>
      <c r="J1" t="s">
        <v>9</v>
      </c>
    </row>
    <row r="2" spans="1:10" ht="18.75">
      <c r="A2" s="115" t="s">
        <v>10</v>
      </c>
      <c r="B2" s="115"/>
      <c r="C2" s="115"/>
      <c r="D2" s="115"/>
      <c r="E2" s="115"/>
      <c r="F2" s="115"/>
      <c r="G2" s="115"/>
      <c r="H2" s="115"/>
      <c r="I2" s="115"/>
    </row>
    <row r="3" spans="1:10" ht="45.75">
      <c r="A3" s="2" t="s">
        <v>11</v>
      </c>
      <c r="B3" s="2"/>
      <c r="C3" s="2" t="s">
        <v>12</v>
      </c>
      <c r="D3" s="2" t="s">
        <v>13</v>
      </c>
      <c r="E3" s="2"/>
      <c r="F3" s="2" t="s">
        <v>14</v>
      </c>
      <c r="G3" s="2" t="s">
        <v>15</v>
      </c>
      <c r="H3" s="10" t="s">
        <v>16</v>
      </c>
      <c r="I3" s="2"/>
    </row>
    <row r="4" spans="1:10">
      <c r="A4" s="2" t="s">
        <v>11</v>
      </c>
      <c r="B4" s="2"/>
      <c r="C4" s="2" t="s">
        <v>11</v>
      </c>
      <c r="D4" s="2" t="s">
        <v>13</v>
      </c>
      <c r="E4" s="2" t="s">
        <v>17</v>
      </c>
      <c r="F4" s="2" t="s">
        <v>14</v>
      </c>
      <c r="G4" s="2" t="s">
        <v>18</v>
      </c>
      <c r="H4" s="4" t="s">
        <v>19</v>
      </c>
      <c r="I4" s="2"/>
      <c r="J4" s="91" t="s">
        <v>20</v>
      </c>
    </row>
    <row r="5" spans="1:10" ht="30">
      <c r="A5" s="2" t="s">
        <v>11</v>
      </c>
      <c r="B5" s="2"/>
      <c r="C5" s="2" t="s">
        <v>11</v>
      </c>
      <c r="D5" s="2" t="s">
        <v>13</v>
      </c>
      <c r="E5" s="2" t="s">
        <v>21</v>
      </c>
      <c r="F5" s="2" t="s">
        <v>14</v>
      </c>
      <c r="G5" t="s">
        <v>22</v>
      </c>
      <c r="H5" s="10" t="s">
        <v>23</v>
      </c>
      <c r="I5" s="2"/>
    </row>
    <row r="6" spans="1:10" ht="45.75">
      <c r="A6" s="2" t="s">
        <v>11</v>
      </c>
      <c r="B6" s="2"/>
      <c r="C6" s="2" t="s">
        <v>11</v>
      </c>
      <c r="D6" s="2" t="s">
        <v>13</v>
      </c>
      <c r="E6" s="2"/>
      <c r="F6" s="2" t="s">
        <v>14</v>
      </c>
      <c r="G6" s="2" t="s">
        <v>24</v>
      </c>
      <c r="H6" s="10" t="s">
        <v>25</v>
      </c>
      <c r="I6" s="2"/>
    </row>
    <row r="7" spans="1:10">
      <c r="A7" s="2" t="s">
        <v>11</v>
      </c>
      <c r="B7" s="2"/>
      <c r="C7" s="2" t="s">
        <v>11</v>
      </c>
      <c r="D7" s="2" t="s">
        <v>13</v>
      </c>
      <c r="E7" s="2" t="s">
        <v>26</v>
      </c>
      <c r="F7" s="2" t="s">
        <v>14</v>
      </c>
      <c r="G7" s="2" t="s">
        <v>27</v>
      </c>
      <c r="H7" s="10" t="s">
        <v>28</v>
      </c>
      <c r="I7" s="10"/>
    </row>
    <row r="8" spans="1:10">
      <c r="A8" s="2" t="s">
        <v>11</v>
      </c>
      <c r="B8" s="2"/>
      <c r="C8" s="2" t="s">
        <v>11</v>
      </c>
      <c r="D8" s="2" t="s">
        <v>13</v>
      </c>
      <c r="E8" s="2" t="s">
        <v>29</v>
      </c>
      <c r="F8" s="2" t="s">
        <v>14</v>
      </c>
      <c r="G8" s="2" t="s">
        <v>30</v>
      </c>
      <c r="H8" s="10" t="s">
        <v>31</v>
      </c>
      <c r="I8" s="10"/>
    </row>
    <row r="9" spans="1:10">
      <c r="A9" s="2" t="s">
        <v>11</v>
      </c>
      <c r="B9" s="2"/>
      <c r="C9" s="2" t="s">
        <v>11</v>
      </c>
      <c r="D9" s="2" t="s">
        <v>13</v>
      </c>
      <c r="E9" s="2" t="s">
        <v>32</v>
      </c>
      <c r="F9" s="2" t="s">
        <v>14</v>
      </c>
      <c r="G9" s="2" t="s">
        <v>33</v>
      </c>
      <c r="H9" s="10" t="s">
        <v>34</v>
      </c>
      <c r="I9" s="10"/>
    </row>
    <row r="10" spans="1:10" ht="30">
      <c r="A10" s="2" t="s">
        <v>11</v>
      </c>
      <c r="B10" s="2"/>
      <c r="C10" s="2" t="s">
        <v>11</v>
      </c>
      <c r="D10" s="2" t="s">
        <v>35</v>
      </c>
      <c r="E10" s="2" t="s">
        <v>36</v>
      </c>
      <c r="F10" s="2" t="s">
        <v>14</v>
      </c>
      <c r="G10" s="86" t="s">
        <v>37</v>
      </c>
      <c r="H10" t="s">
        <v>38</v>
      </c>
    </row>
    <row r="11" spans="1:10" ht="60.75">
      <c r="A11" s="2" t="s">
        <v>11</v>
      </c>
      <c r="B11" s="2"/>
      <c r="C11" s="2" t="s">
        <v>11</v>
      </c>
      <c r="D11" s="2" t="s">
        <v>13</v>
      </c>
      <c r="E11" s="2"/>
      <c r="F11" s="2" t="s">
        <v>14</v>
      </c>
      <c r="G11" s="2" t="s">
        <v>39</v>
      </c>
      <c r="H11" s="10" t="s">
        <v>40</v>
      </c>
      <c r="I11" s="2"/>
    </row>
    <row r="12" spans="1:10">
      <c r="A12" s="2" t="s">
        <v>11</v>
      </c>
      <c r="B12" s="2"/>
      <c r="C12" s="2" t="s">
        <v>11</v>
      </c>
      <c r="D12" s="2" t="s">
        <v>13</v>
      </c>
      <c r="E12" s="2" t="s">
        <v>41</v>
      </c>
      <c r="F12" s="2" t="s">
        <v>14</v>
      </c>
      <c r="G12" s="2" t="s">
        <v>42</v>
      </c>
      <c r="H12" s="4" t="s">
        <v>43</v>
      </c>
      <c r="I12" s="2"/>
    </row>
    <row r="13" spans="1:10">
      <c r="A13" s="2" t="s">
        <v>11</v>
      </c>
      <c r="B13" s="2"/>
      <c r="C13" s="2" t="s">
        <v>11</v>
      </c>
      <c r="D13" s="2" t="s">
        <v>44</v>
      </c>
      <c r="E13" s="2"/>
      <c r="F13" s="2" t="s">
        <v>14</v>
      </c>
      <c r="G13" s="2" t="s">
        <v>45</v>
      </c>
      <c r="H13" s="4" t="s">
        <v>46</v>
      </c>
      <c r="I13" s="2"/>
    </row>
    <row r="14" spans="1:10">
      <c r="A14" s="2" t="s">
        <v>11</v>
      </c>
      <c r="B14" s="2"/>
      <c r="C14" s="2" t="s">
        <v>11</v>
      </c>
      <c r="D14" s="2" t="s">
        <v>13</v>
      </c>
      <c r="E14" s="2"/>
      <c r="F14" s="2" t="s">
        <v>14</v>
      </c>
      <c r="G14" s="2" t="s">
        <v>47</v>
      </c>
      <c r="H14" s="4" t="s">
        <v>48</v>
      </c>
      <c r="I14" s="2"/>
    </row>
    <row r="15" spans="1:10">
      <c r="A15" s="2" t="s">
        <v>11</v>
      </c>
      <c r="B15" s="2"/>
      <c r="C15" s="2" t="s">
        <v>11</v>
      </c>
      <c r="D15" s="2" t="s">
        <v>49</v>
      </c>
      <c r="E15" s="2" t="s">
        <v>50</v>
      </c>
      <c r="F15" s="2" t="s">
        <v>14</v>
      </c>
      <c r="G15" s="2" t="s">
        <v>51</v>
      </c>
      <c r="H15" s="4" t="s">
        <v>52</v>
      </c>
      <c r="I15" s="2"/>
    </row>
    <row r="16" spans="1:10">
      <c r="A16" s="2" t="s">
        <v>11</v>
      </c>
      <c r="B16" s="2"/>
      <c r="C16" s="2" t="s">
        <v>11</v>
      </c>
      <c r="D16" s="2" t="s">
        <v>53</v>
      </c>
      <c r="E16" s="2"/>
      <c r="F16" s="2" t="s">
        <v>14</v>
      </c>
      <c r="G16" s="2" t="s">
        <v>54</v>
      </c>
      <c r="H16" s="4" t="s">
        <v>55</v>
      </c>
      <c r="I16" s="2"/>
    </row>
    <row r="17" spans="1:9">
      <c r="A17" s="2" t="s">
        <v>11</v>
      </c>
      <c r="B17" s="2"/>
      <c r="C17" s="2" t="s">
        <v>11</v>
      </c>
      <c r="D17" s="2" t="s">
        <v>56</v>
      </c>
      <c r="E17" s="2"/>
      <c r="F17" s="2" t="s">
        <v>14</v>
      </c>
      <c r="G17" s="2" t="s">
        <v>57</v>
      </c>
      <c r="H17" s="6" t="s">
        <v>58</v>
      </c>
      <c r="I17" s="2"/>
    </row>
    <row r="18" spans="1:9" ht="60">
      <c r="A18" s="2" t="s">
        <v>11</v>
      </c>
      <c r="B18" s="2"/>
      <c r="C18" s="2" t="s">
        <v>11</v>
      </c>
      <c r="D18" s="2" t="s">
        <v>13</v>
      </c>
      <c r="E18" s="2" t="s">
        <v>59</v>
      </c>
      <c r="F18" s="2" t="s">
        <v>14</v>
      </c>
      <c r="G18" t="s">
        <v>60</v>
      </c>
      <c r="H18" s="10" t="s">
        <v>61</v>
      </c>
      <c r="I18" s="2"/>
    </row>
    <row r="19" spans="1:9">
      <c r="A19" s="2"/>
      <c r="B19" s="2"/>
      <c r="C19" s="2" t="s">
        <v>11</v>
      </c>
      <c r="D19" s="2" t="s">
        <v>13</v>
      </c>
      <c r="E19" s="2"/>
      <c r="F19" s="2" t="s">
        <v>14</v>
      </c>
      <c r="G19" t="s">
        <v>62</v>
      </c>
      <c r="H19" s="4" t="s">
        <v>14</v>
      </c>
      <c r="I19" s="2"/>
    </row>
    <row r="20" spans="1:9">
      <c r="A20" s="2" t="s">
        <v>11</v>
      </c>
      <c r="B20" s="2"/>
      <c r="C20" s="2" t="s">
        <v>11</v>
      </c>
      <c r="D20" s="2" t="s">
        <v>13</v>
      </c>
      <c r="E20" s="2"/>
      <c r="F20" s="2" t="s">
        <v>14</v>
      </c>
      <c r="G20" s="2" t="s">
        <v>63</v>
      </c>
      <c r="H20" s="4" t="s">
        <v>64</v>
      </c>
      <c r="I20" s="2"/>
    </row>
    <row r="21" spans="1:9">
      <c r="A21" s="2" t="s">
        <v>11</v>
      </c>
      <c r="B21" s="2"/>
      <c r="C21" s="2" t="s">
        <v>11</v>
      </c>
      <c r="D21" s="2" t="s">
        <v>13</v>
      </c>
      <c r="E21" s="2"/>
      <c r="F21" s="2" t="s">
        <v>14</v>
      </c>
      <c r="G21" s="2" t="s">
        <v>65</v>
      </c>
      <c r="H21" s="4" t="s">
        <v>12</v>
      </c>
      <c r="I21" s="2"/>
    </row>
    <row r="22" spans="1:9" ht="30">
      <c r="A22" s="2" t="s">
        <v>11</v>
      </c>
      <c r="B22" s="2"/>
      <c r="C22" s="2" t="s">
        <v>11</v>
      </c>
      <c r="D22" s="2" t="s">
        <v>13</v>
      </c>
      <c r="E22" s="2"/>
      <c r="F22" s="2" t="s">
        <v>14</v>
      </c>
      <c r="G22" t="s">
        <v>66</v>
      </c>
      <c r="H22" s="10" t="s">
        <v>67</v>
      </c>
      <c r="I22" s="2"/>
    </row>
    <row r="23" spans="1:9">
      <c r="A23" s="2" t="s">
        <v>11</v>
      </c>
      <c r="B23" s="2"/>
      <c r="C23" s="2" t="s">
        <v>11</v>
      </c>
      <c r="D23" s="2" t="s">
        <v>13</v>
      </c>
      <c r="E23" s="2"/>
      <c r="F23" s="2" t="s">
        <v>14</v>
      </c>
      <c r="G23" s="2" t="s">
        <v>68</v>
      </c>
      <c r="H23" t="s">
        <v>69</v>
      </c>
      <c r="I23" s="2"/>
    </row>
    <row r="24" spans="1:9">
      <c r="A24" s="2" t="s">
        <v>11</v>
      </c>
      <c r="B24" s="2"/>
      <c r="C24" s="2" t="s">
        <v>11</v>
      </c>
      <c r="D24" s="2" t="s">
        <v>70</v>
      </c>
      <c r="E24" s="2" t="s">
        <v>71</v>
      </c>
      <c r="F24" s="2" t="s">
        <v>14</v>
      </c>
      <c r="G24" t="s">
        <v>72</v>
      </c>
      <c r="H24" s="80">
        <v>42005</v>
      </c>
      <c r="I24" s="2"/>
    </row>
    <row r="25" spans="1:9">
      <c r="A25" s="2" t="s">
        <v>11</v>
      </c>
      <c r="B25" s="2"/>
      <c r="C25" s="4" t="s">
        <v>11</v>
      </c>
      <c r="D25" s="2" t="s">
        <v>73</v>
      </c>
      <c r="E25" s="2" t="s">
        <v>74</v>
      </c>
      <c r="F25" s="2" t="s">
        <v>14</v>
      </c>
      <c r="G25" t="s">
        <v>75</v>
      </c>
      <c r="H25" s="4" t="s">
        <v>76</v>
      </c>
      <c r="I25" s="2"/>
    </row>
    <row r="26" spans="1:9">
      <c r="A26" s="2" t="s">
        <v>11</v>
      </c>
      <c r="B26" s="2"/>
      <c r="C26" s="4" t="s">
        <v>11</v>
      </c>
      <c r="D26" s="2" t="s">
        <v>73</v>
      </c>
      <c r="E26" s="2" t="s">
        <v>77</v>
      </c>
      <c r="F26" s="2" t="s">
        <v>14</v>
      </c>
      <c r="G26" s="4" t="s">
        <v>78</v>
      </c>
      <c r="H26" s="4" t="s">
        <v>76</v>
      </c>
      <c r="I26" s="2"/>
    </row>
    <row r="27" spans="1:9">
      <c r="A27" s="2" t="s">
        <v>11</v>
      </c>
      <c r="B27" s="2"/>
      <c r="C27" s="4" t="s">
        <v>12</v>
      </c>
      <c r="D27" s="2" t="s">
        <v>13</v>
      </c>
      <c r="E27" s="2"/>
      <c r="F27" s="2" t="s">
        <v>14</v>
      </c>
      <c r="G27" s="4" t="s">
        <v>79</v>
      </c>
      <c r="H27" s="4" t="s">
        <v>80</v>
      </c>
      <c r="I27" s="2"/>
    </row>
    <row r="28" spans="1:9">
      <c r="A28" s="2" t="s">
        <v>11</v>
      </c>
      <c r="B28" s="2"/>
      <c r="C28" s="4" t="s">
        <v>11</v>
      </c>
      <c r="D28" s="2" t="s">
        <v>13</v>
      </c>
      <c r="E28" s="2"/>
      <c r="F28" s="2" t="s">
        <v>14</v>
      </c>
      <c r="G28" t="s">
        <v>81</v>
      </c>
      <c r="H28" t="s">
        <v>82</v>
      </c>
      <c r="I28" s="2"/>
    </row>
    <row r="29" spans="1:9" ht="45">
      <c r="A29" s="2" t="s">
        <v>11</v>
      </c>
      <c r="B29" s="2"/>
      <c r="C29" s="4" t="s">
        <v>11</v>
      </c>
      <c r="D29" s="2" t="s">
        <v>13</v>
      </c>
      <c r="E29" s="2"/>
      <c r="F29" s="2" t="s">
        <v>14</v>
      </c>
      <c r="G29" t="s">
        <v>83</v>
      </c>
      <c r="H29" s="10" t="s">
        <v>84</v>
      </c>
      <c r="I29" s="2"/>
    </row>
    <row r="30" spans="1:9">
      <c r="A30" s="2" t="s">
        <v>11</v>
      </c>
      <c r="B30" s="2"/>
      <c r="C30" s="4" t="s">
        <v>11</v>
      </c>
      <c r="D30" s="2" t="s">
        <v>13</v>
      </c>
      <c r="E30" s="2" t="s">
        <v>85</v>
      </c>
      <c r="F30" s="2" t="s">
        <v>14</v>
      </c>
      <c r="G30" t="s">
        <v>86</v>
      </c>
      <c r="H30" s="10" t="s">
        <v>87</v>
      </c>
      <c r="I30" s="2"/>
    </row>
    <row r="31" spans="1:9">
      <c r="A31" s="2" t="s">
        <v>11</v>
      </c>
      <c r="B31" s="2"/>
      <c r="C31" s="4" t="s">
        <v>11</v>
      </c>
      <c r="D31" s="2" t="s">
        <v>13</v>
      </c>
      <c r="E31" s="2"/>
      <c r="F31" s="2" t="s">
        <v>14</v>
      </c>
      <c r="G31" t="s">
        <v>88</v>
      </c>
      <c r="H31" t="s">
        <v>89</v>
      </c>
      <c r="I31" s="2"/>
    </row>
    <row r="32" spans="1:9" ht="18.75">
      <c r="A32" s="93"/>
      <c r="B32" s="93"/>
      <c r="C32" s="94"/>
      <c r="D32" s="94"/>
      <c r="E32" s="94"/>
      <c r="F32" s="94"/>
      <c r="G32" s="93" t="s">
        <v>90</v>
      </c>
      <c r="H32" s="94"/>
      <c r="I32" s="95"/>
    </row>
    <row r="33" spans="1:9" ht="180">
      <c r="A33" s="97" t="s">
        <v>11</v>
      </c>
      <c r="B33" s="97"/>
      <c r="C33" s="81" t="s">
        <v>12</v>
      </c>
      <c r="D33" s="97" t="s">
        <v>91</v>
      </c>
      <c r="E33" s="97"/>
      <c r="F33" s="97" t="s">
        <v>6</v>
      </c>
      <c r="G33" s="98" t="s">
        <v>92</v>
      </c>
      <c r="H33" s="104" t="s">
        <v>93</v>
      </c>
      <c r="I33" s="98"/>
    </row>
    <row r="34" spans="1:9" ht="18.75">
      <c r="A34" s="99"/>
      <c r="B34" s="99"/>
      <c r="C34" s="100"/>
      <c r="D34" s="100"/>
      <c r="E34" s="100"/>
      <c r="F34" s="100"/>
      <c r="G34" s="99" t="s">
        <v>94</v>
      </c>
      <c r="H34" s="100"/>
      <c r="I34" s="101"/>
    </row>
    <row r="35" spans="1:9">
      <c r="A35" s="15" t="s">
        <v>12</v>
      </c>
      <c r="B35" s="15"/>
      <c r="C35" s="15" t="s">
        <v>12</v>
      </c>
      <c r="D35" s="15" t="s">
        <v>95</v>
      </c>
      <c r="E35" s="87"/>
      <c r="F35" s="15" t="s">
        <v>96</v>
      </c>
      <c r="G35" s="102" t="s">
        <v>97</v>
      </c>
      <c r="H35" s="20">
        <f>IF(AND(H33="Option 17a"),H37,IF(AND(H33="Option 17b"),H42))</f>
        <v>31568.102290036477</v>
      </c>
      <c r="I35" s="15"/>
    </row>
    <row r="36" spans="1:9" ht="18.75">
      <c r="A36" s="99"/>
      <c r="B36" s="99"/>
      <c r="C36" s="100"/>
      <c r="D36" s="100"/>
      <c r="E36" s="100"/>
      <c r="F36" s="100"/>
      <c r="G36" s="99" t="s">
        <v>98</v>
      </c>
      <c r="H36" s="103"/>
      <c r="I36" s="101"/>
    </row>
    <row r="37" spans="1:9">
      <c r="A37" s="15" t="s">
        <v>12</v>
      </c>
      <c r="B37" s="15"/>
      <c r="C37" s="15" t="s">
        <v>12</v>
      </c>
      <c r="D37" s="15" t="s">
        <v>95</v>
      </c>
      <c r="E37" s="15"/>
      <c r="F37" s="15" t="s">
        <v>99</v>
      </c>
      <c r="G37" s="102" t="s">
        <v>100</v>
      </c>
      <c r="H37" s="20">
        <f>H38*H39*H40*SUM('Partial BE Based on LT 17a'!F5,'Partial BE Based on LT 17a'!F25)</f>
        <v>31568.102290036477</v>
      </c>
      <c r="I37" s="114">
        <f>H38*H39*H40*SUM('Partial BE Based on LT 17a'!F6,'Partial BE Based on LT 17a'!F26)</f>
        <v>2.5746223999999998E-2</v>
      </c>
    </row>
    <row r="38" spans="1:9" ht="30">
      <c r="A38" s="15" t="s">
        <v>12</v>
      </c>
      <c r="B38" s="15"/>
      <c r="C38" s="15" t="s">
        <v>12</v>
      </c>
      <c r="D38" s="15" t="s">
        <v>95</v>
      </c>
      <c r="E38" s="15"/>
      <c r="F38" s="15" t="s">
        <v>101</v>
      </c>
      <c r="G38" s="18" t="s">
        <v>102</v>
      </c>
      <c r="H38" s="20">
        <v>28</v>
      </c>
      <c r="I38" s="114">
        <v>21</v>
      </c>
    </row>
    <row r="39" spans="1:9">
      <c r="A39" s="15" t="s">
        <v>12</v>
      </c>
      <c r="B39" s="15"/>
      <c r="C39" s="15" t="s">
        <v>12</v>
      </c>
      <c r="D39" s="15" t="s">
        <v>95</v>
      </c>
      <c r="E39" s="15"/>
      <c r="F39" s="15" t="s">
        <v>103</v>
      </c>
      <c r="G39" s="18" t="s">
        <v>104</v>
      </c>
      <c r="H39" s="20">
        <v>6.7000000000000002E-4</v>
      </c>
      <c r="I39" s="15"/>
    </row>
    <row r="40" spans="1:9">
      <c r="A40" s="15" t="s">
        <v>12</v>
      </c>
      <c r="B40" s="15"/>
      <c r="C40" s="15" t="s">
        <v>12</v>
      </c>
      <c r="D40" s="15" t="s">
        <v>95</v>
      </c>
      <c r="E40" s="15"/>
      <c r="F40" s="15" t="s">
        <v>105</v>
      </c>
      <c r="G40" s="18" t="s">
        <v>106</v>
      </c>
      <c r="H40" s="20">
        <v>0.94</v>
      </c>
      <c r="I40" s="15"/>
    </row>
    <row r="41" spans="1:9" ht="18.75">
      <c r="A41" s="99"/>
      <c r="B41" s="99"/>
      <c r="C41" s="100"/>
      <c r="D41" s="100"/>
      <c r="E41" s="100"/>
      <c r="F41" s="100"/>
      <c r="G41" s="99" t="s">
        <v>107</v>
      </c>
      <c r="H41" s="100"/>
      <c r="I41" s="101"/>
    </row>
    <row r="42" spans="1:9">
      <c r="A42" s="15" t="s">
        <v>12</v>
      </c>
      <c r="B42" s="15"/>
      <c r="C42" s="15" t="s">
        <v>12</v>
      </c>
      <c r="D42" s="15" t="s">
        <v>95</v>
      </c>
      <c r="E42" s="15"/>
      <c r="F42" s="15" t="s">
        <v>108</v>
      </c>
      <c r="G42" s="102" t="s">
        <v>109</v>
      </c>
      <c r="H42" s="20">
        <f>H38*H39*H40*SUM('Partial BE Based on LT 17b'!F6,'Partial BE Based on LT 17b'!F13)</f>
        <v>0.88171999999999995</v>
      </c>
      <c r="I42" s="15"/>
    </row>
    <row r="43" spans="1:9" ht="18.75">
      <c r="A43" s="115" t="s">
        <v>110</v>
      </c>
      <c r="B43" s="115"/>
      <c r="C43" s="115"/>
      <c r="D43" s="115"/>
      <c r="E43" s="115"/>
      <c r="F43" s="115"/>
      <c r="G43" s="115"/>
      <c r="H43" s="115"/>
      <c r="I43" s="115"/>
    </row>
    <row r="44" spans="1:9">
      <c r="A44" s="15" t="s">
        <v>12</v>
      </c>
      <c r="B44" s="15"/>
      <c r="C44" s="15" t="s">
        <v>12</v>
      </c>
      <c r="D44" s="15" t="s">
        <v>111</v>
      </c>
      <c r="E44" s="15"/>
      <c r="F44" s="15" t="s">
        <v>112</v>
      </c>
      <c r="G44" s="102" t="s">
        <v>113</v>
      </c>
      <c r="H44" s="20">
        <f>H49+H63</f>
        <v>1869.0000000000002</v>
      </c>
      <c r="I44" s="15"/>
    </row>
    <row r="45" spans="1:9" ht="30">
      <c r="A45" s="15" t="s">
        <v>12</v>
      </c>
      <c r="B45" s="15"/>
      <c r="C45" s="15" t="s">
        <v>12</v>
      </c>
      <c r="D45" s="15" t="s">
        <v>111</v>
      </c>
      <c r="E45" s="15"/>
      <c r="F45" s="87" t="s">
        <v>114</v>
      </c>
      <c r="G45" s="14" t="s">
        <v>115</v>
      </c>
      <c r="H45" s="20">
        <f>0.25</f>
        <v>0.25</v>
      </c>
      <c r="I45" s="15"/>
    </row>
    <row r="46" spans="1:9">
      <c r="A46" s="15" t="s">
        <v>12</v>
      </c>
      <c r="B46" s="15"/>
      <c r="C46" s="15" t="s">
        <v>12</v>
      </c>
      <c r="D46" s="15" t="s">
        <v>111</v>
      </c>
      <c r="E46" s="15"/>
      <c r="F46" s="87" t="s">
        <v>116</v>
      </c>
      <c r="G46" s="102" t="s">
        <v>117</v>
      </c>
      <c r="H46" s="20">
        <f>0.89</f>
        <v>0.89</v>
      </c>
      <c r="I46" s="15"/>
    </row>
    <row r="47" spans="1:9" ht="14.25" customHeight="1">
      <c r="A47" s="15" t="s">
        <v>12</v>
      </c>
      <c r="B47" s="15"/>
      <c r="C47" s="15" t="s">
        <v>12</v>
      </c>
      <c r="D47" s="15" t="s">
        <v>111</v>
      </c>
      <c r="E47" s="15"/>
      <c r="F47" s="87" t="s">
        <v>118</v>
      </c>
      <c r="G47" s="102" t="s">
        <v>119</v>
      </c>
      <c r="H47" s="20">
        <f>25</f>
        <v>25</v>
      </c>
      <c r="I47" s="15"/>
    </row>
    <row r="48" spans="1:9" ht="18.75">
      <c r="A48" s="115" t="s">
        <v>120</v>
      </c>
      <c r="B48" s="115"/>
      <c r="C48" s="115"/>
      <c r="D48" s="115"/>
      <c r="E48" s="115"/>
      <c r="F48" s="115"/>
      <c r="G48" s="115"/>
      <c r="H48" s="115"/>
      <c r="I48" s="115"/>
    </row>
    <row r="49" spans="1:9">
      <c r="A49" s="15" t="s">
        <v>12</v>
      </c>
      <c r="B49" s="15"/>
      <c r="C49" s="15" t="s">
        <v>12</v>
      </c>
      <c r="D49" s="15" t="s">
        <v>111</v>
      </c>
      <c r="E49" s="15"/>
      <c r="F49" s="15" t="s">
        <v>121</v>
      </c>
      <c r="G49" s="102" t="s">
        <v>122</v>
      </c>
      <c r="H49" s="20">
        <f>SUM((H51*H52*H53*H55),(H57*H58*H59*H61))*H45*H46*H47</f>
        <v>1869.0000000000002</v>
      </c>
      <c r="I49" s="114">
        <f>SUM((H57*H58*H59*H61*H51*H52*H53),(H63*H64*H65*H67*H51*H52*H53))</f>
        <v>76800</v>
      </c>
    </row>
    <row r="50" spans="1:9" ht="18.75">
      <c r="A50" s="115" t="s">
        <v>123</v>
      </c>
      <c r="B50" s="115"/>
      <c r="C50" s="115"/>
      <c r="D50" s="115"/>
      <c r="E50" s="115"/>
      <c r="F50" s="115"/>
      <c r="G50" s="115"/>
      <c r="H50" s="115"/>
      <c r="I50" s="115"/>
    </row>
    <row r="51" spans="1:9" s="106" customFormat="1" ht="30">
      <c r="A51" s="2" t="s">
        <v>11</v>
      </c>
      <c r="C51" s="4" t="s">
        <v>11</v>
      </c>
      <c r="D51" t="s">
        <v>124</v>
      </c>
      <c r="F51" s="106" t="s">
        <v>125</v>
      </c>
      <c r="G51" s="107" t="s">
        <v>126</v>
      </c>
      <c r="H51" s="108">
        <v>5000</v>
      </c>
    </row>
    <row r="52" spans="1:9" s="106" customFormat="1" ht="30">
      <c r="A52" s="2" t="s">
        <v>11</v>
      </c>
      <c r="C52" s="4" t="s">
        <v>11</v>
      </c>
      <c r="D52" t="s">
        <v>124</v>
      </c>
      <c r="F52" s="106" t="s">
        <v>127</v>
      </c>
      <c r="G52" s="107" t="s">
        <v>128</v>
      </c>
      <c r="H52" s="108">
        <v>0.2</v>
      </c>
    </row>
    <row r="53" spans="1:9" s="106" customFormat="1">
      <c r="A53" s="2" t="s">
        <v>11</v>
      </c>
      <c r="C53" s="4" t="s">
        <v>11</v>
      </c>
      <c r="D53" t="s">
        <v>124</v>
      </c>
      <c r="F53" s="106" t="s">
        <v>129</v>
      </c>
      <c r="G53" s="109" t="s">
        <v>130</v>
      </c>
      <c r="H53" s="108">
        <v>0.8</v>
      </c>
    </row>
    <row r="54" spans="1:9" s="106" customFormat="1" ht="195">
      <c r="A54" s="97" t="s">
        <v>11</v>
      </c>
      <c r="B54" s="110"/>
      <c r="C54" s="81" t="s">
        <v>12</v>
      </c>
      <c r="D54" s="110" t="s">
        <v>91</v>
      </c>
      <c r="E54" s="110"/>
      <c r="F54" s="110" t="s">
        <v>131</v>
      </c>
      <c r="G54" s="111" t="s">
        <v>132</v>
      </c>
      <c r="H54" s="112">
        <v>4</v>
      </c>
      <c r="I54" s="110"/>
    </row>
    <row r="55" spans="1:9">
      <c r="A55" s="15" t="s">
        <v>12</v>
      </c>
      <c r="B55" s="15"/>
      <c r="C55" s="15" t="s">
        <v>12</v>
      </c>
      <c r="D55" s="15" t="s">
        <v>111</v>
      </c>
      <c r="E55" s="15"/>
      <c r="F55" s="15" t="s">
        <v>133</v>
      </c>
      <c r="G55" s="14" t="s">
        <v>134</v>
      </c>
      <c r="H55" s="20">
        <f>IF(AND(H54=1),0.1,IF(AND(H54=2),0.1,IF(AND(H54=3),0,IF(AND(H54=4),0.3,IF(AND(H54=5),0.8,IF(AND(H54=6),0.8,IF(AND(H54=7),0.2,IF(AND(H54=8),0.8,IF(AND(H54=9),0.5)))))))))</f>
        <v>0.3</v>
      </c>
      <c r="I55" s="15"/>
    </row>
    <row r="56" spans="1:9" ht="18.75">
      <c r="A56" s="115" t="s">
        <v>123</v>
      </c>
      <c r="B56" s="115"/>
      <c r="C56" s="115"/>
      <c r="D56" s="115"/>
      <c r="E56" s="115"/>
      <c r="F56" s="115"/>
      <c r="G56" s="115"/>
      <c r="H56" s="115"/>
      <c r="I56" s="115"/>
    </row>
    <row r="57" spans="1:9" ht="30">
      <c r="A57" s="2" t="s">
        <v>11</v>
      </c>
      <c r="C57" s="4" t="s">
        <v>11</v>
      </c>
      <c r="D57" t="s">
        <v>124</v>
      </c>
      <c r="F57" s="106" t="s">
        <v>125</v>
      </c>
      <c r="G57" s="3" t="s">
        <v>126</v>
      </c>
      <c r="H57" s="108">
        <v>4000</v>
      </c>
    </row>
    <row r="58" spans="1:9" ht="30">
      <c r="A58" s="2" t="s">
        <v>11</v>
      </c>
      <c r="C58" s="4" t="s">
        <v>11</v>
      </c>
      <c r="D58" t="s">
        <v>124</v>
      </c>
      <c r="F58" s="106" t="s">
        <v>127</v>
      </c>
      <c r="G58" s="3" t="s">
        <v>128</v>
      </c>
      <c r="H58" s="108">
        <v>0.3</v>
      </c>
    </row>
    <row r="59" spans="1:9">
      <c r="A59" s="2" t="s">
        <v>11</v>
      </c>
      <c r="C59" s="4" t="s">
        <v>11</v>
      </c>
      <c r="D59" t="s">
        <v>124</v>
      </c>
      <c r="F59" s="106" t="s">
        <v>129</v>
      </c>
      <c r="G59" s="4" t="s">
        <v>130</v>
      </c>
      <c r="H59" s="108">
        <v>0.8</v>
      </c>
    </row>
    <row r="60" spans="1:9" s="106" customFormat="1" ht="195">
      <c r="A60" s="97" t="s">
        <v>11</v>
      </c>
      <c r="B60" s="110"/>
      <c r="C60" s="81" t="s">
        <v>12</v>
      </c>
      <c r="D60" s="110" t="s">
        <v>91</v>
      </c>
      <c r="E60" s="110"/>
      <c r="F60" s="110" t="s">
        <v>131</v>
      </c>
      <c r="G60" s="111" t="s">
        <v>132</v>
      </c>
      <c r="H60" s="112">
        <v>1</v>
      </c>
      <c r="I60" s="110"/>
    </row>
    <row r="61" spans="1:9">
      <c r="A61" s="15" t="s">
        <v>12</v>
      </c>
      <c r="B61" s="15"/>
      <c r="C61" s="15" t="s">
        <v>12</v>
      </c>
      <c r="D61" s="15" t="s">
        <v>111</v>
      </c>
      <c r="E61" s="15"/>
      <c r="F61" s="15" t="s">
        <v>133</v>
      </c>
      <c r="G61" s="14" t="s">
        <v>134</v>
      </c>
      <c r="H61" s="20">
        <f>IF(AND(H60=1),0.1,IF(AND(H60=2),0.1,IF(AND(H60=3),0,IF(AND(H60=4),0.3,IF(AND(H60=5),0.8,IF(AND(H60=6),0.8,IF(AND(H60=7),0.2,IF(AND(H60=8),0.8,IF(AND(H60=9),0.5)))))))))</f>
        <v>0.1</v>
      </c>
      <c r="I61" s="15"/>
    </row>
    <row r="62" spans="1:9" ht="18.75">
      <c r="A62" s="115" t="s">
        <v>135</v>
      </c>
      <c r="B62" s="115"/>
      <c r="C62" s="115"/>
      <c r="D62" s="115"/>
      <c r="E62" s="115"/>
      <c r="F62" s="115"/>
      <c r="G62" s="115"/>
      <c r="H62" s="115"/>
      <c r="I62" s="115"/>
    </row>
    <row r="63" spans="1:9" ht="30">
      <c r="A63" s="15" t="s">
        <v>12</v>
      </c>
      <c r="B63" s="15"/>
      <c r="C63" s="15" t="s">
        <v>12</v>
      </c>
      <c r="D63" s="15" t="s">
        <v>111</v>
      </c>
      <c r="E63" s="15"/>
      <c r="F63" s="15" t="s">
        <v>136</v>
      </c>
      <c r="G63" s="14" t="s">
        <v>137</v>
      </c>
      <c r="H63" s="20">
        <f>H64*H47*H45*H46*H65*H67</f>
        <v>0</v>
      </c>
      <c r="I63" s="15"/>
    </row>
    <row r="64" spans="1:9" ht="14.25" customHeight="1">
      <c r="A64" s="2" t="s">
        <v>11</v>
      </c>
      <c r="C64" s="4" t="s">
        <v>11</v>
      </c>
      <c r="D64" t="s">
        <v>124</v>
      </c>
      <c r="F64" t="s">
        <v>138</v>
      </c>
      <c r="G64" t="s">
        <v>139</v>
      </c>
      <c r="H64" s="19">
        <v>0</v>
      </c>
    </row>
    <row r="65" spans="1:10" ht="60">
      <c r="A65" s="2" t="s">
        <v>11</v>
      </c>
      <c r="C65" s="4" t="s">
        <v>11</v>
      </c>
      <c r="D65" t="s">
        <v>124</v>
      </c>
      <c r="F65" t="s">
        <v>140</v>
      </c>
      <c r="G65" s="10" t="s">
        <v>141</v>
      </c>
      <c r="H65" s="19">
        <v>0</v>
      </c>
    </row>
    <row r="66" spans="1:10" s="106" customFormat="1" ht="165">
      <c r="A66" s="97" t="s">
        <v>11</v>
      </c>
      <c r="B66" s="110"/>
      <c r="C66" s="81" t="s">
        <v>12</v>
      </c>
      <c r="D66" s="110" t="s">
        <v>91</v>
      </c>
      <c r="E66" s="110"/>
      <c r="F66" s="110" t="s">
        <v>131</v>
      </c>
      <c r="G66" s="111" t="s">
        <v>142</v>
      </c>
      <c r="H66" s="112">
        <v>4</v>
      </c>
      <c r="I66" s="110"/>
    </row>
    <row r="67" spans="1:10" ht="30">
      <c r="A67" s="15" t="s">
        <v>12</v>
      </c>
      <c r="B67" s="15"/>
      <c r="C67" s="15" t="s">
        <v>12</v>
      </c>
      <c r="D67" s="15"/>
      <c r="E67" s="15"/>
      <c r="F67" s="15" t="s">
        <v>143</v>
      </c>
      <c r="G67" s="18" t="s">
        <v>144</v>
      </c>
      <c r="H67" s="20">
        <f>IF(AND(H66=1),0.1,IF(AND(H66=2),0.1,IF(AND(H66=3),0,IF(AND(H66=4),0.3,IF(AND(H66=5),0.8,IF(AND(H66=6),0.8,IF(AND(H66=7),0.2,IF(AND(H66=8),0.8,IF(AND(H66=9),0.5)))))))))</f>
        <v>0.3</v>
      </c>
      <c r="I67" s="15"/>
    </row>
    <row r="68" spans="1:10" ht="18.75">
      <c r="A68" s="115" t="s">
        <v>145</v>
      </c>
      <c r="B68" s="115"/>
      <c r="C68" s="115"/>
      <c r="D68" s="115"/>
      <c r="E68" s="115"/>
      <c r="F68" s="115"/>
      <c r="G68" s="115"/>
      <c r="H68" s="115"/>
      <c r="I68" s="115"/>
    </row>
    <row r="69" spans="1:10">
      <c r="A69" s="15" t="s">
        <v>11</v>
      </c>
      <c r="B69" s="15"/>
      <c r="C69" s="15" t="s">
        <v>12</v>
      </c>
      <c r="D69" s="15" t="s">
        <v>111</v>
      </c>
      <c r="E69" s="87" t="s">
        <v>146</v>
      </c>
      <c r="F69" s="15" t="s">
        <v>147</v>
      </c>
      <c r="G69" s="15" t="s">
        <v>148</v>
      </c>
      <c r="H69" s="15">
        <f>H70+H73+H72-H71*H74</f>
        <v>30581.264479966769</v>
      </c>
      <c r="I69" s="15"/>
    </row>
    <row r="70" spans="1:10" ht="60">
      <c r="A70" s="15" t="s">
        <v>11</v>
      </c>
      <c r="B70" s="15"/>
      <c r="C70" s="15" t="s">
        <v>12</v>
      </c>
      <c r="D70" s="15" t="s">
        <v>111</v>
      </c>
      <c r="E70" s="15"/>
      <c r="F70" s="15" t="s">
        <v>149</v>
      </c>
      <c r="G70" s="18" t="s">
        <v>150</v>
      </c>
      <c r="H70" s="15">
        <f>'Tool 04-SWDS-Yearly'!C86</f>
        <v>0.16218993029283385</v>
      </c>
      <c r="I70" s="15"/>
    </row>
    <row r="71" spans="1:10" ht="30">
      <c r="A71" t="s">
        <v>11</v>
      </c>
      <c r="C71" s="4" t="s">
        <v>11</v>
      </c>
      <c r="D71" t="s">
        <v>124</v>
      </c>
      <c r="F71" t="s">
        <v>151</v>
      </c>
      <c r="G71" s="10" t="s">
        <v>152</v>
      </c>
      <c r="H71">
        <v>102</v>
      </c>
    </row>
    <row r="72" spans="1:10" ht="30">
      <c r="A72" s="15" t="s">
        <v>11</v>
      </c>
      <c r="B72" s="15"/>
      <c r="C72" s="102" t="s">
        <v>11</v>
      </c>
      <c r="D72" s="15" t="s">
        <v>111</v>
      </c>
      <c r="E72" s="15"/>
      <c r="F72" s="15" t="s">
        <v>153</v>
      </c>
      <c r="G72" s="18" t="s">
        <v>154</v>
      </c>
      <c r="H72" s="15">
        <f>H35</f>
        <v>31568.102290036477</v>
      </c>
      <c r="I72" s="15"/>
      <c r="J72" s="105" t="s">
        <v>155</v>
      </c>
    </row>
    <row r="73" spans="1:10" ht="30">
      <c r="A73" s="15" t="s">
        <v>11</v>
      </c>
      <c r="B73" s="15"/>
      <c r="C73" s="102" t="s">
        <v>11</v>
      </c>
      <c r="D73" s="15" t="s">
        <v>111</v>
      </c>
      <c r="E73" s="15"/>
      <c r="F73" s="15" t="s">
        <v>156</v>
      </c>
      <c r="G73" s="18" t="s">
        <v>157</v>
      </c>
      <c r="H73" s="15">
        <f>H44</f>
        <v>1869.0000000000002</v>
      </c>
      <c r="I73" s="15"/>
      <c r="J73" s="105" t="s">
        <v>155</v>
      </c>
    </row>
    <row r="74" spans="1:10" ht="30">
      <c r="A74" s="15" t="s">
        <v>11</v>
      </c>
      <c r="B74" s="15"/>
      <c r="C74" s="15" t="s">
        <v>12</v>
      </c>
      <c r="D74" s="15" t="s">
        <v>111</v>
      </c>
      <c r="E74" s="15"/>
      <c r="F74" s="15" t="s">
        <v>158</v>
      </c>
      <c r="G74" s="18" t="s">
        <v>159</v>
      </c>
      <c r="H74" s="15">
        <v>28</v>
      </c>
      <c r="I74" s="114">
        <v>21</v>
      </c>
    </row>
    <row r="75" spans="1:10" ht="18.75">
      <c r="A75" s="115" t="s">
        <v>160</v>
      </c>
      <c r="B75" s="115"/>
      <c r="C75" s="115"/>
      <c r="D75" s="115"/>
      <c r="E75" s="115"/>
      <c r="F75" s="115"/>
      <c r="G75" s="115"/>
      <c r="H75" s="115"/>
      <c r="I75" s="115"/>
    </row>
    <row r="76" spans="1:10">
      <c r="A76" s="15" t="s">
        <v>11</v>
      </c>
      <c r="B76" s="15"/>
      <c r="C76" s="15" t="s">
        <v>12</v>
      </c>
      <c r="D76" s="15" t="s">
        <v>111</v>
      </c>
      <c r="E76" s="87" t="s">
        <v>161</v>
      </c>
      <c r="F76" s="15" t="s">
        <v>162</v>
      </c>
      <c r="G76" s="15" t="s">
        <v>163</v>
      </c>
      <c r="H76" s="15">
        <f>'Tool 13'!G3</f>
        <v>125.88244269333332</v>
      </c>
      <c r="I76" s="15"/>
    </row>
    <row r="77" spans="1:10" ht="18.75">
      <c r="A77" s="115" t="s">
        <v>164</v>
      </c>
      <c r="B77" s="115"/>
      <c r="C77" s="115"/>
      <c r="D77" s="115"/>
      <c r="E77" s="115"/>
      <c r="F77" s="115"/>
      <c r="G77" s="115"/>
      <c r="H77" s="115"/>
      <c r="I77" s="115"/>
    </row>
    <row r="78" spans="1:10">
      <c r="A78" s="15" t="s">
        <v>11</v>
      </c>
      <c r="B78" s="15"/>
      <c r="C78" s="15" t="s">
        <v>12</v>
      </c>
      <c r="D78" s="15" t="s">
        <v>111</v>
      </c>
      <c r="E78" s="15"/>
      <c r="F78" s="15" t="s">
        <v>165</v>
      </c>
      <c r="G78" s="15" t="s">
        <v>166</v>
      </c>
      <c r="H78" s="15">
        <f>'Tool 13'!G73</f>
        <v>0</v>
      </c>
      <c r="I78" s="15"/>
    </row>
    <row r="79" spans="1:10" ht="18.75">
      <c r="A79" s="115" t="s">
        <v>167</v>
      </c>
      <c r="B79" s="115"/>
      <c r="C79" s="115"/>
      <c r="D79" s="115"/>
      <c r="E79" s="115"/>
      <c r="F79" s="115"/>
      <c r="G79" s="115"/>
      <c r="H79" s="115"/>
      <c r="I79" s="115"/>
    </row>
    <row r="80" spans="1:10" ht="75">
      <c r="A80" s="97" t="s">
        <v>11</v>
      </c>
      <c r="B80" s="36"/>
      <c r="C80" s="81" t="s">
        <v>12</v>
      </c>
      <c r="D80" s="36" t="s">
        <v>91</v>
      </c>
      <c r="E80" s="36"/>
      <c r="F80" s="36" t="s">
        <v>6</v>
      </c>
      <c r="G80" s="38" t="s">
        <v>168</v>
      </c>
      <c r="H80" s="82" t="s">
        <v>169</v>
      </c>
      <c r="I80" s="36"/>
    </row>
    <row r="81" spans="1:9">
      <c r="A81" s="15" t="s">
        <v>11</v>
      </c>
      <c r="B81" s="15"/>
      <c r="C81" s="15" t="s">
        <v>12</v>
      </c>
      <c r="D81" s="15" t="s">
        <v>111</v>
      </c>
      <c r="E81" s="87" t="s">
        <v>170</v>
      </c>
      <c r="F81" s="15" t="s">
        <v>171</v>
      </c>
      <c r="G81" s="15" t="s">
        <v>172</v>
      </c>
      <c r="H81" s="15">
        <f>IF(AND(H80="Case 1"),H69-(H76+H78),IF(AND(H80="Case 2"),(H69-H76-H78)*(1-H82)))</f>
        <v>30455.382037273437</v>
      </c>
      <c r="I81" s="15"/>
    </row>
    <row r="82" spans="1:9">
      <c r="A82" s="15" t="s">
        <v>11</v>
      </c>
      <c r="B82" s="15"/>
      <c r="C82" s="15" t="s">
        <v>12</v>
      </c>
      <c r="D82" s="15" t="s">
        <v>111</v>
      </c>
      <c r="E82" s="15"/>
      <c r="F82" s="15" t="s">
        <v>173</v>
      </c>
      <c r="G82" s="15" t="s">
        <v>174</v>
      </c>
      <c r="H82" s="20">
        <f>H84/H83</f>
        <v>0.5</v>
      </c>
      <c r="I82" s="15"/>
    </row>
    <row r="83" spans="1:9">
      <c r="A83" t="s">
        <v>11</v>
      </c>
      <c r="C83" s="4" t="s">
        <v>11</v>
      </c>
      <c r="D83" t="s">
        <v>124</v>
      </c>
      <c r="F83" t="s">
        <v>175</v>
      </c>
      <c r="G83" t="s">
        <v>176</v>
      </c>
      <c r="H83">
        <v>20000</v>
      </c>
    </row>
    <row r="84" spans="1:9" ht="45">
      <c r="A84" t="s">
        <v>11</v>
      </c>
      <c r="C84" s="4" t="s">
        <v>11</v>
      </c>
      <c r="D84" t="s">
        <v>124</v>
      </c>
      <c r="F84" t="s">
        <v>177</v>
      </c>
      <c r="G84" s="10" t="s">
        <v>178</v>
      </c>
      <c r="H84">
        <v>10000</v>
      </c>
    </row>
    <row r="85" spans="1:9" ht="75">
      <c r="A85" t="s">
        <v>12</v>
      </c>
      <c r="C85" s="4" t="s">
        <v>11</v>
      </c>
      <c r="D85" s="10" t="s">
        <v>179</v>
      </c>
      <c r="E85" s="10"/>
      <c r="F85" t="s">
        <v>180</v>
      </c>
      <c r="G85" s="10" t="s">
        <v>181</v>
      </c>
    </row>
  </sheetData>
  <mergeCells count="10">
    <mergeCell ref="A2:I2"/>
    <mergeCell ref="A68:I68"/>
    <mergeCell ref="A75:I75"/>
    <mergeCell ref="A77:I77"/>
    <mergeCell ref="A79:I79"/>
    <mergeCell ref="A50:I50"/>
    <mergeCell ref="A56:I56"/>
    <mergeCell ref="A62:I62"/>
    <mergeCell ref="A48:I48"/>
    <mergeCell ref="A43:I43"/>
  </mergeCells>
  <dataValidations count="3">
    <dataValidation type="list" allowBlank="1" showInputMessage="1" showErrorMessage="1" sqref="H80" xr:uid="{B742F7FD-B258-4F9F-9B2D-545EB64F625D}">
      <formula1>"Case 1,Case 2"</formula1>
    </dataValidation>
    <dataValidation type="list" allowBlank="1" showInputMessage="1" showErrorMessage="1" sqref="H33" xr:uid="{5FAC4588-4AF2-45B4-ABCA-7A379AF406B7}">
      <formula1>"Option 17a,Option 17b"</formula1>
    </dataValidation>
    <dataValidation type="list" allowBlank="1" showInputMessage="1" showErrorMessage="1" sqref="H54 H60 H66" xr:uid="{9CCEA5AD-903C-47F5-AEEF-0EDE0A174734}">
      <formula1>"1,2,3,4,5,6,7,8,9"</formula1>
    </dataValidation>
  </dataValidations>
  <hyperlinks>
    <hyperlink ref="H17" r:id="rId1" xr:uid="{6C478EFC-1E2A-490D-A8DC-65559078B47A}"/>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30420795-6224-47F6-88F8-F10FADE2F2CE}">
          <x14:formula1>
            <xm:f>'IWA Properties'!$A$2:$A$277</xm:f>
          </x14:formula1>
          <xm:sqref>E76 E69 E81 E3:E31</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99B4F-8EFF-440C-ABC2-C1155E0EE6AD}">
  <dimension ref="A1:I87"/>
  <sheetViews>
    <sheetView workbookViewId="0">
      <selection activeCell="C3" sqref="C3"/>
    </sheetView>
  </sheetViews>
  <sheetFormatPr defaultRowHeight="15"/>
  <cols>
    <col min="1" max="1" width="20.140625" customWidth="1"/>
    <col min="2" max="2" width="122.42578125" customWidth="1"/>
    <col min="3" max="3" width="20.7109375" customWidth="1"/>
    <col min="5" max="5" width="12.85546875" customWidth="1"/>
    <col min="6" max="6" width="12.7109375" customWidth="1"/>
    <col min="7" max="7" width="16.140625" customWidth="1"/>
    <col min="8" max="8" width="19" customWidth="1"/>
  </cols>
  <sheetData>
    <row r="1" spans="1:8">
      <c r="A1" t="s">
        <v>5</v>
      </c>
      <c r="B1" t="s">
        <v>6</v>
      </c>
      <c r="C1" t="s">
        <v>7</v>
      </c>
      <c r="D1" t="s">
        <v>559</v>
      </c>
      <c r="E1" t="s">
        <v>3</v>
      </c>
      <c r="F1" t="s">
        <v>8</v>
      </c>
      <c r="G1" t="s">
        <v>232</v>
      </c>
      <c r="H1" t="s">
        <v>1</v>
      </c>
    </row>
    <row r="2" spans="1:8" s="70" customFormat="1">
      <c r="B2" s="70" t="s">
        <v>560</v>
      </c>
    </row>
    <row r="3" spans="1:8">
      <c r="B3" s="88" t="s">
        <v>561</v>
      </c>
      <c r="C3" t="s">
        <v>562</v>
      </c>
      <c r="D3" t="s">
        <v>11</v>
      </c>
      <c r="E3" t="s">
        <v>482</v>
      </c>
      <c r="G3" t="s">
        <v>12</v>
      </c>
    </row>
    <row r="4" spans="1:8">
      <c r="B4" s="88" t="s">
        <v>563</v>
      </c>
      <c r="C4" t="s">
        <v>564</v>
      </c>
      <c r="D4" t="s">
        <v>11</v>
      </c>
      <c r="E4" t="s">
        <v>482</v>
      </c>
      <c r="F4" t="s">
        <v>565</v>
      </c>
      <c r="G4" t="s">
        <v>12</v>
      </c>
    </row>
    <row r="5" spans="1:8" ht="30">
      <c r="B5" s="89" t="s">
        <v>566</v>
      </c>
      <c r="C5" t="s">
        <v>12</v>
      </c>
      <c r="D5" t="s">
        <v>11</v>
      </c>
      <c r="E5" t="s">
        <v>482</v>
      </c>
      <c r="G5" t="s">
        <v>12</v>
      </c>
    </row>
    <row r="6" spans="1:8">
      <c r="B6" s="89" t="s">
        <v>567</v>
      </c>
      <c r="C6" t="s">
        <v>12</v>
      </c>
      <c r="D6" t="s">
        <v>11</v>
      </c>
      <c r="E6" t="s">
        <v>482</v>
      </c>
      <c r="G6" t="s">
        <v>12</v>
      </c>
    </row>
    <row r="7" spans="1:8">
      <c r="B7" s="89" t="s">
        <v>568</v>
      </c>
      <c r="C7" t="s">
        <v>11</v>
      </c>
      <c r="D7" t="s">
        <v>11</v>
      </c>
      <c r="E7" t="s">
        <v>482</v>
      </c>
      <c r="G7" t="s">
        <v>12</v>
      </c>
    </row>
    <row r="8" spans="1:8">
      <c r="B8" s="88" t="s">
        <v>569</v>
      </c>
      <c r="C8" t="s">
        <v>570</v>
      </c>
      <c r="D8" t="s">
        <v>11</v>
      </c>
      <c r="E8" t="s">
        <v>482</v>
      </c>
      <c r="G8" t="s">
        <v>12</v>
      </c>
    </row>
    <row r="9" spans="1:8">
      <c r="B9" s="88" t="s">
        <v>571</v>
      </c>
      <c r="C9" t="s">
        <v>572</v>
      </c>
      <c r="D9" t="s">
        <v>11</v>
      </c>
      <c r="E9" t="s">
        <v>482</v>
      </c>
      <c r="G9" t="s">
        <v>12</v>
      </c>
    </row>
    <row r="10" spans="1:8">
      <c r="B10" s="88" t="s">
        <v>573</v>
      </c>
      <c r="C10" t="s">
        <v>574</v>
      </c>
      <c r="D10" t="s">
        <v>11</v>
      </c>
      <c r="E10" t="s">
        <v>482</v>
      </c>
      <c r="G10" t="s">
        <v>12</v>
      </c>
    </row>
    <row r="11" spans="1:8" ht="30">
      <c r="B11" s="90" t="s">
        <v>575</v>
      </c>
      <c r="C11" t="s">
        <v>576</v>
      </c>
      <c r="D11" t="str">
        <f>IF(C8="Option 2 (Estimated)","Yes","NA")</f>
        <v>NA</v>
      </c>
      <c r="E11" t="s">
        <v>482</v>
      </c>
      <c r="G11" t="s">
        <v>12</v>
      </c>
    </row>
    <row r="12" spans="1:8">
      <c r="B12" s="90" t="s">
        <v>577</v>
      </c>
      <c r="C12" t="s">
        <v>12</v>
      </c>
      <c r="D12" t="str">
        <f>IF(C8="Option 2 (Estimated)","Yes","NA")</f>
        <v>NA</v>
      </c>
      <c r="E12" t="s">
        <v>482</v>
      </c>
      <c r="G12" t="s">
        <v>12</v>
      </c>
    </row>
    <row r="13" spans="1:8">
      <c r="B13" s="90" t="s">
        <v>578</v>
      </c>
      <c r="C13" t="s">
        <v>11</v>
      </c>
      <c r="D13" t="str">
        <f>IF(C8="Option 2 (Estimated)","Yes","NA")</f>
        <v>NA</v>
      </c>
      <c r="E13" t="s">
        <v>482</v>
      </c>
      <c r="G13" t="s">
        <v>12</v>
      </c>
    </row>
    <row r="14" spans="1:8">
      <c r="B14" s="90" t="s">
        <v>579</v>
      </c>
      <c r="C14" t="s">
        <v>580</v>
      </c>
      <c r="D14" t="str">
        <f>IF(C8="Option 2 (Estimated)","Yes","NA")</f>
        <v>NA</v>
      </c>
      <c r="E14" t="s">
        <v>482</v>
      </c>
      <c r="G14" t="s">
        <v>12</v>
      </c>
    </row>
    <row r="15" spans="1:8">
      <c r="B15" s="90" t="s">
        <v>581</v>
      </c>
      <c r="C15" t="s">
        <v>11</v>
      </c>
      <c r="D15" t="str">
        <f>IF(C8="Option 2 (Estimated)","Yes","NA")</f>
        <v>NA</v>
      </c>
      <c r="E15" t="s">
        <v>482</v>
      </c>
      <c r="G15" t="s">
        <v>12</v>
      </c>
    </row>
    <row r="16" spans="1:8">
      <c r="B16" s="90" t="s">
        <v>582</v>
      </c>
      <c r="C16" t="s">
        <v>12</v>
      </c>
      <c r="D16" t="str">
        <f>IF(C8="Option 2 (Estimated)","Yes","NA")</f>
        <v>NA</v>
      </c>
      <c r="E16" t="s">
        <v>482</v>
      </c>
      <c r="G16" t="s">
        <v>12</v>
      </c>
    </row>
    <row r="17" spans="2:7">
      <c r="B17" s="5" t="s">
        <v>583</v>
      </c>
      <c r="C17" t="s">
        <v>584</v>
      </c>
      <c r="D17" t="str">
        <f>IF(AND(C4="Application B",C6="Yes"),"Yes","No")</f>
        <v>No</v>
      </c>
      <c r="E17" t="s">
        <v>482</v>
      </c>
      <c r="G17" t="s">
        <v>12</v>
      </c>
    </row>
    <row r="18" spans="2:7">
      <c r="B18" s="5" t="s">
        <v>585</v>
      </c>
      <c r="C18" t="s">
        <v>12</v>
      </c>
      <c r="D18" t="str">
        <f>IF(C4="Application B","Yes","NA")</f>
        <v>Yes</v>
      </c>
      <c r="E18" t="s">
        <v>482</v>
      </c>
      <c r="G18" t="s">
        <v>12</v>
      </c>
    </row>
    <row r="19" spans="2:7">
      <c r="B19" s="5" t="s">
        <v>586</v>
      </c>
      <c r="C19" t="s">
        <v>587</v>
      </c>
      <c r="D19" t="str">
        <f>IF(AND(C4="Application B",C18="Yes"),"NA","Yes")</f>
        <v>Yes</v>
      </c>
      <c r="E19" t="s">
        <v>482</v>
      </c>
      <c r="G19" t="s">
        <v>12</v>
      </c>
    </row>
    <row r="20" spans="2:7">
      <c r="B20" t="s">
        <v>588</v>
      </c>
      <c r="C20" t="s">
        <v>589</v>
      </c>
      <c r="D20" t="s">
        <v>11</v>
      </c>
      <c r="E20" t="s">
        <v>482</v>
      </c>
      <c r="F20" t="s">
        <v>590</v>
      </c>
      <c r="G20" t="s">
        <v>12</v>
      </c>
    </row>
    <row r="21" spans="2:7">
      <c r="B21" s="5" t="s">
        <v>591</v>
      </c>
      <c r="C21" t="s">
        <v>592</v>
      </c>
      <c r="D21" t="str">
        <f>IF(C20="Default","Yes","NA")</f>
        <v>Yes</v>
      </c>
      <c r="E21" t="s">
        <v>482</v>
      </c>
      <c r="G21" t="s">
        <v>12</v>
      </c>
    </row>
    <row r="22" spans="2:7">
      <c r="B22" s="5" t="s">
        <v>593</v>
      </c>
      <c r="D22" t="str">
        <f>IF(C21="Other","Yes","NA")</f>
        <v>NA</v>
      </c>
      <c r="E22" t="s">
        <v>482</v>
      </c>
      <c r="G22" t="s">
        <v>12</v>
      </c>
    </row>
    <row r="23" spans="2:7">
      <c r="B23" s="5" t="s">
        <v>594</v>
      </c>
      <c r="C23" t="s">
        <v>12</v>
      </c>
      <c r="D23" t="s">
        <v>11</v>
      </c>
      <c r="E23" t="s">
        <v>482</v>
      </c>
      <c r="G23" t="s">
        <v>12</v>
      </c>
    </row>
    <row r="24" spans="2:7" s="70" customFormat="1">
      <c r="B24" s="70" t="s">
        <v>595</v>
      </c>
    </row>
    <row r="25" spans="2:7">
      <c r="B25" s="71" t="s">
        <v>596</v>
      </c>
    </row>
    <row r="26" spans="2:7">
      <c r="B26" t="s">
        <v>597</v>
      </c>
      <c r="C26" s="15">
        <f>IF(C8="Option 2 (Estimated)","NA",IF(C4="Application A",0.75,IF(AND(C4="Application B",C9="Humid/wet conditions"),0.85,IF(AND(C4="Application B",C9="Dry conditions"),0.8,))))</f>
        <v>0.85</v>
      </c>
      <c r="D26" t="str">
        <f>IF(C8="Option 1 (Default)","Yes","NA")</f>
        <v>Yes</v>
      </c>
      <c r="E26" t="s">
        <v>475</v>
      </c>
      <c r="G26" t="s">
        <v>12</v>
      </c>
    </row>
    <row r="27" spans="2:7">
      <c r="B27" s="71" t="s">
        <v>598</v>
      </c>
    </row>
    <row r="28" spans="2:7">
      <c r="B28" t="s">
        <v>599</v>
      </c>
      <c r="C28" s="72" t="str">
        <f>IF(C8="Option 1 (Default)","NA",IF(C11="Weighed",0.02,IF(C11="Estimated",0.1)))</f>
        <v>NA</v>
      </c>
      <c r="D28" t="str">
        <f>IF(C8="Option 2 (Estimated)","Yes","NA")</f>
        <v>NA</v>
      </c>
      <c r="E28" t="s">
        <v>475</v>
      </c>
      <c r="G28" t="s">
        <v>12</v>
      </c>
    </row>
    <row r="29" spans="2:7">
      <c r="B29" t="s">
        <v>600</v>
      </c>
      <c r="C29" s="72" t="str">
        <f>IF(C8="Option 1 (Default)","NA",IF(C20="Measure",0.05,IF(C20="Default",0.1)))</f>
        <v>NA</v>
      </c>
      <c r="D29" t="str">
        <f>IF(C8="Option 2 (Estimated)","Yes","NA")</f>
        <v>NA</v>
      </c>
      <c r="E29" t="s">
        <v>475</v>
      </c>
      <c r="G29" t="s">
        <v>12</v>
      </c>
    </row>
    <row r="30" spans="2:7">
      <c r="B30" t="s">
        <v>601</v>
      </c>
      <c r="C30" s="72" t="str">
        <f>IF(C8="Option 1 (Default)","NA",IF(OR(C12="Yes",C13="Yes"),0.05,0.15))</f>
        <v>NA</v>
      </c>
      <c r="D30" t="str">
        <f>IF(C8="Option 2 (Estimated)","Yes","NA")</f>
        <v>NA</v>
      </c>
      <c r="E30" t="s">
        <v>475</v>
      </c>
      <c r="G30" t="s">
        <v>12</v>
      </c>
    </row>
    <row r="31" spans="2:7">
      <c r="B31" t="s">
        <v>602</v>
      </c>
      <c r="C31" s="72" t="str">
        <f>IF(C8="Option 1 (Default)","NA",IF(C12="Yes",0,0.05))</f>
        <v>NA</v>
      </c>
      <c r="D31" t="str">
        <f>IF(C8="Option 2 (Estimated)","Yes","NA")</f>
        <v>NA</v>
      </c>
      <c r="E31" t="s">
        <v>475</v>
      </c>
      <c r="G31" t="s">
        <v>12</v>
      </c>
    </row>
    <row r="32" spans="2:7">
      <c r="B32" t="s">
        <v>603</v>
      </c>
      <c r="C32" s="72" t="str">
        <f>IF(C8="Option 1 (Default)","NA",IF(C14="Managed",0,IF(C14="Unmanaged",0.5)))</f>
        <v>NA</v>
      </c>
      <c r="D32" t="str">
        <f>IF(C8="Option 2 (Estimated)","Yes","NA")</f>
        <v>NA</v>
      </c>
      <c r="E32" t="s">
        <v>475</v>
      </c>
      <c r="G32" t="s">
        <v>12</v>
      </c>
    </row>
    <row r="33" spans="1:7" ht="17.25">
      <c r="B33" t="s">
        <v>604</v>
      </c>
      <c r="C33" s="72" t="str">
        <f>IF(C8="Option 1 (Default)","NA",IF(AND(C4="Application B",C15="Yes",C84&gt;0.2),0.05,IF(AND(C4="Application A",C16="Yes"),0.05,0.2)))</f>
        <v>NA</v>
      </c>
      <c r="D33" t="str">
        <f>IF(C8="Option 2 (Estimated)","Yes","NA")</f>
        <v>NA</v>
      </c>
      <c r="E33" t="s">
        <v>475</v>
      </c>
      <c r="G33" t="s">
        <v>12</v>
      </c>
    </row>
    <row r="34" spans="1:7">
      <c r="A34" t="s">
        <v>605</v>
      </c>
      <c r="B34" t="s">
        <v>606</v>
      </c>
      <c r="C34" s="15" t="str">
        <f>IF(C8="Option 1 (Default)","NA",SQRT(C28^2+C29^2+C30^2+C31^2+C32^2+C33^2))</f>
        <v>NA</v>
      </c>
      <c r="D34" t="str">
        <f>IF(C8="Option 2 (Estimated)","Yes","NA")</f>
        <v>NA</v>
      </c>
      <c r="E34" t="s">
        <v>475</v>
      </c>
      <c r="G34" t="s">
        <v>12</v>
      </c>
    </row>
    <row r="35" spans="1:7">
      <c r="A35" t="s">
        <v>607</v>
      </c>
      <c r="B35" t="s">
        <v>608</v>
      </c>
      <c r="C35" s="15" t="str">
        <f>IF(C8="Option 1 (Default)","NA",1/(1+C34))</f>
        <v>NA</v>
      </c>
      <c r="D35" t="str">
        <f>IF(C8="Option 2 (Estimated)","Yes","NA")</f>
        <v>NA</v>
      </c>
      <c r="E35" t="s">
        <v>475</v>
      </c>
      <c r="G35" t="s">
        <v>12</v>
      </c>
    </row>
    <row r="36" spans="1:7" s="70" customFormat="1">
      <c r="B36" s="70" t="s">
        <v>609</v>
      </c>
    </row>
    <row r="37" spans="1:7">
      <c r="B37" s="71" t="s">
        <v>610</v>
      </c>
    </row>
    <row r="38" spans="1:7">
      <c r="A38" t="s">
        <v>611</v>
      </c>
      <c r="B38" t="s">
        <v>612</v>
      </c>
      <c r="C38">
        <v>1</v>
      </c>
      <c r="D38" t="str">
        <f>IF(C4="Application A","Yes","NA")</f>
        <v>NA</v>
      </c>
      <c r="E38" t="s">
        <v>124</v>
      </c>
      <c r="G38" t="s">
        <v>12</v>
      </c>
    </row>
    <row r="39" spans="1:7">
      <c r="B39" s="71" t="s">
        <v>564</v>
      </c>
    </row>
    <row r="40" spans="1:7">
      <c r="A40" t="s">
        <v>613</v>
      </c>
      <c r="B40" s="10" t="s">
        <v>614</v>
      </c>
      <c r="C40">
        <v>1</v>
      </c>
      <c r="D40" t="str">
        <f>IF(AND(C4="Application B",C23="No"),"Yes","NA")</f>
        <v>Yes</v>
      </c>
      <c r="E40" t="s">
        <v>124</v>
      </c>
      <c r="G40" t="s">
        <v>11</v>
      </c>
    </row>
    <row r="41" spans="1:7">
      <c r="B41" s="73" t="s">
        <v>615</v>
      </c>
    </row>
    <row r="42" spans="1:7">
      <c r="A42" t="s">
        <v>616</v>
      </c>
      <c r="B42" s="10" t="s">
        <v>617</v>
      </c>
      <c r="C42">
        <v>1</v>
      </c>
      <c r="D42" t="str">
        <f>IF(AND(C4="Application B",C23="No"),"Yes","NA")</f>
        <v>Yes</v>
      </c>
      <c r="E42" t="s">
        <v>124</v>
      </c>
      <c r="G42" t="s">
        <v>12</v>
      </c>
    </row>
    <row r="43" spans="1:7">
      <c r="A43" t="s">
        <v>618</v>
      </c>
      <c r="B43" t="s">
        <v>619</v>
      </c>
      <c r="C43">
        <v>1</v>
      </c>
      <c r="D43" t="str">
        <f>IF(C4="Application B","Yes","NA")</f>
        <v>Yes</v>
      </c>
      <c r="E43" t="s">
        <v>124</v>
      </c>
      <c r="G43" t="s">
        <v>12</v>
      </c>
    </row>
    <row r="44" spans="1:7">
      <c r="A44" t="s">
        <v>620</v>
      </c>
      <c r="B44" t="s">
        <v>621</v>
      </c>
      <c r="C44" s="15">
        <f>IF(C4="Application A","NA",C40/C42)</f>
        <v>1</v>
      </c>
      <c r="D44" t="str">
        <f>IF(AND(C4="Application B",C23="No"),"Yes","NA")</f>
        <v>Yes</v>
      </c>
      <c r="E44" t="s">
        <v>475</v>
      </c>
      <c r="G44" t="s">
        <v>12</v>
      </c>
    </row>
    <row r="45" spans="1:7">
      <c r="A45" t="s">
        <v>622</v>
      </c>
      <c r="B45" t="s">
        <v>623</v>
      </c>
      <c r="C45" s="15">
        <f>IF(C4="Application A","NA",C43*C44)</f>
        <v>1</v>
      </c>
      <c r="D45" t="str">
        <f>IF(AND(C4="Application B",C23="No"),"Yes","NA")</f>
        <v>Yes</v>
      </c>
      <c r="E45" t="s">
        <v>475</v>
      </c>
      <c r="G45" t="s">
        <v>12</v>
      </c>
    </row>
    <row r="46" spans="1:7" s="70" customFormat="1">
      <c r="B46" s="70" t="s">
        <v>624</v>
      </c>
    </row>
    <row r="47" spans="1:7">
      <c r="B47" s="71" t="s">
        <v>589</v>
      </c>
    </row>
    <row r="48" spans="1:7">
      <c r="A48" t="s">
        <v>625</v>
      </c>
      <c r="B48" t="s">
        <v>626</v>
      </c>
      <c r="C48" s="15" t="str">
        <f>IF(AND(C4="Application B",C6="Yes",C17="Default"),0.05,IF((C4="Application A"),0.05,"NA"))</f>
        <v>NA</v>
      </c>
      <c r="D48" t="str">
        <f>IF(AND(C4="Application B",C6="Yes",C17="Default"),"Yes",IF((C4="Application A"),"Yes","NA"))</f>
        <v>NA</v>
      </c>
      <c r="E48" t="s">
        <v>475</v>
      </c>
      <c r="G48" t="s">
        <v>12</v>
      </c>
    </row>
    <row r="49" spans="1:9">
      <c r="B49" s="71" t="s">
        <v>627</v>
      </c>
    </row>
    <row r="50" spans="1:9">
      <c r="A50" t="s">
        <v>628</v>
      </c>
      <c r="B50" s="41" t="s">
        <v>629</v>
      </c>
      <c r="C50">
        <v>1</v>
      </c>
      <c r="D50" t="str">
        <f>IF(AND(C4="Application B",C6="yes",C17="Measure"),"Yes","NA")</f>
        <v>NA</v>
      </c>
      <c r="E50" t="s">
        <v>124</v>
      </c>
      <c r="G50" t="s">
        <v>12</v>
      </c>
    </row>
    <row r="51" spans="1:9">
      <c r="A51" t="s">
        <v>630</v>
      </c>
      <c r="B51" t="s">
        <v>631</v>
      </c>
      <c r="C51">
        <v>1</v>
      </c>
      <c r="D51" t="str">
        <f>IF(AND(C4="Application B",C6="yes",C17="Measure"),"Yes","NA")</f>
        <v>NA</v>
      </c>
      <c r="E51" t="s">
        <v>124</v>
      </c>
      <c r="G51" t="s">
        <v>12</v>
      </c>
    </row>
    <row r="52" spans="1:9">
      <c r="A52" t="s">
        <v>632</v>
      </c>
      <c r="B52" t="s">
        <v>633</v>
      </c>
      <c r="D52" t="str">
        <f>IF(AND(C4="Application B",C6="yes",C17="Measure"),"Yes","NA")</f>
        <v>NA</v>
      </c>
      <c r="E52" t="s">
        <v>124</v>
      </c>
      <c r="G52" t="s">
        <v>12</v>
      </c>
    </row>
    <row r="53" spans="1:9">
      <c r="A53" t="s">
        <v>634</v>
      </c>
      <c r="B53" t="s">
        <v>635</v>
      </c>
      <c r="C53">
        <v>1</v>
      </c>
      <c r="D53" t="str">
        <f>IF(AND(C4="Application B",C6="yes",C17="Measure"),"Yes","NA")</f>
        <v>NA</v>
      </c>
      <c r="E53" t="s">
        <v>124</v>
      </c>
      <c r="G53" t="s">
        <v>12</v>
      </c>
    </row>
    <row r="54" spans="1:9">
      <c r="A54" t="s">
        <v>636</v>
      </c>
      <c r="B54" t="s">
        <v>626</v>
      </c>
      <c r="C54" s="15" t="str">
        <f>IF(AND(C4="Application B",C6="Yes",C17="Measure"),0.7*(12/16)*C50/#REF!*(C51*C53),"NA")</f>
        <v>NA</v>
      </c>
      <c r="D54" t="str">
        <f>IF(AND(C4="Application B",C6="yes",C17="Measure"),"Yes","NA")</f>
        <v>NA</v>
      </c>
      <c r="E54" t="s">
        <v>475</v>
      </c>
      <c r="G54" t="s">
        <v>12</v>
      </c>
    </row>
    <row r="55" spans="1:9">
      <c r="B55" s="71" t="s">
        <v>637</v>
      </c>
    </row>
    <row r="56" spans="1:9">
      <c r="A56" t="s">
        <v>638</v>
      </c>
      <c r="B56" s="5" t="s">
        <v>639</v>
      </c>
      <c r="C56">
        <v>1</v>
      </c>
      <c r="D56" t="str">
        <f>IF(AND(C4="Application B",C7="yes"),"Yes","NA")</f>
        <v>Yes</v>
      </c>
      <c r="E56" t="s">
        <v>124</v>
      </c>
      <c r="G56" t="s">
        <v>12</v>
      </c>
    </row>
    <row r="57" spans="1:9">
      <c r="A57" t="s">
        <v>630</v>
      </c>
      <c r="B57" t="s">
        <v>631</v>
      </c>
      <c r="C57">
        <v>1</v>
      </c>
      <c r="D57" t="str">
        <f>IF(AND(C4="Application B",C7="yes"),"Yes","NA")</f>
        <v>Yes</v>
      </c>
      <c r="E57" t="s">
        <v>124</v>
      </c>
      <c r="G57" t="s">
        <v>12</v>
      </c>
      <c r="I57" s="41"/>
    </row>
    <row r="58" spans="1:9">
      <c r="A58" t="s">
        <v>634</v>
      </c>
      <c r="B58" t="s">
        <v>635</v>
      </c>
      <c r="C58">
        <v>1</v>
      </c>
      <c r="D58" t="str">
        <f>IF(AND(C4="Application B",C7="yes"),"Yes","NA")</f>
        <v>Yes</v>
      </c>
      <c r="E58" t="s">
        <v>124</v>
      </c>
      <c r="G58" t="s">
        <v>12</v>
      </c>
    </row>
    <row r="59" spans="1:9">
      <c r="A59" t="s">
        <v>636</v>
      </c>
      <c r="B59" s="41" t="s">
        <v>626</v>
      </c>
      <c r="C59" s="15">
        <f>IF(AND(C4="Application B",C7="Yes"),0.7*(12/16)*C56/(C57*C58),"NA")</f>
        <v>0.52499999999999991</v>
      </c>
      <c r="D59" t="str">
        <f>IF(AND(C4="Application B",C7="yes"),"Yes","NA")</f>
        <v>Yes</v>
      </c>
      <c r="E59" t="s">
        <v>475</v>
      </c>
      <c r="G59" t="s">
        <v>12</v>
      </c>
    </row>
    <row r="60" spans="1:9" s="70" customFormat="1">
      <c r="B60" s="70" t="s">
        <v>640</v>
      </c>
    </row>
    <row r="61" spans="1:9">
      <c r="B61" s="71" t="s">
        <v>589</v>
      </c>
    </row>
    <row r="62" spans="1:9">
      <c r="A62" t="s">
        <v>641</v>
      </c>
      <c r="B62" t="s">
        <v>642</v>
      </c>
      <c r="C62" s="15">
        <f>IF(AND(C4="Application B",C18="Yes"),"NA",IF(C19="Anaerobic managed solid waste disposal sites",1, IF(C19="Semi-aerobic managed solid waste disposal sites",0.5,IF(C19="Unmanaged solid waste disposal sites – deep",0.8,IF(C19="Unmanaged-shallow solid waste disposal sites or stockpiles that are considered SWDS",0.4)))))</f>
        <v>0.8</v>
      </c>
      <c r="D62" t="str">
        <f>IF(AND(C4="Application B",C18="Yes"),"NA","Yes")</f>
        <v>Yes</v>
      </c>
      <c r="E62" t="s">
        <v>475</v>
      </c>
      <c r="G62" t="s">
        <v>12</v>
      </c>
    </row>
    <row r="63" spans="1:9">
      <c r="B63" s="71" t="s">
        <v>643</v>
      </c>
    </row>
    <row r="64" spans="1:9">
      <c r="A64" t="s">
        <v>644</v>
      </c>
      <c r="B64" t="s">
        <v>645</v>
      </c>
      <c r="C64">
        <v>1</v>
      </c>
      <c r="D64" t="str">
        <f>IF(AND(C4="Application B",C18="Yes"),"Yes","NA")</f>
        <v>NA</v>
      </c>
      <c r="E64" t="s">
        <v>124</v>
      </c>
      <c r="G64" t="s">
        <v>12</v>
      </c>
    </row>
    <row r="65" spans="1:7">
      <c r="A65" t="s">
        <v>646</v>
      </c>
      <c r="B65" t="s">
        <v>647</v>
      </c>
      <c r="C65">
        <v>1</v>
      </c>
      <c r="D65" t="str">
        <f>IF(AND(C4="Application B",C18="Yes"),"Yes","NA")</f>
        <v>NA</v>
      </c>
      <c r="E65" t="s">
        <v>124</v>
      </c>
      <c r="G65" t="s">
        <v>12</v>
      </c>
    </row>
    <row r="66" spans="1:7">
      <c r="A66" t="s">
        <v>648</v>
      </c>
      <c r="B66" t="s">
        <v>642</v>
      </c>
      <c r="C66" s="15" t="str">
        <f>IF(AND(C4="Application B",C18="yes"),MAX((1-2/C65),C64/C65), "NA")</f>
        <v>NA</v>
      </c>
      <c r="D66" t="str">
        <f>IF(AND(C4="Application B",C18="Yes"),"Yes","NA")</f>
        <v>NA</v>
      </c>
      <c r="E66" t="s">
        <v>475</v>
      </c>
      <c r="G66" t="s">
        <v>12</v>
      </c>
    </row>
    <row r="67" spans="1:7" s="70" customFormat="1">
      <c r="B67" s="70" t="s">
        <v>649</v>
      </c>
    </row>
    <row r="68" spans="1:7">
      <c r="B68" s="71" t="s">
        <v>589</v>
      </c>
    </row>
    <row r="69" spans="1:7">
      <c r="A69" t="s">
        <v>650</v>
      </c>
      <c r="B69" t="s">
        <v>635</v>
      </c>
      <c r="C69" s="72">
        <f>IF(AND(C20="Default",C21="Wood and wood products"),0.43,IF(AND(C20="Default",C21="Pulp, paper and cardboard (other than sludge)"),0.4,IF(AND(C20="Default",C21="Food, food waste, beverages and tobacco (other than sludge)"),0.15,IF(AND(C20="Default",C21="Textiles"),0.24,IF(AND(C20="Default",C21="Garden, yard and park waste"),0.2,IF(AND(C20="Default",C21="Glass, plastic, metal, other inert waste"),0, IF(AND(C20="Default",C21="Empty fruit brunches (EFB)"),0.2,IF(AND(C20="Default",C21="Industrial sludge"),0.09,IF(AND(C20="Default",C21="Domestic sludge"),0.05,"NA")))))))))</f>
        <v>0.4</v>
      </c>
      <c r="D69" t="str">
        <f>IF(AND(C4="Application B",C20="Measure"),"NA","Yes")</f>
        <v>Yes</v>
      </c>
      <c r="E69" t="s">
        <v>475</v>
      </c>
      <c r="G69" t="s">
        <v>12</v>
      </c>
    </row>
    <row r="70" spans="1:7">
      <c r="B70" s="71" t="s">
        <v>651</v>
      </c>
    </row>
    <row r="71" spans="1:7">
      <c r="A71" t="s">
        <v>652</v>
      </c>
      <c r="B71" t="s">
        <v>635</v>
      </c>
      <c r="C71">
        <v>1</v>
      </c>
      <c r="D71" t="str">
        <f>IF(AND(C4="Application B",C20="Measure"),"Yes","NA")</f>
        <v>NA</v>
      </c>
      <c r="E71" t="s">
        <v>124</v>
      </c>
      <c r="G71" t="s">
        <v>12</v>
      </c>
    </row>
    <row r="72" spans="1:7" s="70" customFormat="1" ht="18.75">
      <c r="B72" s="74" t="s">
        <v>651</v>
      </c>
    </row>
    <row r="73" spans="1:7" ht="30">
      <c r="A73" t="s">
        <v>653</v>
      </c>
      <c r="B73" s="10" t="s">
        <v>654</v>
      </c>
      <c r="C73">
        <v>1</v>
      </c>
      <c r="D73" t="s">
        <v>11</v>
      </c>
      <c r="E73" t="s">
        <v>124</v>
      </c>
      <c r="G73" t="s">
        <v>12</v>
      </c>
    </row>
    <row r="74" spans="1:7">
      <c r="A74" t="s">
        <v>655</v>
      </c>
      <c r="B74" t="s">
        <v>656</v>
      </c>
      <c r="C74">
        <v>1</v>
      </c>
      <c r="D74" t="s">
        <v>11</v>
      </c>
      <c r="E74" t="s">
        <v>124</v>
      </c>
      <c r="G74" t="s">
        <v>12</v>
      </c>
    </row>
    <row r="75" spans="1:7">
      <c r="A75" t="s">
        <v>636</v>
      </c>
      <c r="B75" t="s">
        <v>626</v>
      </c>
      <c r="C75" s="15">
        <f>IF(C4="Application A",C48,IF(AND(C4="Application B",C6="Yes",C17="Default"),C48,IF(AND(C4="Application B",C6="Yes",C17="Measure"),C54, IF(AND(C4="Application B",C7="Yes",C17="Measure"),C59))))</f>
        <v>0.52499999999999991</v>
      </c>
      <c r="D75" t="s">
        <v>11</v>
      </c>
      <c r="E75" t="s">
        <v>475</v>
      </c>
      <c r="G75" t="s">
        <v>12</v>
      </c>
    </row>
    <row r="76" spans="1:7">
      <c r="A76" t="s">
        <v>657</v>
      </c>
      <c r="B76" t="s">
        <v>623</v>
      </c>
      <c r="C76" s="15">
        <f>IF(C4="Application A",C38,IF(AND(C4="Application B",C23="No"),C45,IF(AND(C4="Application B",C23="Yes"),C43)))</f>
        <v>1</v>
      </c>
      <c r="D76" t="s">
        <v>11</v>
      </c>
      <c r="E76" t="s">
        <v>475</v>
      </c>
      <c r="G76" t="s">
        <v>12</v>
      </c>
    </row>
    <row r="77" spans="1:7">
      <c r="A77" t="s">
        <v>607</v>
      </c>
      <c r="B77" t="s">
        <v>608</v>
      </c>
      <c r="C77" s="15">
        <f>IF(C8="Option 1 (Default)",C26,C35)</f>
        <v>0.85</v>
      </c>
      <c r="D77" t="s">
        <v>11</v>
      </c>
      <c r="E77" t="s">
        <v>475</v>
      </c>
      <c r="G77" t="s">
        <v>12</v>
      </c>
    </row>
    <row r="78" spans="1:7" ht="30.75">
      <c r="A78" t="s">
        <v>658</v>
      </c>
      <c r="B78" s="10" t="s">
        <v>659</v>
      </c>
      <c r="C78">
        <v>0</v>
      </c>
      <c r="D78" t="s">
        <v>11</v>
      </c>
      <c r="E78" t="s">
        <v>124</v>
      </c>
      <c r="G78" t="s">
        <v>12</v>
      </c>
    </row>
    <row r="79" spans="1:7" ht="15.75" thickBot="1">
      <c r="A79" t="s">
        <v>118</v>
      </c>
      <c r="B79" t="s">
        <v>660</v>
      </c>
      <c r="C79" s="75">
        <v>28</v>
      </c>
      <c r="D79" t="s">
        <v>11</v>
      </c>
      <c r="E79" t="s">
        <v>661</v>
      </c>
      <c r="G79" t="s">
        <v>12</v>
      </c>
    </row>
    <row r="80" spans="1:7" ht="15.75" thickBot="1">
      <c r="A80" t="s">
        <v>662</v>
      </c>
      <c r="B80" t="s">
        <v>663</v>
      </c>
      <c r="C80" s="75">
        <v>0.1</v>
      </c>
      <c r="D80" t="s">
        <v>11</v>
      </c>
      <c r="E80" t="s">
        <v>661</v>
      </c>
      <c r="G80" t="s">
        <v>12</v>
      </c>
    </row>
    <row r="81" spans="1:7" ht="15.75" thickBot="1">
      <c r="A81" t="s">
        <v>630</v>
      </c>
      <c r="B81" t="s">
        <v>631</v>
      </c>
      <c r="C81" s="75">
        <v>0.5</v>
      </c>
      <c r="D81" t="s">
        <v>11</v>
      </c>
      <c r="E81" t="s">
        <v>661</v>
      </c>
      <c r="G81" t="s">
        <v>12</v>
      </c>
    </row>
    <row r="82" spans="1:7">
      <c r="A82" t="s">
        <v>664</v>
      </c>
      <c r="B82" t="s">
        <v>642</v>
      </c>
      <c r="C82" s="15">
        <f>IF(AND(C4="Application B",C18="Yes"),C66,C62)</f>
        <v>0.8</v>
      </c>
      <c r="D82" t="s">
        <v>11</v>
      </c>
      <c r="E82" t="s">
        <v>475</v>
      </c>
      <c r="G82" t="s">
        <v>12</v>
      </c>
    </row>
    <row r="83" spans="1:7">
      <c r="A83" t="s">
        <v>652</v>
      </c>
      <c r="B83" t="s">
        <v>635</v>
      </c>
      <c r="C83" s="72">
        <f>IF(C20="Default",C69,C71)</f>
        <v>0.4</v>
      </c>
      <c r="D83" t="s">
        <v>11</v>
      </c>
      <c r="E83" t="s">
        <v>475</v>
      </c>
      <c r="G83" t="s">
        <v>12</v>
      </c>
    </row>
    <row r="84" spans="1:7">
      <c r="A84" t="s">
        <v>404</v>
      </c>
      <c r="B84" t="s">
        <v>665</v>
      </c>
      <c r="C84" s="15">
        <f>IF(AND(C21="Pulp, paper and cardboard (other than sludge)",C10="Boreal and Temperate",C9="Dry conditions"),0.04,IF(AND(C21="Pulp, paper and cardboard (other than sludge)",C10="Boreal and Temperate",C9="Humid/wet conditions"),0.06,IF(AND(C21="Pulp, paper and cardboard (other than sludge)",C10="Tropical",C9="Dry conditions"),0.045,IF(AND(C21="Pulp, paper and cardboard (other than sludge)",C10="Tropical",C9="Humid/wet conditions"),0.07,IF(AND(C21="Wood and wood products",C10="Boreal and Temperate",C9="Dry conditions"),0.02,IF(AND(C21="Wood and wood products",C10="Boreal and Temperate",C9="Humid/wet conditions"),0.03,IF(AND(C21="Wood and wood products",C10="Tropical",C9="Dry conditions"),0.025,IF(AND(C21="Wood and wood products",C10="Tropical",C9="Humid/wet conditions"),0.035,IF(AND(C21="Garden, yard and park waste",C10="Boreal and Temperate",C9="Dry conditions"),0.05,IF(AND(C21="Garden, yard and park waste",C10="Boreal and Temperate",C9="Humid/wet conditions"),0.1,IF(AND(C21="Garden, yard and park waste",C10="Tropical",C9="Dry conditions"),0.065,IF(AND(C21="Garden, yard and park waste",C10="Tropical",C9="Humid/wet conditions"),0.17,IF(AND(C21="Food, food waste, beverages and tobacco (other than sludge)",C10="Boreal and Temperate",C9="Dry conditions"),0.06,IF(AND(C21="Food, food waste, beverages and tobacco (other than sludge)",C10="Boreal and Temperate",C9="Humid/wet conditions"),0.185,IF(AND(C21="Food, food waste, beverages and tobacco (other than sludge)",C10="Tropical",C9="Dry conditions"),0.085,IF(AND(C21="Food, food waste, beverages and tobacco (other than sludge)",C10="Tropical",C9="Humid/wet conditions"),0.4))))))))))))))))</f>
        <v>7.0000000000000007E-2</v>
      </c>
      <c r="D84" t="s">
        <v>11</v>
      </c>
      <c r="E84" t="s">
        <v>475</v>
      </c>
      <c r="F84" t="s">
        <v>666</v>
      </c>
      <c r="G84" t="s">
        <v>12</v>
      </c>
    </row>
    <row r="85" spans="1:7">
      <c r="A85" t="s">
        <v>393</v>
      </c>
      <c r="B85" t="s">
        <v>667</v>
      </c>
      <c r="C85" s="15" t="str">
        <f>IF(C21="Other",C22,C21)</f>
        <v>Pulp, paper and cardboard (other than sludge)</v>
      </c>
      <c r="D85" t="s">
        <v>11</v>
      </c>
      <c r="E85" t="s">
        <v>475</v>
      </c>
      <c r="G85" t="s">
        <v>12</v>
      </c>
    </row>
    <row r="86" spans="1:7">
      <c r="A86" t="s">
        <v>668</v>
      </c>
      <c r="B86" t="s">
        <v>669</v>
      </c>
      <c r="C86" s="15">
        <f>C77*(1-C78)*C79*(1-C80)*(16/12)*C81*C75*C82*(C76*C83*EXP(-C84*(C74-C73))*(1-EXP(-C84)))</f>
        <v>0.16218993029283385</v>
      </c>
      <c r="D86" t="s">
        <v>11</v>
      </c>
      <c r="E86" t="s">
        <v>475</v>
      </c>
      <c r="G86" t="s">
        <v>12</v>
      </c>
    </row>
    <row r="87" spans="1:7">
      <c r="B87" s="76" t="s">
        <v>670</v>
      </c>
      <c r="F87" t="s">
        <v>671</v>
      </c>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2">
        <x14:dataValidation type="list" allowBlank="1" showInputMessage="1" showErrorMessage="1" xr:uid="{48E640ED-BCB7-4837-B14C-2A498B422102}">
          <x14:formula1>
            <xm:f>'Dropdown Items'!$B$2:$B$3</xm:f>
          </x14:formula1>
          <xm:sqref>C4</xm:sqref>
        </x14:dataValidation>
        <x14:dataValidation type="list" allowBlank="1" showInputMessage="1" showErrorMessage="1" xr:uid="{8FAEC19C-DCC0-44B5-925E-B827D65A37DC}">
          <x14:formula1>
            <xm:f>'Dropdown Items'!$D$2:$D$3</xm:f>
          </x14:formula1>
          <xm:sqref>C12:C13 C23 C18 C5:C7 C15:C16</xm:sqref>
        </x14:dataValidation>
        <x14:dataValidation type="list" allowBlank="1" showInputMessage="1" showErrorMessage="1" xr:uid="{6AF397C1-AC49-4361-BFA6-7F3C7BE68CBB}">
          <x14:formula1>
            <xm:f>'Dropdown Items'!$E$2:$E$3</xm:f>
          </x14:formula1>
          <xm:sqref>C8</xm:sqref>
        </x14:dataValidation>
        <x14:dataValidation type="list" allowBlank="1" showInputMessage="1" showErrorMessage="1" xr:uid="{582DA6C3-EF06-45CE-AAF3-0A6F807540E9}">
          <x14:formula1>
            <xm:f>'Dropdown Items'!$G$2:$G$3</xm:f>
          </x14:formula1>
          <xm:sqref>C9</xm:sqref>
        </x14:dataValidation>
        <x14:dataValidation type="list" allowBlank="1" showInputMessage="1" showErrorMessage="1" xr:uid="{F1B5E329-62A4-4B9C-BCFB-45FE817E3978}">
          <x14:formula1>
            <xm:f>'Dropdown Items'!$J$2:$J$3</xm:f>
          </x14:formula1>
          <xm:sqref>C11</xm:sqref>
        </x14:dataValidation>
        <x14:dataValidation type="list" allowBlank="1" showInputMessage="1" showErrorMessage="1" xr:uid="{474D5898-33CC-49CD-A597-34E1952157B7}">
          <x14:formula1>
            <xm:f>'Dropdown Items'!$K$2:$K$3</xm:f>
          </x14:formula1>
          <xm:sqref>C23 C17:C18</xm:sqref>
        </x14:dataValidation>
        <x14:dataValidation type="list" allowBlank="1" showInputMessage="1" showErrorMessage="1" xr:uid="{14D15774-8AA8-41E3-A72E-661A4C89FB1C}">
          <x14:formula1>
            <xm:f>'Dropdown Items'!$L$2:$L$3</xm:f>
          </x14:formula1>
          <xm:sqref>C14</xm:sqref>
        </x14:dataValidation>
        <x14:dataValidation type="list" allowBlank="1" showInputMessage="1" showErrorMessage="1" xr:uid="{87AB5D28-B831-4824-9F80-0F349106B17B}">
          <x14:formula1>
            <xm:f>'Dropdown Items'!$M$2:$M$5</xm:f>
          </x14:formula1>
          <xm:sqref>C19</xm:sqref>
        </x14:dataValidation>
        <x14:dataValidation type="list" allowBlank="1" showInputMessage="1" showErrorMessage="1" xr:uid="{96BD6F50-DA5F-4B67-9813-A731670FB45E}">
          <x14:formula1>
            <xm:f>'Dropdown Items'!$F$2:$F$3</xm:f>
          </x14:formula1>
          <xm:sqref>C20</xm:sqref>
        </x14:dataValidation>
        <x14:dataValidation type="list" allowBlank="1" showInputMessage="1" showErrorMessage="1" xr:uid="{E9F0EFE3-0051-45DC-8A14-7427D1276AC7}">
          <x14:formula1>
            <xm:f>'Dropdown Items'!$I$2:$I$11</xm:f>
          </x14:formula1>
          <xm:sqref>C21</xm:sqref>
        </x14:dataValidation>
        <x14:dataValidation type="list" allowBlank="1" showInputMessage="1" showErrorMessage="1" xr:uid="{E4436CC5-2F05-42DD-9322-632BDCD0F73F}">
          <x14:formula1>
            <xm:f>'Dropdown Items'!$H$2:$H$3</xm:f>
          </x14:formula1>
          <xm:sqref>C10</xm:sqref>
        </x14:dataValidation>
        <x14:dataValidation type="list" allowBlank="1" showInputMessage="1" showErrorMessage="1" xr:uid="{30CD3FF7-79BF-415A-AA8A-6521D8FE0732}">
          <x14:formula1>
            <xm:f>'Dropdown Items'!$A$2:$A$4</xm:f>
          </x14:formula1>
          <xm:sqref>C3</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57118-D0D9-4DB6-8544-C8340639FFE9}">
  <dimension ref="A1:D8"/>
  <sheetViews>
    <sheetView workbookViewId="0">
      <selection activeCell="D8" sqref="D8"/>
    </sheetView>
  </sheetViews>
  <sheetFormatPr defaultRowHeight="15"/>
  <cols>
    <col min="1" max="1" width="14.5703125" style="77" customWidth="1"/>
    <col min="2" max="2" width="26.5703125" customWidth="1"/>
    <col min="3" max="3" width="23.7109375" customWidth="1"/>
    <col min="4" max="4" width="25.140625" customWidth="1"/>
  </cols>
  <sheetData>
    <row r="1" spans="1:4" s="77" customFormat="1">
      <c r="B1" s="77" t="s">
        <v>562</v>
      </c>
      <c r="C1" s="77" t="s">
        <v>672</v>
      </c>
      <c r="D1" s="77" t="s">
        <v>673</v>
      </c>
    </row>
    <row r="2" spans="1:4">
      <c r="A2" s="77" t="s">
        <v>674</v>
      </c>
      <c r="B2">
        <f>IF('Tool 04-SWDS-Yearly'!C3="Baseline Emissions (BE)",'Tool 04-SWDS-Yearly'!C86)</f>
        <v>0.16218993029283385</v>
      </c>
      <c r="C2" t="b">
        <f>IF('Tool 04-SWDS-Yearly'!C3="Project Emissions (PE)",'Tool 04-SWDS-Yearly'!C86)</f>
        <v>0</v>
      </c>
      <c r="D2" t="b">
        <f>IF('Tool 04-SWDS-Yearly'!C3="Leakage Emissions (LE)",'Tool 04-SWDS-Yearly'!C86)</f>
        <v>0</v>
      </c>
    </row>
    <row r="3" spans="1:4">
      <c r="A3" s="78" t="s">
        <v>674</v>
      </c>
      <c r="B3" s="79"/>
      <c r="C3" s="79"/>
      <c r="D3" s="79"/>
    </row>
    <row r="4" spans="1:4">
      <c r="A4" s="78" t="s">
        <v>674</v>
      </c>
      <c r="B4" s="79"/>
      <c r="C4" s="79"/>
      <c r="D4" s="79"/>
    </row>
    <row r="5" spans="1:4">
      <c r="A5" s="78" t="s">
        <v>674</v>
      </c>
      <c r="B5" s="79"/>
      <c r="C5" s="79"/>
      <c r="D5" s="79"/>
    </row>
    <row r="6" spans="1:4">
      <c r="A6" s="78" t="s">
        <v>674</v>
      </c>
      <c r="B6" s="79"/>
      <c r="C6" s="79"/>
      <c r="D6" s="79"/>
    </row>
    <row r="7" spans="1:4">
      <c r="A7" s="78" t="s">
        <v>674</v>
      </c>
      <c r="B7" s="79"/>
      <c r="C7" s="79"/>
      <c r="D7" s="79"/>
    </row>
    <row r="8" spans="1:4" s="77" customFormat="1">
      <c r="A8" s="77" t="s">
        <v>675</v>
      </c>
      <c r="B8" s="77">
        <f>SUM(B2:B7)</f>
        <v>0.16218993029283385</v>
      </c>
      <c r="C8" s="77">
        <f t="shared" ref="C8" si="0">SUM(C2:C7)</f>
        <v>0</v>
      </c>
      <c r="D8" s="77">
        <f>SUM(D2:D7)</f>
        <v>0</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208BE-389D-47D6-BDCF-CFF75D94202C}">
  <dimension ref="A1:M11"/>
  <sheetViews>
    <sheetView workbookViewId="0">
      <selection activeCell="E48" sqref="E48"/>
    </sheetView>
  </sheetViews>
  <sheetFormatPr defaultRowHeight="15"/>
  <cols>
    <col min="1" max="1" width="22.28515625" customWidth="1"/>
    <col min="2" max="2" width="27.28515625" customWidth="1"/>
    <col min="3" max="3" width="20.28515625" customWidth="1"/>
    <col min="4" max="4" width="19.5703125" customWidth="1"/>
    <col min="5" max="5" width="26.28515625" customWidth="1"/>
    <col min="6" max="6" width="29.5703125" customWidth="1"/>
    <col min="7" max="9" width="31.140625" customWidth="1"/>
    <col min="10" max="10" width="13.42578125" customWidth="1"/>
  </cols>
  <sheetData>
    <row r="1" spans="1:13">
      <c r="A1" s="77" t="s">
        <v>676</v>
      </c>
      <c r="B1" s="77" t="s">
        <v>677</v>
      </c>
      <c r="C1" s="77" t="s">
        <v>678</v>
      </c>
      <c r="D1" s="77" t="s">
        <v>679</v>
      </c>
      <c r="E1" s="77" t="s">
        <v>680</v>
      </c>
      <c r="F1" s="77" t="s">
        <v>681</v>
      </c>
      <c r="G1" s="77" t="s">
        <v>682</v>
      </c>
      <c r="H1" s="77" t="s">
        <v>683</v>
      </c>
      <c r="I1" s="77" t="s">
        <v>684</v>
      </c>
    </row>
    <row r="2" spans="1:13">
      <c r="A2" t="s">
        <v>562</v>
      </c>
      <c r="B2" t="s">
        <v>610</v>
      </c>
      <c r="C2" t="s">
        <v>685</v>
      </c>
      <c r="D2" t="s">
        <v>11</v>
      </c>
      <c r="E2" t="s">
        <v>570</v>
      </c>
      <c r="F2" t="s">
        <v>589</v>
      </c>
      <c r="G2" t="s">
        <v>572</v>
      </c>
      <c r="H2" t="s">
        <v>686</v>
      </c>
      <c r="I2" t="s">
        <v>687</v>
      </c>
      <c r="J2" t="s">
        <v>688</v>
      </c>
      <c r="K2" t="s">
        <v>584</v>
      </c>
      <c r="L2" t="s">
        <v>580</v>
      </c>
      <c r="M2" t="s">
        <v>689</v>
      </c>
    </row>
    <row r="3" spans="1:13" ht="30">
      <c r="A3" t="s">
        <v>672</v>
      </c>
      <c r="B3" t="s">
        <v>564</v>
      </c>
      <c r="C3" t="s">
        <v>690</v>
      </c>
      <c r="D3" t="s">
        <v>12</v>
      </c>
      <c r="E3" t="s">
        <v>691</v>
      </c>
      <c r="F3" t="s">
        <v>584</v>
      </c>
      <c r="G3" t="s">
        <v>692</v>
      </c>
      <c r="H3" t="s">
        <v>574</v>
      </c>
      <c r="I3" s="10" t="s">
        <v>592</v>
      </c>
      <c r="J3" t="s">
        <v>576</v>
      </c>
      <c r="K3" t="s">
        <v>589</v>
      </c>
      <c r="L3" t="s">
        <v>693</v>
      </c>
      <c r="M3" t="s">
        <v>694</v>
      </c>
    </row>
    <row r="4" spans="1:13">
      <c r="A4" t="s">
        <v>673</v>
      </c>
      <c r="I4" t="s">
        <v>695</v>
      </c>
      <c r="M4" t="s">
        <v>587</v>
      </c>
    </row>
    <row r="5" spans="1:13">
      <c r="I5" t="s">
        <v>696</v>
      </c>
      <c r="M5" t="s">
        <v>697</v>
      </c>
    </row>
    <row r="6" spans="1:13">
      <c r="I6" t="s">
        <v>698</v>
      </c>
    </row>
    <row r="7" spans="1:13">
      <c r="I7" t="s">
        <v>699</v>
      </c>
    </row>
    <row r="8" spans="1:13">
      <c r="I8" t="s">
        <v>700</v>
      </c>
    </row>
    <row r="9" spans="1:13">
      <c r="I9" t="s">
        <v>701</v>
      </c>
    </row>
    <row r="10" spans="1:13">
      <c r="I10" t="s">
        <v>702</v>
      </c>
    </row>
    <row r="11" spans="1:13">
      <c r="I11" t="s">
        <v>703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89C77-01F5-4062-A285-2BA6B5B4043C}">
  <dimension ref="A1:B481"/>
  <sheetViews>
    <sheetView zoomScale="120" zoomScaleNormal="120" workbookViewId="0">
      <selection activeCell="A41" sqref="A41"/>
    </sheetView>
  </sheetViews>
  <sheetFormatPr defaultColWidth="8.85546875" defaultRowHeight="15"/>
  <cols>
    <col min="1" max="1" width="53.28515625" bestFit="1" customWidth="1"/>
    <col min="2" max="2" width="150.5703125" customWidth="1"/>
  </cols>
  <sheetData>
    <row r="1" spans="1:2">
      <c r="A1" s="83" t="s">
        <v>704</v>
      </c>
      <c r="B1" s="84" t="s">
        <v>705</v>
      </c>
    </row>
    <row r="2" spans="1:2">
      <c r="A2" t="s">
        <v>706</v>
      </c>
      <c r="B2" t="s">
        <v>707</v>
      </c>
    </row>
    <row r="3" spans="1:2">
      <c r="A3" t="s">
        <v>41</v>
      </c>
      <c r="B3" t="s">
        <v>708</v>
      </c>
    </row>
    <row r="4" spans="1:2">
      <c r="A4" t="s">
        <v>709</v>
      </c>
      <c r="B4" t="s">
        <v>710</v>
      </c>
    </row>
    <row r="5" spans="1:2">
      <c r="A5" t="s">
        <v>50</v>
      </c>
      <c r="B5" t="s">
        <v>711</v>
      </c>
    </row>
    <row r="6" spans="1:2">
      <c r="A6" t="s">
        <v>59</v>
      </c>
      <c r="B6" t="s">
        <v>712</v>
      </c>
    </row>
    <row r="7" spans="1:2">
      <c r="A7" t="s">
        <v>713</v>
      </c>
      <c r="B7" t="s">
        <v>714</v>
      </c>
    </row>
    <row r="8" spans="1:2">
      <c r="A8" t="s">
        <v>715</v>
      </c>
      <c r="B8" t="s">
        <v>716</v>
      </c>
    </row>
    <row r="9" spans="1:2">
      <c r="A9" t="s">
        <v>717</v>
      </c>
      <c r="B9" t="s">
        <v>718</v>
      </c>
    </row>
    <row r="10" spans="1:2">
      <c r="A10" t="s">
        <v>719</v>
      </c>
      <c r="B10" t="s">
        <v>720</v>
      </c>
    </row>
    <row r="11" spans="1:2">
      <c r="A11" t="s">
        <v>721</v>
      </c>
      <c r="B11" t="s">
        <v>722</v>
      </c>
    </row>
    <row r="12" spans="1:2">
      <c r="A12" t="s">
        <v>723</v>
      </c>
      <c r="B12" t="s">
        <v>724</v>
      </c>
    </row>
    <row r="13" spans="1:2">
      <c r="A13" t="s">
        <v>725</v>
      </c>
      <c r="B13" t="s">
        <v>726</v>
      </c>
    </row>
    <row r="14" spans="1:2">
      <c r="A14" t="s">
        <v>727</v>
      </c>
      <c r="B14" t="s">
        <v>728</v>
      </c>
    </row>
    <row r="15" spans="1:2">
      <c r="A15" t="s">
        <v>729</v>
      </c>
      <c r="B15" t="s">
        <v>730</v>
      </c>
    </row>
    <row r="16" spans="1:2">
      <c r="A16" t="s">
        <v>731</v>
      </c>
      <c r="B16" t="s">
        <v>732</v>
      </c>
    </row>
    <row r="17" spans="1:2">
      <c r="A17" t="s">
        <v>733</v>
      </c>
      <c r="B17" t="s">
        <v>734</v>
      </c>
    </row>
    <row r="18" spans="1:2">
      <c r="A18" t="s">
        <v>735</v>
      </c>
      <c r="B18" t="s">
        <v>736</v>
      </c>
    </row>
    <row r="19" spans="1:2">
      <c r="A19" t="s">
        <v>17</v>
      </c>
      <c r="B19" t="s">
        <v>737</v>
      </c>
    </row>
    <row r="20" spans="1:2">
      <c r="A20" t="s">
        <v>21</v>
      </c>
      <c r="B20" t="s">
        <v>738</v>
      </c>
    </row>
    <row r="21" spans="1:2">
      <c r="A21" t="s">
        <v>26</v>
      </c>
      <c r="B21" t="s">
        <v>739</v>
      </c>
    </row>
    <row r="22" spans="1:2">
      <c r="A22" t="s">
        <v>740</v>
      </c>
      <c r="B22" t="s">
        <v>741</v>
      </c>
    </row>
    <row r="23" spans="1:2">
      <c r="A23" t="s">
        <v>742</v>
      </c>
      <c r="B23" t="s">
        <v>743</v>
      </c>
    </row>
    <row r="24" spans="1:2">
      <c r="A24" t="s">
        <v>744</v>
      </c>
      <c r="B24" t="s">
        <v>745</v>
      </c>
    </row>
    <row r="25" spans="1:2">
      <c r="A25" t="s">
        <v>746</v>
      </c>
      <c r="B25" t="s">
        <v>747</v>
      </c>
    </row>
    <row r="26" spans="1:2">
      <c r="A26" t="s">
        <v>748</v>
      </c>
      <c r="B26" t="s">
        <v>749</v>
      </c>
    </row>
    <row r="27" spans="1:2">
      <c r="A27" t="s">
        <v>750</v>
      </c>
      <c r="B27" t="s">
        <v>751</v>
      </c>
    </row>
    <row r="28" spans="1:2">
      <c r="A28" t="s">
        <v>752</v>
      </c>
      <c r="B28" t="s">
        <v>753</v>
      </c>
    </row>
    <row r="29" spans="1:2">
      <c r="A29" t="s">
        <v>754</v>
      </c>
      <c r="B29" t="s">
        <v>755</v>
      </c>
    </row>
    <row r="30" spans="1:2">
      <c r="A30" t="s">
        <v>756</v>
      </c>
      <c r="B30" t="s">
        <v>757</v>
      </c>
    </row>
    <row r="31" spans="1:2">
      <c r="A31" t="s">
        <v>758</v>
      </c>
      <c r="B31" t="s">
        <v>759</v>
      </c>
    </row>
    <row r="32" spans="1:2">
      <c r="A32" t="s">
        <v>760</v>
      </c>
      <c r="B32" t="s">
        <v>761</v>
      </c>
    </row>
    <row r="33" spans="1:2">
      <c r="A33" t="s">
        <v>762</v>
      </c>
      <c r="B33" t="s">
        <v>763</v>
      </c>
    </row>
    <row r="34" spans="1:2">
      <c r="A34" s="85" t="s">
        <v>71</v>
      </c>
      <c r="B34" t="s">
        <v>764</v>
      </c>
    </row>
    <row r="35" spans="1:2">
      <c r="A35" s="85" t="s">
        <v>74</v>
      </c>
      <c r="B35" t="s">
        <v>765</v>
      </c>
    </row>
    <row r="36" spans="1:2">
      <c r="A36" s="85" t="s">
        <v>77</v>
      </c>
      <c r="B36" t="s">
        <v>766</v>
      </c>
    </row>
    <row r="37" spans="1:2">
      <c r="A37" s="85" t="s">
        <v>32</v>
      </c>
      <c r="B37" t="s">
        <v>767</v>
      </c>
    </row>
    <row r="38" spans="1:2">
      <c r="A38" s="85" t="s">
        <v>29</v>
      </c>
      <c r="B38" t="s">
        <v>768</v>
      </c>
    </row>
    <row r="39" spans="1:2">
      <c r="A39" s="85" t="s">
        <v>36</v>
      </c>
      <c r="B39" t="s">
        <v>769</v>
      </c>
    </row>
    <row r="40" spans="1:2">
      <c r="A40" t="s">
        <v>770</v>
      </c>
      <c r="B40" t="s">
        <v>771</v>
      </c>
    </row>
    <row r="41" spans="1:2">
      <c r="A41" t="s">
        <v>772</v>
      </c>
      <c r="B41" t="s">
        <v>773</v>
      </c>
    </row>
    <row r="42" spans="1:2">
      <c r="A42" t="s">
        <v>774</v>
      </c>
      <c r="B42" t="s">
        <v>775</v>
      </c>
    </row>
    <row r="43" spans="1:2">
      <c r="A43" t="s">
        <v>776</v>
      </c>
      <c r="B43" t="s">
        <v>777</v>
      </c>
    </row>
    <row r="44" spans="1:2">
      <c r="A44" t="s">
        <v>778</v>
      </c>
      <c r="B44" t="s">
        <v>779</v>
      </c>
    </row>
    <row r="45" spans="1:2">
      <c r="A45" t="s">
        <v>780</v>
      </c>
      <c r="B45" t="s">
        <v>781</v>
      </c>
    </row>
    <row r="46" spans="1:2">
      <c r="A46" t="s">
        <v>782</v>
      </c>
      <c r="B46" t="s">
        <v>783</v>
      </c>
    </row>
    <row r="47" spans="1:2">
      <c r="A47" t="s">
        <v>784</v>
      </c>
      <c r="B47" t="s">
        <v>785</v>
      </c>
    </row>
    <row r="48" spans="1:2">
      <c r="A48" t="s">
        <v>786</v>
      </c>
      <c r="B48" t="s">
        <v>787</v>
      </c>
    </row>
    <row r="49" spans="1:2">
      <c r="A49" t="s">
        <v>788</v>
      </c>
      <c r="B49" t="s">
        <v>789</v>
      </c>
    </row>
    <row r="50" spans="1:2">
      <c r="A50" t="s">
        <v>790</v>
      </c>
      <c r="B50" t="s">
        <v>791</v>
      </c>
    </row>
    <row r="51" spans="1:2">
      <c r="A51" t="s">
        <v>792</v>
      </c>
      <c r="B51" t="s">
        <v>793</v>
      </c>
    </row>
    <row r="52" spans="1:2">
      <c r="A52" t="s">
        <v>794</v>
      </c>
      <c r="B52" t="s">
        <v>795</v>
      </c>
    </row>
    <row r="53" spans="1:2">
      <c r="A53" t="s">
        <v>796</v>
      </c>
      <c r="B53" t="s">
        <v>797</v>
      </c>
    </row>
    <row r="54" spans="1:2">
      <c r="A54" t="s">
        <v>798</v>
      </c>
      <c r="B54" t="s">
        <v>799</v>
      </c>
    </row>
    <row r="55" spans="1:2">
      <c r="A55" t="s">
        <v>800</v>
      </c>
      <c r="B55" t="s">
        <v>801</v>
      </c>
    </row>
    <row r="56" spans="1:2">
      <c r="A56" t="s">
        <v>802</v>
      </c>
      <c r="B56" t="s">
        <v>803</v>
      </c>
    </row>
    <row r="57" spans="1:2">
      <c r="A57" t="s">
        <v>804</v>
      </c>
      <c r="B57" t="s">
        <v>805</v>
      </c>
    </row>
    <row r="58" spans="1:2">
      <c r="A58" t="s">
        <v>806</v>
      </c>
      <c r="B58" t="s">
        <v>807</v>
      </c>
    </row>
    <row r="59" spans="1:2">
      <c r="A59" t="s">
        <v>808</v>
      </c>
      <c r="B59" t="s">
        <v>809</v>
      </c>
    </row>
    <row r="60" spans="1:2">
      <c r="A60" t="s">
        <v>810</v>
      </c>
      <c r="B60" t="s">
        <v>811</v>
      </c>
    </row>
    <row r="61" spans="1:2">
      <c r="A61" t="s">
        <v>812</v>
      </c>
      <c r="B61" t="s">
        <v>813</v>
      </c>
    </row>
    <row r="62" spans="1:2">
      <c r="A62" t="s">
        <v>814</v>
      </c>
      <c r="B62" t="s">
        <v>815</v>
      </c>
    </row>
    <row r="63" spans="1:2">
      <c r="A63" t="s">
        <v>816</v>
      </c>
      <c r="B63" t="s">
        <v>817</v>
      </c>
    </row>
    <row r="64" spans="1:2">
      <c r="A64" t="s">
        <v>818</v>
      </c>
      <c r="B64" t="s">
        <v>819</v>
      </c>
    </row>
    <row r="65" spans="1:2">
      <c r="A65" t="s">
        <v>820</v>
      </c>
      <c r="B65" t="s">
        <v>821</v>
      </c>
    </row>
    <row r="66" spans="1:2">
      <c r="A66" t="s">
        <v>822</v>
      </c>
      <c r="B66" t="s">
        <v>823</v>
      </c>
    </row>
    <row r="67" spans="1:2">
      <c r="A67" t="s">
        <v>824</v>
      </c>
      <c r="B67" t="s">
        <v>825</v>
      </c>
    </row>
    <row r="68" spans="1:2">
      <c r="A68" t="s">
        <v>826</v>
      </c>
      <c r="B68" t="s">
        <v>827</v>
      </c>
    </row>
    <row r="69" spans="1:2">
      <c r="A69" t="s">
        <v>828</v>
      </c>
      <c r="B69" t="s">
        <v>829</v>
      </c>
    </row>
    <row r="70" spans="1:2">
      <c r="A70" t="s">
        <v>830</v>
      </c>
      <c r="B70" t="s">
        <v>831</v>
      </c>
    </row>
    <row r="71" spans="1:2">
      <c r="A71" t="s">
        <v>832</v>
      </c>
      <c r="B71" t="s">
        <v>833</v>
      </c>
    </row>
    <row r="72" spans="1:2">
      <c r="A72" t="s">
        <v>834</v>
      </c>
      <c r="B72" t="s">
        <v>835</v>
      </c>
    </row>
    <row r="73" spans="1:2">
      <c r="A73" t="s">
        <v>836</v>
      </c>
      <c r="B73" t="s">
        <v>837</v>
      </c>
    </row>
    <row r="74" spans="1:2">
      <c r="A74" t="s">
        <v>838</v>
      </c>
      <c r="B74" t="s">
        <v>839</v>
      </c>
    </row>
    <row r="75" spans="1:2">
      <c r="A75" t="s">
        <v>840</v>
      </c>
      <c r="B75" t="s">
        <v>841</v>
      </c>
    </row>
    <row r="76" spans="1:2">
      <c r="A76" t="s">
        <v>842</v>
      </c>
      <c r="B76" t="s">
        <v>843</v>
      </c>
    </row>
    <row r="77" spans="1:2">
      <c r="A77" t="s">
        <v>844</v>
      </c>
      <c r="B77" t="s">
        <v>845</v>
      </c>
    </row>
    <row r="78" spans="1:2">
      <c r="A78" t="s">
        <v>846</v>
      </c>
      <c r="B78" t="s">
        <v>847</v>
      </c>
    </row>
    <row r="79" spans="1:2">
      <c r="A79" t="s">
        <v>848</v>
      </c>
      <c r="B79" t="s">
        <v>849</v>
      </c>
    </row>
    <row r="80" spans="1:2">
      <c r="A80" t="s">
        <v>850</v>
      </c>
      <c r="B80" t="s">
        <v>851</v>
      </c>
    </row>
    <row r="81" spans="1:2">
      <c r="A81" t="s">
        <v>852</v>
      </c>
      <c r="B81" t="s">
        <v>853</v>
      </c>
    </row>
    <row r="82" spans="1:2">
      <c r="A82" t="s">
        <v>854</v>
      </c>
      <c r="B82" t="s">
        <v>855</v>
      </c>
    </row>
    <row r="83" spans="1:2">
      <c r="A83" t="s">
        <v>856</v>
      </c>
      <c r="B83" t="s">
        <v>857</v>
      </c>
    </row>
    <row r="84" spans="1:2">
      <c r="A84" t="s">
        <v>858</v>
      </c>
      <c r="B84" t="s">
        <v>859</v>
      </c>
    </row>
    <row r="85" spans="1:2">
      <c r="A85" t="s">
        <v>860</v>
      </c>
      <c r="B85" t="s">
        <v>861</v>
      </c>
    </row>
    <row r="86" spans="1:2">
      <c r="A86" t="s">
        <v>862</v>
      </c>
      <c r="B86" t="s">
        <v>863</v>
      </c>
    </row>
    <row r="87" spans="1:2">
      <c r="A87" t="s">
        <v>85</v>
      </c>
      <c r="B87" t="s">
        <v>864</v>
      </c>
    </row>
    <row r="88" spans="1:2">
      <c r="A88" t="s">
        <v>865</v>
      </c>
      <c r="B88" t="s">
        <v>866</v>
      </c>
    </row>
    <row r="89" spans="1:2">
      <c r="A89" t="s">
        <v>867</v>
      </c>
      <c r="B89" t="s">
        <v>868</v>
      </c>
    </row>
    <row r="90" spans="1:2">
      <c r="A90" t="s">
        <v>869</v>
      </c>
      <c r="B90" t="s">
        <v>870</v>
      </c>
    </row>
    <row r="91" spans="1:2">
      <c r="A91" t="s">
        <v>871</v>
      </c>
      <c r="B91" t="s">
        <v>872</v>
      </c>
    </row>
    <row r="92" spans="1:2">
      <c r="A92" t="s">
        <v>873</v>
      </c>
      <c r="B92" t="s">
        <v>874</v>
      </c>
    </row>
    <row r="93" spans="1:2">
      <c r="A93" t="s">
        <v>875</v>
      </c>
      <c r="B93" t="s">
        <v>876</v>
      </c>
    </row>
    <row r="94" spans="1:2">
      <c r="A94" t="s">
        <v>877</v>
      </c>
      <c r="B94" t="s">
        <v>878</v>
      </c>
    </row>
    <row r="95" spans="1:2">
      <c r="A95" t="s">
        <v>879</v>
      </c>
      <c r="B95" t="s">
        <v>880</v>
      </c>
    </row>
    <row r="96" spans="1:2">
      <c r="A96" t="s">
        <v>881</v>
      </c>
      <c r="B96" t="s">
        <v>882</v>
      </c>
    </row>
    <row r="97" spans="1:2">
      <c r="A97" t="s">
        <v>883</v>
      </c>
      <c r="B97" t="s">
        <v>884</v>
      </c>
    </row>
    <row r="98" spans="1:2">
      <c r="A98" t="s">
        <v>885</v>
      </c>
      <c r="B98" t="s">
        <v>886</v>
      </c>
    </row>
    <row r="99" spans="1:2">
      <c r="A99" t="s">
        <v>887</v>
      </c>
      <c r="B99" t="s">
        <v>888</v>
      </c>
    </row>
    <row r="100" spans="1:2">
      <c r="A100" t="s">
        <v>889</v>
      </c>
      <c r="B100" t="s">
        <v>890</v>
      </c>
    </row>
    <row r="101" spans="1:2">
      <c r="A101" t="s">
        <v>891</v>
      </c>
      <c r="B101" t="s">
        <v>892</v>
      </c>
    </row>
    <row r="102" spans="1:2">
      <c r="A102" t="s">
        <v>893</v>
      </c>
      <c r="B102" t="s">
        <v>894</v>
      </c>
    </row>
    <row r="103" spans="1:2">
      <c r="A103" t="s">
        <v>895</v>
      </c>
      <c r="B103" t="s">
        <v>896</v>
      </c>
    </row>
    <row r="104" spans="1:2">
      <c r="A104" t="s">
        <v>897</v>
      </c>
      <c r="B104" t="s">
        <v>898</v>
      </c>
    </row>
    <row r="105" spans="1:2">
      <c r="A105" t="s">
        <v>899</v>
      </c>
      <c r="B105" t="s">
        <v>900</v>
      </c>
    </row>
    <row r="106" spans="1:2">
      <c r="A106" t="s">
        <v>901</v>
      </c>
      <c r="B106" t="s">
        <v>902</v>
      </c>
    </row>
    <row r="107" spans="1:2">
      <c r="A107" t="s">
        <v>903</v>
      </c>
      <c r="B107" t="s">
        <v>904</v>
      </c>
    </row>
    <row r="108" spans="1:2">
      <c r="A108" t="s">
        <v>905</v>
      </c>
      <c r="B108" t="s">
        <v>906</v>
      </c>
    </row>
    <row r="109" spans="1:2">
      <c r="A109" t="s">
        <v>907</v>
      </c>
      <c r="B109" t="s">
        <v>908</v>
      </c>
    </row>
    <row r="110" spans="1:2">
      <c r="A110" t="s">
        <v>909</v>
      </c>
      <c r="B110" t="s">
        <v>910</v>
      </c>
    </row>
    <row r="111" spans="1:2">
      <c r="A111" t="s">
        <v>911</v>
      </c>
      <c r="B111" t="s">
        <v>912</v>
      </c>
    </row>
    <row r="112" spans="1:2">
      <c r="A112" t="s">
        <v>913</v>
      </c>
      <c r="B112" t="s">
        <v>914</v>
      </c>
    </row>
    <row r="113" spans="1:2">
      <c r="A113" t="s">
        <v>915</v>
      </c>
      <c r="B113" t="s">
        <v>916</v>
      </c>
    </row>
    <row r="114" spans="1:2">
      <c r="A114" t="s">
        <v>917</v>
      </c>
      <c r="B114" t="s">
        <v>918</v>
      </c>
    </row>
    <row r="115" spans="1:2">
      <c r="A115" t="s">
        <v>919</v>
      </c>
      <c r="B115" t="s">
        <v>920</v>
      </c>
    </row>
    <row r="116" spans="1:2">
      <c r="A116" t="s">
        <v>921</v>
      </c>
      <c r="B116" t="s">
        <v>922</v>
      </c>
    </row>
    <row r="117" spans="1:2">
      <c r="A117" t="s">
        <v>923</v>
      </c>
      <c r="B117" t="s">
        <v>924</v>
      </c>
    </row>
    <row r="118" spans="1:2">
      <c r="A118" t="s">
        <v>925</v>
      </c>
      <c r="B118" t="s">
        <v>926</v>
      </c>
    </row>
    <row r="119" spans="1:2">
      <c r="A119" t="s">
        <v>927</v>
      </c>
      <c r="B119" t="s">
        <v>928</v>
      </c>
    </row>
    <row r="120" spans="1:2">
      <c r="A120" t="s">
        <v>929</v>
      </c>
      <c r="B120" t="s">
        <v>930</v>
      </c>
    </row>
    <row r="121" spans="1:2">
      <c r="A121" t="s">
        <v>931</v>
      </c>
      <c r="B121" t="s">
        <v>932</v>
      </c>
    </row>
    <row r="122" spans="1:2">
      <c r="A122" t="s">
        <v>933</v>
      </c>
      <c r="B122" t="s">
        <v>934</v>
      </c>
    </row>
    <row r="123" spans="1:2">
      <c r="A123" t="s">
        <v>935</v>
      </c>
      <c r="B123" t="s">
        <v>936</v>
      </c>
    </row>
    <row r="124" spans="1:2">
      <c r="A124" t="s">
        <v>937</v>
      </c>
      <c r="B124" t="s">
        <v>938</v>
      </c>
    </row>
    <row r="125" spans="1:2">
      <c r="A125" t="s">
        <v>939</v>
      </c>
      <c r="B125" t="s">
        <v>940</v>
      </c>
    </row>
    <row r="126" spans="1:2">
      <c r="A126" t="s">
        <v>941</v>
      </c>
      <c r="B126" t="s">
        <v>942</v>
      </c>
    </row>
    <row r="127" spans="1:2">
      <c r="A127" t="s">
        <v>943</v>
      </c>
      <c r="B127" t="s">
        <v>944</v>
      </c>
    </row>
    <row r="128" spans="1:2">
      <c r="A128" t="s">
        <v>945</v>
      </c>
      <c r="B128" t="s">
        <v>946</v>
      </c>
    </row>
    <row r="129" spans="1:2">
      <c r="A129" t="s">
        <v>947</v>
      </c>
      <c r="B129" t="s">
        <v>948</v>
      </c>
    </row>
    <row r="130" spans="1:2">
      <c r="A130" t="s">
        <v>949</v>
      </c>
      <c r="B130" t="s">
        <v>950</v>
      </c>
    </row>
    <row r="131" spans="1:2">
      <c r="A131" t="s">
        <v>951</v>
      </c>
      <c r="B131" t="s">
        <v>952</v>
      </c>
    </row>
    <row r="132" spans="1:2">
      <c r="A132" t="s">
        <v>953</v>
      </c>
      <c r="B132" t="s">
        <v>954</v>
      </c>
    </row>
    <row r="133" spans="1:2">
      <c r="A133" t="s">
        <v>955</v>
      </c>
      <c r="B133" t="s">
        <v>956</v>
      </c>
    </row>
    <row r="134" spans="1:2">
      <c r="A134" t="s">
        <v>957</v>
      </c>
      <c r="B134" t="s">
        <v>958</v>
      </c>
    </row>
    <row r="135" spans="1:2">
      <c r="A135" t="s">
        <v>959</v>
      </c>
      <c r="B135" t="s">
        <v>960</v>
      </c>
    </row>
    <row r="136" spans="1:2">
      <c r="A136" t="s">
        <v>961</v>
      </c>
      <c r="B136" t="s">
        <v>962</v>
      </c>
    </row>
    <row r="137" spans="1:2">
      <c r="A137" t="s">
        <v>170</v>
      </c>
      <c r="B137" t="s">
        <v>963</v>
      </c>
    </row>
    <row r="138" spans="1:2">
      <c r="A138" t="s">
        <v>964</v>
      </c>
      <c r="B138" t="s">
        <v>965</v>
      </c>
    </row>
    <row r="139" spans="1:2">
      <c r="A139" t="s">
        <v>966</v>
      </c>
      <c r="B139" t="s">
        <v>967</v>
      </c>
    </row>
    <row r="140" spans="1:2">
      <c r="A140" t="s">
        <v>968</v>
      </c>
      <c r="B140" t="s">
        <v>969</v>
      </c>
    </row>
    <row r="141" spans="1:2">
      <c r="A141" t="s">
        <v>970</v>
      </c>
      <c r="B141" t="s">
        <v>971</v>
      </c>
    </row>
    <row r="142" spans="1:2">
      <c r="A142" t="s">
        <v>972</v>
      </c>
      <c r="B142" t="s">
        <v>973</v>
      </c>
    </row>
    <row r="143" spans="1:2">
      <c r="A143" t="s">
        <v>974</v>
      </c>
      <c r="B143" t="s">
        <v>975</v>
      </c>
    </row>
    <row r="144" spans="1:2">
      <c r="A144" t="s">
        <v>976</v>
      </c>
      <c r="B144" t="s">
        <v>977</v>
      </c>
    </row>
    <row r="145" spans="1:2">
      <c r="A145" t="s">
        <v>978</v>
      </c>
      <c r="B145" t="s">
        <v>979</v>
      </c>
    </row>
    <row r="146" spans="1:2">
      <c r="A146" t="s">
        <v>146</v>
      </c>
      <c r="B146" t="s">
        <v>980</v>
      </c>
    </row>
    <row r="147" spans="1:2">
      <c r="A147" t="s">
        <v>161</v>
      </c>
      <c r="B147" t="s">
        <v>981</v>
      </c>
    </row>
    <row r="148" spans="1:2">
      <c r="A148" t="s">
        <v>982</v>
      </c>
      <c r="B148" t="s">
        <v>983</v>
      </c>
    </row>
    <row r="149" spans="1:2">
      <c r="A149" t="s">
        <v>984</v>
      </c>
      <c r="B149" t="s">
        <v>985</v>
      </c>
    </row>
    <row r="150" spans="1:2">
      <c r="A150" t="s">
        <v>986</v>
      </c>
      <c r="B150" t="s">
        <v>987</v>
      </c>
    </row>
    <row r="151" spans="1:2">
      <c r="A151" t="s">
        <v>988</v>
      </c>
      <c r="B151" t="s">
        <v>989</v>
      </c>
    </row>
    <row r="152" spans="1:2">
      <c r="A152" t="s">
        <v>990</v>
      </c>
      <c r="B152" t="s">
        <v>991</v>
      </c>
    </row>
    <row r="153" spans="1:2">
      <c r="A153" t="s">
        <v>992</v>
      </c>
      <c r="B153" t="s">
        <v>993</v>
      </c>
    </row>
    <row r="154" spans="1:2">
      <c r="A154" t="s">
        <v>994</v>
      </c>
      <c r="B154" t="s">
        <v>995</v>
      </c>
    </row>
    <row r="155" spans="1:2">
      <c r="A155" t="s">
        <v>996</v>
      </c>
      <c r="B155" t="s">
        <v>997</v>
      </c>
    </row>
    <row r="156" spans="1:2">
      <c r="A156" t="s">
        <v>998</v>
      </c>
      <c r="B156" t="s">
        <v>999</v>
      </c>
    </row>
    <row r="157" spans="1:2">
      <c r="A157" t="s">
        <v>1000</v>
      </c>
      <c r="B157" t="s">
        <v>1001</v>
      </c>
    </row>
    <row r="158" spans="1:2">
      <c r="A158" t="s">
        <v>1002</v>
      </c>
      <c r="B158" t="s">
        <v>1003</v>
      </c>
    </row>
    <row r="159" spans="1:2">
      <c r="A159" t="s">
        <v>1004</v>
      </c>
      <c r="B159" t="s">
        <v>1005</v>
      </c>
    </row>
    <row r="160" spans="1:2">
      <c r="A160" t="s">
        <v>1006</v>
      </c>
      <c r="B160" t="s">
        <v>1007</v>
      </c>
    </row>
    <row r="161" spans="1:2">
      <c r="A161" t="s">
        <v>1008</v>
      </c>
      <c r="B161" t="s">
        <v>1009</v>
      </c>
    </row>
    <row r="162" spans="1:2">
      <c r="A162" t="s">
        <v>1010</v>
      </c>
      <c r="B162" t="s">
        <v>1011</v>
      </c>
    </row>
    <row r="163" spans="1:2">
      <c r="A163" t="s">
        <v>1012</v>
      </c>
      <c r="B163" t="s">
        <v>1013</v>
      </c>
    </row>
    <row r="164" spans="1:2">
      <c r="A164" t="s">
        <v>1014</v>
      </c>
      <c r="B164" t="s">
        <v>1015</v>
      </c>
    </row>
    <row r="165" spans="1:2">
      <c r="A165" t="s">
        <v>1016</v>
      </c>
      <c r="B165" t="s">
        <v>1017</v>
      </c>
    </row>
    <row r="166" spans="1:2">
      <c r="A166" t="s">
        <v>1018</v>
      </c>
      <c r="B166" t="s">
        <v>1019</v>
      </c>
    </row>
    <row r="167" spans="1:2">
      <c r="A167" t="s">
        <v>1020</v>
      </c>
      <c r="B167" t="s">
        <v>1021</v>
      </c>
    </row>
    <row r="168" spans="1:2">
      <c r="A168" t="s">
        <v>1022</v>
      </c>
      <c r="B168" t="s">
        <v>1023</v>
      </c>
    </row>
    <row r="169" spans="1:2">
      <c r="A169" t="s">
        <v>1024</v>
      </c>
      <c r="B169" t="s">
        <v>1025</v>
      </c>
    </row>
    <row r="170" spans="1:2">
      <c r="A170" t="s">
        <v>1026</v>
      </c>
      <c r="B170" t="s">
        <v>1027</v>
      </c>
    </row>
    <row r="171" spans="1:2">
      <c r="A171" t="s">
        <v>1028</v>
      </c>
      <c r="B171" t="s">
        <v>1029</v>
      </c>
    </row>
    <row r="172" spans="1:2">
      <c r="A172" t="s">
        <v>1030</v>
      </c>
      <c r="B172" t="s">
        <v>1031</v>
      </c>
    </row>
    <row r="173" spans="1:2">
      <c r="A173" t="s">
        <v>1032</v>
      </c>
      <c r="B173" t="s">
        <v>1033</v>
      </c>
    </row>
    <row r="174" spans="1:2">
      <c r="A174" t="s">
        <v>1034</v>
      </c>
      <c r="B174" t="s">
        <v>1035</v>
      </c>
    </row>
    <row r="175" spans="1:2">
      <c r="A175" t="s">
        <v>1036</v>
      </c>
      <c r="B175" t="s">
        <v>1037</v>
      </c>
    </row>
    <row r="176" spans="1:2">
      <c r="A176" t="s">
        <v>1038</v>
      </c>
      <c r="B176" t="s">
        <v>1039</v>
      </c>
    </row>
    <row r="177" spans="1:2">
      <c r="A177" t="s">
        <v>1040</v>
      </c>
      <c r="B177" t="s">
        <v>1041</v>
      </c>
    </row>
    <row r="178" spans="1:2">
      <c r="A178" t="s">
        <v>1042</v>
      </c>
      <c r="B178" t="s">
        <v>1043</v>
      </c>
    </row>
    <row r="179" spans="1:2">
      <c r="A179" t="s">
        <v>1044</v>
      </c>
      <c r="B179" t="s">
        <v>1045</v>
      </c>
    </row>
    <row r="180" spans="1:2">
      <c r="A180" t="s">
        <v>1046</v>
      </c>
      <c r="B180" t="s">
        <v>1047</v>
      </c>
    </row>
    <row r="181" spans="1:2">
      <c r="A181" t="s">
        <v>1048</v>
      </c>
      <c r="B181" t="s">
        <v>1049</v>
      </c>
    </row>
    <row r="182" spans="1:2">
      <c r="A182" t="s">
        <v>1050</v>
      </c>
      <c r="B182" t="s">
        <v>1051</v>
      </c>
    </row>
    <row r="183" spans="1:2">
      <c r="A183" t="s">
        <v>1052</v>
      </c>
      <c r="B183" t="s">
        <v>1053</v>
      </c>
    </row>
    <row r="184" spans="1:2">
      <c r="A184" t="s">
        <v>1054</v>
      </c>
      <c r="B184" t="s">
        <v>1055</v>
      </c>
    </row>
    <row r="185" spans="1:2">
      <c r="A185" t="s">
        <v>1056</v>
      </c>
      <c r="B185" t="s">
        <v>1057</v>
      </c>
    </row>
    <row r="186" spans="1:2">
      <c r="A186" t="s">
        <v>1058</v>
      </c>
      <c r="B186" t="s">
        <v>1059</v>
      </c>
    </row>
    <row r="187" spans="1:2">
      <c r="A187" t="s">
        <v>1060</v>
      </c>
      <c r="B187" t="s">
        <v>1061</v>
      </c>
    </row>
    <row r="188" spans="1:2">
      <c r="A188" t="s">
        <v>1062</v>
      </c>
      <c r="B188" t="s">
        <v>1063</v>
      </c>
    </row>
    <row r="189" spans="1:2">
      <c r="A189" t="s">
        <v>1064</v>
      </c>
      <c r="B189" t="s">
        <v>1065</v>
      </c>
    </row>
    <row r="190" spans="1:2">
      <c r="A190" t="s">
        <v>1066</v>
      </c>
      <c r="B190" t="s">
        <v>1067</v>
      </c>
    </row>
    <row r="191" spans="1:2">
      <c r="A191" t="s">
        <v>1068</v>
      </c>
      <c r="B191" t="s">
        <v>1069</v>
      </c>
    </row>
    <row r="192" spans="1:2">
      <c r="A192" t="s">
        <v>1070</v>
      </c>
      <c r="B192" t="s">
        <v>1071</v>
      </c>
    </row>
    <row r="193" spans="1:2">
      <c r="A193" t="s">
        <v>1072</v>
      </c>
      <c r="B193" t="s">
        <v>1073</v>
      </c>
    </row>
    <row r="194" spans="1:2">
      <c r="A194" t="s">
        <v>1074</v>
      </c>
      <c r="B194" t="s">
        <v>1075</v>
      </c>
    </row>
    <row r="195" spans="1:2">
      <c r="A195" t="s">
        <v>1076</v>
      </c>
      <c r="B195" t="s">
        <v>1077</v>
      </c>
    </row>
    <row r="196" spans="1:2">
      <c r="A196" t="s">
        <v>1078</v>
      </c>
      <c r="B196" t="s">
        <v>1079</v>
      </c>
    </row>
    <row r="197" spans="1:2">
      <c r="A197" t="s">
        <v>1080</v>
      </c>
      <c r="B197" t="s">
        <v>1081</v>
      </c>
    </row>
    <row r="198" spans="1:2">
      <c r="A198" t="s">
        <v>1082</v>
      </c>
      <c r="B198" t="s">
        <v>1083</v>
      </c>
    </row>
    <row r="199" spans="1:2">
      <c r="A199" t="s">
        <v>1084</v>
      </c>
      <c r="B199" t="s">
        <v>1085</v>
      </c>
    </row>
    <row r="200" spans="1:2">
      <c r="A200" t="s">
        <v>1086</v>
      </c>
      <c r="B200" t="s">
        <v>1087</v>
      </c>
    </row>
    <row r="201" spans="1:2">
      <c r="A201" t="s">
        <v>1088</v>
      </c>
      <c r="B201" t="s">
        <v>1089</v>
      </c>
    </row>
    <row r="202" spans="1:2">
      <c r="A202" t="s">
        <v>1090</v>
      </c>
      <c r="B202" t="s">
        <v>1091</v>
      </c>
    </row>
    <row r="203" spans="1:2">
      <c r="A203" t="s">
        <v>1092</v>
      </c>
      <c r="B203" t="s">
        <v>1093</v>
      </c>
    </row>
    <row r="204" spans="1:2">
      <c r="A204" t="s">
        <v>1094</v>
      </c>
      <c r="B204" t="s">
        <v>1095</v>
      </c>
    </row>
    <row r="205" spans="1:2">
      <c r="A205" t="s">
        <v>1096</v>
      </c>
      <c r="B205" t="s">
        <v>1097</v>
      </c>
    </row>
    <row r="206" spans="1:2">
      <c r="A206" t="s">
        <v>1098</v>
      </c>
      <c r="B206" t="s">
        <v>1099</v>
      </c>
    </row>
    <row r="207" spans="1:2">
      <c r="A207" t="s">
        <v>1100</v>
      </c>
      <c r="B207" t="s">
        <v>1101</v>
      </c>
    </row>
    <row r="208" spans="1:2">
      <c r="A208" t="s">
        <v>1102</v>
      </c>
      <c r="B208" t="s">
        <v>1103</v>
      </c>
    </row>
    <row r="209" spans="1:2">
      <c r="A209" t="s">
        <v>1104</v>
      </c>
      <c r="B209" t="s">
        <v>1105</v>
      </c>
    </row>
    <row r="210" spans="1:2">
      <c r="A210" t="s">
        <v>1106</v>
      </c>
      <c r="B210" t="s">
        <v>1107</v>
      </c>
    </row>
    <row r="211" spans="1:2">
      <c r="A211" t="s">
        <v>1108</v>
      </c>
      <c r="B211" t="s">
        <v>1109</v>
      </c>
    </row>
    <row r="212" spans="1:2">
      <c r="A212" t="s">
        <v>1110</v>
      </c>
      <c r="B212" t="s">
        <v>1111</v>
      </c>
    </row>
    <row r="213" spans="1:2">
      <c r="A213" t="s">
        <v>1112</v>
      </c>
      <c r="B213" t="s">
        <v>1113</v>
      </c>
    </row>
    <row r="214" spans="1:2">
      <c r="A214" t="s">
        <v>1114</v>
      </c>
      <c r="B214" t="s">
        <v>1115</v>
      </c>
    </row>
    <row r="215" spans="1:2">
      <c r="A215" t="s">
        <v>1116</v>
      </c>
      <c r="B215" t="s">
        <v>1117</v>
      </c>
    </row>
    <row r="216" spans="1:2">
      <c r="A216" t="s">
        <v>1118</v>
      </c>
      <c r="B216" t="s">
        <v>1119</v>
      </c>
    </row>
    <row r="217" spans="1:2">
      <c r="A217" t="s">
        <v>1120</v>
      </c>
      <c r="B217" t="s">
        <v>1121</v>
      </c>
    </row>
    <row r="218" spans="1:2">
      <c r="A218" t="s">
        <v>1122</v>
      </c>
      <c r="B218" t="s">
        <v>1123</v>
      </c>
    </row>
    <row r="219" spans="1:2">
      <c r="A219" t="s">
        <v>1124</v>
      </c>
      <c r="B219" t="s">
        <v>1125</v>
      </c>
    </row>
    <row r="220" spans="1:2">
      <c r="A220" t="s">
        <v>1126</v>
      </c>
      <c r="B220" t="s">
        <v>1127</v>
      </c>
    </row>
    <row r="221" spans="1:2">
      <c r="A221" t="s">
        <v>1128</v>
      </c>
      <c r="B221" t="s">
        <v>1129</v>
      </c>
    </row>
    <row r="222" spans="1:2">
      <c r="A222" t="s">
        <v>1130</v>
      </c>
      <c r="B222" t="s">
        <v>1131</v>
      </c>
    </row>
    <row r="223" spans="1:2">
      <c r="A223" t="s">
        <v>1132</v>
      </c>
      <c r="B223" t="s">
        <v>1133</v>
      </c>
    </row>
    <row r="224" spans="1:2">
      <c r="A224" t="s">
        <v>1134</v>
      </c>
      <c r="B224" t="s">
        <v>1135</v>
      </c>
    </row>
    <row r="225" spans="1:2">
      <c r="A225" t="s">
        <v>1136</v>
      </c>
      <c r="B225" t="s">
        <v>1137</v>
      </c>
    </row>
    <row r="226" spans="1:2">
      <c r="A226" t="s">
        <v>1138</v>
      </c>
      <c r="B226" t="s">
        <v>1139</v>
      </c>
    </row>
    <row r="227" spans="1:2">
      <c r="A227" t="s">
        <v>1140</v>
      </c>
      <c r="B227" t="s">
        <v>1141</v>
      </c>
    </row>
    <row r="228" spans="1:2">
      <c r="A228" t="s">
        <v>1142</v>
      </c>
      <c r="B228" t="s">
        <v>1143</v>
      </c>
    </row>
    <row r="229" spans="1:2">
      <c r="A229" t="s">
        <v>1144</v>
      </c>
      <c r="B229" t="s">
        <v>1145</v>
      </c>
    </row>
    <row r="230" spans="1:2">
      <c r="A230" t="s">
        <v>1146</v>
      </c>
      <c r="B230" t="s">
        <v>1147</v>
      </c>
    </row>
    <row r="231" spans="1:2">
      <c r="A231" t="s">
        <v>1148</v>
      </c>
      <c r="B231" t="s">
        <v>1149</v>
      </c>
    </row>
    <row r="232" spans="1:2">
      <c r="A232" t="s">
        <v>1150</v>
      </c>
      <c r="B232" t="s">
        <v>1151</v>
      </c>
    </row>
    <row r="233" spans="1:2">
      <c r="A233" t="s">
        <v>1152</v>
      </c>
      <c r="B233" t="s">
        <v>1153</v>
      </c>
    </row>
    <row r="234" spans="1:2">
      <c r="A234" t="s">
        <v>1154</v>
      </c>
      <c r="B234" s="85" t="s">
        <v>1155</v>
      </c>
    </row>
    <row r="235" spans="1:2">
      <c r="A235" t="s">
        <v>1156</v>
      </c>
      <c r="B235" s="85" t="s">
        <v>1157</v>
      </c>
    </row>
    <row r="236" spans="1:2">
      <c r="A236" t="s">
        <v>1158</v>
      </c>
      <c r="B236" s="85" t="s">
        <v>1159</v>
      </c>
    </row>
    <row r="237" spans="1:2">
      <c r="A237" t="s">
        <v>1160</v>
      </c>
      <c r="B237" s="85" t="s">
        <v>1161</v>
      </c>
    </row>
    <row r="238" spans="1:2">
      <c r="A238" t="s">
        <v>1162</v>
      </c>
      <c r="B238" s="85" t="s">
        <v>1163</v>
      </c>
    </row>
    <row r="239" spans="1:2">
      <c r="A239" t="s">
        <v>1164</v>
      </c>
      <c r="B239" s="85" t="s">
        <v>1165</v>
      </c>
    </row>
    <row r="240" spans="1:2">
      <c r="A240" t="s">
        <v>1166</v>
      </c>
      <c r="B240" s="85" t="s">
        <v>1167</v>
      </c>
    </row>
    <row r="241" spans="1:2">
      <c r="A241" t="s">
        <v>1168</v>
      </c>
      <c r="B241" s="85" t="s">
        <v>1169</v>
      </c>
    </row>
    <row r="242" spans="1:2">
      <c r="A242" t="s">
        <v>1170</v>
      </c>
      <c r="B242" s="85" t="s">
        <v>1171</v>
      </c>
    </row>
    <row r="243" spans="1:2">
      <c r="A243" t="s">
        <v>1172</v>
      </c>
      <c r="B243" s="85" t="s">
        <v>1173</v>
      </c>
    </row>
    <row r="244" spans="1:2">
      <c r="A244" t="s">
        <v>1174</v>
      </c>
      <c r="B244" s="85" t="s">
        <v>1175</v>
      </c>
    </row>
    <row r="245" spans="1:2">
      <c r="A245" t="s">
        <v>1176</v>
      </c>
      <c r="B245" s="85" t="s">
        <v>1177</v>
      </c>
    </row>
    <row r="246" spans="1:2">
      <c r="A246" t="s">
        <v>1178</v>
      </c>
      <c r="B246" s="85" t="s">
        <v>1179</v>
      </c>
    </row>
    <row r="247" spans="1:2">
      <c r="A247" t="s">
        <v>1180</v>
      </c>
      <c r="B247" s="85" t="s">
        <v>1181</v>
      </c>
    </row>
    <row r="248" spans="1:2">
      <c r="A248" t="s">
        <v>1182</v>
      </c>
      <c r="B248" s="85" t="s">
        <v>1183</v>
      </c>
    </row>
    <row r="249" spans="1:2">
      <c r="A249" t="s">
        <v>1184</v>
      </c>
      <c r="B249" s="85" t="s">
        <v>1185</v>
      </c>
    </row>
    <row r="250" spans="1:2">
      <c r="A250" t="s">
        <v>1186</v>
      </c>
      <c r="B250" s="85" t="s">
        <v>1187</v>
      </c>
    </row>
    <row r="251" spans="1:2">
      <c r="A251" t="s">
        <v>1188</v>
      </c>
      <c r="B251" s="85" t="s">
        <v>1189</v>
      </c>
    </row>
    <row r="252" spans="1:2">
      <c r="A252" t="s">
        <v>1190</v>
      </c>
      <c r="B252" s="85" t="s">
        <v>1191</v>
      </c>
    </row>
    <row r="253" spans="1:2">
      <c r="A253" t="s">
        <v>1192</v>
      </c>
      <c r="B253" s="85" t="s">
        <v>1193</v>
      </c>
    </row>
    <row r="254" spans="1:2">
      <c r="A254" t="s">
        <v>1194</v>
      </c>
      <c r="B254" s="85" t="s">
        <v>1195</v>
      </c>
    </row>
    <row r="255" spans="1:2">
      <c r="A255" t="s">
        <v>1196</v>
      </c>
      <c r="B255" s="85" t="s">
        <v>1197</v>
      </c>
    </row>
    <row r="256" spans="1:2">
      <c r="A256" t="s">
        <v>1198</v>
      </c>
      <c r="B256" s="85" t="s">
        <v>1199</v>
      </c>
    </row>
    <row r="257" spans="1:2">
      <c r="A257" t="s">
        <v>1200</v>
      </c>
      <c r="B257" s="85" t="s">
        <v>1201</v>
      </c>
    </row>
    <row r="258" spans="1:2">
      <c r="A258" t="s">
        <v>1202</v>
      </c>
      <c r="B258" s="85" t="s">
        <v>1203</v>
      </c>
    </row>
    <row r="259" spans="1:2">
      <c r="A259" t="s">
        <v>1204</v>
      </c>
      <c r="B259" s="85" t="s">
        <v>1205</v>
      </c>
    </row>
    <row r="260" spans="1:2">
      <c r="A260" t="s">
        <v>1206</v>
      </c>
      <c r="B260" s="85" t="s">
        <v>1207</v>
      </c>
    </row>
    <row r="261" spans="1:2">
      <c r="A261" t="s">
        <v>1208</v>
      </c>
      <c r="B261" s="85" t="s">
        <v>1209</v>
      </c>
    </row>
    <row r="262" spans="1:2">
      <c r="A262" t="s">
        <v>1210</v>
      </c>
      <c r="B262" s="85" t="s">
        <v>1211</v>
      </c>
    </row>
    <row r="263" spans="1:2">
      <c r="A263" t="s">
        <v>1212</v>
      </c>
      <c r="B263" s="85" t="s">
        <v>1213</v>
      </c>
    </row>
    <row r="264" spans="1:2">
      <c r="A264" t="s">
        <v>1214</v>
      </c>
      <c r="B264" s="85" t="s">
        <v>1215</v>
      </c>
    </row>
    <row r="265" spans="1:2">
      <c r="A265" t="s">
        <v>1216</v>
      </c>
      <c r="B265" s="85" t="s">
        <v>1217</v>
      </c>
    </row>
    <row r="266" spans="1:2">
      <c r="A266" t="s">
        <v>1218</v>
      </c>
      <c r="B266" s="85" t="s">
        <v>1219</v>
      </c>
    </row>
    <row r="267" spans="1:2">
      <c r="A267" t="s">
        <v>1220</v>
      </c>
      <c r="B267" s="85" t="s">
        <v>1221</v>
      </c>
    </row>
    <row r="268" spans="1:2">
      <c r="A268" t="s">
        <v>1222</v>
      </c>
      <c r="B268" s="85" t="s">
        <v>1223</v>
      </c>
    </row>
    <row r="269" spans="1:2">
      <c r="A269" t="s">
        <v>1224</v>
      </c>
      <c r="B269" s="85" t="s">
        <v>1225</v>
      </c>
    </row>
    <row r="270" spans="1:2">
      <c r="A270" t="s">
        <v>1226</v>
      </c>
      <c r="B270" s="85" t="s">
        <v>1227</v>
      </c>
    </row>
    <row r="271" spans="1:2">
      <c r="A271" t="s">
        <v>1228</v>
      </c>
      <c r="B271" s="85" t="s">
        <v>1229</v>
      </c>
    </row>
    <row r="272" spans="1:2">
      <c r="A272" t="s">
        <v>1230</v>
      </c>
      <c r="B272" s="85" t="s">
        <v>1231</v>
      </c>
    </row>
    <row r="273" spans="1:2">
      <c r="A273" t="s">
        <v>1232</v>
      </c>
      <c r="B273" s="85" t="s">
        <v>1233</v>
      </c>
    </row>
    <row r="274" spans="1:2">
      <c r="A274" t="s">
        <v>1234</v>
      </c>
      <c r="B274" s="85" t="s">
        <v>1235</v>
      </c>
    </row>
    <row r="275" spans="1:2">
      <c r="A275" t="s">
        <v>1236</v>
      </c>
      <c r="B275" s="85" t="s">
        <v>1237</v>
      </c>
    </row>
    <row r="276" spans="1:2">
      <c r="A276" t="s">
        <v>1238</v>
      </c>
      <c r="B276" s="85" t="s">
        <v>1239</v>
      </c>
    </row>
    <row r="277" spans="1:2">
      <c r="A277" t="s">
        <v>1240</v>
      </c>
      <c r="B277" s="85" t="s">
        <v>1241</v>
      </c>
    </row>
    <row r="278" spans="1:2">
      <c r="B278" s="85" t="s">
        <v>1242</v>
      </c>
    </row>
    <row r="279" spans="1:2">
      <c r="B279" s="85" t="s">
        <v>1243</v>
      </c>
    </row>
    <row r="280" spans="1:2">
      <c r="B280" s="85" t="s">
        <v>1244</v>
      </c>
    </row>
    <row r="281" spans="1:2">
      <c r="B281" s="85" t="s">
        <v>1245</v>
      </c>
    </row>
    <row r="282" spans="1:2">
      <c r="B282" s="85" t="s">
        <v>1246</v>
      </c>
    </row>
    <row r="283" spans="1:2">
      <c r="B283" s="85" t="s">
        <v>1247</v>
      </c>
    </row>
    <row r="284" spans="1:2">
      <c r="B284" s="85" t="s">
        <v>1248</v>
      </c>
    </row>
    <row r="285" spans="1:2">
      <c r="B285" s="85" t="s">
        <v>1249</v>
      </c>
    </row>
    <row r="286" spans="1:2">
      <c r="B286" s="85" t="s">
        <v>1250</v>
      </c>
    </row>
    <row r="287" spans="1:2">
      <c r="B287" s="85" t="s">
        <v>1251</v>
      </c>
    </row>
    <row r="288" spans="1:2">
      <c r="B288" s="85" t="s">
        <v>1252</v>
      </c>
    </row>
    <row r="289" spans="2:2">
      <c r="B289" s="85" t="s">
        <v>1253</v>
      </c>
    </row>
    <row r="290" spans="2:2">
      <c r="B290" s="85" t="s">
        <v>1254</v>
      </c>
    </row>
    <row r="291" spans="2:2">
      <c r="B291" s="85" t="s">
        <v>1255</v>
      </c>
    </row>
    <row r="292" spans="2:2">
      <c r="B292" s="85" t="s">
        <v>1256</v>
      </c>
    </row>
    <row r="293" spans="2:2">
      <c r="B293" s="85" t="s">
        <v>1257</v>
      </c>
    </row>
    <row r="294" spans="2:2">
      <c r="B294" s="85" t="s">
        <v>1258</v>
      </c>
    </row>
    <row r="295" spans="2:2">
      <c r="B295" s="85" t="s">
        <v>1259</v>
      </c>
    </row>
    <row r="296" spans="2:2">
      <c r="B296" s="85" t="s">
        <v>1260</v>
      </c>
    </row>
    <row r="297" spans="2:2">
      <c r="B297" s="85" t="s">
        <v>1261</v>
      </c>
    </row>
    <row r="298" spans="2:2">
      <c r="B298" s="85" t="s">
        <v>1262</v>
      </c>
    </row>
    <row r="299" spans="2:2">
      <c r="B299" s="85" t="s">
        <v>1263</v>
      </c>
    </row>
    <row r="300" spans="2:2">
      <c r="B300" s="85" t="s">
        <v>1264</v>
      </c>
    </row>
    <row r="301" spans="2:2">
      <c r="B301" s="85" t="s">
        <v>1265</v>
      </c>
    </row>
    <row r="302" spans="2:2">
      <c r="B302" s="85" t="s">
        <v>1266</v>
      </c>
    </row>
    <row r="303" spans="2:2">
      <c r="B303" t="s">
        <v>1267</v>
      </c>
    </row>
    <row r="304" spans="2:2">
      <c r="B304" t="s">
        <v>1268</v>
      </c>
    </row>
    <row r="305" spans="2:2">
      <c r="B305" t="s">
        <v>1269</v>
      </c>
    </row>
    <row r="306" spans="2:2">
      <c r="B306" t="s">
        <v>1270</v>
      </c>
    </row>
    <row r="307" spans="2:2">
      <c r="B307" t="s">
        <v>1271</v>
      </c>
    </row>
    <row r="308" spans="2:2">
      <c r="B308" t="s">
        <v>1272</v>
      </c>
    </row>
    <row r="309" spans="2:2">
      <c r="B309" t="s">
        <v>1273</v>
      </c>
    </row>
    <row r="310" spans="2:2">
      <c r="B310" t="s">
        <v>1274</v>
      </c>
    </row>
    <row r="311" spans="2:2">
      <c r="B311" t="s">
        <v>1275</v>
      </c>
    </row>
    <row r="312" spans="2:2">
      <c r="B312" t="s">
        <v>1276</v>
      </c>
    </row>
    <row r="313" spans="2:2">
      <c r="B313" t="s">
        <v>1277</v>
      </c>
    </row>
    <row r="314" spans="2:2">
      <c r="B314" t="s">
        <v>1278</v>
      </c>
    </row>
    <row r="315" spans="2:2">
      <c r="B315" t="s">
        <v>1279</v>
      </c>
    </row>
    <row r="316" spans="2:2">
      <c r="B316" t="s">
        <v>1280</v>
      </c>
    </row>
    <row r="317" spans="2:2">
      <c r="B317" t="s">
        <v>1281</v>
      </c>
    </row>
    <row r="318" spans="2:2">
      <c r="B318" t="s">
        <v>1282</v>
      </c>
    </row>
    <row r="319" spans="2:2">
      <c r="B319" t="s">
        <v>1283</v>
      </c>
    </row>
    <row r="320" spans="2:2">
      <c r="B320" t="s">
        <v>1284</v>
      </c>
    </row>
    <row r="321" spans="2:2">
      <c r="B321" t="s">
        <v>1285</v>
      </c>
    </row>
    <row r="322" spans="2:2">
      <c r="B322" t="s">
        <v>1286</v>
      </c>
    </row>
    <row r="323" spans="2:2">
      <c r="B323" t="s">
        <v>1287</v>
      </c>
    </row>
    <row r="324" spans="2:2">
      <c r="B324" t="s">
        <v>1288</v>
      </c>
    </row>
    <row r="325" spans="2:2">
      <c r="B325" t="s">
        <v>1289</v>
      </c>
    </row>
    <row r="326" spans="2:2">
      <c r="B326" t="s">
        <v>1290</v>
      </c>
    </row>
    <row r="327" spans="2:2">
      <c r="B327" t="s">
        <v>1291</v>
      </c>
    </row>
    <row r="328" spans="2:2">
      <c r="B328" t="s">
        <v>1292</v>
      </c>
    </row>
    <row r="329" spans="2:2">
      <c r="B329" t="s">
        <v>1293</v>
      </c>
    </row>
    <row r="330" spans="2:2">
      <c r="B330" t="s">
        <v>1294</v>
      </c>
    </row>
    <row r="331" spans="2:2">
      <c r="B331" t="s">
        <v>1295</v>
      </c>
    </row>
    <row r="332" spans="2:2">
      <c r="B332" t="s">
        <v>1296</v>
      </c>
    </row>
    <row r="333" spans="2:2">
      <c r="B333" t="s">
        <v>1297</v>
      </c>
    </row>
    <row r="334" spans="2:2">
      <c r="B334" t="s">
        <v>1298</v>
      </c>
    </row>
    <row r="335" spans="2:2">
      <c r="B335" t="s">
        <v>1299</v>
      </c>
    </row>
    <row r="336" spans="2:2">
      <c r="B336" t="s">
        <v>1300</v>
      </c>
    </row>
    <row r="337" spans="2:2">
      <c r="B337" t="s">
        <v>1301</v>
      </c>
    </row>
    <row r="338" spans="2:2">
      <c r="B338" t="s">
        <v>1302</v>
      </c>
    </row>
    <row r="339" spans="2:2">
      <c r="B339" t="s">
        <v>1303</v>
      </c>
    </row>
    <row r="340" spans="2:2">
      <c r="B340" t="s">
        <v>1304</v>
      </c>
    </row>
    <row r="341" spans="2:2">
      <c r="B341" t="s">
        <v>1305</v>
      </c>
    </row>
    <row r="342" spans="2:2">
      <c r="B342" t="s">
        <v>1306</v>
      </c>
    </row>
    <row r="343" spans="2:2">
      <c r="B343" t="s">
        <v>1307</v>
      </c>
    </row>
    <row r="344" spans="2:2">
      <c r="B344" t="s">
        <v>1308</v>
      </c>
    </row>
    <row r="345" spans="2:2">
      <c r="B345" t="s">
        <v>1309</v>
      </c>
    </row>
    <row r="346" spans="2:2">
      <c r="B346" t="s">
        <v>1310</v>
      </c>
    </row>
    <row r="347" spans="2:2">
      <c r="B347" t="s">
        <v>1311</v>
      </c>
    </row>
    <row r="348" spans="2:2">
      <c r="B348" t="s">
        <v>1312</v>
      </c>
    </row>
    <row r="349" spans="2:2">
      <c r="B349" t="s">
        <v>1313</v>
      </c>
    </row>
    <row r="350" spans="2:2">
      <c r="B350" t="s">
        <v>1314</v>
      </c>
    </row>
    <row r="351" spans="2:2">
      <c r="B351" s="85" t="s">
        <v>1315</v>
      </c>
    </row>
    <row r="352" spans="2:2">
      <c r="B352" s="85" t="s">
        <v>1316</v>
      </c>
    </row>
    <row r="353" spans="2:2">
      <c r="B353" s="85" t="s">
        <v>1317</v>
      </c>
    </row>
    <row r="354" spans="2:2">
      <c r="B354" s="85" t="s">
        <v>1318</v>
      </c>
    </row>
    <row r="355" spans="2:2">
      <c r="B355" s="85" t="s">
        <v>1319</v>
      </c>
    </row>
    <row r="356" spans="2:2">
      <c r="B356" s="85" t="s">
        <v>1320</v>
      </c>
    </row>
    <row r="357" spans="2:2">
      <c r="B357" s="85" t="s">
        <v>1321</v>
      </c>
    </row>
    <row r="358" spans="2:2">
      <c r="B358" s="85" t="s">
        <v>1322</v>
      </c>
    </row>
    <row r="359" spans="2:2">
      <c r="B359" s="85" t="s">
        <v>1323</v>
      </c>
    </row>
    <row r="360" spans="2:2">
      <c r="B360" s="85" t="s">
        <v>1324</v>
      </c>
    </row>
    <row r="361" spans="2:2">
      <c r="B361" s="85" t="s">
        <v>1325</v>
      </c>
    </row>
    <row r="362" spans="2:2">
      <c r="B362" t="s">
        <v>1326</v>
      </c>
    </row>
    <row r="363" spans="2:2">
      <c r="B363" t="s">
        <v>1327</v>
      </c>
    </row>
    <row r="364" spans="2:2">
      <c r="B364" t="s">
        <v>1328</v>
      </c>
    </row>
    <row r="365" spans="2:2">
      <c r="B365" t="s">
        <v>1329</v>
      </c>
    </row>
    <row r="366" spans="2:2">
      <c r="B366" t="s">
        <v>1330</v>
      </c>
    </row>
    <row r="367" spans="2:2">
      <c r="B367" t="s">
        <v>1331</v>
      </c>
    </row>
    <row r="368" spans="2:2">
      <c r="B368" t="s">
        <v>1332</v>
      </c>
    </row>
    <row r="369" spans="2:2">
      <c r="B369" t="s">
        <v>1333</v>
      </c>
    </row>
    <row r="370" spans="2:2">
      <c r="B370" t="s">
        <v>1334</v>
      </c>
    </row>
    <row r="371" spans="2:2">
      <c r="B371" t="s">
        <v>1335</v>
      </c>
    </row>
    <row r="372" spans="2:2">
      <c r="B372" t="s">
        <v>1336</v>
      </c>
    </row>
    <row r="373" spans="2:2">
      <c r="B373" t="s">
        <v>1337</v>
      </c>
    </row>
    <row r="374" spans="2:2">
      <c r="B374" t="s">
        <v>1338</v>
      </c>
    </row>
    <row r="375" spans="2:2">
      <c r="B375" t="s">
        <v>1339</v>
      </c>
    </row>
    <row r="376" spans="2:2">
      <c r="B376" t="s">
        <v>1340</v>
      </c>
    </row>
    <row r="377" spans="2:2">
      <c r="B377" t="s">
        <v>1341</v>
      </c>
    </row>
    <row r="378" spans="2:2">
      <c r="B378" t="s">
        <v>1342</v>
      </c>
    </row>
    <row r="379" spans="2:2">
      <c r="B379" t="s">
        <v>1343</v>
      </c>
    </row>
    <row r="380" spans="2:2">
      <c r="B380" t="s">
        <v>1344</v>
      </c>
    </row>
    <row r="381" spans="2:2">
      <c r="B381" t="s">
        <v>1345</v>
      </c>
    </row>
    <row r="382" spans="2:2">
      <c r="B382" t="s">
        <v>1346</v>
      </c>
    </row>
    <row r="383" spans="2:2">
      <c r="B383" t="s">
        <v>1347</v>
      </c>
    </row>
    <row r="384" spans="2:2">
      <c r="B384" t="s">
        <v>1348</v>
      </c>
    </row>
    <row r="385" spans="2:2">
      <c r="B385" t="s">
        <v>1349</v>
      </c>
    </row>
    <row r="386" spans="2:2">
      <c r="B386" t="s">
        <v>1350</v>
      </c>
    </row>
    <row r="387" spans="2:2">
      <c r="B387" t="s">
        <v>1351</v>
      </c>
    </row>
    <row r="388" spans="2:2">
      <c r="B388" t="s">
        <v>1352</v>
      </c>
    </row>
    <row r="389" spans="2:2">
      <c r="B389" t="s">
        <v>1353</v>
      </c>
    </row>
    <row r="390" spans="2:2">
      <c r="B390" t="s">
        <v>1354</v>
      </c>
    </row>
    <row r="391" spans="2:2">
      <c r="B391" t="s">
        <v>1355</v>
      </c>
    </row>
    <row r="392" spans="2:2">
      <c r="B392" t="s">
        <v>1356</v>
      </c>
    </row>
    <row r="393" spans="2:2">
      <c r="B393" t="s">
        <v>1357</v>
      </c>
    </row>
    <row r="394" spans="2:2">
      <c r="B394" t="s">
        <v>1358</v>
      </c>
    </row>
    <row r="395" spans="2:2">
      <c r="B395" t="s">
        <v>1359</v>
      </c>
    </row>
    <row r="396" spans="2:2">
      <c r="B396" t="s">
        <v>1360</v>
      </c>
    </row>
    <row r="397" spans="2:2">
      <c r="B397" t="s">
        <v>1361</v>
      </c>
    </row>
    <row r="398" spans="2:2">
      <c r="B398" t="s">
        <v>1362</v>
      </c>
    </row>
    <row r="399" spans="2:2">
      <c r="B399" t="s">
        <v>1363</v>
      </c>
    </row>
    <row r="400" spans="2:2">
      <c r="B400" t="s">
        <v>1364</v>
      </c>
    </row>
    <row r="401" spans="2:2">
      <c r="B401" t="s">
        <v>1365</v>
      </c>
    </row>
    <row r="402" spans="2:2">
      <c r="B402" t="s">
        <v>1366</v>
      </c>
    </row>
    <row r="403" spans="2:2">
      <c r="B403" t="s">
        <v>1367</v>
      </c>
    </row>
    <row r="404" spans="2:2">
      <c r="B404" t="s">
        <v>1368</v>
      </c>
    </row>
    <row r="405" spans="2:2">
      <c r="B405" t="s">
        <v>1369</v>
      </c>
    </row>
    <row r="406" spans="2:2">
      <c r="B406" t="s">
        <v>1370</v>
      </c>
    </row>
    <row r="407" spans="2:2">
      <c r="B407" t="s">
        <v>1371</v>
      </c>
    </row>
    <row r="408" spans="2:2">
      <c r="B408" t="s">
        <v>1372</v>
      </c>
    </row>
    <row r="409" spans="2:2">
      <c r="B409" t="s">
        <v>1373</v>
      </c>
    </row>
    <row r="410" spans="2:2">
      <c r="B410" t="s">
        <v>1374</v>
      </c>
    </row>
    <row r="411" spans="2:2">
      <c r="B411" t="s">
        <v>1375</v>
      </c>
    </row>
    <row r="412" spans="2:2">
      <c r="B412" t="s">
        <v>1376</v>
      </c>
    </row>
    <row r="413" spans="2:2">
      <c r="B413" t="s">
        <v>1377</v>
      </c>
    </row>
    <row r="414" spans="2:2">
      <c r="B414" t="s">
        <v>1378</v>
      </c>
    </row>
    <row r="415" spans="2:2">
      <c r="B415" t="s">
        <v>1379</v>
      </c>
    </row>
    <row r="416" spans="2:2">
      <c r="B416" t="s">
        <v>1380</v>
      </c>
    </row>
    <row r="417" spans="2:2">
      <c r="B417" t="s">
        <v>1381</v>
      </c>
    </row>
    <row r="418" spans="2:2">
      <c r="B418" t="s">
        <v>1382</v>
      </c>
    </row>
    <row r="419" spans="2:2">
      <c r="B419" t="s">
        <v>1383</v>
      </c>
    </row>
    <row r="420" spans="2:2">
      <c r="B420" t="s">
        <v>1384</v>
      </c>
    </row>
    <row r="421" spans="2:2">
      <c r="B421" t="s">
        <v>1385</v>
      </c>
    </row>
    <row r="422" spans="2:2">
      <c r="B422" t="s">
        <v>1386</v>
      </c>
    </row>
    <row r="423" spans="2:2">
      <c r="B423" t="s">
        <v>1387</v>
      </c>
    </row>
    <row r="424" spans="2:2">
      <c r="B424" t="s">
        <v>1388</v>
      </c>
    </row>
    <row r="425" spans="2:2">
      <c r="B425" t="s">
        <v>1389</v>
      </c>
    </row>
    <row r="426" spans="2:2">
      <c r="B426" t="s">
        <v>1390</v>
      </c>
    </row>
    <row r="427" spans="2:2">
      <c r="B427" t="s">
        <v>1391</v>
      </c>
    </row>
    <row r="428" spans="2:2">
      <c r="B428" t="s">
        <v>1392</v>
      </c>
    </row>
    <row r="429" spans="2:2">
      <c r="B429" t="s">
        <v>1393</v>
      </c>
    </row>
    <row r="430" spans="2:2">
      <c r="B430" t="s">
        <v>1394</v>
      </c>
    </row>
    <row r="431" spans="2:2">
      <c r="B431" t="s">
        <v>1395</v>
      </c>
    </row>
    <row r="432" spans="2:2">
      <c r="B432" t="s">
        <v>1396</v>
      </c>
    </row>
    <row r="433" spans="2:2">
      <c r="B433" t="s">
        <v>1397</v>
      </c>
    </row>
    <row r="434" spans="2:2">
      <c r="B434" t="s">
        <v>1398</v>
      </c>
    </row>
    <row r="435" spans="2:2">
      <c r="B435" t="s">
        <v>1399</v>
      </c>
    </row>
    <row r="436" spans="2:2">
      <c r="B436" t="s">
        <v>1400</v>
      </c>
    </row>
    <row r="437" spans="2:2">
      <c r="B437" t="s">
        <v>1401</v>
      </c>
    </row>
    <row r="438" spans="2:2">
      <c r="B438" t="s">
        <v>1402</v>
      </c>
    </row>
    <row r="439" spans="2:2">
      <c r="B439" t="s">
        <v>1403</v>
      </c>
    </row>
    <row r="440" spans="2:2">
      <c r="B440" t="s">
        <v>1404</v>
      </c>
    </row>
    <row r="441" spans="2:2">
      <c r="B441" t="s">
        <v>1405</v>
      </c>
    </row>
    <row r="442" spans="2:2">
      <c r="B442" t="s">
        <v>1406</v>
      </c>
    </row>
    <row r="443" spans="2:2">
      <c r="B443" t="s">
        <v>1407</v>
      </c>
    </row>
    <row r="444" spans="2:2">
      <c r="B444" t="s">
        <v>1408</v>
      </c>
    </row>
    <row r="445" spans="2:2">
      <c r="B445" t="s">
        <v>1409</v>
      </c>
    </row>
    <row r="446" spans="2:2">
      <c r="B446" t="s">
        <v>1410</v>
      </c>
    </row>
    <row r="447" spans="2:2">
      <c r="B447" t="s">
        <v>1411</v>
      </c>
    </row>
    <row r="448" spans="2:2">
      <c r="B448" t="s">
        <v>1412</v>
      </c>
    </row>
    <row r="449" spans="2:2">
      <c r="B449" t="s">
        <v>1413</v>
      </c>
    </row>
    <row r="450" spans="2:2">
      <c r="B450" t="s">
        <v>1414</v>
      </c>
    </row>
    <row r="451" spans="2:2">
      <c r="B451" t="s">
        <v>1415</v>
      </c>
    </row>
    <row r="452" spans="2:2">
      <c r="B452" t="s">
        <v>1416</v>
      </c>
    </row>
    <row r="453" spans="2:2">
      <c r="B453" t="s">
        <v>1417</v>
      </c>
    </row>
    <row r="454" spans="2:2">
      <c r="B454" t="s">
        <v>1418</v>
      </c>
    </row>
    <row r="455" spans="2:2">
      <c r="B455" t="s">
        <v>1419</v>
      </c>
    </row>
    <row r="456" spans="2:2">
      <c r="B456" t="s">
        <v>1420</v>
      </c>
    </row>
    <row r="457" spans="2:2">
      <c r="B457" t="s">
        <v>1421</v>
      </c>
    </row>
    <row r="458" spans="2:2">
      <c r="B458" t="s">
        <v>1422</v>
      </c>
    </row>
    <row r="459" spans="2:2">
      <c r="B459" t="s">
        <v>1423</v>
      </c>
    </row>
    <row r="460" spans="2:2">
      <c r="B460" t="s">
        <v>1424</v>
      </c>
    </row>
    <row r="461" spans="2:2">
      <c r="B461" t="s">
        <v>1425</v>
      </c>
    </row>
    <row r="462" spans="2:2">
      <c r="B462" t="s">
        <v>1426</v>
      </c>
    </row>
    <row r="463" spans="2:2">
      <c r="B463" t="s">
        <v>1427</v>
      </c>
    </row>
    <row r="464" spans="2:2">
      <c r="B464" t="s">
        <v>1428</v>
      </c>
    </row>
    <row r="465" spans="2:2">
      <c r="B465" t="s">
        <v>1429</v>
      </c>
    </row>
    <row r="466" spans="2:2">
      <c r="B466" t="s">
        <v>1430</v>
      </c>
    </row>
    <row r="467" spans="2:2">
      <c r="B467" t="s">
        <v>1431</v>
      </c>
    </row>
    <row r="468" spans="2:2">
      <c r="B468" t="s">
        <v>1432</v>
      </c>
    </row>
    <row r="469" spans="2:2">
      <c r="B469" t="s">
        <v>1433</v>
      </c>
    </row>
    <row r="470" spans="2:2">
      <c r="B470" t="s">
        <v>1434</v>
      </c>
    </row>
    <row r="471" spans="2:2">
      <c r="B471" t="s">
        <v>1435</v>
      </c>
    </row>
    <row r="472" spans="2:2">
      <c r="B472" t="s">
        <v>1436</v>
      </c>
    </row>
    <row r="473" spans="2:2">
      <c r="B473" t="s">
        <v>1437</v>
      </c>
    </row>
    <row r="474" spans="2:2">
      <c r="B474" t="s">
        <v>1438</v>
      </c>
    </row>
    <row r="475" spans="2:2">
      <c r="B475" t="s">
        <v>1439</v>
      </c>
    </row>
    <row r="476" spans="2:2">
      <c r="B476" t="s">
        <v>1440</v>
      </c>
    </row>
    <row r="477" spans="2:2">
      <c r="B477" t="s">
        <v>1441</v>
      </c>
    </row>
    <row r="478" spans="2:2">
      <c r="B478" t="s">
        <v>1442</v>
      </c>
    </row>
    <row r="479" spans="2:2">
      <c r="B479" t="s">
        <v>1443</v>
      </c>
    </row>
    <row r="480" spans="2:2">
      <c r="B480" t="s">
        <v>1444</v>
      </c>
    </row>
    <row r="481" spans="2:2">
      <c r="B481" t="s">
        <v>1445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06916-4F91-43F7-8562-B13FDA4065F7}">
  <dimension ref="A1:G42"/>
  <sheetViews>
    <sheetView topLeftCell="A35" workbookViewId="0">
      <selection activeCell="F42" sqref="F42"/>
    </sheetView>
  </sheetViews>
  <sheetFormatPr defaultRowHeight="15"/>
  <cols>
    <col min="1" max="1" width="18.140625" bestFit="1" customWidth="1"/>
    <col min="2" max="2" width="16.140625" bestFit="1" customWidth="1"/>
    <col min="3" max="3" width="13.42578125" bestFit="1" customWidth="1"/>
    <col min="4" max="4" width="45.85546875" customWidth="1"/>
    <col min="5" max="5" width="29.28515625" bestFit="1" customWidth="1"/>
    <col min="6" max="6" width="61.42578125" customWidth="1"/>
    <col min="7" max="7" width="55.7109375" customWidth="1"/>
  </cols>
  <sheetData>
    <row r="1" spans="1:7" ht="18.75">
      <c r="A1" s="92" t="s">
        <v>0</v>
      </c>
      <c r="B1" s="92" t="s">
        <v>3</v>
      </c>
      <c r="C1" s="92" t="s">
        <v>5</v>
      </c>
      <c r="D1" s="1" t="s">
        <v>6</v>
      </c>
      <c r="E1" s="1" t="s">
        <v>2</v>
      </c>
      <c r="F1" s="92" t="s">
        <v>7</v>
      </c>
      <c r="G1" s="92" t="s">
        <v>8</v>
      </c>
    </row>
    <row r="2" spans="1:7" ht="18.75">
      <c r="A2" s="93"/>
      <c r="B2" s="93"/>
      <c r="C2" s="94"/>
      <c r="D2" s="93" t="s">
        <v>182</v>
      </c>
      <c r="E2" s="94"/>
      <c r="F2" s="94"/>
      <c r="G2" s="95"/>
    </row>
    <row r="3" spans="1:7" ht="18.75">
      <c r="A3" s="93"/>
      <c r="B3" s="93"/>
      <c r="C3" s="94"/>
      <c r="D3" s="93" t="s">
        <v>183</v>
      </c>
      <c r="E3" s="94"/>
      <c r="F3" s="94"/>
      <c r="G3" s="95"/>
    </row>
    <row r="4" spans="1:7">
      <c r="A4" t="s">
        <v>11</v>
      </c>
      <c r="B4" t="s">
        <v>13</v>
      </c>
      <c r="C4" t="s">
        <v>184</v>
      </c>
      <c r="D4" t="s">
        <v>185</v>
      </c>
      <c r="E4" t="s">
        <v>11</v>
      </c>
      <c r="F4" t="s">
        <v>186</v>
      </c>
    </row>
    <row r="5" spans="1:7" ht="30">
      <c r="A5" s="15" t="s">
        <v>12</v>
      </c>
      <c r="B5" s="15" t="s">
        <v>95</v>
      </c>
      <c r="C5" s="15" t="s">
        <v>187</v>
      </c>
      <c r="D5" s="18" t="s">
        <v>188</v>
      </c>
      <c r="E5" s="15" t="s">
        <v>12</v>
      </c>
      <c r="F5" s="33">
        <f>F6*F7*F9*F13*F8</f>
        <v>1652927.9039999999</v>
      </c>
      <c r="G5" s="15"/>
    </row>
    <row r="6" spans="1:7" ht="30">
      <c r="A6" t="s">
        <v>11</v>
      </c>
      <c r="B6" t="s">
        <v>124</v>
      </c>
      <c r="C6" t="s">
        <v>189</v>
      </c>
      <c r="D6" s="10" t="s">
        <v>190</v>
      </c>
      <c r="E6" t="s">
        <v>11</v>
      </c>
      <c r="F6" s="41">
        <v>0.73</v>
      </c>
    </row>
    <row r="7" spans="1:7" ht="45">
      <c r="A7" t="s">
        <v>11</v>
      </c>
      <c r="B7" t="s">
        <v>124</v>
      </c>
      <c r="C7" t="s">
        <v>191</v>
      </c>
      <c r="D7" s="10" t="s">
        <v>192</v>
      </c>
      <c r="E7" t="s">
        <v>11</v>
      </c>
      <c r="F7" s="41">
        <v>0.5</v>
      </c>
    </row>
    <row r="8" spans="1:7" ht="30">
      <c r="A8" t="s">
        <v>11</v>
      </c>
      <c r="B8" t="s">
        <v>124</v>
      </c>
      <c r="C8" t="s">
        <v>193</v>
      </c>
      <c r="D8" s="10" t="s">
        <v>194</v>
      </c>
      <c r="E8" t="s">
        <v>11</v>
      </c>
      <c r="F8" s="41">
        <v>1</v>
      </c>
    </row>
    <row r="9" spans="1:7" ht="30">
      <c r="A9" s="15" t="s">
        <v>12</v>
      </c>
      <c r="B9" s="15" t="s">
        <v>95</v>
      </c>
      <c r="C9" s="15" t="s">
        <v>195</v>
      </c>
      <c r="D9" s="18" t="s">
        <v>196</v>
      </c>
      <c r="E9" s="15" t="s">
        <v>12</v>
      </c>
      <c r="F9" s="33">
        <f>F10*(F11/365)</f>
        <v>36000</v>
      </c>
      <c r="G9" s="15"/>
    </row>
    <row r="10" spans="1:7" ht="30">
      <c r="A10" t="s">
        <v>11</v>
      </c>
      <c r="B10" t="s">
        <v>124</v>
      </c>
      <c r="C10" t="s">
        <v>197</v>
      </c>
      <c r="D10" s="10" t="s">
        <v>198</v>
      </c>
      <c r="E10" t="s">
        <v>11</v>
      </c>
      <c r="F10" s="41">
        <v>365</v>
      </c>
    </row>
    <row r="11" spans="1:7" ht="34.5" customHeight="1">
      <c r="A11" t="s">
        <v>11</v>
      </c>
      <c r="B11" t="s">
        <v>124</v>
      </c>
      <c r="C11" t="s">
        <v>199</v>
      </c>
      <c r="D11" s="10" t="s">
        <v>200</v>
      </c>
      <c r="E11" t="s">
        <v>11</v>
      </c>
      <c r="F11" s="41">
        <v>36000</v>
      </c>
    </row>
    <row r="12" spans="1:7" s="41" customFormat="1" ht="76.5">
      <c r="A12" s="96" t="s">
        <v>11</v>
      </c>
      <c r="B12" s="96" t="s">
        <v>91</v>
      </c>
      <c r="C12" s="96" t="s">
        <v>6</v>
      </c>
      <c r="D12" s="58" t="s">
        <v>201</v>
      </c>
      <c r="E12" s="96" t="s">
        <v>12</v>
      </c>
      <c r="F12" s="58" t="s">
        <v>202</v>
      </c>
      <c r="G12" s="58"/>
    </row>
    <row r="13" spans="1:7" ht="45.75">
      <c r="A13" s="15" t="s">
        <v>12</v>
      </c>
      <c r="B13" s="15" t="s">
        <v>95</v>
      </c>
      <c r="C13" s="15" t="s">
        <v>203</v>
      </c>
      <c r="D13" s="18" t="s">
        <v>204</v>
      </c>
      <c r="E13" s="15" t="s">
        <v>12</v>
      </c>
      <c r="F13" s="33">
        <f>IF(AND(F12="Default Value"),ABS(F14*(1-(F15/100))+(F16*F14))*ABS(((1-F17)/F18))*F19,IF(AND(F12="Adjusted Default Value"),(F20/F21)*F22*F19))</f>
        <v>125.7936</v>
      </c>
      <c r="G13" s="15"/>
    </row>
    <row r="14" spans="1:7" ht="30">
      <c r="A14" t="s">
        <v>11</v>
      </c>
      <c r="B14" t="s">
        <v>124</v>
      </c>
      <c r="C14" t="s">
        <v>205</v>
      </c>
      <c r="D14" s="10" t="s">
        <v>206</v>
      </c>
      <c r="E14" t="s">
        <v>11</v>
      </c>
      <c r="F14" s="41">
        <v>120</v>
      </c>
    </row>
    <row r="15" spans="1:7" ht="18" customHeight="1">
      <c r="A15" t="s">
        <v>11</v>
      </c>
      <c r="B15" t="s">
        <v>124</v>
      </c>
      <c r="C15" t="s">
        <v>207</v>
      </c>
      <c r="D15" t="s">
        <v>208</v>
      </c>
      <c r="E15" t="s">
        <v>11</v>
      </c>
      <c r="F15" s="41">
        <v>0.5</v>
      </c>
    </row>
    <row r="16" spans="1:7">
      <c r="A16" t="s">
        <v>11</v>
      </c>
      <c r="B16" t="s">
        <v>124</v>
      </c>
      <c r="C16" t="s">
        <v>209</v>
      </c>
      <c r="D16" t="s">
        <v>210</v>
      </c>
      <c r="E16" t="s">
        <v>11</v>
      </c>
      <c r="F16" s="41">
        <v>0.8</v>
      </c>
    </row>
    <row r="17" spans="1:7" ht="30">
      <c r="A17" t="s">
        <v>11</v>
      </c>
      <c r="B17" t="s">
        <v>124</v>
      </c>
      <c r="C17" t="s">
        <v>211</v>
      </c>
      <c r="D17" s="10" t="s">
        <v>212</v>
      </c>
      <c r="E17" t="s">
        <v>11</v>
      </c>
      <c r="F17" s="41">
        <v>0.2</v>
      </c>
    </row>
    <row r="18" spans="1:7" ht="30">
      <c r="A18" t="s">
        <v>11</v>
      </c>
      <c r="B18" t="s">
        <v>124</v>
      </c>
      <c r="C18" t="s">
        <v>213</v>
      </c>
      <c r="D18" s="10" t="s">
        <v>214</v>
      </c>
      <c r="E18" t="s">
        <v>11</v>
      </c>
      <c r="F18" s="41">
        <v>500</v>
      </c>
    </row>
    <row r="19" spans="1:7" ht="30">
      <c r="A19" t="s">
        <v>11</v>
      </c>
      <c r="B19" t="s">
        <v>124</v>
      </c>
      <c r="C19" t="s">
        <v>215</v>
      </c>
      <c r="D19" s="10" t="s">
        <v>216</v>
      </c>
      <c r="E19" t="s">
        <v>11</v>
      </c>
      <c r="F19" s="41">
        <v>365</v>
      </c>
    </row>
    <row r="20" spans="1:7" ht="34.5" customHeight="1">
      <c r="A20" t="s">
        <v>11</v>
      </c>
      <c r="B20" t="s">
        <v>124</v>
      </c>
      <c r="C20" t="s">
        <v>217</v>
      </c>
      <c r="D20" s="10" t="s">
        <v>218</v>
      </c>
      <c r="E20" t="s">
        <v>11</v>
      </c>
      <c r="F20" s="41">
        <v>150</v>
      </c>
    </row>
    <row r="21" spans="1:7" ht="45">
      <c r="A21" t="s">
        <v>11</v>
      </c>
      <c r="B21" t="s">
        <v>124</v>
      </c>
      <c r="C21" t="s">
        <v>219</v>
      </c>
      <c r="D21" s="10" t="s">
        <v>220</v>
      </c>
      <c r="E21" t="s">
        <v>11</v>
      </c>
      <c r="F21" s="41">
        <v>160</v>
      </c>
    </row>
    <row r="22" spans="1:7" ht="45">
      <c r="A22" t="s">
        <v>11</v>
      </c>
      <c r="B22" t="s">
        <v>124</v>
      </c>
      <c r="C22" t="s">
        <v>221</v>
      </c>
      <c r="D22" s="10" t="s">
        <v>222</v>
      </c>
      <c r="E22" t="s">
        <v>11</v>
      </c>
      <c r="F22" s="41">
        <v>2.2999999999999998</v>
      </c>
    </row>
    <row r="23" spans="1:7" ht="18.75">
      <c r="A23" s="93"/>
      <c r="B23" s="93"/>
      <c r="C23" s="94"/>
      <c r="D23" s="93" t="s">
        <v>182</v>
      </c>
      <c r="E23" s="94"/>
      <c r="F23" s="94"/>
      <c r="G23" s="95"/>
    </row>
    <row r="24" spans="1:7">
      <c r="A24" t="s">
        <v>11</v>
      </c>
      <c r="B24" t="s">
        <v>13</v>
      </c>
      <c r="C24" t="s">
        <v>184</v>
      </c>
      <c r="D24" t="s">
        <v>185</v>
      </c>
      <c r="E24" t="s">
        <v>11</v>
      </c>
      <c r="F24" t="s">
        <v>223</v>
      </c>
    </row>
    <row r="25" spans="1:7" ht="30">
      <c r="A25" s="15" t="s">
        <v>12</v>
      </c>
      <c r="B25" s="15" t="s">
        <v>95</v>
      </c>
      <c r="C25" s="15" t="s">
        <v>224</v>
      </c>
      <c r="D25" s="18" t="s">
        <v>188</v>
      </c>
      <c r="E25" s="15" t="s">
        <v>12</v>
      </c>
      <c r="F25" s="33">
        <f>F26*F27*F29*F33*F28</f>
        <v>137215.35520000002</v>
      </c>
      <c r="G25" s="15"/>
    </row>
    <row r="26" spans="1:7" ht="30">
      <c r="A26" t="s">
        <v>11</v>
      </c>
      <c r="B26" t="s">
        <v>124</v>
      </c>
      <c r="C26" t="s">
        <v>189</v>
      </c>
      <c r="D26" s="10" t="s">
        <v>190</v>
      </c>
      <c r="E26" t="s">
        <v>11</v>
      </c>
      <c r="F26" s="41">
        <v>0.73</v>
      </c>
    </row>
    <row r="27" spans="1:7" ht="45">
      <c r="A27" t="s">
        <v>11</v>
      </c>
      <c r="B27" t="s">
        <v>124</v>
      </c>
      <c r="C27" t="s">
        <v>191</v>
      </c>
      <c r="D27" s="10" t="s">
        <v>192</v>
      </c>
      <c r="E27" t="s">
        <v>11</v>
      </c>
      <c r="F27" s="41">
        <v>0.5</v>
      </c>
    </row>
    <row r="28" spans="1:7" ht="30">
      <c r="A28" t="s">
        <v>11</v>
      </c>
      <c r="B28" t="s">
        <v>124</v>
      </c>
      <c r="C28" t="s">
        <v>193</v>
      </c>
      <c r="D28" s="10" t="s">
        <v>194</v>
      </c>
      <c r="E28" t="s">
        <v>11</v>
      </c>
      <c r="F28" s="41">
        <v>1</v>
      </c>
    </row>
    <row r="29" spans="1:7" ht="30">
      <c r="A29" s="15" t="s">
        <v>12</v>
      </c>
      <c r="B29" s="15" t="s">
        <v>95</v>
      </c>
      <c r="C29" s="15" t="s">
        <v>195</v>
      </c>
      <c r="D29" s="18" t="s">
        <v>196</v>
      </c>
      <c r="E29" s="15" t="s">
        <v>12</v>
      </c>
      <c r="F29" s="33">
        <f>F30*(F31/365)</f>
        <v>10000</v>
      </c>
      <c r="G29" s="15"/>
    </row>
    <row r="30" spans="1:7" ht="30">
      <c r="A30" t="s">
        <v>11</v>
      </c>
      <c r="B30" t="s">
        <v>124</v>
      </c>
      <c r="C30" t="s">
        <v>197</v>
      </c>
      <c r="D30" s="10" t="s">
        <v>198</v>
      </c>
      <c r="E30" t="s">
        <v>11</v>
      </c>
      <c r="F30" s="41">
        <v>365</v>
      </c>
    </row>
    <row r="31" spans="1:7" ht="34.5" customHeight="1">
      <c r="A31" t="s">
        <v>11</v>
      </c>
      <c r="B31" t="s">
        <v>124</v>
      </c>
      <c r="C31" t="s">
        <v>199</v>
      </c>
      <c r="D31" s="10" t="s">
        <v>200</v>
      </c>
      <c r="E31" t="s">
        <v>11</v>
      </c>
      <c r="F31" s="41">
        <v>10000</v>
      </c>
    </row>
    <row r="32" spans="1:7" s="41" customFormat="1" ht="75">
      <c r="A32" s="96" t="s">
        <v>11</v>
      </c>
      <c r="B32" s="96" t="s">
        <v>91</v>
      </c>
      <c r="C32" s="96" t="s">
        <v>6</v>
      </c>
      <c r="D32" s="58" t="s">
        <v>201</v>
      </c>
      <c r="E32" s="96" t="s">
        <v>12</v>
      </c>
      <c r="F32" s="58" t="s">
        <v>202</v>
      </c>
      <c r="G32" s="58"/>
    </row>
    <row r="33" spans="1:7" ht="45">
      <c r="A33" s="15" t="s">
        <v>12</v>
      </c>
      <c r="B33" s="15" t="s">
        <v>95</v>
      </c>
      <c r="C33" s="15" t="s">
        <v>203</v>
      </c>
      <c r="D33" s="18" t="s">
        <v>204</v>
      </c>
      <c r="E33" s="15" t="s">
        <v>12</v>
      </c>
      <c r="F33" s="33">
        <f>IF(AND(F32="Default Value"),ABS(F34*(1-(F35/100))+(F36*F34))*ABS(((1-F37)/F38))*F39,IF(AND(F32="Adjusted Default Value"),(F40/F41)*F42*F39))</f>
        <v>37.593248000000003</v>
      </c>
      <c r="G33" s="15"/>
    </row>
    <row r="34" spans="1:7" ht="30">
      <c r="A34" t="s">
        <v>11</v>
      </c>
      <c r="B34" t="s">
        <v>124</v>
      </c>
      <c r="C34" t="s">
        <v>205</v>
      </c>
      <c r="D34" s="10" t="s">
        <v>206</v>
      </c>
      <c r="E34" t="s">
        <v>11</v>
      </c>
      <c r="F34" s="41">
        <v>38</v>
      </c>
    </row>
    <row r="35" spans="1:7" ht="18" customHeight="1">
      <c r="A35" t="s">
        <v>11</v>
      </c>
      <c r="B35" t="s">
        <v>124</v>
      </c>
      <c r="C35" t="s">
        <v>207</v>
      </c>
      <c r="D35" t="s">
        <v>208</v>
      </c>
      <c r="E35" t="s">
        <v>11</v>
      </c>
      <c r="F35" s="41">
        <v>0.6</v>
      </c>
    </row>
    <row r="36" spans="1:7">
      <c r="A36" t="s">
        <v>11</v>
      </c>
      <c r="B36" t="s">
        <v>124</v>
      </c>
      <c r="C36" t="s">
        <v>209</v>
      </c>
      <c r="D36" t="s">
        <v>210</v>
      </c>
      <c r="E36" t="s">
        <v>11</v>
      </c>
      <c r="F36" s="41">
        <v>0.7</v>
      </c>
    </row>
    <row r="37" spans="1:7" ht="30">
      <c r="A37" t="s">
        <v>11</v>
      </c>
      <c r="B37" t="s">
        <v>124</v>
      </c>
      <c r="C37" t="s">
        <v>211</v>
      </c>
      <c r="D37" s="10" t="s">
        <v>212</v>
      </c>
      <c r="E37" t="s">
        <v>11</v>
      </c>
      <c r="F37" s="41">
        <v>0.2</v>
      </c>
    </row>
    <row r="38" spans="1:7" ht="30">
      <c r="A38" t="s">
        <v>11</v>
      </c>
      <c r="B38" t="s">
        <v>124</v>
      </c>
      <c r="C38" t="s">
        <v>213</v>
      </c>
      <c r="D38" s="10" t="s">
        <v>214</v>
      </c>
      <c r="E38" t="s">
        <v>11</v>
      </c>
      <c r="F38" s="41">
        <v>500</v>
      </c>
    </row>
    <row r="39" spans="1:7" ht="30">
      <c r="A39" t="s">
        <v>11</v>
      </c>
      <c r="B39" t="s">
        <v>124</v>
      </c>
      <c r="C39" t="s">
        <v>215</v>
      </c>
      <c r="D39" s="10" t="s">
        <v>216</v>
      </c>
      <c r="E39" t="s">
        <v>11</v>
      </c>
      <c r="F39" s="41">
        <v>365</v>
      </c>
    </row>
    <row r="40" spans="1:7" ht="34.5" customHeight="1">
      <c r="A40" t="s">
        <v>11</v>
      </c>
      <c r="B40" t="s">
        <v>124</v>
      </c>
      <c r="C40" t="s">
        <v>217</v>
      </c>
      <c r="D40" s="10" t="s">
        <v>218</v>
      </c>
      <c r="E40" t="s">
        <v>11</v>
      </c>
      <c r="F40" s="41">
        <v>150</v>
      </c>
    </row>
    <row r="41" spans="1:7" ht="45">
      <c r="A41" t="s">
        <v>11</v>
      </c>
      <c r="B41" t="s">
        <v>124</v>
      </c>
      <c r="C41" t="s">
        <v>219</v>
      </c>
      <c r="D41" s="10" t="s">
        <v>220</v>
      </c>
      <c r="E41" t="s">
        <v>11</v>
      </c>
      <c r="F41" s="41">
        <v>160</v>
      </c>
    </row>
    <row r="42" spans="1:7" ht="45">
      <c r="A42" t="s">
        <v>11</v>
      </c>
      <c r="B42" t="s">
        <v>124</v>
      </c>
      <c r="C42" t="s">
        <v>221</v>
      </c>
      <c r="D42" s="10" t="s">
        <v>222</v>
      </c>
      <c r="E42" t="s">
        <v>11</v>
      </c>
      <c r="F42" s="41">
        <v>2.2999999999999998</v>
      </c>
    </row>
  </sheetData>
  <dataValidations count="1">
    <dataValidation type="list" allowBlank="1" showInputMessage="1" showErrorMessage="1" sqref="F12 F32" xr:uid="{665A00D2-0612-479E-90EA-BF874A77BD00}">
      <formula1>"Default Value,Adjusted Default Value"</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0F6A8-1D66-44C6-8330-97A5531B7240}">
  <dimension ref="A1:G16"/>
  <sheetViews>
    <sheetView topLeftCell="A8" workbookViewId="0">
      <selection activeCell="D38" sqref="D38"/>
    </sheetView>
  </sheetViews>
  <sheetFormatPr defaultRowHeight="15"/>
  <cols>
    <col min="1" max="1" width="18.140625" bestFit="1" customWidth="1"/>
    <col min="2" max="2" width="16.140625" bestFit="1" customWidth="1"/>
    <col min="3" max="3" width="14.85546875" bestFit="1" customWidth="1"/>
    <col min="4" max="4" width="46.85546875" customWidth="1"/>
    <col min="5" max="5" width="29.28515625" bestFit="1" customWidth="1"/>
    <col min="6" max="6" width="64.7109375" customWidth="1"/>
    <col min="7" max="7" width="55" customWidth="1"/>
  </cols>
  <sheetData>
    <row r="1" spans="1:7" ht="18.75">
      <c r="A1" s="92" t="s">
        <v>0</v>
      </c>
      <c r="B1" s="92" t="s">
        <v>3</v>
      </c>
      <c r="C1" s="92" t="s">
        <v>5</v>
      </c>
      <c r="D1" s="1" t="s">
        <v>6</v>
      </c>
      <c r="E1" s="1" t="s">
        <v>2</v>
      </c>
      <c r="F1" s="92" t="s">
        <v>7</v>
      </c>
      <c r="G1" s="92" t="s">
        <v>8</v>
      </c>
    </row>
    <row r="2" spans="1:7" ht="18.75">
      <c r="A2" s="93"/>
      <c r="B2" s="93"/>
      <c r="C2" s="94"/>
      <c r="D2" s="93" t="s">
        <v>182</v>
      </c>
      <c r="E2" s="94"/>
      <c r="F2" s="94"/>
      <c r="G2" s="95"/>
    </row>
    <row r="3" spans="1:7" ht="18.75">
      <c r="A3" s="93"/>
      <c r="B3" s="93"/>
      <c r="C3" s="94"/>
      <c r="D3" s="93" t="s">
        <v>225</v>
      </c>
      <c r="E3" s="94"/>
      <c r="F3" s="94"/>
      <c r="G3" s="95"/>
    </row>
    <row r="4" spans="1:7">
      <c r="A4" t="s">
        <v>11</v>
      </c>
      <c r="B4" t="s">
        <v>13</v>
      </c>
      <c r="C4" t="s">
        <v>184</v>
      </c>
      <c r="D4" t="s">
        <v>185</v>
      </c>
      <c r="E4" t="s">
        <v>11</v>
      </c>
      <c r="F4" t="s">
        <v>186</v>
      </c>
    </row>
    <row r="5" spans="1:7" ht="30">
      <c r="A5" s="15" t="s">
        <v>12</v>
      </c>
      <c r="B5" s="15" t="s">
        <v>95</v>
      </c>
      <c r="C5" s="15" t="s">
        <v>187</v>
      </c>
      <c r="D5" s="18" t="s">
        <v>226</v>
      </c>
      <c r="E5" s="15" t="s">
        <v>12</v>
      </c>
      <c r="F5" s="33">
        <f>F7*F6*F8*F9</f>
        <v>10000</v>
      </c>
      <c r="G5" s="15"/>
    </row>
    <row r="6" spans="1:7" ht="45">
      <c r="A6" t="s">
        <v>11</v>
      </c>
      <c r="B6" t="s">
        <v>124</v>
      </c>
      <c r="C6" t="s">
        <v>191</v>
      </c>
      <c r="D6" s="10" t="s">
        <v>192</v>
      </c>
      <c r="E6" t="s">
        <v>11</v>
      </c>
      <c r="F6" s="41">
        <v>25</v>
      </c>
    </row>
    <row r="7" spans="1:7">
      <c r="A7" t="s">
        <v>11</v>
      </c>
      <c r="B7" t="s">
        <v>124</v>
      </c>
      <c r="C7" t="s">
        <v>189</v>
      </c>
      <c r="D7" s="10" t="s">
        <v>227</v>
      </c>
      <c r="E7" t="s">
        <v>11</v>
      </c>
      <c r="F7" s="41">
        <v>1</v>
      </c>
    </row>
    <row r="8" spans="1:7" ht="45">
      <c r="A8" t="s">
        <v>11</v>
      </c>
      <c r="B8" t="s">
        <v>124</v>
      </c>
      <c r="C8" t="s">
        <v>228</v>
      </c>
      <c r="D8" s="10" t="s">
        <v>229</v>
      </c>
      <c r="E8" t="s">
        <v>11</v>
      </c>
      <c r="F8" s="41">
        <v>20</v>
      </c>
    </row>
    <row r="9" spans="1:7" ht="60">
      <c r="A9" t="s">
        <v>11</v>
      </c>
      <c r="B9" t="s">
        <v>124</v>
      </c>
      <c r="C9" t="s">
        <v>230</v>
      </c>
      <c r="D9" s="10" t="s">
        <v>231</v>
      </c>
      <c r="E9" t="s">
        <v>11</v>
      </c>
      <c r="F9" s="41">
        <v>20</v>
      </c>
    </row>
    <row r="10" spans="1:7" ht="18.75">
      <c r="A10" s="93"/>
      <c r="B10" s="93"/>
      <c r="C10" s="94"/>
      <c r="D10" s="93" t="s">
        <v>182</v>
      </c>
      <c r="E10" s="94"/>
      <c r="F10" s="94"/>
      <c r="G10" s="95"/>
    </row>
    <row r="11" spans="1:7">
      <c r="A11" t="s">
        <v>11</v>
      </c>
      <c r="B11" t="s">
        <v>13</v>
      </c>
      <c r="D11" t="s">
        <v>185</v>
      </c>
      <c r="E11" t="s">
        <v>11</v>
      </c>
      <c r="F11" t="s">
        <v>223</v>
      </c>
    </row>
    <row r="12" spans="1:7" ht="30">
      <c r="A12" s="15" t="s">
        <v>12</v>
      </c>
      <c r="B12" s="15" t="s">
        <v>95</v>
      </c>
      <c r="C12" s="15" t="s">
        <v>187</v>
      </c>
      <c r="D12" s="18" t="s">
        <v>226</v>
      </c>
      <c r="E12" s="15" t="s">
        <v>12</v>
      </c>
      <c r="F12" s="33">
        <f>F14*F13*F15*F16</f>
        <v>10000</v>
      </c>
      <c r="G12" s="15"/>
    </row>
    <row r="13" spans="1:7" ht="45">
      <c r="A13" t="s">
        <v>11</v>
      </c>
      <c r="B13" t="s">
        <v>124</v>
      </c>
      <c r="C13" t="s">
        <v>191</v>
      </c>
      <c r="D13" s="10" t="s">
        <v>192</v>
      </c>
      <c r="E13" t="s">
        <v>11</v>
      </c>
      <c r="F13" s="41">
        <v>25</v>
      </c>
    </row>
    <row r="14" spans="1:7">
      <c r="A14" t="s">
        <v>11</v>
      </c>
      <c r="B14" t="s">
        <v>124</v>
      </c>
      <c r="C14" t="s">
        <v>189</v>
      </c>
      <c r="D14" s="10" t="s">
        <v>227</v>
      </c>
      <c r="E14" t="s">
        <v>11</v>
      </c>
      <c r="F14" s="41">
        <v>1</v>
      </c>
    </row>
    <row r="15" spans="1:7" ht="45">
      <c r="A15" t="s">
        <v>11</v>
      </c>
      <c r="B15" t="s">
        <v>124</v>
      </c>
      <c r="C15" t="s">
        <v>228</v>
      </c>
      <c r="D15" s="10" t="s">
        <v>229</v>
      </c>
      <c r="E15" t="s">
        <v>11</v>
      </c>
      <c r="F15" s="41">
        <v>20</v>
      </c>
    </row>
    <row r="16" spans="1:7" ht="60">
      <c r="A16" t="s">
        <v>11</v>
      </c>
      <c r="B16" t="s">
        <v>124</v>
      </c>
      <c r="C16" t="s">
        <v>230</v>
      </c>
      <c r="D16" s="10" t="s">
        <v>231</v>
      </c>
      <c r="E16" t="s">
        <v>11</v>
      </c>
      <c r="F16" s="41">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C328F-6B1A-4622-ABFB-3FB0E655315E}">
  <dimension ref="A1:I73"/>
  <sheetViews>
    <sheetView workbookViewId="0">
      <selection activeCell="G3" sqref="G3"/>
    </sheetView>
  </sheetViews>
  <sheetFormatPr defaultRowHeight="15"/>
  <cols>
    <col min="1" max="1" width="13.140625" customWidth="1"/>
    <col min="2" max="2" width="13.7109375" customWidth="1"/>
    <col min="3" max="3" width="12.140625" customWidth="1"/>
    <col min="4" max="4" width="15.28515625" customWidth="1"/>
    <col min="5" max="5" width="17.85546875" bestFit="1" customWidth="1"/>
    <col min="6" max="6" width="69.85546875" customWidth="1"/>
    <col min="7" max="7" width="45.7109375" customWidth="1"/>
    <col min="8" max="8" width="46" customWidth="1"/>
  </cols>
  <sheetData>
    <row r="1" spans="1:9" ht="37.5">
      <c r="A1" s="11" t="s">
        <v>0</v>
      </c>
      <c r="B1" s="11" t="s">
        <v>1</v>
      </c>
      <c r="C1" s="7" t="s">
        <v>232</v>
      </c>
      <c r="D1" s="7" t="s">
        <v>3</v>
      </c>
      <c r="E1" s="11" t="s">
        <v>5</v>
      </c>
      <c r="F1" s="1" t="s">
        <v>6</v>
      </c>
      <c r="G1" s="1" t="s">
        <v>7</v>
      </c>
      <c r="H1" s="7" t="s">
        <v>8</v>
      </c>
      <c r="I1" s="2"/>
    </row>
    <row r="2" spans="1:9" ht="21">
      <c r="A2" s="116" t="s">
        <v>233</v>
      </c>
      <c r="B2" s="116"/>
      <c r="C2" s="116"/>
      <c r="D2" s="116"/>
      <c r="E2" s="116"/>
      <c r="F2" s="116"/>
      <c r="G2" s="116"/>
      <c r="H2" s="116"/>
      <c r="I2" s="2"/>
    </row>
    <row r="3" spans="1:9" ht="18.75">
      <c r="A3" s="12" t="s">
        <v>12</v>
      </c>
      <c r="B3" s="13"/>
      <c r="C3" s="14" t="s">
        <v>12</v>
      </c>
      <c r="D3" s="14" t="s">
        <v>111</v>
      </c>
      <c r="E3" s="12" t="s">
        <v>234</v>
      </c>
      <c r="F3" s="15" t="s">
        <v>235</v>
      </c>
      <c r="G3" s="16">
        <f>G16+(IF(AND(G18="Option 1"),G20,IF(AND(G18="Option 2"),G22)))+G27+G41+G57</f>
        <v>125.88244269333332</v>
      </c>
      <c r="H3" s="17"/>
      <c r="I3" s="2"/>
    </row>
    <row r="4" spans="1:9" ht="21">
      <c r="A4" s="116" t="s">
        <v>236</v>
      </c>
      <c r="B4" s="116"/>
      <c r="C4" s="116"/>
      <c r="D4" s="116"/>
      <c r="E4" s="116"/>
      <c r="F4" s="116"/>
      <c r="G4" s="116"/>
      <c r="H4" s="116"/>
      <c r="I4" s="4"/>
    </row>
    <row r="5" spans="1:9" ht="60">
      <c r="A5" t="s">
        <v>11</v>
      </c>
      <c r="C5" t="s">
        <v>11</v>
      </c>
      <c r="D5" t="s">
        <v>91</v>
      </c>
      <c r="E5" t="s">
        <v>6</v>
      </c>
      <c r="F5" s="10" t="s">
        <v>237</v>
      </c>
      <c r="G5" t="s">
        <v>238</v>
      </c>
    </row>
    <row r="6" spans="1:9" ht="21">
      <c r="A6" s="116" t="s">
        <v>239</v>
      </c>
      <c r="B6" s="116"/>
      <c r="C6" s="116"/>
      <c r="D6" s="116"/>
      <c r="E6" s="116"/>
      <c r="F6" s="116"/>
      <c r="G6" s="116"/>
      <c r="H6" s="116"/>
      <c r="I6" s="4"/>
    </row>
    <row r="7" spans="1:9">
      <c r="A7" t="s">
        <v>11</v>
      </c>
      <c r="C7" t="s">
        <v>11</v>
      </c>
      <c r="D7" t="s">
        <v>124</v>
      </c>
      <c r="E7" t="s">
        <v>240</v>
      </c>
      <c r="F7" t="s">
        <v>241</v>
      </c>
      <c r="G7">
        <v>1</v>
      </c>
    </row>
    <row r="8" spans="1:9" ht="21">
      <c r="A8" s="116" t="s">
        <v>242</v>
      </c>
      <c r="B8" s="116"/>
      <c r="C8" s="116"/>
      <c r="D8" s="116"/>
      <c r="E8" s="116"/>
      <c r="F8" s="116"/>
      <c r="G8" s="116"/>
      <c r="H8" s="116"/>
      <c r="I8" s="4"/>
    </row>
    <row r="9" spans="1:9">
      <c r="A9" s="12" t="s">
        <v>12</v>
      </c>
      <c r="B9" s="15"/>
      <c r="C9" s="15" t="s">
        <v>12</v>
      </c>
      <c r="D9" s="14" t="s">
        <v>111</v>
      </c>
      <c r="E9" s="15" t="s">
        <v>240</v>
      </c>
      <c r="F9" s="15" t="s">
        <v>241</v>
      </c>
      <c r="G9" s="15">
        <f>SUM(G11,G13)</f>
        <v>300</v>
      </c>
      <c r="H9" s="15"/>
    </row>
    <row r="10" spans="1:9" ht="29.25" customHeight="1">
      <c r="A10" s="117" t="s">
        <v>243</v>
      </c>
      <c r="B10" s="117"/>
      <c r="C10" s="117"/>
      <c r="D10" s="117"/>
      <c r="E10" s="117"/>
      <c r="F10" s="117"/>
      <c r="G10" s="117"/>
      <c r="H10" s="117"/>
      <c r="I10" s="4"/>
    </row>
    <row r="11" spans="1:9" ht="29.25" customHeight="1">
      <c r="A11" t="s">
        <v>11</v>
      </c>
      <c r="C11" t="s">
        <v>11</v>
      </c>
      <c r="D11" t="s">
        <v>124</v>
      </c>
      <c r="E11" t="s">
        <v>244</v>
      </c>
      <c r="F11" s="10" t="s">
        <v>245</v>
      </c>
      <c r="G11">
        <v>200</v>
      </c>
    </row>
    <row r="12" spans="1:9" ht="29.25" customHeight="1">
      <c r="A12" s="117" t="s">
        <v>243</v>
      </c>
      <c r="B12" s="117"/>
      <c r="C12" s="117"/>
      <c r="D12" s="117"/>
      <c r="E12" s="117"/>
      <c r="F12" s="117"/>
      <c r="G12" s="117"/>
      <c r="H12" s="117"/>
      <c r="I12" s="4"/>
    </row>
    <row r="13" spans="1:9" ht="29.25" customHeight="1">
      <c r="A13" t="s">
        <v>11</v>
      </c>
      <c r="C13" t="s">
        <v>11</v>
      </c>
      <c r="D13" t="s">
        <v>124</v>
      </c>
      <c r="E13" t="s">
        <v>244</v>
      </c>
      <c r="F13" s="10" t="s">
        <v>245</v>
      </c>
      <c r="G13">
        <v>100</v>
      </c>
    </row>
    <row r="14" spans="1:9" ht="21">
      <c r="A14" s="116" t="s">
        <v>246</v>
      </c>
      <c r="B14" s="116"/>
      <c r="C14" s="116"/>
      <c r="D14" s="116"/>
      <c r="E14" s="116"/>
      <c r="F14" s="116"/>
      <c r="G14" s="116"/>
      <c r="H14" s="116"/>
    </row>
    <row r="15" spans="1:9" ht="90">
      <c r="A15" t="s">
        <v>11</v>
      </c>
      <c r="C15" t="s">
        <v>11</v>
      </c>
      <c r="D15" t="s">
        <v>91</v>
      </c>
      <c r="E15" t="s">
        <v>6</v>
      </c>
      <c r="F15" s="10" t="s">
        <v>247</v>
      </c>
      <c r="G15" t="s">
        <v>11</v>
      </c>
    </row>
    <row r="16" spans="1:9" ht="30">
      <c r="A16" s="12" t="s">
        <v>12</v>
      </c>
      <c r="B16" s="15"/>
      <c r="C16" s="15" t="s">
        <v>12</v>
      </c>
      <c r="D16" s="14" t="s">
        <v>111</v>
      </c>
      <c r="E16" s="15" t="s">
        <v>248</v>
      </c>
      <c r="F16" s="18" t="s">
        <v>249</v>
      </c>
      <c r="G16" s="15">
        <f>'Tool 05.1'!G6</f>
        <v>5.1951093600000009</v>
      </c>
      <c r="H16" s="15"/>
    </row>
    <row r="17" spans="1:8" ht="21">
      <c r="A17" s="116" t="s">
        <v>250</v>
      </c>
      <c r="B17" s="116"/>
      <c r="C17" s="116"/>
      <c r="D17" s="116"/>
      <c r="E17" s="116"/>
      <c r="F17" s="116"/>
      <c r="G17" s="116"/>
      <c r="H17" s="116"/>
    </row>
    <row r="18" spans="1:8" ht="60">
      <c r="A18" t="s">
        <v>11</v>
      </c>
      <c r="C18" t="s">
        <v>11</v>
      </c>
      <c r="D18" t="s">
        <v>91</v>
      </c>
      <c r="E18" t="s">
        <v>6</v>
      </c>
      <c r="F18" s="10" t="s">
        <v>251</v>
      </c>
      <c r="G18" t="s">
        <v>238</v>
      </c>
    </row>
    <row r="19" spans="1:8" ht="21">
      <c r="A19" s="116" t="s">
        <v>252</v>
      </c>
      <c r="B19" s="116"/>
      <c r="C19" s="116"/>
      <c r="D19" s="116"/>
      <c r="E19" s="116"/>
      <c r="F19" s="116"/>
      <c r="G19" s="116"/>
      <c r="H19" s="116"/>
    </row>
    <row r="20" spans="1:8" ht="30.75">
      <c r="A20" s="12" t="s">
        <v>12</v>
      </c>
      <c r="B20" s="15"/>
      <c r="C20" s="15" t="s">
        <v>12</v>
      </c>
      <c r="D20" s="14" t="s">
        <v>111</v>
      </c>
      <c r="E20" s="15" t="s">
        <v>253</v>
      </c>
      <c r="F20" s="18" t="s">
        <v>254</v>
      </c>
      <c r="G20" s="15">
        <f>'(Revised) Tool 03'!G3</f>
        <v>73.333333333333329</v>
      </c>
      <c r="H20" s="15"/>
    </row>
    <row r="21" spans="1:8" ht="21">
      <c r="A21" s="116" t="s">
        <v>255</v>
      </c>
      <c r="B21" s="116"/>
      <c r="C21" s="116"/>
      <c r="D21" s="116"/>
      <c r="E21" s="116"/>
      <c r="F21" s="116"/>
      <c r="G21" s="116"/>
      <c r="H21" s="116"/>
    </row>
    <row r="22" spans="1:8" ht="30">
      <c r="A22" s="12" t="s">
        <v>12</v>
      </c>
      <c r="B22" s="15"/>
      <c r="C22" s="15" t="s">
        <v>12</v>
      </c>
      <c r="D22" s="14" t="s">
        <v>111</v>
      </c>
      <c r="E22" s="15" t="s">
        <v>253</v>
      </c>
      <c r="F22" s="18" t="s">
        <v>254</v>
      </c>
      <c r="G22" s="15">
        <f>G23*G24</f>
        <v>2.07E-2</v>
      </c>
      <c r="H22" s="15"/>
    </row>
    <row r="23" spans="1:8">
      <c r="A23" t="s">
        <v>11</v>
      </c>
      <c r="C23" t="s">
        <v>11</v>
      </c>
      <c r="D23" t="s">
        <v>124</v>
      </c>
      <c r="E23" t="s">
        <v>240</v>
      </c>
      <c r="F23" t="s">
        <v>256</v>
      </c>
      <c r="G23">
        <v>1</v>
      </c>
    </row>
    <row r="24" spans="1:8" ht="30">
      <c r="A24" s="12" t="s">
        <v>12</v>
      </c>
      <c r="B24" s="15"/>
      <c r="C24" s="15" t="s">
        <v>12</v>
      </c>
      <c r="D24" s="14" t="s">
        <v>111</v>
      </c>
      <c r="E24" s="15" t="s">
        <v>257</v>
      </c>
      <c r="F24" s="18" t="s">
        <v>258</v>
      </c>
      <c r="G24" s="15">
        <f>0.0207</f>
        <v>2.07E-2</v>
      </c>
      <c r="H24" s="15"/>
    </row>
    <row r="25" spans="1:8" ht="21">
      <c r="A25" s="116" t="s">
        <v>259</v>
      </c>
      <c r="B25" s="116"/>
      <c r="C25" s="116"/>
      <c r="D25" s="116"/>
      <c r="E25" s="116"/>
      <c r="F25" s="116"/>
      <c r="G25" s="116"/>
      <c r="H25" s="116"/>
    </row>
    <row r="26" spans="1:8" ht="60">
      <c r="A26" t="s">
        <v>11</v>
      </c>
      <c r="C26" t="s">
        <v>11</v>
      </c>
      <c r="D26" t="s">
        <v>91</v>
      </c>
      <c r="E26" t="s">
        <v>6</v>
      </c>
      <c r="F26" s="10" t="s">
        <v>260</v>
      </c>
      <c r="G26" s="19" t="s">
        <v>238</v>
      </c>
    </row>
    <row r="27" spans="1:8" ht="30">
      <c r="A27" s="12" t="s">
        <v>12</v>
      </c>
      <c r="B27" s="15"/>
      <c r="C27" s="15" t="s">
        <v>12</v>
      </c>
      <c r="D27" s="14" t="s">
        <v>111</v>
      </c>
      <c r="E27" s="15" t="s">
        <v>261</v>
      </c>
      <c r="F27" s="18" t="s">
        <v>262</v>
      </c>
      <c r="G27" s="20">
        <f>(IF(AND(G5="Option 1"),G7,IF(AND(G5="Option 2"),G9)))*G28*G63</f>
        <v>47.291999999999994</v>
      </c>
      <c r="H27" s="15"/>
    </row>
    <row r="28" spans="1:8" ht="30">
      <c r="A28" s="12" t="s">
        <v>12</v>
      </c>
      <c r="B28" s="15"/>
      <c r="C28" s="15" t="s">
        <v>12</v>
      </c>
      <c r="D28" s="14" t="s">
        <v>111</v>
      </c>
      <c r="E28" s="15" t="s">
        <v>263</v>
      </c>
      <c r="F28" s="18" t="s">
        <v>264</v>
      </c>
      <c r="G28" s="20">
        <f>IF(AND(G26="Option 1"),(SUM((G33/G34),(G37/G38))/G30),IF(AND(G26="Option 2"),0.002))</f>
        <v>2.2519999999999998</v>
      </c>
      <c r="H28" s="15"/>
    </row>
    <row r="29" spans="1:8" ht="21">
      <c r="A29" s="116" t="s">
        <v>265</v>
      </c>
      <c r="B29" s="116"/>
      <c r="C29" s="116"/>
      <c r="D29" s="116"/>
      <c r="E29" s="116"/>
      <c r="F29" s="116"/>
      <c r="G29" s="116"/>
      <c r="H29" s="116"/>
    </row>
    <row r="30" spans="1:8" ht="30">
      <c r="A30" t="s">
        <v>11</v>
      </c>
      <c r="C30" t="s">
        <v>11</v>
      </c>
      <c r="D30" t="s">
        <v>124</v>
      </c>
      <c r="E30" t="s">
        <v>266</v>
      </c>
      <c r="F30" s="10" t="s">
        <v>267</v>
      </c>
      <c r="G30">
        <v>210</v>
      </c>
    </row>
    <row r="31" spans="1:8" ht="21">
      <c r="A31" s="117" t="s">
        <v>268</v>
      </c>
      <c r="B31" s="117"/>
      <c r="C31" s="117"/>
      <c r="D31" s="117"/>
      <c r="E31" s="117"/>
      <c r="F31" s="117"/>
      <c r="G31" s="117"/>
      <c r="H31" s="117"/>
    </row>
    <row r="32" spans="1:8">
      <c r="A32" t="s">
        <v>11</v>
      </c>
      <c r="C32" t="s">
        <v>11</v>
      </c>
      <c r="E32" t="s">
        <v>269</v>
      </c>
      <c r="F32" t="s">
        <v>270</v>
      </c>
      <c r="G32" s="19" t="s">
        <v>271</v>
      </c>
    </row>
    <row r="33" spans="1:8">
      <c r="A33" t="s">
        <v>11</v>
      </c>
      <c r="C33" t="s">
        <v>11</v>
      </c>
      <c r="D33" t="s">
        <v>124</v>
      </c>
      <c r="E33" t="s">
        <v>272</v>
      </c>
      <c r="F33" t="s">
        <v>273</v>
      </c>
      <c r="G33">
        <v>20192</v>
      </c>
    </row>
    <row r="34" spans="1:8">
      <c r="A34" t="s">
        <v>11</v>
      </c>
      <c r="C34" t="s">
        <v>11</v>
      </c>
      <c r="D34" t="s">
        <v>124</v>
      </c>
      <c r="E34" t="s">
        <v>274</v>
      </c>
      <c r="F34" t="s">
        <v>275</v>
      </c>
      <c r="G34">
        <v>100</v>
      </c>
    </row>
    <row r="35" spans="1:8" ht="21">
      <c r="A35" s="117" t="s">
        <v>268</v>
      </c>
      <c r="B35" s="117"/>
      <c r="C35" s="117"/>
      <c r="D35" s="117"/>
      <c r="E35" s="117"/>
      <c r="F35" s="117"/>
      <c r="G35" s="117"/>
      <c r="H35" s="117"/>
    </row>
    <row r="36" spans="1:8">
      <c r="A36" t="s">
        <v>11</v>
      </c>
      <c r="C36" t="s">
        <v>11</v>
      </c>
      <c r="E36" t="s">
        <v>276</v>
      </c>
      <c r="F36" t="s">
        <v>270</v>
      </c>
      <c r="G36" s="19" t="s">
        <v>277</v>
      </c>
    </row>
    <row r="37" spans="1:8">
      <c r="A37" t="s">
        <v>11</v>
      </c>
      <c r="C37" t="s">
        <v>11</v>
      </c>
      <c r="D37" t="s">
        <v>124</v>
      </c>
      <c r="E37" t="s">
        <v>272</v>
      </c>
      <c r="F37" t="s">
        <v>273</v>
      </c>
      <c r="G37">
        <v>29810</v>
      </c>
    </row>
    <row r="38" spans="1:8">
      <c r="A38" t="s">
        <v>11</v>
      </c>
      <c r="C38" t="s">
        <v>11</v>
      </c>
      <c r="D38" t="s">
        <v>124</v>
      </c>
      <c r="E38" t="s">
        <v>274</v>
      </c>
      <c r="F38" t="s">
        <v>275</v>
      </c>
      <c r="G38">
        <v>110</v>
      </c>
    </row>
    <row r="39" spans="1:8" ht="21">
      <c r="A39" s="116" t="s">
        <v>278</v>
      </c>
      <c r="B39" s="116"/>
      <c r="C39" s="116"/>
      <c r="D39" s="116"/>
      <c r="E39" s="116"/>
      <c r="F39" s="116"/>
      <c r="G39" s="116"/>
      <c r="H39" s="116"/>
    </row>
    <row r="40" spans="1:8" ht="60">
      <c r="A40" t="s">
        <v>11</v>
      </c>
      <c r="C40" t="s">
        <v>11</v>
      </c>
      <c r="D40" t="s">
        <v>91</v>
      </c>
      <c r="E40" t="s">
        <v>6</v>
      </c>
      <c r="F40" s="10" t="s">
        <v>279</v>
      </c>
      <c r="G40" s="19" t="s">
        <v>280</v>
      </c>
    </row>
    <row r="41" spans="1:8">
      <c r="A41" s="12" t="s">
        <v>12</v>
      </c>
      <c r="B41" s="15"/>
      <c r="C41" s="15" t="s">
        <v>12</v>
      </c>
      <c r="D41" s="14" t="s">
        <v>111</v>
      </c>
      <c r="E41" s="15" t="s">
        <v>281</v>
      </c>
      <c r="F41" s="15" t="s">
        <v>282</v>
      </c>
      <c r="G41" s="20">
        <f>(IF(AND(G5="Option 1"),G7,IF(AND(G5="Option 2"),G9)))*G42*G43</f>
        <v>6.2E-2</v>
      </c>
      <c r="H41" s="15"/>
    </row>
    <row r="42" spans="1:8" ht="30">
      <c r="A42" s="12" t="s">
        <v>12</v>
      </c>
      <c r="B42" s="15"/>
      <c r="C42" s="15" t="s">
        <v>12</v>
      </c>
      <c r="D42" s="14" t="s">
        <v>111</v>
      </c>
      <c r="E42" s="15" t="s">
        <v>283</v>
      </c>
      <c r="F42" s="18" t="s">
        <v>284</v>
      </c>
      <c r="G42" s="20">
        <f>IF(AND(G40="Option 1"),(SUM((G48/G49),(G52/G53))/G45),IF(AND(G40="Option 2"),0.0002))</f>
        <v>2.0000000000000001E-4</v>
      </c>
      <c r="H42" s="15"/>
    </row>
    <row r="43" spans="1:8">
      <c r="A43" s="12" t="s">
        <v>12</v>
      </c>
      <c r="B43" s="15"/>
      <c r="C43" s="15" t="s">
        <v>12</v>
      </c>
      <c r="D43" s="14" t="s">
        <v>111</v>
      </c>
      <c r="E43" s="15" t="s">
        <v>285</v>
      </c>
      <c r="F43" s="15" t="s">
        <v>286</v>
      </c>
      <c r="G43" s="20">
        <v>310</v>
      </c>
      <c r="H43" s="15"/>
    </row>
    <row r="44" spans="1:8" ht="21">
      <c r="A44" s="116" t="s">
        <v>287</v>
      </c>
      <c r="B44" s="116"/>
      <c r="C44" s="116"/>
      <c r="D44" s="116"/>
      <c r="E44" s="116"/>
      <c r="F44" s="116"/>
      <c r="G44" s="116"/>
      <c r="H44" s="116"/>
    </row>
    <row r="45" spans="1:8" ht="30">
      <c r="A45" t="s">
        <v>11</v>
      </c>
      <c r="C45" t="s">
        <v>11</v>
      </c>
      <c r="D45" t="s">
        <v>124</v>
      </c>
      <c r="E45" t="s">
        <v>266</v>
      </c>
      <c r="F45" s="10" t="s">
        <v>267</v>
      </c>
      <c r="G45">
        <v>110</v>
      </c>
    </row>
    <row r="46" spans="1:8" ht="21">
      <c r="A46" s="117" t="s">
        <v>288</v>
      </c>
      <c r="B46" s="117"/>
      <c r="C46" s="117"/>
      <c r="D46" s="117"/>
      <c r="E46" s="117"/>
      <c r="F46" s="117"/>
      <c r="G46" s="117"/>
      <c r="H46" s="117"/>
    </row>
    <row r="47" spans="1:8">
      <c r="A47" t="s">
        <v>11</v>
      </c>
      <c r="C47" t="s">
        <v>11</v>
      </c>
      <c r="E47" t="s">
        <v>269</v>
      </c>
      <c r="F47" t="s">
        <v>270</v>
      </c>
      <c r="G47" s="19" t="s">
        <v>271</v>
      </c>
    </row>
    <row r="48" spans="1:8" ht="30">
      <c r="A48" t="s">
        <v>11</v>
      </c>
      <c r="C48" t="s">
        <v>11</v>
      </c>
      <c r="D48" t="s">
        <v>124</v>
      </c>
      <c r="E48" t="s">
        <v>289</v>
      </c>
      <c r="F48" s="10" t="s">
        <v>290</v>
      </c>
      <c r="G48">
        <v>20192</v>
      </c>
    </row>
    <row r="49" spans="1:8">
      <c r="A49" t="s">
        <v>11</v>
      </c>
      <c r="C49" t="s">
        <v>11</v>
      </c>
      <c r="D49" t="s">
        <v>124</v>
      </c>
      <c r="E49" t="s">
        <v>274</v>
      </c>
      <c r="F49" t="s">
        <v>275</v>
      </c>
      <c r="G49">
        <v>100</v>
      </c>
    </row>
    <row r="50" spans="1:8" ht="21">
      <c r="A50" s="117" t="s">
        <v>288</v>
      </c>
      <c r="B50" s="117"/>
      <c r="C50" s="117"/>
      <c r="D50" s="117"/>
      <c r="E50" s="117"/>
      <c r="F50" s="117"/>
      <c r="G50" s="117"/>
      <c r="H50" s="117"/>
    </row>
    <row r="51" spans="1:8">
      <c r="A51" t="s">
        <v>11</v>
      </c>
      <c r="C51" t="s">
        <v>11</v>
      </c>
      <c r="E51" t="s">
        <v>276</v>
      </c>
      <c r="F51" t="s">
        <v>270</v>
      </c>
      <c r="G51" s="19" t="s">
        <v>277</v>
      </c>
    </row>
    <row r="52" spans="1:8" ht="30">
      <c r="A52" t="s">
        <v>11</v>
      </c>
      <c r="C52" t="s">
        <v>11</v>
      </c>
      <c r="D52" t="s">
        <v>124</v>
      </c>
      <c r="E52" t="s">
        <v>289</v>
      </c>
      <c r="F52" s="10" t="s">
        <v>290</v>
      </c>
      <c r="G52">
        <v>298</v>
      </c>
    </row>
    <row r="53" spans="1:8">
      <c r="A53" t="s">
        <v>11</v>
      </c>
      <c r="C53" t="s">
        <v>11</v>
      </c>
      <c r="D53" t="s">
        <v>124</v>
      </c>
      <c r="E53" t="s">
        <v>274</v>
      </c>
      <c r="F53" t="s">
        <v>275</v>
      </c>
      <c r="G53">
        <v>10</v>
      </c>
    </row>
    <row r="54" spans="1:8" ht="21" customHeight="1">
      <c r="A54" s="116" t="s">
        <v>291</v>
      </c>
      <c r="B54" s="116"/>
      <c r="C54" s="116"/>
      <c r="D54" s="116"/>
      <c r="E54" s="116"/>
      <c r="F54" s="116"/>
      <c r="G54" s="116"/>
      <c r="H54" s="116"/>
    </row>
    <row r="55" spans="1:8">
      <c r="A55" t="s">
        <v>11</v>
      </c>
      <c r="C55" t="s">
        <v>11</v>
      </c>
      <c r="D55" t="s">
        <v>91</v>
      </c>
      <c r="E55" t="s">
        <v>6</v>
      </c>
      <c r="F55" t="s">
        <v>292</v>
      </c>
      <c r="G55" s="19" t="s">
        <v>11</v>
      </c>
    </row>
    <row r="56" spans="1:8" ht="165">
      <c r="A56" t="s">
        <v>11</v>
      </c>
      <c r="C56" t="s">
        <v>11</v>
      </c>
      <c r="D56" t="s">
        <v>91</v>
      </c>
      <c r="E56" t="s">
        <v>6</v>
      </c>
      <c r="F56" s="10" t="s">
        <v>293</v>
      </c>
      <c r="G56" s="19" t="s">
        <v>238</v>
      </c>
    </row>
    <row r="57" spans="1:8" ht="30">
      <c r="A57" s="12" t="s">
        <v>12</v>
      </c>
      <c r="B57" s="15"/>
      <c r="C57" s="15" t="s">
        <v>12</v>
      </c>
      <c r="D57" s="14" t="s">
        <v>111</v>
      </c>
      <c r="E57" s="15" t="s">
        <v>294</v>
      </c>
      <c r="F57" s="18" t="s">
        <v>295</v>
      </c>
      <c r="G57" s="20">
        <f>IF(AND(G55="Yes"),0,IF(AND(G55="No"),G58*G59*G61*G62*G63))</f>
        <v>0</v>
      </c>
      <c r="H57" s="15"/>
    </row>
    <row r="58" spans="1:8" ht="30">
      <c r="A58" s="12" t="s">
        <v>12</v>
      </c>
      <c r="B58" s="15"/>
      <c r="C58" s="15" t="s">
        <v>12</v>
      </c>
      <c r="D58" s="14" t="s">
        <v>111</v>
      </c>
      <c r="E58" s="15" t="s">
        <v>296</v>
      </c>
      <c r="F58" s="18" t="s">
        <v>297</v>
      </c>
      <c r="G58" s="15">
        <f>IF(AND(G56="Option 1"),G65*G66,IF(AND(G56="Option 2"),G68*G69*G70))</f>
        <v>0</v>
      </c>
      <c r="H58" s="15"/>
    </row>
    <row r="59" spans="1:8">
      <c r="A59" s="12" t="s">
        <v>12</v>
      </c>
      <c r="B59" s="15"/>
      <c r="C59" s="15" t="s">
        <v>12</v>
      </c>
      <c r="D59" s="14" t="s">
        <v>111</v>
      </c>
      <c r="E59" s="15" t="s">
        <v>298</v>
      </c>
      <c r="F59" s="15" t="s">
        <v>299</v>
      </c>
      <c r="G59" s="15">
        <f>0.25</f>
        <v>0.25</v>
      </c>
      <c r="H59" s="15"/>
    </row>
    <row r="60" spans="1:8" ht="30">
      <c r="A60" t="s">
        <v>11</v>
      </c>
      <c r="C60" t="s">
        <v>11</v>
      </c>
      <c r="D60" t="s">
        <v>91</v>
      </c>
      <c r="E60" t="s">
        <v>300</v>
      </c>
      <c r="F60" s="10" t="s">
        <v>301</v>
      </c>
      <c r="G60" s="10" t="s">
        <v>302</v>
      </c>
    </row>
    <row r="61" spans="1:8" ht="30">
      <c r="A61" s="12" t="s">
        <v>12</v>
      </c>
      <c r="B61" s="15"/>
      <c r="C61" s="15" t="s">
        <v>12</v>
      </c>
      <c r="D61" s="14" t="s">
        <v>111</v>
      </c>
      <c r="E61" s="15" t="s">
        <v>303</v>
      </c>
      <c r="F61" s="18" t="s">
        <v>304</v>
      </c>
      <c r="G61" s="15">
        <f>IF(G60="","",VLOOKUP(G60,'MCF Defaults'!B3:C10,2,FALSE))</f>
        <v>0.2</v>
      </c>
      <c r="H61" s="15"/>
    </row>
    <row r="62" spans="1:8" ht="30">
      <c r="A62" s="12" t="s">
        <v>12</v>
      </c>
      <c r="B62" s="15"/>
      <c r="C62" s="15" t="s">
        <v>12</v>
      </c>
      <c r="D62" s="14" t="s">
        <v>111</v>
      </c>
      <c r="E62" s="15"/>
      <c r="F62" s="18" t="s">
        <v>305</v>
      </c>
      <c r="G62" s="15">
        <f>1.12</f>
        <v>1.1200000000000001</v>
      </c>
      <c r="H62" s="15"/>
    </row>
    <row r="63" spans="1:8">
      <c r="A63" s="12" t="s">
        <v>12</v>
      </c>
      <c r="B63" s="15"/>
      <c r="C63" s="15" t="s">
        <v>12</v>
      </c>
      <c r="D63" s="14" t="s">
        <v>111</v>
      </c>
      <c r="E63" s="15" t="s">
        <v>158</v>
      </c>
      <c r="F63" s="15" t="s">
        <v>306</v>
      </c>
      <c r="G63" s="15">
        <f>21</f>
        <v>21</v>
      </c>
      <c r="H63" s="15"/>
    </row>
    <row r="64" spans="1:8" ht="21">
      <c r="A64" s="116" t="s">
        <v>307</v>
      </c>
      <c r="B64" s="116"/>
      <c r="C64" s="116"/>
      <c r="D64" s="116"/>
      <c r="E64" s="116"/>
      <c r="F64" s="116"/>
      <c r="G64" s="116"/>
      <c r="H64" s="116"/>
    </row>
    <row r="65" spans="1:9" ht="30">
      <c r="A65" t="s">
        <v>11</v>
      </c>
      <c r="C65" t="s">
        <v>11</v>
      </c>
      <c r="D65" s="3" t="s">
        <v>124</v>
      </c>
      <c r="E65" t="s">
        <v>308</v>
      </c>
      <c r="F65" s="10" t="s">
        <v>309</v>
      </c>
      <c r="G65">
        <v>9</v>
      </c>
    </row>
    <row r="66" spans="1:9" ht="30">
      <c r="A66" t="s">
        <v>11</v>
      </c>
      <c r="C66" t="s">
        <v>11</v>
      </c>
      <c r="D66" s="3" t="s">
        <v>124</v>
      </c>
      <c r="E66" t="s">
        <v>310</v>
      </c>
      <c r="F66" s="10" t="s">
        <v>311</v>
      </c>
      <c r="G66">
        <v>0</v>
      </c>
    </row>
    <row r="67" spans="1:9" ht="21">
      <c r="A67" s="116" t="s">
        <v>312</v>
      </c>
      <c r="B67" s="116"/>
      <c r="C67" s="116"/>
      <c r="D67" s="116"/>
      <c r="E67" s="116"/>
      <c r="F67" s="116"/>
      <c r="G67" s="116"/>
      <c r="H67" s="116"/>
    </row>
    <row r="68" spans="1:9">
      <c r="A68" t="s">
        <v>11</v>
      </c>
      <c r="C68" t="s">
        <v>11</v>
      </c>
      <c r="D68" s="3" t="s">
        <v>124</v>
      </c>
      <c r="E68" t="s">
        <v>313</v>
      </c>
      <c r="F68" t="s">
        <v>314</v>
      </c>
      <c r="G68">
        <v>0</v>
      </c>
    </row>
    <row r="69" spans="1:9">
      <c r="A69" t="s">
        <v>11</v>
      </c>
      <c r="C69" t="s">
        <v>11</v>
      </c>
      <c r="D69" s="3" t="s">
        <v>124</v>
      </c>
      <c r="E69" t="s">
        <v>315</v>
      </c>
      <c r="F69" t="s">
        <v>316</v>
      </c>
      <c r="G69">
        <v>0</v>
      </c>
    </row>
    <row r="70" spans="1:9" ht="30">
      <c r="A70" s="12" t="s">
        <v>12</v>
      </c>
      <c r="B70" s="15"/>
      <c r="C70" s="15" t="s">
        <v>12</v>
      </c>
      <c r="D70" s="14" t="s">
        <v>111</v>
      </c>
      <c r="E70" s="15" t="s">
        <v>317</v>
      </c>
      <c r="F70" s="18" t="s">
        <v>318</v>
      </c>
      <c r="G70" s="15">
        <f>0.02</f>
        <v>0.02</v>
      </c>
      <c r="H70" s="15"/>
      <c r="I70" t="s">
        <v>319</v>
      </c>
    </row>
    <row r="71" spans="1:9" ht="21">
      <c r="A71" s="116" t="s">
        <v>320</v>
      </c>
      <c r="B71" s="116"/>
      <c r="C71" s="116"/>
      <c r="D71" s="116"/>
      <c r="E71" s="116"/>
      <c r="F71" s="116"/>
      <c r="G71" s="116"/>
      <c r="H71" s="116"/>
    </row>
    <row r="72" spans="1:9" ht="45">
      <c r="A72" t="s">
        <v>11</v>
      </c>
      <c r="C72" t="s">
        <v>11</v>
      </c>
      <c r="D72" t="s">
        <v>91</v>
      </c>
      <c r="E72" t="s">
        <v>6</v>
      </c>
      <c r="F72" s="10" t="s">
        <v>321</v>
      </c>
      <c r="G72" s="19" t="s">
        <v>12</v>
      </c>
    </row>
    <row r="73" spans="1:9">
      <c r="A73" s="12" t="s">
        <v>12</v>
      </c>
      <c r="B73" s="15"/>
      <c r="C73" s="15" t="s">
        <v>12</v>
      </c>
      <c r="D73" s="14" t="s">
        <v>111</v>
      </c>
      <c r="E73" s="15" t="s">
        <v>322</v>
      </c>
      <c r="F73" s="15" t="s">
        <v>323</v>
      </c>
      <c r="G73" s="15">
        <f>IF(AND(G72="No"),0,IF(AND(G72="Yes"),'Tool 04-SWDS-Yearly'!C86))</f>
        <v>0</v>
      </c>
      <c r="H73" s="15"/>
    </row>
  </sheetData>
  <mergeCells count="22">
    <mergeCell ref="A29:H29"/>
    <mergeCell ref="A2:H2"/>
    <mergeCell ref="A4:H4"/>
    <mergeCell ref="A6:H6"/>
    <mergeCell ref="A8:H8"/>
    <mergeCell ref="A10:H10"/>
    <mergeCell ref="A12:H12"/>
    <mergeCell ref="A14:H14"/>
    <mergeCell ref="A17:H17"/>
    <mergeCell ref="A19:H19"/>
    <mergeCell ref="A21:H21"/>
    <mergeCell ref="A25:H25"/>
    <mergeCell ref="A71:H71"/>
    <mergeCell ref="A31:H31"/>
    <mergeCell ref="A35:H35"/>
    <mergeCell ref="A39:H39"/>
    <mergeCell ref="A54:H54"/>
    <mergeCell ref="A64:H64"/>
    <mergeCell ref="A67:H67"/>
    <mergeCell ref="A46:H46"/>
    <mergeCell ref="A50:H50"/>
    <mergeCell ref="A44:H44"/>
  </mergeCells>
  <dataValidations count="3">
    <dataValidation type="list" allowBlank="1" showInputMessage="1" showErrorMessage="1" sqref="G18 G56 G26 G40" xr:uid="{BE0D0867-9E9A-46E7-9A3B-F37C321D7A75}">
      <formula1>"Option 1,Option 2"</formula1>
    </dataValidation>
    <dataValidation type="list" allowBlank="1" showInputMessage="1" showErrorMessage="1" sqref="G5" xr:uid="{AE99F5C5-7A51-4191-AE94-DFA66399AFA0}">
      <formula1>"Option 1, Option 2"</formula1>
    </dataValidation>
    <dataValidation type="list" allowBlank="1" showInputMessage="1" showErrorMessage="1" sqref="G15 G55 G72" xr:uid="{93665892-1CE0-4840-B6E1-D79B26BA7200}">
      <formula1>"Yes,No"</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C72B4B76-FA3B-478E-BDA1-05EB6F92E82E}">
          <x14:formula1>
            <xm:f>'MCF Defaults'!$B$3:$B$10</xm:f>
          </x14:formula1>
          <xm:sqref>G60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D1FD5-1297-462F-A44A-C72AF1C3D716}">
  <dimension ref="A1:G10"/>
  <sheetViews>
    <sheetView workbookViewId="0">
      <selection activeCell="B36" sqref="B36"/>
    </sheetView>
  </sheetViews>
  <sheetFormatPr defaultRowHeight="15"/>
  <cols>
    <col min="1" max="1" width="9.28515625" customWidth="1"/>
    <col min="2" max="2" width="50.140625" customWidth="1"/>
    <col min="3" max="3" width="15.5703125" customWidth="1"/>
  </cols>
  <sheetData>
    <row r="1" spans="1:7" ht="21.75" customHeight="1" thickBot="1">
      <c r="A1" s="21"/>
      <c r="B1" s="118" t="s">
        <v>324</v>
      </c>
      <c r="C1" s="118"/>
      <c r="D1" s="21"/>
      <c r="E1" s="21"/>
      <c r="F1" s="21"/>
      <c r="G1" s="21"/>
    </row>
    <row r="2" spans="1:7" ht="38.25" thickBot="1">
      <c r="B2" s="22" t="s">
        <v>325</v>
      </c>
      <c r="C2" s="23" t="s">
        <v>326</v>
      </c>
    </row>
    <row r="3" spans="1:7">
      <c r="B3" s="24" t="s">
        <v>327</v>
      </c>
      <c r="C3" s="25">
        <v>0.1</v>
      </c>
    </row>
    <row r="4" spans="1:7">
      <c r="B4" s="26" t="s">
        <v>328</v>
      </c>
      <c r="C4" s="27">
        <v>0</v>
      </c>
    </row>
    <row r="5" spans="1:7">
      <c r="B5" s="28" t="s">
        <v>329</v>
      </c>
      <c r="C5" s="27">
        <v>0.3</v>
      </c>
    </row>
    <row r="6" spans="1:7" ht="30">
      <c r="B6" s="28" t="s">
        <v>330</v>
      </c>
      <c r="C6" s="27">
        <v>0.8</v>
      </c>
    </row>
    <row r="7" spans="1:7">
      <c r="B7" s="28" t="s">
        <v>331</v>
      </c>
      <c r="C7" s="27">
        <v>0.8</v>
      </c>
    </row>
    <row r="8" spans="1:7">
      <c r="B8" s="28" t="s">
        <v>302</v>
      </c>
      <c r="C8" s="27">
        <v>0.2</v>
      </c>
    </row>
    <row r="9" spans="1:7">
      <c r="B9" s="28" t="s">
        <v>332</v>
      </c>
      <c r="C9" s="27">
        <v>0.8</v>
      </c>
    </row>
    <row r="10" spans="1:7" ht="15.75" thickBot="1">
      <c r="B10" s="29" t="s">
        <v>333</v>
      </c>
      <c r="C10" s="30">
        <v>0.5</v>
      </c>
    </row>
  </sheetData>
  <mergeCells count="1">
    <mergeCell ref="B1:C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EAF6E-543A-411E-9696-F9612ED56FE3}">
  <dimension ref="A1:H39"/>
  <sheetViews>
    <sheetView topLeftCell="A28" zoomScaleNormal="100" workbookViewId="0">
      <selection activeCell="G24" sqref="G24"/>
    </sheetView>
  </sheetViews>
  <sheetFormatPr defaultRowHeight="15"/>
  <cols>
    <col min="1" max="1" width="12.42578125" bestFit="1" customWidth="1"/>
    <col min="2" max="2" width="12.7109375" customWidth="1"/>
    <col min="3" max="3" width="15" customWidth="1"/>
    <col min="4" max="4" width="17" bestFit="1" customWidth="1"/>
    <col min="5" max="5" width="13.42578125" bestFit="1" customWidth="1"/>
    <col min="6" max="6" width="59" customWidth="1"/>
    <col min="7" max="7" width="25.5703125" customWidth="1"/>
    <col min="8" max="8" width="97.28515625" customWidth="1"/>
  </cols>
  <sheetData>
    <row r="1" spans="1:8" ht="39.75" customHeight="1">
      <c r="A1" s="11" t="s">
        <v>0</v>
      </c>
      <c r="B1" s="11" t="s">
        <v>1</v>
      </c>
      <c r="C1" s="7" t="s">
        <v>232</v>
      </c>
      <c r="D1" s="11" t="s">
        <v>3</v>
      </c>
      <c r="E1" s="11" t="s">
        <v>5</v>
      </c>
      <c r="F1" s="1" t="s">
        <v>6</v>
      </c>
      <c r="G1" s="1" t="s">
        <v>7</v>
      </c>
      <c r="H1" s="7" t="s">
        <v>8</v>
      </c>
    </row>
    <row r="2" spans="1:8" ht="30" customHeight="1">
      <c r="A2" s="116" t="s">
        <v>334</v>
      </c>
      <c r="B2" s="116"/>
      <c r="C2" s="116"/>
      <c r="D2" s="116"/>
      <c r="E2" s="116"/>
      <c r="F2" s="116"/>
      <c r="G2" s="116"/>
      <c r="H2" s="116"/>
    </row>
    <row r="3" spans="1:8" ht="30">
      <c r="A3" s="15" t="s">
        <v>12</v>
      </c>
      <c r="B3" s="15"/>
      <c r="C3" s="15" t="s">
        <v>12</v>
      </c>
      <c r="D3" s="15" t="s">
        <v>95</v>
      </c>
      <c r="E3" s="31" t="s">
        <v>335</v>
      </c>
      <c r="F3" s="32" t="s">
        <v>336</v>
      </c>
      <c r="G3" s="33">
        <f>SUM((G11*G12),(G29*G30))</f>
        <v>73.333333333333329</v>
      </c>
      <c r="H3" s="33" t="s">
        <v>337</v>
      </c>
    </row>
    <row r="4" spans="1:8" ht="46.5" customHeight="1">
      <c r="A4" s="116" t="s">
        <v>338</v>
      </c>
      <c r="B4" s="116"/>
      <c r="C4" s="116"/>
      <c r="D4" s="116"/>
      <c r="E4" s="116"/>
      <c r="F4" s="116"/>
      <c r="G4" s="116"/>
      <c r="H4" s="116"/>
    </row>
    <row r="5" spans="1:8" ht="33" customHeight="1">
      <c r="A5" t="s">
        <v>11</v>
      </c>
      <c r="C5" t="s">
        <v>11</v>
      </c>
      <c r="D5" t="s">
        <v>13</v>
      </c>
      <c r="E5" s="34" t="s">
        <v>339</v>
      </c>
      <c r="F5" s="35" t="s">
        <v>340</v>
      </c>
      <c r="G5" t="s">
        <v>341</v>
      </c>
    </row>
    <row r="6" spans="1:8">
      <c r="A6" t="s">
        <v>11</v>
      </c>
      <c r="C6" t="s">
        <v>11</v>
      </c>
      <c r="D6" t="s">
        <v>13</v>
      </c>
      <c r="F6" s="35" t="s">
        <v>342</v>
      </c>
      <c r="G6" t="s">
        <v>343</v>
      </c>
    </row>
    <row r="7" spans="1:8" ht="75">
      <c r="A7" s="36" t="s">
        <v>11</v>
      </c>
      <c r="B7" s="36"/>
      <c r="C7" s="36" t="s">
        <v>11</v>
      </c>
      <c r="D7" s="36" t="s">
        <v>344</v>
      </c>
      <c r="E7" s="36"/>
      <c r="F7" s="37" t="s">
        <v>345</v>
      </c>
      <c r="G7" s="36" t="s">
        <v>346</v>
      </c>
      <c r="H7" s="113" t="s">
        <v>347</v>
      </c>
    </row>
    <row r="8" spans="1:8" ht="30">
      <c r="A8" s="36" t="s">
        <v>11</v>
      </c>
      <c r="B8" s="36"/>
      <c r="C8" s="36" t="s">
        <v>11</v>
      </c>
      <c r="D8" s="36" t="s">
        <v>344</v>
      </c>
      <c r="E8" s="36"/>
      <c r="F8" s="37" t="s">
        <v>348</v>
      </c>
      <c r="G8" s="36" t="s">
        <v>349</v>
      </c>
      <c r="H8" s="38" t="s">
        <v>350</v>
      </c>
    </row>
    <row r="9" spans="1:8" ht="21">
      <c r="A9" s="119" t="s">
        <v>351</v>
      </c>
      <c r="B9" s="119"/>
      <c r="C9" s="119"/>
      <c r="D9" s="119"/>
      <c r="E9" s="119"/>
      <c r="F9" s="119"/>
      <c r="G9" s="119"/>
      <c r="H9" s="119"/>
    </row>
    <row r="10" spans="1:8" ht="30">
      <c r="A10" s="15" t="s">
        <v>12</v>
      </c>
      <c r="B10" s="15"/>
      <c r="C10" s="15" t="s">
        <v>12</v>
      </c>
      <c r="D10" s="15" t="s">
        <v>95</v>
      </c>
      <c r="E10" s="39" t="s">
        <v>352</v>
      </c>
      <c r="F10" s="32" t="s">
        <v>353</v>
      </c>
      <c r="G10" s="33">
        <f>G11*G12</f>
        <v>36.666666666666664</v>
      </c>
      <c r="H10" s="33"/>
    </row>
    <row r="11" spans="1:8" ht="30">
      <c r="A11" t="s">
        <v>11</v>
      </c>
      <c r="C11" t="s">
        <v>11</v>
      </c>
      <c r="D11" t="s">
        <v>124</v>
      </c>
      <c r="E11" s="40" t="s">
        <v>354</v>
      </c>
      <c r="F11" s="35" t="s">
        <v>355</v>
      </c>
      <c r="G11" s="41">
        <v>20</v>
      </c>
      <c r="H11" s="41"/>
    </row>
    <row r="12" spans="1:8" ht="30">
      <c r="A12" s="15" t="s">
        <v>11</v>
      </c>
      <c r="B12" s="15"/>
      <c r="C12" s="15" t="s">
        <v>12</v>
      </c>
      <c r="D12" s="15" t="s">
        <v>95</v>
      </c>
      <c r="E12" s="42" t="s">
        <v>356</v>
      </c>
      <c r="F12" s="32" t="s">
        <v>357</v>
      </c>
      <c r="G12" s="33">
        <f>G14</f>
        <v>1.8333333333333333</v>
      </c>
      <c r="H12" s="43" t="s">
        <v>358</v>
      </c>
    </row>
    <row r="13" spans="1:8" ht="21">
      <c r="A13" s="119" t="s">
        <v>359</v>
      </c>
      <c r="B13" s="119"/>
      <c r="C13" s="119"/>
      <c r="D13" s="119"/>
      <c r="E13" s="119"/>
      <c r="F13" s="119"/>
      <c r="G13" s="119"/>
      <c r="H13" s="119"/>
    </row>
    <row r="14" spans="1:8" ht="30">
      <c r="A14" s="15" t="s">
        <v>12</v>
      </c>
      <c r="B14" s="15"/>
      <c r="C14" s="15" t="s">
        <v>12</v>
      </c>
      <c r="D14" s="15" t="s">
        <v>95</v>
      </c>
      <c r="E14" s="39" t="s">
        <v>356</v>
      </c>
      <c r="F14" s="32" t="s">
        <v>360</v>
      </c>
      <c r="G14" s="33">
        <f>G16*(44/12)</f>
        <v>1.8333333333333333</v>
      </c>
      <c r="H14" s="33" t="s">
        <v>361</v>
      </c>
    </row>
    <row r="15" spans="1:8" ht="30">
      <c r="A15" s="15" t="s">
        <v>12</v>
      </c>
      <c r="B15" s="15"/>
      <c r="C15" s="15" t="s">
        <v>12</v>
      </c>
      <c r="D15" s="15" t="s">
        <v>95</v>
      </c>
      <c r="E15" s="39" t="s">
        <v>356</v>
      </c>
      <c r="F15" s="32" t="s">
        <v>362</v>
      </c>
      <c r="G15" s="33">
        <f>G16*G17*(44/12)</f>
        <v>3.6666666666666665</v>
      </c>
      <c r="H15" s="33" t="s">
        <v>363</v>
      </c>
    </row>
    <row r="16" spans="1:8" ht="30">
      <c r="A16" t="s">
        <v>11</v>
      </c>
      <c r="C16" t="s">
        <v>11</v>
      </c>
      <c r="D16" t="s">
        <v>124</v>
      </c>
      <c r="E16" s="40" t="s">
        <v>364</v>
      </c>
      <c r="F16" s="35" t="s">
        <v>365</v>
      </c>
      <c r="G16" s="41">
        <v>0.5</v>
      </c>
      <c r="H16" s="41"/>
    </row>
    <row r="17" spans="1:8" ht="30">
      <c r="A17" t="s">
        <v>11</v>
      </c>
      <c r="C17" t="s">
        <v>11</v>
      </c>
      <c r="D17" t="s">
        <v>124</v>
      </c>
      <c r="E17" s="40" t="s">
        <v>366</v>
      </c>
      <c r="F17" s="35" t="s">
        <v>367</v>
      </c>
      <c r="G17" s="41">
        <v>2</v>
      </c>
      <c r="H17" s="41"/>
    </row>
    <row r="18" spans="1:8" ht="21">
      <c r="A18" s="119" t="s">
        <v>368</v>
      </c>
      <c r="B18" s="119"/>
      <c r="C18" s="119"/>
      <c r="D18" s="119"/>
      <c r="E18" s="119"/>
      <c r="F18" s="119"/>
      <c r="G18" s="119"/>
      <c r="H18" s="119"/>
    </row>
    <row r="19" spans="1:8" ht="30">
      <c r="A19" s="15" t="s">
        <v>12</v>
      </c>
      <c r="B19" s="15"/>
      <c r="C19" s="15" t="s">
        <v>12</v>
      </c>
      <c r="D19" s="15" t="s">
        <v>95</v>
      </c>
      <c r="E19" s="39" t="s">
        <v>356</v>
      </c>
      <c r="F19" s="43" t="s">
        <v>357</v>
      </c>
      <c r="G19" s="33">
        <f>G20*G21</f>
        <v>11.15</v>
      </c>
      <c r="H19" s="33"/>
    </row>
    <row r="20" spans="1:8" ht="30">
      <c r="A20" t="s">
        <v>11</v>
      </c>
      <c r="C20" t="s">
        <v>11</v>
      </c>
      <c r="D20" t="s">
        <v>124</v>
      </c>
      <c r="E20" s="40" t="s">
        <v>369</v>
      </c>
      <c r="F20" s="10" t="s">
        <v>370</v>
      </c>
      <c r="G20" s="41">
        <v>0.5</v>
      </c>
      <c r="H20" s="41"/>
    </row>
    <row r="21" spans="1:8" ht="30">
      <c r="A21" t="s">
        <v>11</v>
      </c>
      <c r="C21" t="s">
        <v>11</v>
      </c>
      <c r="D21" t="s">
        <v>124</v>
      </c>
      <c r="E21" s="40" t="s">
        <v>371</v>
      </c>
      <c r="F21" s="10" t="s">
        <v>372</v>
      </c>
      <c r="G21" s="41">
        <v>22.3</v>
      </c>
      <c r="H21" s="41"/>
    </row>
    <row r="22" spans="1:8" ht="46.5" customHeight="1">
      <c r="A22" s="116" t="s">
        <v>373</v>
      </c>
      <c r="B22" s="116"/>
      <c r="C22" s="116"/>
      <c r="D22" s="116"/>
      <c r="E22" s="116"/>
      <c r="F22" s="116"/>
      <c r="G22" s="116"/>
      <c r="H22" s="116"/>
    </row>
    <row r="23" spans="1:8" ht="33" customHeight="1">
      <c r="A23" t="s">
        <v>11</v>
      </c>
      <c r="C23" t="s">
        <v>11</v>
      </c>
      <c r="D23" t="s">
        <v>13</v>
      </c>
      <c r="E23" s="40" t="s">
        <v>339</v>
      </c>
      <c r="F23" s="35" t="s">
        <v>340</v>
      </c>
      <c r="G23" t="s">
        <v>341</v>
      </c>
    </row>
    <row r="24" spans="1:8">
      <c r="A24" t="s">
        <v>11</v>
      </c>
      <c r="C24" t="s">
        <v>11</v>
      </c>
      <c r="D24" t="s">
        <v>13</v>
      </c>
      <c r="E24" s="44"/>
      <c r="F24" s="35" t="s">
        <v>342</v>
      </c>
      <c r="G24" t="s">
        <v>343</v>
      </c>
    </row>
    <row r="25" spans="1:8" ht="75">
      <c r="A25" s="36" t="s">
        <v>11</v>
      </c>
      <c r="B25" s="36"/>
      <c r="C25" s="36" t="s">
        <v>11</v>
      </c>
      <c r="D25" s="36" t="s">
        <v>374</v>
      </c>
      <c r="E25" s="45"/>
      <c r="F25" s="37" t="s">
        <v>345</v>
      </c>
      <c r="G25" s="36" t="s">
        <v>375</v>
      </c>
      <c r="H25" s="113" t="s">
        <v>347</v>
      </c>
    </row>
    <row r="26" spans="1:8" ht="30">
      <c r="A26" s="36" t="s">
        <v>11</v>
      </c>
      <c r="B26" s="36"/>
      <c r="C26" s="36" t="s">
        <v>11</v>
      </c>
      <c r="D26" s="36" t="s">
        <v>374</v>
      </c>
      <c r="E26" s="45"/>
      <c r="F26" s="37" t="s">
        <v>348</v>
      </c>
      <c r="G26" s="36" t="s">
        <v>376</v>
      </c>
      <c r="H26" s="38" t="s">
        <v>350</v>
      </c>
    </row>
    <row r="27" spans="1:8" ht="21">
      <c r="A27" s="119" t="s">
        <v>351</v>
      </c>
      <c r="B27" s="119"/>
      <c r="C27" s="119"/>
      <c r="D27" s="119"/>
      <c r="E27" s="119"/>
      <c r="F27" s="119"/>
      <c r="G27" s="119"/>
      <c r="H27" s="119"/>
    </row>
    <row r="28" spans="1:8" ht="30">
      <c r="A28" s="15" t="s">
        <v>12</v>
      </c>
      <c r="B28" s="15"/>
      <c r="C28" s="15" t="s">
        <v>12</v>
      </c>
      <c r="D28" s="15" t="s">
        <v>95</v>
      </c>
      <c r="E28" s="39" t="s">
        <v>352</v>
      </c>
      <c r="F28" s="32" t="s">
        <v>353</v>
      </c>
      <c r="G28" s="33">
        <f>G29*G30</f>
        <v>36.666666666666664</v>
      </c>
      <c r="H28" s="33"/>
    </row>
    <row r="29" spans="1:8" ht="30">
      <c r="A29" t="s">
        <v>11</v>
      </c>
      <c r="C29" t="s">
        <v>11</v>
      </c>
      <c r="D29" t="s">
        <v>124</v>
      </c>
      <c r="E29" s="40" t="s">
        <v>354</v>
      </c>
      <c r="F29" s="35" t="s">
        <v>355</v>
      </c>
      <c r="G29" s="41">
        <v>10</v>
      </c>
      <c r="H29" s="41"/>
    </row>
    <row r="30" spans="1:8" ht="30">
      <c r="A30" s="15" t="s">
        <v>11</v>
      </c>
      <c r="B30" s="15"/>
      <c r="C30" s="15" t="s">
        <v>11</v>
      </c>
      <c r="D30" s="15" t="s">
        <v>95</v>
      </c>
      <c r="E30" s="42" t="s">
        <v>356</v>
      </c>
      <c r="F30" s="32" t="s">
        <v>357</v>
      </c>
      <c r="G30" s="33">
        <f>G33</f>
        <v>3.6666666666666665</v>
      </c>
      <c r="H30" s="43" t="s">
        <v>377</v>
      </c>
    </row>
    <row r="31" spans="1:8" ht="21">
      <c r="A31" s="119" t="s">
        <v>359</v>
      </c>
      <c r="B31" s="119"/>
      <c r="C31" s="119"/>
      <c r="D31" s="119"/>
      <c r="E31" s="119"/>
      <c r="F31" s="119"/>
      <c r="G31" s="119"/>
      <c r="H31" s="119"/>
    </row>
    <row r="32" spans="1:8" ht="30">
      <c r="A32" s="15" t="s">
        <v>12</v>
      </c>
      <c r="B32" s="15"/>
      <c r="C32" s="15" t="s">
        <v>12</v>
      </c>
      <c r="D32" s="15" t="s">
        <v>95</v>
      </c>
      <c r="E32" s="39" t="s">
        <v>356</v>
      </c>
      <c r="F32" s="32" t="s">
        <v>360</v>
      </c>
      <c r="G32" s="33">
        <f>G34*(44/12)</f>
        <v>1.8333333333333333</v>
      </c>
      <c r="H32" s="33" t="s">
        <v>361</v>
      </c>
    </row>
    <row r="33" spans="1:8" ht="30">
      <c r="A33" s="15" t="s">
        <v>12</v>
      </c>
      <c r="B33" s="15"/>
      <c r="C33" s="15" t="s">
        <v>12</v>
      </c>
      <c r="D33" s="15" t="s">
        <v>95</v>
      </c>
      <c r="E33" s="39" t="s">
        <v>356</v>
      </c>
      <c r="F33" s="32" t="s">
        <v>362</v>
      </c>
      <c r="G33" s="33">
        <f>G34*G35*(44/12)</f>
        <v>3.6666666666666665</v>
      </c>
      <c r="H33" s="33" t="s">
        <v>363</v>
      </c>
    </row>
    <row r="34" spans="1:8" ht="30">
      <c r="A34" t="s">
        <v>11</v>
      </c>
      <c r="C34" t="s">
        <v>11</v>
      </c>
      <c r="D34" t="s">
        <v>124</v>
      </c>
      <c r="E34" s="40" t="s">
        <v>364</v>
      </c>
      <c r="F34" s="35" t="s">
        <v>365</v>
      </c>
      <c r="G34" s="41">
        <v>0.5</v>
      </c>
      <c r="H34" s="41"/>
    </row>
    <row r="35" spans="1:8" ht="30">
      <c r="A35" t="s">
        <v>11</v>
      </c>
      <c r="C35" t="s">
        <v>11</v>
      </c>
      <c r="D35" t="s">
        <v>124</v>
      </c>
      <c r="E35" s="40" t="s">
        <v>366</v>
      </c>
      <c r="F35" s="35" t="s">
        <v>367</v>
      </c>
      <c r="G35" s="41">
        <v>2</v>
      </c>
      <c r="H35" s="41"/>
    </row>
    <row r="36" spans="1:8" ht="21">
      <c r="A36" s="119" t="s">
        <v>368</v>
      </c>
      <c r="B36" s="119"/>
      <c r="C36" s="119"/>
      <c r="D36" s="119"/>
      <c r="E36" s="119"/>
      <c r="F36" s="119"/>
      <c r="G36" s="119"/>
      <c r="H36" s="119"/>
    </row>
    <row r="37" spans="1:8" ht="30">
      <c r="A37" s="15" t="s">
        <v>12</v>
      </c>
      <c r="B37" s="15"/>
      <c r="C37" s="15" t="s">
        <v>12</v>
      </c>
      <c r="D37" s="15" t="s">
        <v>95</v>
      </c>
      <c r="E37" s="39" t="s">
        <v>356</v>
      </c>
      <c r="F37" s="32" t="s">
        <v>357</v>
      </c>
      <c r="G37" s="33">
        <f>G38*G39</f>
        <v>11.15</v>
      </c>
      <c r="H37" s="33"/>
    </row>
    <row r="38" spans="1:8" ht="30">
      <c r="A38" t="s">
        <v>11</v>
      </c>
      <c r="C38" t="s">
        <v>11</v>
      </c>
      <c r="D38" t="s">
        <v>124</v>
      </c>
      <c r="E38" s="40" t="s">
        <v>369</v>
      </c>
      <c r="F38" s="35" t="s">
        <v>370</v>
      </c>
      <c r="G38" s="41">
        <v>0.5</v>
      </c>
      <c r="H38" s="41"/>
    </row>
    <row r="39" spans="1:8" ht="30">
      <c r="A39" t="s">
        <v>11</v>
      </c>
      <c r="C39" t="s">
        <v>11</v>
      </c>
      <c r="D39" t="s">
        <v>124</v>
      </c>
      <c r="E39" s="40" t="s">
        <v>371</v>
      </c>
      <c r="F39" s="35" t="s">
        <v>372</v>
      </c>
      <c r="G39" s="41">
        <v>22.3</v>
      </c>
      <c r="H39" s="41"/>
    </row>
  </sheetData>
  <mergeCells count="9">
    <mergeCell ref="A27:H27"/>
    <mergeCell ref="A31:H31"/>
    <mergeCell ref="A36:H36"/>
    <mergeCell ref="A2:H2"/>
    <mergeCell ref="A4:H4"/>
    <mergeCell ref="A9:H9"/>
    <mergeCell ref="A13:H13"/>
    <mergeCell ref="A18:H18"/>
    <mergeCell ref="A22:H22"/>
  </mergeCells>
  <dataValidations count="2">
    <dataValidation type="list" allowBlank="1" showInputMessage="1" showErrorMessage="1" sqref="G7 G25" xr:uid="{738388A2-5F9F-4091-ACEA-A96DC1E2F090}">
      <formula1>"Option A,Option B"</formula1>
    </dataValidation>
    <dataValidation type="list" allowBlank="1" showInputMessage="1" showErrorMessage="1" sqref="G8 G26" xr:uid="{47390D8C-81D0-44A8-ACFD-5DFDD3397587}">
      <formula1>"Mass,Volume"</formula1>
    </dataValidation>
  </dataValidations>
  <pageMargins left="0.7" right="0.7" top="0.75" bottom="0.75" header="0.3" footer="0.3"/>
  <pageSetup scale="34"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180D3-4F02-4A86-BF72-35ABEAA19F4E}">
  <dimension ref="A1:H47"/>
  <sheetViews>
    <sheetView topLeftCell="C1" zoomScaleNormal="100" workbookViewId="0">
      <pane ySplit="1" topLeftCell="A11" activePane="bottomLeft" state="frozen"/>
      <selection pane="bottomLeft" activeCell="G19" sqref="G19"/>
      <selection activeCell="E48" sqref="E48"/>
    </sheetView>
  </sheetViews>
  <sheetFormatPr defaultRowHeight="15"/>
  <cols>
    <col min="1" max="1" width="12.42578125" bestFit="1" customWidth="1"/>
    <col min="2" max="2" width="13.140625" bestFit="1" customWidth="1"/>
    <col min="3" max="3" width="11.7109375" bestFit="1" customWidth="1"/>
    <col min="4" max="4" width="17.140625" bestFit="1" customWidth="1"/>
    <col min="5" max="5" width="17.28515625" bestFit="1" customWidth="1"/>
    <col min="6" max="6" width="84" customWidth="1"/>
    <col min="7" max="7" width="22.85546875" customWidth="1"/>
    <col min="8" max="8" width="94.5703125" customWidth="1"/>
  </cols>
  <sheetData>
    <row r="1" spans="1:8" ht="39.75" customHeight="1">
      <c r="A1" s="11" t="s">
        <v>0</v>
      </c>
      <c r="B1" s="11" t="s">
        <v>1</v>
      </c>
      <c r="C1" s="7" t="s">
        <v>232</v>
      </c>
      <c r="D1" s="11" t="s">
        <v>3</v>
      </c>
      <c r="E1" s="11" t="s">
        <v>5</v>
      </c>
      <c r="F1" s="1" t="s">
        <v>6</v>
      </c>
      <c r="G1" s="1" t="s">
        <v>7</v>
      </c>
      <c r="H1" s="7" t="s">
        <v>8</v>
      </c>
    </row>
    <row r="2" spans="1:8" ht="30" customHeight="1">
      <c r="A2" s="116" t="s">
        <v>378</v>
      </c>
      <c r="B2" s="116"/>
      <c r="C2" s="116"/>
      <c r="D2" s="116"/>
      <c r="E2" s="116"/>
      <c r="F2" s="116"/>
      <c r="G2" s="116"/>
      <c r="H2" s="116"/>
    </row>
    <row r="3" spans="1:8" ht="33" customHeight="1">
      <c r="A3" s="120" t="s">
        <v>379</v>
      </c>
      <c r="B3" s="120"/>
      <c r="C3" s="120"/>
      <c r="D3" s="120"/>
      <c r="E3" s="120"/>
      <c r="F3" s="120"/>
      <c r="G3" s="120"/>
      <c r="H3" s="120"/>
    </row>
    <row r="4" spans="1:8" s="49" customFormat="1" ht="204.75">
      <c r="A4" s="46" t="s">
        <v>11</v>
      </c>
      <c r="B4" s="46"/>
      <c r="C4" s="46" t="s">
        <v>12</v>
      </c>
      <c r="D4" s="46" t="s">
        <v>374</v>
      </c>
      <c r="E4" s="46"/>
      <c r="F4" s="47" t="s">
        <v>380</v>
      </c>
      <c r="G4" s="47" t="s">
        <v>381</v>
      </c>
      <c r="H4" s="48" t="s">
        <v>382</v>
      </c>
    </row>
    <row r="5" spans="1:8" ht="30.75" customHeight="1">
      <c r="A5" s="121" t="s">
        <v>383</v>
      </c>
      <c r="B5" s="121"/>
      <c r="C5" s="121"/>
      <c r="D5" s="121"/>
      <c r="E5" s="121"/>
      <c r="F5" s="121"/>
      <c r="G5" s="121"/>
      <c r="H5" s="121"/>
    </row>
    <row r="6" spans="1:8" ht="26.25">
      <c r="A6" s="50" t="s">
        <v>12</v>
      </c>
      <c r="B6" s="50"/>
      <c r="C6" s="50" t="s">
        <v>12</v>
      </c>
      <c r="D6" s="50" t="s">
        <v>95</v>
      </c>
      <c r="E6" s="39" t="s">
        <v>384</v>
      </c>
      <c r="F6" s="18" t="s">
        <v>385</v>
      </c>
      <c r="G6" s="33">
        <f>SUM(G8*G7*(1+G9))</f>
        <v>5.1951093600000009</v>
      </c>
      <c r="H6" s="33"/>
    </row>
    <row r="7" spans="1:8" ht="26.25">
      <c r="A7" s="50" t="s">
        <v>12</v>
      </c>
      <c r="B7" s="50"/>
      <c r="C7" s="50" t="s">
        <v>12</v>
      </c>
      <c r="D7" s="50" t="s">
        <v>95</v>
      </c>
      <c r="E7" s="39" t="s">
        <v>386</v>
      </c>
      <c r="F7" s="18" t="s">
        <v>387</v>
      </c>
      <c r="G7" s="33">
        <f>G37</f>
        <v>1.7670440000000003</v>
      </c>
      <c r="H7" s="18" t="s">
        <v>388</v>
      </c>
    </row>
    <row r="8" spans="1:8" ht="30">
      <c r="A8" s="49" t="s">
        <v>11</v>
      </c>
      <c r="B8" s="49"/>
      <c r="C8" s="49" t="s">
        <v>11</v>
      </c>
      <c r="D8" s="49" t="s">
        <v>124</v>
      </c>
      <c r="E8" s="40" t="s">
        <v>389</v>
      </c>
      <c r="F8" s="10" t="s">
        <v>390</v>
      </c>
      <c r="G8" s="41">
        <v>2.8</v>
      </c>
    </row>
    <row r="9" spans="1:8" ht="30">
      <c r="A9" s="49" t="s">
        <v>11</v>
      </c>
      <c r="B9" s="49"/>
      <c r="C9" s="49" t="s">
        <v>11</v>
      </c>
      <c r="D9" s="49" t="s">
        <v>124</v>
      </c>
      <c r="E9" s="40" t="s">
        <v>391</v>
      </c>
      <c r="F9" s="10" t="s">
        <v>392</v>
      </c>
      <c r="G9" s="41">
        <v>0.05</v>
      </c>
    </row>
    <row r="10" spans="1:8" ht="21" customHeight="1">
      <c r="A10" s="49" t="s">
        <v>11</v>
      </c>
      <c r="B10" s="49"/>
      <c r="C10" s="49" t="s">
        <v>11</v>
      </c>
      <c r="D10" s="49" t="s">
        <v>13</v>
      </c>
      <c r="E10" s="51" t="s">
        <v>393</v>
      </c>
      <c r="F10" t="s">
        <v>394</v>
      </c>
      <c r="G10" s="41" t="s">
        <v>395</v>
      </c>
    </row>
    <row r="11" spans="1:8" ht="26.25">
      <c r="A11" s="50" t="s">
        <v>12</v>
      </c>
      <c r="B11" s="50"/>
      <c r="C11" s="50" t="s">
        <v>12</v>
      </c>
      <c r="D11" s="50" t="s">
        <v>95</v>
      </c>
      <c r="E11" s="39" t="s">
        <v>396</v>
      </c>
      <c r="F11" s="18" t="s">
        <v>397</v>
      </c>
      <c r="G11" s="33">
        <f>SUM(G13*G12*(1+G14))</f>
        <v>7.978203660000001</v>
      </c>
      <c r="H11" s="33"/>
    </row>
    <row r="12" spans="1:8" ht="26.25">
      <c r="A12" s="50" t="s">
        <v>12</v>
      </c>
      <c r="B12" s="50"/>
      <c r="C12" s="50" t="s">
        <v>12</v>
      </c>
      <c r="D12" s="50" t="s">
        <v>95</v>
      </c>
      <c r="E12" s="39" t="s">
        <v>398</v>
      </c>
      <c r="F12" s="18" t="s">
        <v>399</v>
      </c>
      <c r="G12" s="33">
        <f>G37</f>
        <v>1.7670440000000003</v>
      </c>
      <c r="H12" s="18" t="s">
        <v>388</v>
      </c>
    </row>
    <row r="13" spans="1:8" ht="30">
      <c r="A13" s="49" t="s">
        <v>11</v>
      </c>
      <c r="B13" s="49"/>
      <c r="C13" s="49" t="s">
        <v>11</v>
      </c>
      <c r="D13" s="49" t="s">
        <v>124</v>
      </c>
      <c r="E13" s="40" t="s">
        <v>400</v>
      </c>
      <c r="F13" s="10" t="s">
        <v>401</v>
      </c>
      <c r="G13" s="41">
        <v>4.3</v>
      </c>
    </row>
    <row r="14" spans="1:8" ht="30">
      <c r="A14" s="49" t="s">
        <v>11</v>
      </c>
      <c r="B14" s="49"/>
      <c r="C14" s="49" t="s">
        <v>11</v>
      </c>
      <c r="D14" s="49" t="s">
        <v>124</v>
      </c>
      <c r="E14" s="40" t="s">
        <v>402</v>
      </c>
      <c r="F14" s="10" t="s">
        <v>403</v>
      </c>
      <c r="G14" s="41">
        <v>0.05</v>
      </c>
    </row>
    <row r="15" spans="1:8" ht="30" customHeight="1">
      <c r="A15" s="49" t="s">
        <v>11</v>
      </c>
      <c r="B15" s="49"/>
      <c r="C15" s="49" t="s">
        <v>11</v>
      </c>
      <c r="D15" s="49" t="s">
        <v>13</v>
      </c>
      <c r="E15" s="51" t="s">
        <v>404</v>
      </c>
      <c r="F15" t="s">
        <v>405</v>
      </c>
      <c r="G15" s="41" t="s">
        <v>395</v>
      </c>
    </row>
    <row r="16" spans="1:8" ht="26.25">
      <c r="A16" s="50" t="s">
        <v>12</v>
      </c>
      <c r="B16" s="50"/>
      <c r="C16" s="50" t="s">
        <v>12</v>
      </c>
      <c r="D16" s="50" t="s">
        <v>95</v>
      </c>
      <c r="E16" s="39" t="s">
        <v>406</v>
      </c>
      <c r="F16" s="18" t="s">
        <v>407</v>
      </c>
      <c r="G16" s="33">
        <f>SUM(G18*G17*(1+G19))</f>
        <v>2.7830943000000006</v>
      </c>
      <c r="H16" s="33"/>
    </row>
    <row r="17" spans="1:8" ht="26.25">
      <c r="A17" s="50" t="s">
        <v>12</v>
      </c>
      <c r="B17" s="50"/>
      <c r="C17" s="50" t="s">
        <v>12</v>
      </c>
      <c r="D17" s="50" t="s">
        <v>95</v>
      </c>
      <c r="E17" s="39" t="s">
        <v>408</v>
      </c>
      <c r="F17" s="18" t="s">
        <v>409</v>
      </c>
      <c r="G17" s="33">
        <f>G37</f>
        <v>1.7670440000000003</v>
      </c>
      <c r="H17" s="18" t="s">
        <v>388</v>
      </c>
    </row>
    <row r="18" spans="1:8" ht="26.25">
      <c r="A18" s="49" t="s">
        <v>11</v>
      </c>
      <c r="B18" s="49"/>
      <c r="C18" s="49" t="s">
        <v>11</v>
      </c>
      <c r="D18" s="49" t="s">
        <v>124</v>
      </c>
      <c r="E18" s="40" t="s">
        <v>410</v>
      </c>
      <c r="F18" s="10" t="s">
        <v>411</v>
      </c>
      <c r="G18" s="41">
        <v>1.5</v>
      </c>
    </row>
    <row r="19" spans="1:8" ht="30">
      <c r="A19" s="49" t="s">
        <v>11</v>
      </c>
      <c r="B19" s="49"/>
      <c r="C19" s="49" t="s">
        <v>11</v>
      </c>
      <c r="D19" s="49" t="s">
        <v>124</v>
      </c>
      <c r="E19" s="40" t="s">
        <v>412</v>
      </c>
      <c r="F19" s="10" t="s">
        <v>413</v>
      </c>
      <c r="G19" s="41">
        <v>0.05</v>
      </c>
    </row>
    <row r="20" spans="1:8" ht="24" customHeight="1">
      <c r="A20" s="49" t="s">
        <v>11</v>
      </c>
      <c r="B20" s="49"/>
      <c r="C20" s="49" t="s">
        <v>11</v>
      </c>
      <c r="D20" s="49" t="s">
        <v>13</v>
      </c>
      <c r="E20" s="51" t="s">
        <v>414</v>
      </c>
      <c r="F20" t="s">
        <v>415</v>
      </c>
      <c r="G20" s="41" t="s">
        <v>395</v>
      </c>
    </row>
    <row r="21" spans="1:8" ht="36" customHeight="1">
      <c r="A21" s="122" t="s">
        <v>416</v>
      </c>
      <c r="B21" s="122"/>
      <c r="C21" s="122"/>
      <c r="D21" s="122"/>
      <c r="E21" s="122"/>
      <c r="F21" s="122"/>
      <c r="G21" s="122"/>
      <c r="H21" s="122"/>
    </row>
    <row r="22" spans="1:8" ht="28.5" customHeight="1">
      <c r="A22" s="15" t="s">
        <v>12</v>
      </c>
      <c r="B22" s="15"/>
      <c r="C22" s="15" t="s">
        <v>12</v>
      </c>
      <c r="D22" s="15" t="s">
        <v>95</v>
      </c>
      <c r="E22" s="39" t="s">
        <v>417</v>
      </c>
      <c r="F22" s="18" t="s">
        <v>418</v>
      </c>
      <c r="G22" s="33">
        <f>11400*1.3*G24</f>
        <v>0</v>
      </c>
      <c r="H22" s="33"/>
    </row>
    <row r="23" spans="1:8" ht="28.5" customHeight="1">
      <c r="A23" s="15" t="s">
        <v>12</v>
      </c>
      <c r="B23" s="15"/>
      <c r="C23" s="15" t="s">
        <v>12</v>
      </c>
      <c r="D23" s="15" t="s">
        <v>95</v>
      </c>
      <c r="E23" s="39" t="s">
        <v>419</v>
      </c>
      <c r="F23" s="18" t="s">
        <v>420</v>
      </c>
      <c r="G23" s="33">
        <f>11400*1.3*G26</f>
        <v>0</v>
      </c>
      <c r="H23" s="33"/>
    </row>
    <row r="24" spans="1:8" ht="30">
      <c r="A24" t="s">
        <v>12</v>
      </c>
      <c r="C24" t="s">
        <v>11</v>
      </c>
      <c r="D24" t="s">
        <v>124</v>
      </c>
      <c r="E24" s="40" t="s">
        <v>421</v>
      </c>
      <c r="F24" s="10" t="s">
        <v>422</v>
      </c>
      <c r="G24">
        <v>0</v>
      </c>
    </row>
    <row r="25" spans="1:8" ht="30">
      <c r="A25" t="s">
        <v>11</v>
      </c>
      <c r="C25" t="s">
        <v>11</v>
      </c>
      <c r="D25" t="s">
        <v>13</v>
      </c>
      <c r="E25" s="40" t="s">
        <v>393</v>
      </c>
      <c r="F25" s="10" t="s">
        <v>423</v>
      </c>
      <c r="G25">
        <v>0</v>
      </c>
    </row>
    <row r="26" spans="1:8" ht="30">
      <c r="A26" t="s">
        <v>12</v>
      </c>
      <c r="C26" t="s">
        <v>11</v>
      </c>
      <c r="D26" t="s">
        <v>124</v>
      </c>
      <c r="E26" s="40" t="s">
        <v>424</v>
      </c>
      <c r="F26" s="10" t="s">
        <v>425</v>
      </c>
      <c r="G26">
        <v>0</v>
      </c>
    </row>
    <row r="27" spans="1:8" ht="30">
      <c r="A27" t="s">
        <v>11</v>
      </c>
      <c r="C27" t="s">
        <v>11</v>
      </c>
      <c r="D27" t="s">
        <v>13</v>
      </c>
      <c r="E27" s="40" t="s">
        <v>414</v>
      </c>
      <c r="F27" s="10" t="s">
        <v>426</v>
      </c>
      <c r="G27">
        <v>0</v>
      </c>
    </row>
    <row r="28" spans="1:8" ht="21">
      <c r="A28" s="120" t="s">
        <v>427</v>
      </c>
      <c r="B28" s="120"/>
      <c r="C28" s="120"/>
      <c r="D28" s="120"/>
      <c r="E28" s="120"/>
      <c r="F28" s="120"/>
      <c r="G28" s="120"/>
      <c r="H28" s="120"/>
    </row>
    <row r="29" spans="1:8" ht="92.25" customHeight="1">
      <c r="A29" s="36" t="s">
        <v>11</v>
      </c>
      <c r="B29" s="36"/>
      <c r="C29" s="36" t="s">
        <v>12</v>
      </c>
      <c r="D29" s="36" t="s">
        <v>374</v>
      </c>
      <c r="E29" s="38" t="s">
        <v>428</v>
      </c>
      <c r="F29" s="52" t="s">
        <v>429</v>
      </c>
      <c r="G29" s="36" t="s">
        <v>430</v>
      </c>
      <c r="H29" s="38" t="s">
        <v>431</v>
      </c>
    </row>
    <row r="30" spans="1:8" ht="102" customHeight="1">
      <c r="A30" s="36" t="s">
        <v>11</v>
      </c>
      <c r="B30" s="36"/>
      <c r="C30" s="36" t="s">
        <v>12</v>
      </c>
      <c r="D30" s="36" t="s">
        <v>374</v>
      </c>
      <c r="E30" s="53" t="s">
        <v>432</v>
      </c>
      <c r="F30" s="52" t="s">
        <v>433</v>
      </c>
      <c r="G30" s="53" t="s">
        <v>434</v>
      </c>
      <c r="H30" s="37"/>
    </row>
    <row r="31" spans="1:8" ht="68.25" customHeight="1">
      <c r="A31" s="36" t="s">
        <v>11</v>
      </c>
      <c r="B31" s="36"/>
      <c r="C31" s="36" t="s">
        <v>12</v>
      </c>
      <c r="D31" s="36" t="s">
        <v>374</v>
      </c>
      <c r="E31" s="53" t="s">
        <v>435</v>
      </c>
      <c r="F31" s="52" t="s">
        <v>436</v>
      </c>
      <c r="G31" s="53" t="s">
        <v>12</v>
      </c>
      <c r="H31" s="37" t="s">
        <v>437</v>
      </c>
    </row>
    <row r="32" spans="1:8" ht="70.5" customHeight="1">
      <c r="A32" s="15" t="s">
        <v>12</v>
      </c>
      <c r="B32" s="15"/>
      <c r="C32" s="15" t="s">
        <v>12</v>
      </c>
      <c r="D32" s="15" t="s">
        <v>95</v>
      </c>
      <c r="E32" s="54" t="s">
        <v>438</v>
      </c>
      <c r="F32" s="18" t="s">
        <v>439</v>
      </c>
      <c r="G32" s="33">
        <v>0.25</v>
      </c>
      <c r="H32" s="32" t="s">
        <v>440</v>
      </c>
    </row>
    <row r="33" spans="1:8" ht="31.5" customHeight="1">
      <c r="A33" s="119" t="s">
        <v>441</v>
      </c>
      <c r="B33" s="119"/>
      <c r="C33" s="119"/>
      <c r="D33" s="119"/>
      <c r="E33" s="119"/>
      <c r="F33" s="119"/>
      <c r="G33" s="119"/>
      <c r="H33" s="119"/>
    </row>
    <row r="34" spans="1:8" ht="105">
      <c r="A34" s="36" t="s">
        <v>11</v>
      </c>
      <c r="B34" s="36"/>
      <c r="C34" s="36" t="s">
        <v>12</v>
      </c>
      <c r="D34" s="36" t="s">
        <v>374</v>
      </c>
      <c r="E34" s="52" t="s">
        <v>442</v>
      </c>
      <c r="F34" s="52" t="s">
        <v>443</v>
      </c>
      <c r="G34" s="52" t="s">
        <v>444</v>
      </c>
      <c r="H34" s="52" t="s">
        <v>445</v>
      </c>
    </row>
    <row r="35" spans="1:8" ht="45">
      <c r="A35" s="36" t="s">
        <v>11</v>
      </c>
      <c r="B35" s="36"/>
      <c r="C35" s="36" t="s">
        <v>12</v>
      </c>
      <c r="D35" s="36" t="s">
        <v>374</v>
      </c>
      <c r="E35" s="52" t="s">
        <v>446</v>
      </c>
      <c r="F35" s="52" t="s">
        <v>447</v>
      </c>
      <c r="G35" s="53" t="s">
        <v>448</v>
      </c>
      <c r="H35" s="52" t="s">
        <v>449</v>
      </c>
    </row>
    <row r="36" spans="1:8" ht="90">
      <c r="A36" s="36" t="s">
        <v>11</v>
      </c>
      <c r="B36" s="36"/>
      <c r="C36" s="36" t="s">
        <v>12</v>
      </c>
      <c r="D36" s="36" t="s">
        <v>374</v>
      </c>
      <c r="E36" s="52" t="s">
        <v>450</v>
      </c>
      <c r="F36" s="52" t="s">
        <v>451</v>
      </c>
      <c r="G36" s="52" t="s">
        <v>452</v>
      </c>
      <c r="H36" s="37" t="s">
        <v>453</v>
      </c>
    </row>
    <row r="37" spans="1:8" ht="63" customHeight="1">
      <c r="A37" s="15" t="s">
        <v>12</v>
      </c>
      <c r="B37" s="15"/>
      <c r="C37" s="15" t="s">
        <v>12</v>
      </c>
      <c r="D37" s="15" t="s">
        <v>95</v>
      </c>
      <c r="E37" s="54" t="s">
        <v>438</v>
      </c>
      <c r="F37" s="18" t="s">
        <v>454</v>
      </c>
      <c r="G37" s="33">
        <f>'Tool 05.2 Power Plants'!G3</f>
        <v>1.7670440000000003</v>
      </c>
      <c r="H37" s="33" t="s">
        <v>455</v>
      </c>
    </row>
    <row r="38" spans="1:8" ht="49.5" customHeight="1">
      <c r="A38" s="15" t="s">
        <v>12</v>
      </c>
      <c r="B38" s="15"/>
      <c r="C38" s="15" t="s">
        <v>12</v>
      </c>
      <c r="D38" s="15" t="s">
        <v>95</v>
      </c>
      <c r="E38" s="54" t="s">
        <v>438</v>
      </c>
      <c r="F38" s="18" t="s">
        <v>456</v>
      </c>
      <c r="G38" s="33">
        <f>'Tool 05.2 Power Plants'!G4</f>
        <v>1.7253240000000001</v>
      </c>
      <c r="H38" s="55" t="s">
        <v>457</v>
      </c>
    </row>
    <row r="39" spans="1:8" ht="21">
      <c r="A39" s="119" t="s">
        <v>458</v>
      </c>
      <c r="B39" s="119"/>
      <c r="C39" s="119"/>
      <c r="D39" s="119"/>
      <c r="E39" s="119"/>
      <c r="F39" s="119"/>
      <c r="G39" s="119"/>
      <c r="H39" s="119"/>
    </row>
    <row r="40" spans="1:8" ht="90">
      <c r="A40" s="36" t="s">
        <v>11</v>
      </c>
      <c r="B40" s="36"/>
      <c r="C40" s="36" t="s">
        <v>12</v>
      </c>
      <c r="D40" s="36" t="s">
        <v>374</v>
      </c>
      <c r="E40" s="52" t="s">
        <v>459</v>
      </c>
      <c r="F40" s="52" t="s">
        <v>460</v>
      </c>
      <c r="G40" s="53" t="s">
        <v>346</v>
      </c>
      <c r="H40" s="37" t="s">
        <v>461</v>
      </c>
    </row>
    <row r="41" spans="1:8" ht="45" customHeight="1">
      <c r="A41" s="15" t="s">
        <v>12</v>
      </c>
      <c r="B41" s="15"/>
      <c r="C41" s="15" t="s">
        <v>12</v>
      </c>
      <c r="D41" s="15" t="s">
        <v>95</v>
      </c>
      <c r="E41" s="54" t="s">
        <v>438</v>
      </c>
      <c r="F41" s="18" t="s">
        <v>439</v>
      </c>
      <c r="G41" s="33">
        <v>1.3</v>
      </c>
      <c r="H41" s="33" t="s">
        <v>462</v>
      </c>
    </row>
    <row r="42" spans="1:8" ht="34.5" customHeight="1">
      <c r="A42" s="15" t="s">
        <v>12</v>
      </c>
      <c r="B42" s="15"/>
      <c r="C42" s="15" t="s">
        <v>12</v>
      </c>
      <c r="D42" s="15" t="s">
        <v>95</v>
      </c>
      <c r="E42" s="54" t="s">
        <v>438</v>
      </c>
      <c r="F42" s="18" t="s">
        <v>463</v>
      </c>
      <c r="G42" s="33">
        <v>0.4</v>
      </c>
      <c r="H42" s="33" t="s">
        <v>464</v>
      </c>
    </row>
    <row r="43" spans="1:8" ht="21">
      <c r="A43" s="119" t="s">
        <v>465</v>
      </c>
      <c r="B43" s="119"/>
      <c r="C43" s="119"/>
      <c r="D43" s="119"/>
      <c r="E43" s="119"/>
      <c r="F43" s="119"/>
      <c r="G43" s="119"/>
      <c r="H43" s="119"/>
    </row>
    <row r="44" spans="1:8" ht="225">
      <c r="A44" s="36" t="s">
        <v>11</v>
      </c>
      <c r="B44" s="36"/>
      <c r="C44" s="36" t="s">
        <v>12</v>
      </c>
      <c r="D44" s="36" t="s">
        <v>374</v>
      </c>
      <c r="E44" s="36"/>
      <c r="F44" s="52" t="s">
        <v>466</v>
      </c>
      <c r="G44" s="53" t="s">
        <v>169</v>
      </c>
      <c r="H44" s="38"/>
    </row>
    <row r="45" spans="1:8">
      <c r="A45" s="36" t="s">
        <v>11</v>
      </c>
      <c r="B45" s="36"/>
      <c r="C45" s="36" t="s">
        <v>12</v>
      </c>
      <c r="D45" s="36" t="s">
        <v>91</v>
      </c>
      <c r="E45" s="36"/>
      <c r="F45" s="38" t="s">
        <v>467</v>
      </c>
      <c r="G45" s="38" t="s">
        <v>468</v>
      </c>
      <c r="H45" s="38"/>
    </row>
    <row r="46" spans="1:8" ht="36.75" customHeight="1">
      <c r="A46" s="36" t="s">
        <v>11</v>
      </c>
      <c r="B46" s="36"/>
      <c r="C46" s="36" t="s">
        <v>12</v>
      </c>
      <c r="D46" s="36" t="s">
        <v>91</v>
      </c>
      <c r="E46" s="36"/>
      <c r="F46" s="38" t="s">
        <v>469</v>
      </c>
      <c r="G46" s="38" t="s">
        <v>470</v>
      </c>
      <c r="H46" s="38"/>
    </row>
    <row r="47" spans="1:8" ht="60">
      <c r="A47" s="36" t="s">
        <v>11</v>
      </c>
      <c r="B47" s="36"/>
      <c r="C47" s="36" t="s">
        <v>12</v>
      </c>
      <c r="D47" s="36" t="s">
        <v>91</v>
      </c>
      <c r="E47" s="36"/>
      <c r="F47" s="38" t="s">
        <v>471</v>
      </c>
      <c r="G47" s="38" t="s">
        <v>472</v>
      </c>
      <c r="H47" s="38" t="s">
        <v>473</v>
      </c>
    </row>
  </sheetData>
  <mergeCells count="8">
    <mergeCell ref="A39:H39"/>
    <mergeCell ref="A43:H43"/>
    <mergeCell ref="A2:H2"/>
    <mergeCell ref="A3:H3"/>
    <mergeCell ref="A5:H5"/>
    <mergeCell ref="A21:H21"/>
    <mergeCell ref="A28:H28"/>
    <mergeCell ref="A33:H33"/>
  </mergeCells>
  <dataValidations count="9">
    <dataValidation type="list" allowBlank="1" showInputMessage="1" showErrorMessage="1" sqref="G44" xr:uid="{5E38CDD6-F92C-4A05-B10B-8FBAFE5C6A0E}">
      <formula1>"Case 1,Case 2, Case 3"</formula1>
    </dataValidation>
    <dataValidation type="list" allowBlank="1" showInputMessage="1" showErrorMessage="1" sqref="G40" xr:uid="{D39BBE05-B43E-4D28-B766-3DCCCF114287}">
      <formula1>"Option A,Option B"</formula1>
    </dataValidation>
    <dataValidation type="list" allowBlank="1" showInputMessage="1" showErrorMessage="1" sqref="G36" xr:uid="{B5AAE335-305A-4EF9-BE12-7F558A21DB85}">
      <formula1>"Heat Generation ignored,Fuel consumption between electricity and heat generation"</formula1>
    </dataValidation>
    <dataValidation type="list" allowBlank="1" showInputMessage="1" showErrorMessage="1" sqref="G35" xr:uid="{B0731A4B-3895-4163-B6FC-D1124A8BF084}">
      <formula1>"Monitored Data, Default Values"</formula1>
    </dataValidation>
    <dataValidation type="list" allowBlank="1" showInputMessage="1" showErrorMessage="1" sqref="G34" xr:uid="{EB881CAD-F224-4443-ACA2-744104BCA9F4}">
      <formula1>"Yes: Alternative Approach, No: Generic Approach"</formula1>
    </dataValidation>
    <dataValidation type="list" allowBlank="1" showInputMessage="1" showErrorMessage="1" sqref="G4" xr:uid="{51BB0402-01C1-4983-9843-8C3C1FD0A0F4}">
      <formula1>"A: From the Grid,B: Off-Grid Captive Power Plants,C: From the Grid and Captive Power Plant"</formula1>
    </dataValidation>
    <dataValidation type="list" allowBlank="1" showInputMessage="1" showErrorMessage="1" sqref="G31" xr:uid="{0B9D56EF-50D7-4996-94DB-435F4291B92E}">
      <formula1>"Yes,No"</formula1>
    </dataValidation>
    <dataValidation type="list" allowBlank="1" showInputMessage="1" showErrorMessage="1" sqref="G30" xr:uid="{159DFD74-CFF3-4CDC-8EE3-73582806650D}">
      <formula1>"Option 2.1,Option 2.2"</formula1>
    </dataValidation>
    <dataValidation type="list" allowBlank="1" showInputMessage="1" showErrorMessage="1" sqref="G29" xr:uid="{8F85BA9E-531F-434B-B5A3-A48328F4B6DD}">
      <formula1>"Option A1,Option A2"</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6B16A-99D6-4995-9D7F-3270DD6B3C5A}">
  <dimension ref="A1:H40"/>
  <sheetViews>
    <sheetView topLeftCell="A3" workbookViewId="0">
      <selection activeCell="G6" sqref="G6"/>
    </sheetView>
  </sheetViews>
  <sheetFormatPr defaultRowHeight="15"/>
  <cols>
    <col min="1" max="1" width="12.28515625" bestFit="1" customWidth="1"/>
    <col min="2" max="2" width="13.140625" bestFit="1" customWidth="1"/>
    <col min="3" max="3" width="11.7109375" bestFit="1" customWidth="1"/>
    <col min="4" max="4" width="14.28515625" customWidth="1"/>
    <col min="5" max="5" width="16" customWidth="1"/>
    <col min="6" max="6" width="70.140625" customWidth="1"/>
    <col min="7" max="7" width="31" customWidth="1"/>
    <col min="8" max="8" width="58.140625" customWidth="1"/>
  </cols>
  <sheetData>
    <row r="1" spans="1:8" ht="37.5">
      <c r="A1" s="11" t="s">
        <v>0</v>
      </c>
      <c r="B1" s="11" t="s">
        <v>1</v>
      </c>
      <c r="C1" s="7" t="s">
        <v>232</v>
      </c>
      <c r="D1" s="11" t="s">
        <v>3</v>
      </c>
      <c r="E1" s="11" t="s">
        <v>5</v>
      </c>
      <c r="F1" s="7" t="s">
        <v>6</v>
      </c>
      <c r="G1" s="11" t="s">
        <v>7</v>
      </c>
      <c r="H1" s="11" t="s">
        <v>8</v>
      </c>
    </row>
    <row r="2" spans="1:8" ht="18.75">
      <c r="A2" s="123" t="s">
        <v>474</v>
      </c>
      <c r="B2" s="123"/>
      <c r="C2" s="123"/>
      <c r="D2" s="123"/>
      <c r="E2" s="123"/>
      <c r="F2" s="123"/>
      <c r="G2" s="123"/>
      <c r="H2" s="123"/>
    </row>
    <row r="3" spans="1:8" ht="30.75">
      <c r="A3" s="15" t="s">
        <v>12</v>
      </c>
      <c r="B3" s="15"/>
      <c r="C3" s="15" t="s">
        <v>12</v>
      </c>
      <c r="D3" s="15" t="s">
        <v>475</v>
      </c>
      <c r="E3" s="54" t="s">
        <v>438</v>
      </c>
      <c r="F3" s="18" t="s">
        <v>476</v>
      </c>
      <c r="G3" s="33">
        <f>G7+G19+G31</f>
        <v>1.7670440000000003</v>
      </c>
      <c r="H3" s="56" t="s">
        <v>477</v>
      </c>
    </row>
    <row r="4" spans="1:8" ht="30.75">
      <c r="A4" s="15" t="s">
        <v>12</v>
      </c>
      <c r="B4" s="15"/>
      <c r="C4" s="15" t="s">
        <v>12</v>
      </c>
      <c r="D4" s="15" t="s">
        <v>475</v>
      </c>
      <c r="E4" s="54" t="s">
        <v>438</v>
      </c>
      <c r="F4" s="18" t="s">
        <v>456</v>
      </c>
      <c r="G4" s="33">
        <f>G8+G20+G32</f>
        <v>1.7253240000000001</v>
      </c>
      <c r="H4" s="43" t="s">
        <v>478</v>
      </c>
    </row>
    <row r="5" spans="1:8" ht="18.75">
      <c r="A5" s="123" t="s">
        <v>479</v>
      </c>
      <c r="B5" s="123"/>
      <c r="C5" s="123"/>
      <c r="D5" s="123"/>
      <c r="E5" s="123"/>
      <c r="F5" s="123"/>
      <c r="G5" s="123"/>
      <c r="H5" s="123"/>
    </row>
    <row r="6" spans="1:8">
      <c r="A6" s="4" t="s">
        <v>11</v>
      </c>
      <c r="B6" s="4"/>
      <c r="C6" s="4" t="s">
        <v>11</v>
      </c>
      <c r="D6" s="4" t="s">
        <v>13</v>
      </c>
      <c r="E6" s="57"/>
      <c r="F6" s="4" t="s">
        <v>480</v>
      </c>
      <c r="G6" s="4" t="s">
        <v>481</v>
      </c>
    </row>
    <row r="7" spans="1:8" ht="30.75">
      <c r="A7" s="15" t="s">
        <v>12</v>
      </c>
      <c r="B7" s="15"/>
      <c r="C7" s="15" t="s">
        <v>12</v>
      </c>
      <c r="D7" s="15" t="s">
        <v>475</v>
      </c>
      <c r="E7" s="54" t="s">
        <v>438</v>
      </c>
      <c r="F7" s="18" t="s">
        <v>476</v>
      </c>
      <c r="G7" s="33">
        <f>(G12*G10*G11)/G13</f>
        <v>0.60550999999999999</v>
      </c>
      <c r="H7" s="15"/>
    </row>
    <row r="8" spans="1:8" ht="30.75">
      <c r="A8" s="15" t="s">
        <v>12</v>
      </c>
      <c r="B8" s="15"/>
      <c r="C8" s="15" t="s">
        <v>12</v>
      </c>
      <c r="D8" s="15" t="s">
        <v>475</v>
      </c>
      <c r="E8" s="54" t="s">
        <v>438</v>
      </c>
      <c r="F8" s="18" t="s">
        <v>456</v>
      </c>
      <c r="G8" s="33">
        <f>ABS(((G12*G10)-(G14/G15))*G11)/G13</f>
        <v>0.59040999999999999</v>
      </c>
      <c r="H8" s="15"/>
    </row>
    <row r="9" spans="1:8">
      <c r="A9" s="36" t="s">
        <v>11</v>
      </c>
      <c r="B9" s="36"/>
      <c r="C9" s="36" t="s">
        <v>12</v>
      </c>
      <c r="D9" s="36" t="s">
        <v>482</v>
      </c>
      <c r="E9" s="36"/>
      <c r="F9" s="38" t="s">
        <v>483</v>
      </c>
      <c r="G9" s="58" t="s">
        <v>484</v>
      </c>
      <c r="H9" s="36"/>
    </row>
    <row r="10" spans="1:8" ht="30">
      <c r="A10" s="15" t="s">
        <v>12</v>
      </c>
      <c r="B10" s="15"/>
      <c r="C10" s="15" t="s">
        <v>12</v>
      </c>
      <c r="D10" s="15" t="s">
        <v>475</v>
      </c>
      <c r="E10" s="59" t="s">
        <v>485</v>
      </c>
      <c r="F10" s="18" t="s">
        <v>486</v>
      </c>
      <c r="G10" s="33">
        <f>IF(G9="","",VLOOKUP(G9,'Tool 05.3 Default Values'!B4:D56,2,FALSE))</f>
        <v>40.1</v>
      </c>
      <c r="H10" s="18" t="s">
        <v>487</v>
      </c>
    </row>
    <row r="11" spans="1:8" ht="30">
      <c r="A11" s="15" t="s">
        <v>12</v>
      </c>
      <c r="B11" s="15"/>
      <c r="C11" s="15" t="s">
        <v>12</v>
      </c>
      <c r="D11" s="15" t="s">
        <v>475</v>
      </c>
      <c r="E11" s="59" t="s">
        <v>488</v>
      </c>
      <c r="F11" s="18" t="s">
        <v>489</v>
      </c>
      <c r="G11" s="33">
        <f>IF(G9="","",VLOOKUP(G9,'Tool 05.3 Default Values'!B4:D56,3,FALSE))*0.001</f>
        <v>75.5</v>
      </c>
      <c r="H11" s="18" t="s">
        <v>490</v>
      </c>
    </row>
    <row r="12" spans="1:8" ht="30">
      <c r="A12" t="s">
        <v>11</v>
      </c>
      <c r="C12" t="s">
        <v>11</v>
      </c>
      <c r="D12" t="s">
        <v>124</v>
      </c>
      <c r="E12" s="60" t="s">
        <v>491</v>
      </c>
      <c r="F12" s="10" t="s">
        <v>492</v>
      </c>
      <c r="G12" s="41">
        <v>2</v>
      </c>
    </row>
    <row r="13" spans="1:8" ht="30">
      <c r="A13" t="s">
        <v>11</v>
      </c>
      <c r="C13" t="s">
        <v>11</v>
      </c>
      <c r="D13" t="s">
        <v>124</v>
      </c>
      <c r="E13" s="60" t="s">
        <v>493</v>
      </c>
      <c r="F13" s="10" t="s">
        <v>494</v>
      </c>
      <c r="G13" s="41">
        <v>10000</v>
      </c>
    </row>
    <row r="14" spans="1:8" ht="60">
      <c r="A14" t="s">
        <v>11</v>
      </c>
      <c r="C14" t="s">
        <v>11</v>
      </c>
      <c r="D14" t="s">
        <v>124</v>
      </c>
      <c r="E14" s="60" t="s">
        <v>495</v>
      </c>
      <c r="F14" s="10" t="s">
        <v>496</v>
      </c>
      <c r="G14" s="41">
        <v>2</v>
      </c>
    </row>
    <row r="15" spans="1:8" ht="33">
      <c r="A15" s="15" t="s">
        <v>12</v>
      </c>
      <c r="B15" s="15"/>
      <c r="C15" s="15" t="s">
        <v>12</v>
      </c>
      <c r="D15" s="15" t="s">
        <v>475</v>
      </c>
      <c r="E15" s="42" t="s">
        <v>497</v>
      </c>
      <c r="F15" s="18" t="s">
        <v>498</v>
      </c>
      <c r="G15" s="33">
        <v>1</v>
      </c>
      <c r="H15" s="15" t="s">
        <v>499</v>
      </c>
    </row>
    <row r="16" spans="1:8" ht="33">
      <c r="A16" s="15" t="s">
        <v>12</v>
      </c>
      <c r="B16" s="15"/>
      <c r="C16" s="15" t="s">
        <v>12</v>
      </c>
      <c r="D16" s="15" t="s">
        <v>475</v>
      </c>
      <c r="E16" s="42" t="s">
        <v>497</v>
      </c>
      <c r="F16" s="18" t="s">
        <v>500</v>
      </c>
      <c r="G16" s="33">
        <v>0.6</v>
      </c>
      <c r="H16" s="15" t="s">
        <v>499</v>
      </c>
    </row>
    <row r="17" spans="1:8" ht="18.75">
      <c r="A17" s="123" t="s">
        <v>479</v>
      </c>
      <c r="B17" s="123"/>
      <c r="C17" s="123"/>
      <c r="D17" s="123"/>
      <c r="E17" s="123"/>
      <c r="F17" s="123"/>
      <c r="G17" s="123"/>
      <c r="H17" s="123"/>
    </row>
    <row r="18" spans="1:8">
      <c r="A18" s="4" t="s">
        <v>11</v>
      </c>
      <c r="B18" s="4"/>
      <c r="C18" s="4" t="s">
        <v>11</v>
      </c>
      <c r="D18" s="4" t="s">
        <v>13</v>
      </c>
      <c r="E18" s="57"/>
      <c r="F18" s="4" t="s">
        <v>480</v>
      </c>
      <c r="G18" s="4" t="s">
        <v>501</v>
      </c>
    </row>
    <row r="19" spans="1:8" ht="30.75">
      <c r="A19" s="15" t="s">
        <v>12</v>
      </c>
      <c r="B19" s="15"/>
      <c r="C19" s="15" t="s">
        <v>12</v>
      </c>
      <c r="D19" s="15" t="s">
        <v>475</v>
      </c>
      <c r="E19" s="54" t="s">
        <v>438</v>
      </c>
      <c r="F19" s="18" t="s">
        <v>476</v>
      </c>
      <c r="G19" s="33">
        <f>(G24*G22*G23)/G25</f>
        <v>0.61934400000000001</v>
      </c>
      <c r="H19" s="15"/>
    </row>
    <row r="20" spans="1:8" ht="30.75">
      <c r="A20" s="15" t="s">
        <v>12</v>
      </c>
      <c r="B20" s="15"/>
      <c r="C20" s="15" t="s">
        <v>12</v>
      </c>
      <c r="D20" s="15" t="s">
        <v>475</v>
      </c>
      <c r="E20" s="54" t="s">
        <v>438</v>
      </c>
      <c r="F20" s="18" t="s">
        <v>456</v>
      </c>
      <c r="G20" s="33">
        <f>ABS(((G24*G22)-(G26/G27))*G23)/G25</f>
        <v>0.60438399999999992</v>
      </c>
      <c r="H20" s="15"/>
    </row>
    <row r="21" spans="1:8">
      <c r="A21" s="36" t="s">
        <v>11</v>
      </c>
      <c r="B21" s="36"/>
      <c r="C21" s="36" t="s">
        <v>12</v>
      </c>
      <c r="D21" s="36" t="s">
        <v>482</v>
      </c>
      <c r="E21" s="36"/>
      <c r="F21" s="38" t="s">
        <v>483</v>
      </c>
      <c r="G21" s="58" t="s">
        <v>502</v>
      </c>
      <c r="H21" s="36"/>
    </row>
    <row r="22" spans="1:8" ht="30">
      <c r="A22" s="15" t="s">
        <v>12</v>
      </c>
      <c r="B22" s="15"/>
      <c r="C22" s="15" t="s">
        <v>12</v>
      </c>
      <c r="D22" s="15" t="s">
        <v>475</v>
      </c>
      <c r="E22" s="59" t="s">
        <v>485</v>
      </c>
      <c r="F22" s="18" t="s">
        <v>486</v>
      </c>
      <c r="G22" s="33">
        <f>IF(G21="","",VLOOKUP(G21,'Tool 05.3 Default Values'!B4:D56,2,FALSE))</f>
        <v>41.4</v>
      </c>
      <c r="H22" s="18" t="s">
        <v>487</v>
      </c>
    </row>
    <row r="23" spans="1:8" ht="30">
      <c r="A23" s="15" t="s">
        <v>12</v>
      </c>
      <c r="B23" s="15"/>
      <c r="C23" s="15" t="s">
        <v>12</v>
      </c>
      <c r="D23" s="15" t="s">
        <v>475</v>
      </c>
      <c r="E23" s="59" t="s">
        <v>488</v>
      </c>
      <c r="F23" s="18" t="s">
        <v>489</v>
      </c>
      <c r="G23" s="33">
        <f>IF(G21="","",VLOOKUP(G21,'Tool 05.3 Default Values'!B4:D56,3,FALSE))*0.001</f>
        <v>74.8</v>
      </c>
      <c r="H23" s="18" t="s">
        <v>490</v>
      </c>
    </row>
    <row r="24" spans="1:8" ht="30">
      <c r="A24" t="s">
        <v>11</v>
      </c>
      <c r="C24" t="s">
        <v>11</v>
      </c>
      <c r="D24" t="s">
        <v>124</v>
      </c>
      <c r="E24" s="60" t="s">
        <v>491</v>
      </c>
      <c r="F24" s="10" t="s">
        <v>492</v>
      </c>
      <c r="G24" s="41">
        <v>2</v>
      </c>
    </row>
    <row r="25" spans="1:8" ht="30">
      <c r="A25" t="s">
        <v>11</v>
      </c>
      <c r="C25" t="s">
        <v>11</v>
      </c>
      <c r="D25" t="s">
        <v>124</v>
      </c>
      <c r="E25" s="60" t="s">
        <v>493</v>
      </c>
      <c r="F25" s="10" t="s">
        <v>494</v>
      </c>
      <c r="G25" s="41">
        <v>10000</v>
      </c>
    </row>
    <row r="26" spans="1:8" ht="60">
      <c r="A26" t="s">
        <v>11</v>
      </c>
      <c r="C26" t="s">
        <v>11</v>
      </c>
      <c r="D26" t="s">
        <v>124</v>
      </c>
      <c r="E26" s="60" t="s">
        <v>495</v>
      </c>
      <c r="F26" s="10" t="s">
        <v>496</v>
      </c>
      <c r="G26" s="41">
        <v>2</v>
      </c>
    </row>
    <row r="27" spans="1:8" ht="33">
      <c r="A27" s="15" t="s">
        <v>12</v>
      </c>
      <c r="B27" s="15"/>
      <c r="C27" s="15" t="s">
        <v>12</v>
      </c>
      <c r="D27" s="15" t="s">
        <v>475</v>
      </c>
      <c r="E27" s="42" t="s">
        <v>497</v>
      </c>
      <c r="F27" s="18" t="s">
        <v>498</v>
      </c>
      <c r="G27" s="33">
        <v>1</v>
      </c>
      <c r="H27" s="15" t="s">
        <v>499</v>
      </c>
    </row>
    <row r="28" spans="1:8" ht="33">
      <c r="A28" s="15" t="s">
        <v>12</v>
      </c>
      <c r="B28" s="15"/>
      <c r="C28" s="15" t="s">
        <v>12</v>
      </c>
      <c r="D28" s="15" t="s">
        <v>475</v>
      </c>
      <c r="E28" s="42" t="s">
        <v>497</v>
      </c>
      <c r="F28" s="18" t="s">
        <v>500</v>
      </c>
      <c r="G28" s="33">
        <v>0.6</v>
      </c>
      <c r="H28" s="15" t="s">
        <v>499</v>
      </c>
    </row>
    <row r="29" spans="1:8" ht="18.75">
      <c r="A29" s="123" t="s">
        <v>479</v>
      </c>
      <c r="B29" s="123"/>
      <c r="C29" s="123"/>
      <c r="D29" s="123"/>
      <c r="E29" s="123"/>
      <c r="F29" s="123"/>
      <c r="G29" s="123"/>
      <c r="H29" s="123"/>
    </row>
    <row r="30" spans="1:8">
      <c r="A30" s="4" t="s">
        <v>11</v>
      </c>
      <c r="B30" s="4"/>
      <c r="C30" s="4" t="s">
        <v>11</v>
      </c>
      <c r="D30" s="4" t="s">
        <v>13</v>
      </c>
      <c r="E30" s="57"/>
      <c r="F30" s="4" t="s">
        <v>480</v>
      </c>
      <c r="G30" s="4" t="s">
        <v>503</v>
      </c>
    </row>
    <row r="31" spans="1:8" ht="30.75">
      <c r="A31" s="15" t="s">
        <v>12</v>
      </c>
      <c r="B31" s="15"/>
      <c r="C31" s="15" t="s">
        <v>12</v>
      </c>
      <c r="D31" s="15" t="s">
        <v>475</v>
      </c>
      <c r="E31" s="54" t="s">
        <v>438</v>
      </c>
      <c r="F31" s="18" t="s">
        <v>476</v>
      </c>
      <c r="G31" s="33">
        <f>(G36*G34*G35)/G37</f>
        <v>0.54219000000000006</v>
      </c>
      <c r="H31" s="15"/>
    </row>
    <row r="32" spans="1:8" ht="30.75">
      <c r="A32" s="15" t="s">
        <v>12</v>
      </c>
      <c r="B32" s="15"/>
      <c r="C32" s="15" t="s">
        <v>12</v>
      </c>
      <c r="D32" s="15" t="s">
        <v>475</v>
      </c>
      <c r="E32" s="54" t="s">
        <v>438</v>
      </c>
      <c r="F32" s="18" t="s">
        <v>456</v>
      </c>
      <c r="G32" s="33">
        <f>ABS(((G36*G34)-(G38/G39))*G35)/G37</f>
        <v>0.53053000000000006</v>
      </c>
      <c r="H32" s="15"/>
    </row>
    <row r="33" spans="1:8">
      <c r="A33" s="36" t="s">
        <v>11</v>
      </c>
      <c r="B33" s="36"/>
      <c r="C33" s="36" t="s">
        <v>12</v>
      </c>
      <c r="D33" s="36" t="s">
        <v>482</v>
      </c>
      <c r="E33" s="36"/>
      <c r="F33" s="38" t="s">
        <v>483</v>
      </c>
      <c r="G33" s="58" t="s">
        <v>504</v>
      </c>
      <c r="H33" s="36"/>
    </row>
    <row r="34" spans="1:8" ht="30">
      <c r="A34" s="15" t="s">
        <v>12</v>
      </c>
      <c r="B34" s="15"/>
      <c r="C34" s="15" t="s">
        <v>12</v>
      </c>
      <c r="D34" s="15" t="s">
        <v>475</v>
      </c>
      <c r="E34" s="59" t="s">
        <v>485</v>
      </c>
      <c r="F34" s="18" t="s">
        <v>486</v>
      </c>
      <c r="G34" s="33">
        <f>IF(G33="","",VLOOKUP(G33,'Tool 05.3 Default Values'!B4:D56,2,FALSE))</f>
        <v>46.5</v>
      </c>
      <c r="H34" s="18" t="s">
        <v>487</v>
      </c>
    </row>
    <row r="35" spans="1:8" ht="30">
      <c r="A35" s="15" t="s">
        <v>12</v>
      </c>
      <c r="B35" s="15"/>
      <c r="C35" s="15" t="s">
        <v>12</v>
      </c>
      <c r="D35" s="15" t="s">
        <v>475</v>
      </c>
      <c r="E35" s="59" t="s">
        <v>488</v>
      </c>
      <c r="F35" s="18" t="s">
        <v>489</v>
      </c>
      <c r="G35" s="33">
        <f>IF(G33="","",VLOOKUP(G33,'Tool 05.3 Default Values'!B4:D56,3,FALSE))*0.001</f>
        <v>58.300000000000004</v>
      </c>
      <c r="H35" s="18" t="s">
        <v>490</v>
      </c>
    </row>
    <row r="36" spans="1:8" ht="30">
      <c r="A36" t="s">
        <v>11</v>
      </c>
      <c r="C36" t="s">
        <v>11</v>
      </c>
      <c r="D36" t="s">
        <v>124</v>
      </c>
      <c r="E36" s="60" t="s">
        <v>491</v>
      </c>
      <c r="F36" s="10" t="s">
        <v>492</v>
      </c>
      <c r="G36" s="41">
        <v>2</v>
      </c>
    </row>
    <row r="37" spans="1:8" ht="30">
      <c r="A37" t="s">
        <v>11</v>
      </c>
      <c r="C37" t="s">
        <v>11</v>
      </c>
      <c r="D37" t="s">
        <v>124</v>
      </c>
      <c r="E37" s="60" t="s">
        <v>493</v>
      </c>
      <c r="F37" s="10" t="s">
        <v>494</v>
      </c>
      <c r="G37" s="41">
        <v>10000</v>
      </c>
    </row>
    <row r="38" spans="1:8" ht="60">
      <c r="A38" t="s">
        <v>11</v>
      </c>
      <c r="C38" t="s">
        <v>11</v>
      </c>
      <c r="D38" t="s">
        <v>124</v>
      </c>
      <c r="E38" s="60" t="s">
        <v>495</v>
      </c>
      <c r="F38" s="10" t="s">
        <v>496</v>
      </c>
      <c r="G38" s="41">
        <v>2</v>
      </c>
    </row>
    <row r="39" spans="1:8" ht="33">
      <c r="A39" s="15" t="s">
        <v>12</v>
      </c>
      <c r="B39" s="15"/>
      <c r="C39" s="15" t="s">
        <v>12</v>
      </c>
      <c r="D39" s="15" t="s">
        <v>475</v>
      </c>
      <c r="E39" s="42" t="s">
        <v>497</v>
      </c>
      <c r="F39" s="18" t="s">
        <v>498</v>
      </c>
      <c r="G39" s="33">
        <v>1</v>
      </c>
      <c r="H39" s="15" t="s">
        <v>499</v>
      </c>
    </row>
    <row r="40" spans="1:8" ht="33">
      <c r="A40" s="15" t="s">
        <v>12</v>
      </c>
      <c r="B40" s="15"/>
      <c r="C40" s="15" t="s">
        <v>12</v>
      </c>
      <c r="D40" s="15" t="s">
        <v>475</v>
      </c>
      <c r="E40" s="42" t="s">
        <v>497</v>
      </c>
      <c r="F40" s="18" t="s">
        <v>500</v>
      </c>
      <c r="G40" s="33">
        <v>0.6</v>
      </c>
      <c r="H40" s="15" t="s">
        <v>499</v>
      </c>
    </row>
  </sheetData>
  <mergeCells count="4">
    <mergeCell ref="A2:H2"/>
    <mergeCell ref="A5:H5"/>
    <mergeCell ref="A17:H17"/>
    <mergeCell ref="A29:H29"/>
  </mergeCell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4DAA322F-B2FC-4C8C-B89C-56A4E34F98D7}">
          <x14:formula1>
            <xm:f>'Tool 05.3 Default Values'!$B$4:$B$56</xm:f>
          </x14:formula1>
          <xm:sqref>G9 G21 G33</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DDF06-0D0D-4432-8C53-D91F927064C4}">
  <dimension ref="B1:D56"/>
  <sheetViews>
    <sheetView workbookViewId="0">
      <selection activeCell="E48" sqref="E48"/>
    </sheetView>
  </sheetViews>
  <sheetFormatPr defaultRowHeight="15"/>
  <cols>
    <col min="2" max="2" width="33.85546875" bestFit="1" customWidth="1"/>
    <col min="3" max="3" width="20.7109375" customWidth="1"/>
    <col min="4" max="4" width="40.42578125" customWidth="1"/>
  </cols>
  <sheetData>
    <row r="1" spans="2:4" ht="15.75" thickBot="1"/>
    <row r="2" spans="2:4" ht="19.5" thickBot="1">
      <c r="B2" s="124" t="s">
        <v>505</v>
      </c>
      <c r="C2" s="125"/>
      <c r="D2" s="126"/>
    </row>
    <row r="3" spans="2:4" ht="32.25" thickBot="1">
      <c r="B3" s="61" t="s">
        <v>506</v>
      </c>
      <c r="C3" s="62" t="s">
        <v>507</v>
      </c>
      <c r="D3" s="62" t="s">
        <v>508</v>
      </c>
    </row>
    <row r="4" spans="2:4">
      <c r="B4" s="63" t="s">
        <v>484</v>
      </c>
      <c r="C4" s="64">
        <v>40.1</v>
      </c>
      <c r="D4" s="65">
        <v>75500</v>
      </c>
    </row>
    <row r="5" spans="2:4">
      <c r="B5" s="26" t="s">
        <v>509</v>
      </c>
      <c r="C5" s="66">
        <v>27.5</v>
      </c>
      <c r="D5" s="67">
        <v>85400</v>
      </c>
    </row>
    <row r="6" spans="2:4">
      <c r="B6" s="26" t="s">
        <v>510</v>
      </c>
      <c r="C6" s="66">
        <v>40.9</v>
      </c>
      <c r="D6" s="67">
        <v>70400</v>
      </c>
    </row>
    <row r="7" spans="2:4">
      <c r="B7" s="26" t="s">
        <v>511</v>
      </c>
      <c r="C7" s="66">
        <v>42.5</v>
      </c>
      <c r="D7" s="67">
        <v>73000</v>
      </c>
    </row>
    <row r="8" spans="2:4">
      <c r="B8" s="26" t="s">
        <v>512</v>
      </c>
      <c r="C8" s="66">
        <v>42.5</v>
      </c>
      <c r="D8" s="67">
        <v>73000</v>
      </c>
    </row>
    <row r="9" spans="2:4">
      <c r="B9" s="26" t="s">
        <v>513</v>
      </c>
      <c r="C9" s="66">
        <v>42.5</v>
      </c>
      <c r="D9" s="67">
        <v>73000</v>
      </c>
    </row>
    <row r="10" spans="2:4">
      <c r="B10" s="26" t="s">
        <v>514</v>
      </c>
      <c r="C10" s="66">
        <v>42</v>
      </c>
      <c r="D10" s="67">
        <v>74400</v>
      </c>
    </row>
    <row r="11" spans="2:4">
      <c r="B11" s="26" t="s">
        <v>515</v>
      </c>
      <c r="C11" s="66">
        <v>42.4</v>
      </c>
      <c r="D11" s="67">
        <v>73700</v>
      </c>
    </row>
    <row r="12" spans="2:4">
      <c r="B12" s="26" t="s">
        <v>516</v>
      </c>
      <c r="C12" s="66">
        <v>32.1</v>
      </c>
      <c r="D12" s="67">
        <v>79200</v>
      </c>
    </row>
    <row r="13" spans="2:4">
      <c r="B13" s="26" t="s">
        <v>502</v>
      </c>
      <c r="C13" s="66">
        <v>41.4</v>
      </c>
      <c r="D13" s="67">
        <v>74800</v>
      </c>
    </row>
    <row r="14" spans="2:4">
      <c r="B14" s="26" t="s">
        <v>517</v>
      </c>
      <c r="C14" s="66">
        <v>39.799999999999997</v>
      </c>
      <c r="D14" s="67">
        <v>78800</v>
      </c>
    </row>
    <row r="15" spans="2:4">
      <c r="B15" s="26" t="s">
        <v>518</v>
      </c>
      <c r="C15" s="66">
        <v>44.8</v>
      </c>
      <c r="D15" s="67">
        <v>65600</v>
      </c>
    </row>
    <row r="16" spans="2:4">
      <c r="B16" s="26" t="s">
        <v>519</v>
      </c>
      <c r="C16" s="66">
        <v>44.9</v>
      </c>
      <c r="D16" s="67">
        <v>68600</v>
      </c>
    </row>
    <row r="17" spans="2:4">
      <c r="B17" s="26" t="s">
        <v>520</v>
      </c>
      <c r="C17" s="66">
        <v>41.8</v>
      </c>
      <c r="D17" s="67">
        <v>76300</v>
      </c>
    </row>
    <row r="18" spans="2:4">
      <c r="B18" s="26" t="s">
        <v>521</v>
      </c>
      <c r="C18" s="66">
        <v>33.5</v>
      </c>
      <c r="D18" s="67">
        <v>89900</v>
      </c>
    </row>
    <row r="19" spans="2:4">
      <c r="B19" s="26" t="s">
        <v>522</v>
      </c>
      <c r="C19" s="66">
        <v>33.5</v>
      </c>
      <c r="D19" s="67">
        <v>75200</v>
      </c>
    </row>
    <row r="20" spans="2:4">
      <c r="B20" s="26" t="s">
        <v>523</v>
      </c>
      <c r="C20" s="66">
        <v>29.7</v>
      </c>
      <c r="D20" s="67">
        <v>115000</v>
      </c>
    </row>
    <row r="21" spans="2:4">
      <c r="B21" s="26" t="s">
        <v>524</v>
      </c>
      <c r="C21" s="66">
        <v>36.299999999999997</v>
      </c>
      <c r="D21" s="67">
        <v>76600</v>
      </c>
    </row>
    <row r="22" spans="2:4">
      <c r="B22" s="26" t="s">
        <v>525</v>
      </c>
      <c r="C22" s="66">
        <v>47.5</v>
      </c>
      <c r="D22" s="67">
        <v>69000</v>
      </c>
    </row>
    <row r="23" spans="2:4">
      <c r="B23" s="26" t="s">
        <v>526</v>
      </c>
      <c r="C23" s="66">
        <v>33.700000000000003</v>
      </c>
      <c r="D23" s="67">
        <v>74400</v>
      </c>
    </row>
    <row r="24" spans="2:4">
      <c r="B24" s="26" t="s">
        <v>527</v>
      </c>
      <c r="C24" s="66">
        <v>33.700000000000003</v>
      </c>
      <c r="D24" s="67">
        <v>74400</v>
      </c>
    </row>
    <row r="25" spans="2:4">
      <c r="B25" s="26" t="s">
        <v>528</v>
      </c>
      <c r="C25" s="66">
        <v>33.700000000000003</v>
      </c>
      <c r="D25" s="67">
        <v>74400</v>
      </c>
    </row>
    <row r="26" spans="2:4">
      <c r="B26" s="26" t="s">
        <v>529</v>
      </c>
      <c r="C26" s="66">
        <v>21.6</v>
      </c>
      <c r="D26" s="67">
        <v>101000</v>
      </c>
    </row>
    <row r="27" spans="2:4">
      <c r="B27" s="26" t="s">
        <v>530</v>
      </c>
      <c r="C27" s="66">
        <v>24</v>
      </c>
      <c r="D27" s="67">
        <v>101000</v>
      </c>
    </row>
    <row r="28" spans="2:4">
      <c r="B28" s="26" t="s">
        <v>531</v>
      </c>
      <c r="C28" s="66">
        <v>19.899999999999999</v>
      </c>
      <c r="D28" s="67">
        <v>99700</v>
      </c>
    </row>
    <row r="29" spans="2:4">
      <c r="B29" s="26" t="s">
        <v>532</v>
      </c>
      <c r="C29" s="66">
        <v>11.5</v>
      </c>
      <c r="D29" s="67">
        <v>100000</v>
      </c>
    </row>
    <row r="30" spans="2:4">
      <c r="B30" s="26" t="s">
        <v>533</v>
      </c>
      <c r="C30" s="66">
        <v>5.5</v>
      </c>
      <c r="D30" s="67">
        <v>115000</v>
      </c>
    </row>
    <row r="31" spans="2:4">
      <c r="B31" s="26" t="s">
        <v>534</v>
      </c>
      <c r="C31" s="66">
        <v>7.1</v>
      </c>
      <c r="D31" s="67">
        <v>125000</v>
      </c>
    </row>
    <row r="32" spans="2:4">
      <c r="B32" s="26" t="s">
        <v>535</v>
      </c>
      <c r="C32" s="66">
        <v>15.1</v>
      </c>
      <c r="D32" s="67">
        <v>109000</v>
      </c>
    </row>
    <row r="33" spans="2:4">
      <c r="B33" s="26" t="s">
        <v>536</v>
      </c>
      <c r="C33" s="66">
        <v>15.1</v>
      </c>
      <c r="D33" s="67">
        <v>109000</v>
      </c>
    </row>
    <row r="34" spans="2:4">
      <c r="B34" s="26" t="s">
        <v>537</v>
      </c>
      <c r="C34" s="66">
        <v>25.1</v>
      </c>
      <c r="D34" s="67">
        <v>119000</v>
      </c>
    </row>
    <row r="35" spans="2:4">
      <c r="B35" s="26" t="s">
        <v>538</v>
      </c>
      <c r="C35" s="66">
        <v>25.1</v>
      </c>
      <c r="D35" s="67">
        <v>119000</v>
      </c>
    </row>
    <row r="36" spans="2:4">
      <c r="B36" s="26" t="s">
        <v>539</v>
      </c>
      <c r="C36" s="66">
        <v>14.1</v>
      </c>
      <c r="D36" s="67">
        <v>95300</v>
      </c>
    </row>
    <row r="37" spans="2:4">
      <c r="B37" s="26" t="s">
        <v>540</v>
      </c>
      <c r="C37" s="66">
        <v>19.600000000000001</v>
      </c>
      <c r="D37" s="67">
        <v>54100</v>
      </c>
    </row>
    <row r="38" spans="2:4">
      <c r="B38" s="26" t="s">
        <v>541</v>
      </c>
      <c r="C38" s="66">
        <v>19.600000000000001</v>
      </c>
      <c r="D38" s="67">
        <v>54100</v>
      </c>
    </row>
    <row r="39" spans="2:4">
      <c r="B39" s="26" t="s">
        <v>542</v>
      </c>
      <c r="C39" s="66">
        <v>1.2</v>
      </c>
      <c r="D39" s="67">
        <v>308000</v>
      </c>
    </row>
    <row r="40" spans="2:4">
      <c r="B40" s="26" t="s">
        <v>543</v>
      </c>
      <c r="C40" s="66">
        <v>3.8</v>
      </c>
      <c r="D40" s="67">
        <v>202000</v>
      </c>
    </row>
    <row r="41" spans="2:4">
      <c r="B41" s="26" t="s">
        <v>504</v>
      </c>
      <c r="C41" s="66">
        <v>46.5</v>
      </c>
      <c r="D41" s="67">
        <v>58300</v>
      </c>
    </row>
    <row r="42" spans="2:4" ht="30">
      <c r="B42" s="28" t="s">
        <v>544</v>
      </c>
      <c r="C42" s="66">
        <v>7</v>
      </c>
      <c r="D42" s="67">
        <v>121000</v>
      </c>
    </row>
    <row r="43" spans="2:4">
      <c r="B43" s="26" t="s">
        <v>545</v>
      </c>
      <c r="C43" s="66">
        <v>20.3</v>
      </c>
      <c r="D43" s="67">
        <v>74400</v>
      </c>
    </row>
    <row r="44" spans="2:4">
      <c r="B44" s="26" t="s">
        <v>546</v>
      </c>
      <c r="C44" s="66">
        <v>7.8</v>
      </c>
      <c r="D44" s="67">
        <v>108000</v>
      </c>
    </row>
    <row r="45" spans="2:4">
      <c r="B45" s="26" t="s">
        <v>547</v>
      </c>
      <c r="C45" s="66">
        <v>7.9</v>
      </c>
      <c r="D45" s="67">
        <v>132000</v>
      </c>
    </row>
    <row r="46" spans="2:4">
      <c r="B46" s="26" t="s">
        <v>548</v>
      </c>
      <c r="C46" s="66">
        <v>5.9</v>
      </c>
      <c r="D46" s="67">
        <v>110000</v>
      </c>
    </row>
    <row r="47" spans="2:4">
      <c r="B47" s="26" t="s">
        <v>549</v>
      </c>
      <c r="C47" s="66">
        <v>5.9</v>
      </c>
      <c r="D47" s="67">
        <v>117000</v>
      </c>
    </row>
    <row r="48" spans="2:4">
      <c r="B48" s="26" t="s">
        <v>550</v>
      </c>
      <c r="C48" s="66">
        <v>14.9</v>
      </c>
      <c r="D48" s="67">
        <v>132000</v>
      </c>
    </row>
    <row r="49" spans="2:4">
      <c r="B49" s="26" t="s">
        <v>551</v>
      </c>
      <c r="C49" s="66">
        <v>13.6</v>
      </c>
      <c r="D49" s="67">
        <v>84300</v>
      </c>
    </row>
    <row r="50" spans="2:4">
      <c r="B50" s="26" t="s">
        <v>552</v>
      </c>
      <c r="C50" s="66">
        <v>13.6</v>
      </c>
      <c r="D50" s="67">
        <v>84300</v>
      </c>
    </row>
    <row r="51" spans="2:4">
      <c r="B51" s="26" t="s">
        <v>553</v>
      </c>
      <c r="C51" s="66">
        <v>13.8</v>
      </c>
      <c r="D51" s="67">
        <v>95300</v>
      </c>
    </row>
    <row r="52" spans="2:4">
      <c r="B52" s="26" t="s">
        <v>554</v>
      </c>
      <c r="C52" s="66">
        <v>25.4</v>
      </c>
      <c r="D52" s="67">
        <v>66000</v>
      </c>
    </row>
    <row r="53" spans="2:4">
      <c r="B53" s="26" t="s">
        <v>555</v>
      </c>
      <c r="C53" s="66">
        <v>25.4</v>
      </c>
      <c r="D53" s="67">
        <v>66000</v>
      </c>
    </row>
    <row r="54" spans="2:4">
      <c r="B54" s="26" t="s">
        <v>556</v>
      </c>
      <c r="C54" s="66">
        <v>25.4</v>
      </c>
      <c r="D54" s="67">
        <v>66000</v>
      </c>
    </row>
    <row r="55" spans="2:4">
      <c r="B55" s="26" t="s">
        <v>557</v>
      </c>
      <c r="C55" s="66">
        <v>6.8</v>
      </c>
      <c r="D55" s="67">
        <v>117000</v>
      </c>
    </row>
    <row r="56" spans="2:4" ht="15.75" thickBot="1">
      <c r="B56" s="29" t="s">
        <v>558</v>
      </c>
      <c r="C56" s="68" t="s">
        <v>14</v>
      </c>
      <c r="D56" s="69">
        <v>183000</v>
      </c>
    </row>
  </sheetData>
  <mergeCells count="1">
    <mergeCell ref="B2:D2"/>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2A71156DC7A845931FA815841BBBE9" ma:contentTypeVersion="11" ma:contentTypeDescription="Create a new document." ma:contentTypeScope="" ma:versionID="01a9576f7830710ba69f32f402e20fbd">
  <xsd:schema xmlns:xsd="http://www.w3.org/2001/XMLSchema" xmlns:xs="http://www.w3.org/2001/XMLSchema" xmlns:p="http://schemas.microsoft.com/office/2006/metadata/properties" xmlns:ns3="65777255-547c-4997-b980-b8ec387fc921" xmlns:ns4="544e15c9-ee33-4574-8cbe-20a29a71700b" targetNamespace="http://schemas.microsoft.com/office/2006/metadata/properties" ma:root="true" ma:fieldsID="2a97e5d917d34dc7936e7c5693002bb7" ns3:_="" ns4:_="">
    <xsd:import namespace="65777255-547c-4997-b980-b8ec387fc921"/>
    <xsd:import namespace="544e15c9-ee33-4574-8cbe-20a29a71700b"/>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777255-547c-4997-b980-b8ec387fc92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44e15c9-ee33-4574-8cbe-20a29a71700b"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65777255-547c-4997-b980-b8ec387fc92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05EFB81-4DE7-4013-8AC9-98CF8EF1A7C8}"/>
</file>

<file path=customXml/itemProps2.xml><?xml version="1.0" encoding="utf-8"?>
<ds:datastoreItem xmlns:ds="http://schemas.openxmlformats.org/officeDocument/2006/customXml" ds:itemID="{E3FB9175-D132-447E-825F-E20BD02AD269}"/>
</file>

<file path=customXml/itemProps3.xml><?xml version="1.0" encoding="utf-8"?>
<ds:datastoreItem xmlns:ds="http://schemas.openxmlformats.org/officeDocument/2006/customXml" ds:itemID="{DA0D542E-1160-4713-AD3A-E49D2C113DE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Jailine Molina</dc:creator>
  <cp:keywords/>
  <dc:description/>
  <cp:lastModifiedBy>i:0#.f|membership|jailine.molina@envisionblockchain.com</cp:lastModifiedBy>
  <cp:revision/>
  <dcterms:created xsi:type="dcterms:W3CDTF">2023-10-03T15:05:01Z</dcterms:created>
  <dcterms:modified xsi:type="dcterms:W3CDTF">2024-02-28T17:33:13Z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0x0101005A2A71156DC7A845931FA815841BBBE9</vt:lpwstr>
  </property>
</Properties>
</file>